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305" yWindow="45" windowWidth="10200" windowHeight="7125"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c r="F6" i="1" l="1"/>
  <c r="C7" i="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1"/>
  <c r="B33" i="82"/>
  <c r="B33" i="80"/>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F161" i="1" s="1"/>
  <c r="B43" i="27" s="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H91" i="81" l="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B42" i="81" s="1"/>
  <c r="I29" i="81" s="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I61" i="81" l="1"/>
  <c r="I77" i="81"/>
  <c r="I232" i="81"/>
  <c r="I112" i="81"/>
  <c r="I125" i="81"/>
  <c r="I123" i="81"/>
  <c r="I204" i="81"/>
  <c r="I144" i="81"/>
  <c r="I136" i="81"/>
  <c r="I46" i="81"/>
  <c r="I110" i="81"/>
  <c r="I107" i="81"/>
  <c r="I184" i="81"/>
  <c r="I106" i="81"/>
  <c r="I34" i="81"/>
  <c r="I174" i="81"/>
  <c r="I259" i="81"/>
  <c r="I38" i="81"/>
  <c r="I89" i="81"/>
  <c r="I165" i="81"/>
  <c r="I262" i="81"/>
  <c r="I45" i="81"/>
  <c r="I271" i="81"/>
  <c r="I268" i="81"/>
  <c r="I65" i="81"/>
  <c r="I172" i="81"/>
  <c r="I140" i="81"/>
  <c r="I211" i="81"/>
  <c r="I63" i="81"/>
  <c r="I96" i="81"/>
  <c r="I70" i="81"/>
  <c r="I157" i="81"/>
  <c r="I21" i="81"/>
  <c r="I247" i="81"/>
  <c r="I122" i="81"/>
  <c r="I248" i="81"/>
  <c r="I215" i="81"/>
  <c r="I216" i="81"/>
  <c r="I47" i="81"/>
  <c r="I176" i="81"/>
  <c r="I274" i="81"/>
  <c r="I156" i="81"/>
  <c r="I76" i="81"/>
  <c r="I194" i="81"/>
  <c r="I166" i="81"/>
  <c r="I180" i="81"/>
  <c r="I67" i="81"/>
  <c r="I161" i="81"/>
  <c r="I111" i="81"/>
  <c r="I160" i="81"/>
  <c r="I104" i="81"/>
  <c r="I129" i="81"/>
  <c r="I54" i="81"/>
  <c r="I83" i="81"/>
  <c r="I197" i="81"/>
  <c r="I24" i="81"/>
  <c r="I75" i="81"/>
  <c r="I95" i="81"/>
  <c r="I20" i="81"/>
  <c r="I35" i="81"/>
  <c r="I142" i="81"/>
  <c r="I255" i="81"/>
  <c r="I41" i="81"/>
  <c r="I209" i="81"/>
  <c r="I42" i="81"/>
  <c r="I145" i="81"/>
  <c r="I159" i="81"/>
  <c r="I227" i="81"/>
  <c r="I60" i="81"/>
  <c r="I214" i="81"/>
  <c r="I117" i="81"/>
  <c r="I237" i="81"/>
  <c r="I189" i="81"/>
  <c r="I225" i="81"/>
  <c r="I32" i="81"/>
  <c r="I134" i="81"/>
  <c r="I49" i="81"/>
  <c r="I81" i="81"/>
  <c r="I119" i="81"/>
  <c r="I114" i="81"/>
  <c r="I99" i="81"/>
  <c r="I249" i="81"/>
  <c r="I85" i="81"/>
  <c r="I265" i="81"/>
  <c r="I187" i="81"/>
  <c r="I52" i="81"/>
  <c r="I205" i="81"/>
  <c r="I116" i="81"/>
  <c r="I131" i="81"/>
  <c r="I135" i="81"/>
  <c r="I239" i="81"/>
  <c r="I128" i="81"/>
  <c r="I270" i="81"/>
  <c r="I154" i="81"/>
  <c r="I39" i="81"/>
  <c r="I203" i="81"/>
  <c r="I267" i="81"/>
  <c r="I151" i="81"/>
  <c r="I74" i="81"/>
  <c r="I218" i="81"/>
  <c r="I198" i="81"/>
  <c r="I264" i="81"/>
  <c r="I193" i="81"/>
  <c r="I164" i="81"/>
  <c r="I84" i="81"/>
  <c r="I242" i="81"/>
  <c r="I258" i="81"/>
  <c r="I105" i="81"/>
  <c r="I234" i="81"/>
  <c r="I183" i="81"/>
  <c r="I162" i="81"/>
  <c r="I40" i="81"/>
  <c r="I200" i="81"/>
  <c r="I26" i="81"/>
  <c r="I152" i="81"/>
  <c r="I177" i="81"/>
  <c r="I178" i="81"/>
  <c r="I36" i="81"/>
  <c r="I188" i="81"/>
  <c r="I220" i="81"/>
  <c r="I261" i="81"/>
  <c r="I94" i="81"/>
  <c r="I124" i="81"/>
  <c r="I25" i="81"/>
  <c r="I217" i="81"/>
  <c r="I149" i="81"/>
  <c r="I229" i="81"/>
  <c r="I86" i="81"/>
  <c r="I182" i="81"/>
  <c r="I277" i="81"/>
  <c r="I23" i="81"/>
  <c r="I79" i="81"/>
  <c r="I185" i="81"/>
  <c r="I43" i="81"/>
  <c r="I269" i="81"/>
  <c r="I121" i="81"/>
  <c r="I191" i="81"/>
  <c r="I98" i="81"/>
  <c r="I233" i="81"/>
  <c r="I92" i="81"/>
  <c r="I190" i="81"/>
  <c r="I155" i="81"/>
  <c r="I78" i="81"/>
  <c r="I147" i="81"/>
  <c r="I206" i="81"/>
  <c r="I53" i="81"/>
  <c r="I80" i="81"/>
  <c r="I137" i="81"/>
  <c r="I257" i="81"/>
  <c r="I55" i="81"/>
  <c r="I213" i="81"/>
  <c r="I230" i="81"/>
  <c r="I146" i="81"/>
  <c r="I168" i="81"/>
  <c r="I71" i="81"/>
  <c r="I28" i="81"/>
  <c r="I108" i="81"/>
  <c r="I143" i="81"/>
  <c r="I33" i="81"/>
  <c r="I48" i="81"/>
  <c r="I150" i="81"/>
  <c r="I238" i="81"/>
  <c r="I240" i="81"/>
  <c r="I22" i="81"/>
  <c r="I210" i="81"/>
  <c r="I266" i="81"/>
  <c r="I175" i="81"/>
  <c r="I224" i="81"/>
  <c r="I173" i="81"/>
  <c r="I250" i="81"/>
  <c r="I181" i="81"/>
  <c r="I252" i="81"/>
  <c r="I103" i="81"/>
  <c r="I256" i="81"/>
  <c r="I254" i="81"/>
  <c r="I246" i="81"/>
  <c r="I126" i="81"/>
  <c r="I260" i="81"/>
  <c r="I73" i="81"/>
  <c r="I68" i="81"/>
  <c r="I263" i="81"/>
  <c r="I201" i="81"/>
  <c r="I44" i="81"/>
  <c r="I222" i="81"/>
  <c r="I59" i="81"/>
  <c r="I228" i="81"/>
  <c r="I272" i="81"/>
  <c r="I251" i="81"/>
  <c r="I138" i="81"/>
  <c r="I276" i="81"/>
  <c r="I91" i="81"/>
  <c r="I163" i="81"/>
  <c r="I88" i="81"/>
  <c r="I226" i="81"/>
  <c r="I82" i="81"/>
  <c r="I202" i="81"/>
  <c r="I199" i="81"/>
  <c r="I58" i="81"/>
  <c r="I101" i="81"/>
  <c r="I72" i="81"/>
  <c r="I90" i="81"/>
  <c r="I275" i="81"/>
  <c r="I66" i="81"/>
  <c r="I207" i="81"/>
  <c r="I208" i="81"/>
  <c r="I127" i="81"/>
  <c r="I170" i="81"/>
  <c r="I212" i="81"/>
  <c r="I223" i="81"/>
  <c r="I56" i="81"/>
  <c r="I139" i="81"/>
  <c r="I97" i="81"/>
  <c r="I235" i="81"/>
  <c r="I236" i="81"/>
  <c r="I51" i="81"/>
  <c r="I153" i="81"/>
  <c r="I141" i="81"/>
  <c r="I179" i="81"/>
  <c r="I62" i="81"/>
  <c r="I87" i="81"/>
  <c r="I244" i="81"/>
  <c r="I245" i="81"/>
  <c r="I169" i="81"/>
  <c r="I109" i="81"/>
  <c r="I37" i="81"/>
  <c r="I27" i="81"/>
  <c r="I253" i="81"/>
  <c r="I31" i="81"/>
  <c r="I57" i="81"/>
  <c r="I186" i="81"/>
  <c r="I130" i="81"/>
  <c r="I100" i="81"/>
  <c r="I158" i="81"/>
  <c r="I273" i="81"/>
  <c r="I192" i="81"/>
  <c r="I64" i="81"/>
  <c r="I221" i="81"/>
  <c r="I118" i="81"/>
  <c r="I195" i="81"/>
  <c r="I132" i="81"/>
  <c r="I50" i="81"/>
  <c r="I219" i="81"/>
  <c r="I102" i="81"/>
  <c r="I115" i="81"/>
  <c r="I93" i="81"/>
  <c r="I133" i="81"/>
  <c r="I148" i="81"/>
  <c r="I120" i="81"/>
  <c r="I167" i="81"/>
  <c r="I278" i="81"/>
  <c r="I196" i="81"/>
  <c r="I69" i="81"/>
  <c r="I231" i="81"/>
  <c r="I30" i="81"/>
  <c r="I241" i="81"/>
  <c r="I19" i="81"/>
  <c r="I113" i="81"/>
  <c r="I243" i="81"/>
  <c r="I171" i="8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AE151" i="83" l="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T19" i="81" s="1"/>
  <c r="V19" i="81" s="1"/>
  <c r="Z19" i="81" s="1"/>
  <c r="K20" i="81" s="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51" i="85"/>
  <c r="R169" i="85"/>
  <c r="X19" i="81" l="1"/>
  <c r="AD19" i="81"/>
  <c r="F20" i="26" s="1"/>
  <c r="K19" i="83"/>
  <c r="AT19" i="83" s="1"/>
  <c r="AT19" i="84"/>
  <c r="T19" i="80"/>
  <c r="V19" i="80" s="1"/>
  <c r="Z19" i="80" s="1"/>
  <c r="K20" i="80" s="1"/>
  <c r="AV19" i="83"/>
  <c r="AX19" i="83" s="1"/>
  <c r="AX17" i="83" s="1"/>
  <c r="R19" i="80"/>
  <c r="AI19" i="83"/>
  <c r="AL19" i="83" s="1"/>
  <c r="AM19" i="83" s="1"/>
  <c r="AG20" i="83" s="1"/>
  <c r="AL19" i="84"/>
  <c r="AM19" i="84" s="1"/>
  <c r="AG20" i="84" s="1"/>
  <c r="M20" i="81"/>
  <c r="U20" i="81"/>
  <c r="AS19" i="84"/>
  <c r="G19" i="84" s="1"/>
  <c r="I19" i="84" s="1"/>
  <c r="N19" i="84"/>
  <c r="N19" i="83"/>
  <c r="X19" i="80" l="1"/>
  <c r="AD19" i="80"/>
  <c r="G20" i="26" s="1"/>
  <c r="K20" i="26" s="1"/>
  <c r="AS19" i="83"/>
  <c r="G19" i="83" s="1"/>
  <c r="I19" i="83" s="1"/>
  <c r="O19" i="83" s="1"/>
  <c r="U20" i="80"/>
  <c r="M20" i="80"/>
  <c r="AY19" i="83"/>
  <c r="AO19" i="83"/>
  <c r="AO19" i="84"/>
  <c r="AY19" i="84"/>
  <c r="N20" i="81"/>
  <c r="T20" i="81" s="1"/>
  <c r="V20" i="81" s="1"/>
  <c r="AC20" i="81"/>
  <c r="P20" i="81"/>
  <c r="O19" i="84"/>
  <c r="AK20" i="84"/>
  <c r="AH20" i="84"/>
  <c r="AH20" i="83"/>
  <c r="AK20" i="83"/>
  <c r="S19" i="85" l="1"/>
  <c r="G19" i="85" s="1"/>
  <c r="N19" i="85" s="1"/>
  <c r="P20" i="80"/>
  <c r="AC20" i="80"/>
  <c r="N20" i="80"/>
  <c r="T20" i="80" s="1"/>
  <c r="V20" i="80" s="1"/>
  <c r="AD20" i="81"/>
  <c r="F21" i="26" s="1"/>
  <c r="Z20" i="81"/>
  <c r="K21" i="81" s="1"/>
  <c r="R20" i="81"/>
  <c r="X20" i="81" s="1"/>
  <c r="AV20" i="84"/>
  <c r="AX20" i="84" s="1"/>
  <c r="AI20" i="84"/>
  <c r="AL20" i="84" s="1"/>
  <c r="AJ20" i="84"/>
  <c r="AI20" i="83"/>
  <c r="AL20" i="83" s="1"/>
  <c r="AJ20" i="83"/>
  <c r="AV20" i="83"/>
  <c r="AX20" i="83" s="1"/>
  <c r="D20" i="28" l="1"/>
  <c r="L19" i="85"/>
  <c r="G20" i="28" s="1"/>
  <c r="R20" i="80"/>
  <c r="X20" i="80" s="1"/>
  <c r="AD20" i="80"/>
  <c r="G21" i="26" s="1"/>
  <c r="K21" i="26" s="1"/>
  <c r="Z20" i="80"/>
  <c r="K21" i="80" s="1"/>
  <c r="M21" i="81"/>
  <c r="U21" i="81"/>
  <c r="AY20" i="84"/>
  <c r="AO20" i="84"/>
  <c r="AM20" i="84"/>
  <c r="AG21" i="84" s="1"/>
  <c r="AO20" i="83"/>
  <c r="AY20" i="83"/>
  <c r="AM20" i="83"/>
  <c r="AG21" i="83" s="1"/>
  <c r="I20" i="28"/>
  <c r="P20" i="85"/>
  <c r="F20" i="85" s="1"/>
  <c r="U21" i="80" l="1"/>
  <c r="M21" i="80"/>
  <c r="N21" i="81"/>
  <c r="T21" i="81" s="1"/>
  <c r="V21" i="81" s="1"/>
  <c r="AC21" i="81"/>
  <c r="P21" i="81"/>
  <c r="H20" i="85"/>
  <c r="C21" i="28"/>
  <c r="AH21" i="84"/>
  <c r="AK21" i="84"/>
  <c r="AH21" i="83"/>
  <c r="AK21" i="83"/>
  <c r="AC21" i="80" l="1"/>
  <c r="N21" i="80"/>
  <c r="T21" i="80" s="1"/>
  <c r="V21" i="80" s="1"/>
  <c r="P21" i="80"/>
  <c r="AD21" i="81"/>
  <c r="F22" i="26" s="1"/>
  <c r="Z21" i="81"/>
  <c r="K22" i="81" s="1"/>
  <c r="R21" i="81"/>
  <c r="X21" i="81" s="1"/>
  <c r="J20" i="85"/>
  <c r="T20" i="85"/>
  <c r="AJ21" i="83"/>
  <c r="AI21" i="83"/>
  <c r="AL21" i="83" s="1"/>
  <c r="AV21" i="83"/>
  <c r="AX21" i="83" s="1"/>
  <c r="AJ21" i="84"/>
  <c r="AI21" i="84"/>
  <c r="AL21" i="84" s="1"/>
  <c r="AV21" i="84"/>
  <c r="AX21" i="84" s="1"/>
  <c r="AD21" i="80" l="1"/>
  <c r="G22" i="26" s="1"/>
  <c r="K22" i="26" s="1"/>
  <c r="Z21" i="80"/>
  <c r="K22" i="80" s="1"/>
  <c r="R21" i="80"/>
  <c r="X21" i="80" s="1"/>
  <c r="M22" i="81"/>
  <c r="U22" i="81"/>
  <c r="AO21" i="84"/>
  <c r="AY21" i="84"/>
  <c r="AM21" i="84"/>
  <c r="AG22" i="84" s="1"/>
  <c r="AO21" i="83"/>
  <c r="AY21" i="83"/>
  <c r="AM21" i="83"/>
  <c r="AG22" i="83" s="1"/>
  <c r="K20" i="85"/>
  <c r="E21" i="28"/>
  <c r="U22" i="80" l="1"/>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T19" i="83" l="1"/>
  <c r="AA19" i="85" s="1"/>
  <c r="AD19" i="85" s="1"/>
  <c r="P19" i="84" s="1"/>
  <c r="T19" i="84" s="1"/>
  <c r="U19" i="84" s="1"/>
  <c r="AR20" i="83"/>
  <c r="Q19" i="83"/>
  <c r="B34" i="83"/>
  <c r="U19" i="83" l="1"/>
  <c r="AR21" i="83"/>
  <c r="F20" i="83"/>
  <c r="AR20" i="84"/>
  <c r="Q19" i="84"/>
  <c r="P17" i="83"/>
  <c r="B59" i="83"/>
  <c r="F20" i="84" l="1"/>
  <c r="J20" i="83"/>
  <c r="H20" i="83"/>
  <c r="AP20" i="83"/>
  <c r="AQ20" i="83"/>
  <c r="AR22" i="83"/>
  <c r="K20" i="83" l="1"/>
  <c r="M20" i="83"/>
  <c r="AR23" i="83"/>
  <c r="J20" i="84"/>
  <c r="H20" i="84"/>
  <c r="AQ20" i="84"/>
  <c r="AP20" i="84"/>
  <c r="AR24" i="83" l="1"/>
  <c r="N20" i="83"/>
  <c r="K20" i="84"/>
  <c r="M20" i="84"/>
  <c r="AT20" i="83"/>
  <c r="AS20" i="83"/>
  <c r="G20" i="83" s="1"/>
  <c r="I20" i="83" s="1"/>
  <c r="O20" i="83" l="1"/>
  <c r="T20" i="83"/>
  <c r="Q20" i="83"/>
  <c r="N20" i="84"/>
  <c r="AR25" i="83"/>
  <c r="AT20" i="84"/>
  <c r="AS20" i="84"/>
  <c r="G20" i="84" s="1"/>
  <c r="I20" i="84" s="1"/>
  <c r="F21" i="83" l="1"/>
  <c r="S20" i="85"/>
  <c r="G20" i="85" s="1"/>
  <c r="O20" i="84"/>
  <c r="AA20" i="85"/>
  <c r="AD20" i="85" s="1"/>
  <c r="P20" i="84" s="1"/>
  <c r="U20" i="83"/>
  <c r="AR26" i="83"/>
  <c r="AR21" i="84" l="1"/>
  <c r="Q20" i="84"/>
  <c r="N20" i="85"/>
  <c r="L20" i="85"/>
  <c r="G21" i="28" s="1"/>
  <c r="D21" i="28"/>
  <c r="T20" i="84"/>
  <c r="AR27" i="83"/>
  <c r="H21" i="83"/>
  <c r="J21" i="83"/>
  <c r="AP21" i="83"/>
  <c r="AQ21" i="83"/>
  <c r="U20" i="84" l="1"/>
  <c r="P21" i="85"/>
  <c r="F21" i="85" s="1"/>
  <c r="I21" i="28"/>
  <c r="F21" i="84"/>
  <c r="K21" i="83"/>
  <c r="M21" i="83"/>
  <c r="AR28" i="83"/>
  <c r="C22" i="28" l="1"/>
  <c r="H21" i="85"/>
  <c r="J21" i="84"/>
  <c r="H21" i="84"/>
  <c r="AQ21" i="84"/>
  <c r="AP21" i="84"/>
  <c r="AR29" i="83"/>
  <c r="N21" i="83"/>
  <c r="AT21" i="83"/>
  <c r="AS21" i="83"/>
  <c r="G21" i="83" s="1"/>
  <c r="I21" i="83" s="1"/>
  <c r="O21" i="83" l="1"/>
  <c r="T21" i="83"/>
  <c r="Q21" i="83"/>
  <c r="AR30" i="83"/>
  <c r="J21" i="85"/>
  <c r="T21" i="85"/>
  <c r="K21" i="84"/>
  <c r="M21" i="84"/>
  <c r="N21" i="84" l="1"/>
  <c r="F22" i="83"/>
  <c r="AT21" i="84"/>
  <c r="AS21" i="84"/>
  <c r="G21" i="84" s="1"/>
  <c r="I21" i="84" s="1"/>
  <c r="E22" i="28"/>
  <c r="K21" i="85"/>
  <c r="AA21" i="85"/>
  <c r="AD21" i="85" s="1"/>
  <c r="P21" i="84" s="1"/>
  <c r="U21" i="83"/>
  <c r="H22" i="83" l="1"/>
  <c r="J22" i="83"/>
  <c r="AQ22" i="83"/>
  <c r="AP22" i="83"/>
  <c r="AR22" i="84"/>
  <c r="S21" i="85"/>
  <c r="G21" i="85" s="1"/>
  <c r="O21" i="84"/>
  <c r="Q21" i="84"/>
  <c r="T21" i="84"/>
  <c r="F22" i="28"/>
  <c r="U21" i="84" l="1"/>
  <c r="L21" i="85"/>
  <c r="G22" i="28" s="1"/>
  <c r="D22" i="28"/>
  <c r="N21" i="85"/>
  <c r="F22" i="84"/>
  <c r="K22" i="83"/>
  <c r="M22" i="83"/>
  <c r="AT22" i="83" l="1"/>
  <c r="AS22" i="83"/>
  <c r="G22" i="83" s="1"/>
  <c r="I22" i="83" s="1"/>
  <c r="P22" i="85"/>
  <c r="F22" i="85" s="1"/>
  <c r="I22" i="28"/>
  <c r="N22" i="83"/>
  <c r="H22" i="84"/>
  <c r="J22" i="84"/>
  <c r="AQ22" i="84"/>
  <c r="AP22" i="84"/>
  <c r="K22" i="84" l="1"/>
  <c r="M22" i="84"/>
  <c r="O22" i="83"/>
  <c r="T22" i="83"/>
  <c r="Q22" i="83"/>
  <c r="C23" i="28"/>
  <c r="H22" i="85"/>
  <c r="F23" i="83" l="1"/>
  <c r="T22" i="85"/>
  <c r="J22" i="85"/>
  <c r="AA22" i="85"/>
  <c r="AD22" i="85" s="1"/>
  <c r="P22" i="84" s="1"/>
  <c r="U22" i="83"/>
  <c r="N22" i="84"/>
  <c r="AT22" i="84"/>
  <c r="AS22" i="84"/>
  <c r="G22" i="84" s="1"/>
  <c r="I22" i="84" s="1"/>
  <c r="S22" i="85" l="1"/>
  <c r="G22" i="85" s="1"/>
  <c r="O22" i="84"/>
  <c r="T22" i="84"/>
  <c r="Q22" i="84"/>
  <c r="E23" i="28"/>
  <c r="K22" i="85"/>
  <c r="AR23" i="84"/>
  <c r="J23" i="83"/>
  <c r="H23" i="83"/>
  <c r="AP23" i="83"/>
  <c r="AQ23" i="83"/>
  <c r="K23" i="83" l="1"/>
  <c r="M23" i="83"/>
  <c r="F23" i="28"/>
  <c r="U22" i="84"/>
  <c r="F23" i="84"/>
  <c r="D23" i="28"/>
  <c r="L22" i="85"/>
  <c r="G23" i="28" s="1"/>
  <c r="N22" i="85"/>
  <c r="P23" i="85" l="1"/>
  <c r="F23" i="85" s="1"/>
  <c r="I23" i="28"/>
  <c r="N23" i="83"/>
  <c r="J23" i="84"/>
  <c r="H23" i="84"/>
  <c r="AP23" i="84"/>
  <c r="AQ23" i="84"/>
  <c r="AT23" i="83"/>
  <c r="AS23" i="83"/>
  <c r="G23" i="83" s="1"/>
  <c r="I23" i="83" s="1"/>
  <c r="C24" i="28" l="1"/>
  <c r="H23" i="85"/>
  <c r="K23" i="84"/>
  <c r="M23" i="84"/>
  <c r="O23" i="83"/>
  <c r="T23" i="83"/>
  <c r="Q23" i="83"/>
  <c r="AA23" i="85" l="1"/>
  <c r="AD23" i="85" s="1"/>
  <c r="P23" i="84" s="1"/>
  <c r="U23" i="83"/>
  <c r="J23" i="85"/>
  <c r="T23" i="85"/>
  <c r="AT23" i="84"/>
  <c r="AS23" i="84"/>
  <c r="G23" i="84" s="1"/>
  <c r="I23" i="84" s="1"/>
  <c r="F24" i="83"/>
  <c r="N23" i="84"/>
  <c r="S23" i="85" l="1"/>
  <c r="G23" i="85" s="1"/>
  <c r="O23" i="84"/>
  <c r="T23" i="84"/>
  <c r="Q23" i="84"/>
  <c r="K23" i="85"/>
  <c r="E24" i="28"/>
  <c r="J24" i="83"/>
  <c r="H24" i="83"/>
  <c r="AP24" i="83"/>
  <c r="AQ24" i="83"/>
  <c r="AR24" i="84"/>
  <c r="U23" i="84" l="1"/>
  <c r="K24" i="83"/>
  <c r="M24" i="83"/>
  <c r="F24" i="28"/>
  <c r="F24" i="84"/>
  <c r="D24" i="28"/>
  <c r="L23" i="85"/>
  <c r="G24" i="28" s="1"/>
  <c r="N23" i="85"/>
  <c r="P24" i="85" l="1"/>
  <c r="F24" i="85" s="1"/>
  <c r="I24" i="28"/>
  <c r="N24" i="83"/>
  <c r="J24" i="84"/>
  <c r="H24" i="84"/>
  <c r="AQ24" i="84"/>
  <c r="AP24" i="84"/>
  <c r="AT24" i="83"/>
  <c r="AS24" i="83"/>
  <c r="G24" i="83" s="1"/>
  <c r="I24" i="83" s="1"/>
  <c r="K24" i="84" l="1"/>
  <c r="M24" i="84"/>
  <c r="O24" i="83"/>
  <c r="Q24" i="83"/>
  <c r="F25" i="83" s="1"/>
  <c r="T24" i="83"/>
  <c r="C25" i="28"/>
  <c r="H24" i="85"/>
  <c r="H25" i="83" l="1"/>
  <c r="J25" i="83"/>
  <c r="AP25" i="83"/>
  <c r="AQ25" i="83"/>
  <c r="AT24" i="84"/>
  <c r="AS24" i="84"/>
  <c r="G24" i="84" s="1"/>
  <c r="I24" i="84" s="1"/>
  <c r="AA24" i="85"/>
  <c r="AD24" i="85" s="1"/>
  <c r="P24" i="84" s="1"/>
  <c r="AR25" i="84" s="1"/>
  <c r="U24" i="83"/>
  <c r="N24" i="84"/>
  <c r="J24" i="85"/>
  <c r="T24" i="85"/>
  <c r="S24" i="85" l="1"/>
  <c r="G24" i="85" s="1"/>
  <c r="O24" i="84"/>
  <c r="T24" i="84"/>
  <c r="U24" i="84" s="1"/>
  <c r="Q24" i="84"/>
  <c r="F25" i="84" s="1"/>
  <c r="K25" i="83"/>
  <c r="M25" i="83"/>
  <c r="N25" i="83" s="1"/>
  <c r="E25" i="28"/>
  <c r="K24" i="85"/>
  <c r="F25" i="28" l="1"/>
  <c r="J25" i="84"/>
  <c r="H25" i="84"/>
  <c r="AQ25" i="84"/>
  <c r="AP25" i="84"/>
  <c r="AT25" i="83"/>
  <c r="AS25" i="83"/>
  <c r="G25" i="83" s="1"/>
  <c r="I25" i="83" s="1"/>
  <c r="D25" i="28"/>
  <c r="L24" i="85"/>
  <c r="G25" i="28" s="1"/>
  <c r="N24" i="85"/>
  <c r="K25" i="84" l="1"/>
  <c r="M25" i="84"/>
  <c r="N25" i="84" s="1"/>
  <c r="P25" i="85"/>
  <c r="F25" i="85" s="1"/>
  <c r="I25" i="28"/>
  <c r="O25" i="83"/>
  <c r="Q25" i="83"/>
  <c r="F26" i="83" s="1"/>
  <c r="T25" i="83"/>
  <c r="C26" i="28" l="1"/>
  <c r="H25" i="85"/>
  <c r="H26" i="83"/>
  <c r="J26" i="83"/>
  <c r="AQ26" i="83"/>
  <c r="AP26" i="83"/>
  <c r="AA25" i="85"/>
  <c r="AD25" i="85" s="1"/>
  <c r="P25" i="84" s="1"/>
  <c r="AR26" i="84" s="1"/>
  <c r="U25" i="83"/>
  <c r="AT25" i="84"/>
  <c r="AS25" i="84"/>
  <c r="G25" i="84" s="1"/>
  <c r="I25" i="84" s="1"/>
  <c r="S25" i="85" l="1"/>
  <c r="G25" i="85" s="1"/>
  <c r="O25" i="84"/>
  <c r="Q25" i="84"/>
  <c r="F26" i="84" s="1"/>
  <c r="T25" i="84"/>
  <c r="U25" i="84" s="1"/>
  <c r="K26" i="83"/>
  <c r="M26" i="83"/>
  <c r="N26" i="83" s="1"/>
  <c r="J25" i="85"/>
  <c r="T25" i="85"/>
  <c r="H26" i="84" l="1"/>
  <c r="J26" i="84"/>
  <c r="AP26" i="84"/>
  <c r="AQ26" i="84"/>
  <c r="E26" i="28"/>
  <c r="K25" i="85"/>
  <c r="AT26" i="83"/>
  <c r="AS26" i="83"/>
  <c r="G26" i="83" s="1"/>
  <c r="I26" i="83" s="1"/>
  <c r="D26" i="28"/>
  <c r="L25" i="85"/>
  <c r="G26" i="28" s="1"/>
  <c r="N25" i="85"/>
  <c r="F26" i="28" l="1"/>
  <c r="O26" i="83"/>
  <c r="Q26" i="83"/>
  <c r="F27" i="83" s="1"/>
  <c r="T26" i="83"/>
  <c r="K26" i="84"/>
  <c r="M26" i="84"/>
  <c r="N26" i="84" s="1"/>
  <c r="P26" i="85"/>
  <c r="F26" i="85" s="1"/>
  <c r="I26" i="28"/>
  <c r="C27" i="28" l="1"/>
  <c r="H26" i="85"/>
  <c r="J27" i="83"/>
  <c r="H27" i="83"/>
  <c r="AP27" i="83"/>
  <c r="AQ27" i="83"/>
  <c r="AT26" i="84"/>
  <c r="AS26" i="84"/>
  <c r="G26" i="84" s="1"/>
  <c r="I26" i="84" s="1"/>
  <c r="AA26" i="85"/>
  <c r="AD26" i="85" s="1"/>
  <c r="P26" i="84" s="1"/>
  <c r="AR27" i="84" s="1"/>
  <c r="U26" i="83"/>
  <c r="S26" i="85" l="1"/>
  <c r="G26" i="85" s="1"/>
  <c r="O26" i="84"/>
  <c r="Q26" i="84"/>
  <c r="F27" i="84" s="1"/>
  <c r="T26" i="84"/>
  <c r="U26" i="84" s="1"/>
  <c r="J26" i="85"/>
  <c r="T26" i="85"/>
  <c r="K27" i="83"/>
  <c r="M27" i="83"/>
  <c r="N27" i="83" s="1"/>
  <c r="AT27" i="83" l="1"/>
  <c r="AS27" i="83"/>
  <c r="G27" i="83" s="1"/>
  <c r="I27" i="83" s="1"/>
  <c r="J27" i="84"/>
  <c r="H27" i="84"/>
  <c r="AP27" i="84"/>
  <c r="AQ27" i="84"/>
  <c r="K26" i="85"/>
  <c r="F27" i="28" s="1"/>
  <c r="E27" i="28"/>
  <c r="D27" i="28"/>
  <c r="N26" i="85"/>
  <c r="L26" i="85" l="1"/>
  <c r="G27" i="28" s="1"/>
  <c r="K27" i="84"/>
  <c r="M27" i="84"/>
  <c r="N27" i="84" s="1"/>
  <c r="O27" i="83"/>
  <c r="T27" i="83"/>
  <c r="Q27" i="83"/>
  <c r="F28" i="83" s="1"/>
  <c r="P27" i="85"/>
  <c r="F27" i="85" s="1"/>
  <c r="I27" i="28"/>
  <c r="C28" i="28" l="1"/>
  <c r="H27" i="85"/>
  <c r="AA27" i="85"/>
  <c r="AD27" i="85" s="1"/>
  <c r="P27" i="84" s="1"/>
  <c r="AR28" i="84" s="1"/>
  <c r="U27" i="83"/>
  <c r="J28" i="83"/>
  <c r="H28" i="83"/>
  <c r="AQ28" i="83"/>
  <c r="AP28" i="83"/>
  <c r="AT27" i="84"/>
  <c r="AS27" i="84"/>
  <c r="G27" i="84" s="1"/>
  <c r="I27" i="84" s="1"/>
  <c r="K28" i="83" l="1"/>
  <c r="M28" i="83"/>
  <c r="N28" i="83" s="1"/>
  <c r="J27" i="85"/>
  <c r="T27" i="85"/>
  <c r="S27" i="85"/>
  <c r="G27" i="85" s="1"/>
  <c r="O27" i="84"/>
  <c r="T27" i="84"/>
  <c r="U27" i="84" s="1"/>
  <c r="Q27" i="84"/>
  <c r="F28" i="84" s="1"/>
  <c r="K27" i="85" l="1"/>
  <c r="F28" i="28" s="1"/>
  <c r="E28" i="28"/>
  <c r="D28" i="28"/>
  <c r="N27" i="85"/>
  <c r="AT28" i="83"/>
  <c r="AS28" i="83"/>
  <c r="G28" i="83" s="1"/>
  <c r="I28" i="83" s="1"/>
  <c r="J28" i="84"/>
  <c r="H28" i="84"/>
  <c r="AP28" i="84"/>
  <c r="AQ28" i="84"/>
  <c r="L27" i="85" l="1"/>
  <c r="G28" i="28" s="1"/>
  <c r="K28" i="84"/>
  <c r="M28" i="84"/>
  <c r="N28" i="84" s="1"/>
  <c r="O28" i="83"/>
  <c r="T28" i="83"/>
  <c r="Q28" i="83"/>
  <c r="F29" i="83" s="1"/>
  <c r="P28" i="85"/>
  <c r="F28" i="85"/>
  <c r="I28" i="28"/>
  <c r="H29" i="83" l="1"/>
  <c r="J29" i="83"/>
  <c r="AP29" i="83"/>
  <c r="AQ29" i="83"/>
  <c r="AT28" i="84"/>
  <c r="AS28" i="84"/>
  <c r="G28" i="84" s="1"/>
  <c r="I28" i="84" s="1"/>
  <c r="AA28" i="85"/>
  <c r="AD28" i="85" s="1"/>
  <c r="P28" i="84" s="1"/>
  <c r="AR29" i="84" s="1"/>
  <c r="U28" i="83"/>
  <c r="C29" i="28"/>
  <c r="H28" i="85"/>
  <c r="S28" i="85" l="1"/>
  <c r="G28" i="85" s="1"/>
  <c r="O28" i="84"/>
  <c r="Q28" i="84"/>
  <c r="F29" i="84" s="1"/>
  <c r="T28" i="84"/>
  <c r="U28" i="84" s="1"/>
  <c r="K29" i="83"/>
  <c r="M29" i="83"/>
  <c r="N29" i="83" s="1"/>
  <c r="J28" i="85"/>
  <c r="T28" i="85"/>
  <c r="E29" i="28" l="1"/>
  <c r="K28" i="85"/>
  <c r="F29" i="28" s="1"/>
  <c r="J29" i="84"/>
  <c r="H29" i="84"/>
  <c r="AQ29" i="84"/>
  <c r="AP29" i="84"/>
  <c r="AT29" i="83"/>
  <c r="AS29" i="83"/>
  <c r="G29" i="83" s="1"/>
  <c r="I29" i="83" s="1"/>
  <c r="D29" i="28"/>
  <c r="L28" i="85"/>
  <c r="G29" i="28" s="1"/>
  <c r="N28" i="85"/>
  <c r="K29" i="84" l="1"/>
  <c r="M29" i="84"/>
  <c r="N29" i="84" s="1"/>
  <c r="O29" i="83"/>
  <c r="Q29" i="83"/>
  <c r="F30" i="83" s="1"/>
  <c r="T29" i="83"/>
  <c r="P29" i="85"/>
  <c r="F29" i="85" s="1"/>
  <c r="I29" i="28"/>
  <c r="C30" i="28" l="1"/>
  <c r="H29" i="85"/>
  <c r="H30" i="83"/>
  <c r="J30" i="83"/>
  <c r="AQ30" i="83"/>
  <c r="AP30" i="83"/>
  <c r="AA29" i="85"/>
  <c r="AD29" i="85" s="1"/>
  <c r="P29" i="84" s="1"/>
  <c r="AR30" i="84" s="1"/>
  <c r="U29" i="83"/>
  <c r="AT29" i="84"/>
  <c r="AS29" i="84"/>
  <c r="G29" i="84" s="1"/>
  <c r="I29" i="84" s="1"/>
  <c r="J29" i="85" l="1"/>
  <c r="T29" i="85"/>
  <c r="S29" i="85"/>
  <c r="G29" i="85" s="1"/>
  <c r="O29" i="84"/>
  <c r="Q29" i="84"/>
  <c r="F30" i="84" s="1"/>
  <c r="T29" i="84"/>
  <c r="U29" i="84" s="1"/>
  <c r="K30" i="83"/>
  <c r="M30" i="83"/>
  <c r="N30" i="83" s="1"/>
  <c r="AT30" i="83" l="1"/>
  <c r="AS30" i="83"/>
  <c r="G30" i="83" s="1"/>
  <c r="I30" i="83" s="1"/>
  <c r="H30" i="84"/>
  <c r="J30" i="84"/>
  <c r="AP30" i="84"/>
  <c r="AQ30" i="84"/>
  <c r="D30" i="28"/>
  <c r="L29" i="85"/>
  <c r="G30" i="28" s="1"/>
  <c r="N29" i="85"/>
  <c r="E30" i="28"/>
  <c r="K29" i="85"/>
  <c r="F30" i="28" s="1"/>
  <c r="P30" i="85" l="1"/>
  <c r="F30" i="85" s="1"/>
  <c r="I30" i="28"/>
  <c r="O30" i="83"/>
  <c r="Q30" i="83"/>
  <c r="F31" i="83" s="1"/>
  <c r="T30" i="83"/>
  <c r="K30" i="84"/>
  <c r="M30" i="84"/>
  <c r="N30" i="84" s="1"/>
  <c r="AT30" i="84" l="1"/>
  <c r="AS30" i="84"/>
  <c r="G30" i="84" s="1"/>
  <c r="I30" i="84" s="1"/>
  <c r="AA30" i="85"/>
  <c r="AD30" i="85" s="1"/>
  <c r="P30" i="84" s="1"/>
  <c r="U30" i="83"/>
  <c r="V31" i="83" s="1"/>
  <c r="C31" i="28"/>
  <c r="H30" i="85"/>
  <c r="AP31" i="83"/>
  <c r="AQ31" i="83"/>
  <c r="H31" i="83"/>
  <c r="J31" i="83"/>
  <c r="AR31" i="83" l="1"/>
  <c r="T30" i="85"/>
  <c r="J30" i="85"/>
  <c r="S30" i="85"/>
  <c r="G30" i="85" s="1"/>
  <c r="O30" i="84"/>
  <c r="T30" i="84"/>
  <c r="U30" i="84" s="1"/>
  <c r="V31" i="84" s="1"/>
  <c r="Q30" i="84"/>
  <c r="F31" i="84" s="1"/>
  <c r="K31" i="83"/>
  <c r="AT31" i="83" s="1"/>
  <c r="M31" i="83"/>
  <c r="N31" i="83" s="1"/>
  <c r="AS31" i="83" l="1"/>
  <c r="G31" i="83" s="1"/>
  <c r="I31" i="83" s="1"/>
  <c r="T31" i="83" s="1"/>
  <c r="AR32" i="83"/>
  <c r="AR33" i="83" s="1"/>
  <c r="J31" i="84"/>
  <c r="H31" i="84"/>
  <c r="AQ31" i="84"/>
  <c r="AP31" i="84"/>
  <c r="K30" i="85"/>
  <c r="F31" i="28" s="1"/>
  <c r="E31" i="28"/>
  <c r="D31" i="28"/>
  <c r="N30" i="85"/>
  <c r="Q31" i="83" l="1"/>
  <c r="F32" i="83" s="1"/>
  <c r="AQ32" i="83" s="1"/>
  <c r="O31" i="83"/>
  <c r="AR31" i="84"/>
  <c r="AR34" i="83"/>
  <c r="AA31" i="85"/>
  <c r="AD31" i="85" s="1"/>
  <c r="P31" i="84" s="1"/>
  <c r="U31" i="83"/>
  <c r="P31" i="85"/>
  <c r="F31" i="85" s="1"/>
  <c r="I31" i="28"/>
  <c r="L30" i="85"/>
  <c r="G31" i="28" s="1"/>
  <c r="K31" i="84"/>
  <c r="AT31" i="84" s="1"/>
  <c r="M31" i="84"/>
  <c r="N31" i="84" s="1"/>
  <c r="AP32" i="83" l="1"/>
  <c r="H32" i="83"/>
  <c r="J32" i="83"/>
  <c r="M32" i="83" s="1"/>
  <c r="N32" i="83" s="1"/>
  <c r="AR32" i="84"/>
  <c r="C32" i="28"/>
  <c r="H31" i="85"/>
  <c r="AS31" i="84"/>
  <c r="G31" i="84" s="1"/>
  <c r="I31" i="84" s="1"/>
  <c r="K32" i="83"/>
  <c r="AR35" i="83"/>
  <c r="S31" i="85" l="1"/>
  <c r="G31" i="85" s="1"/>
  <c r="O31" i="84"/>
  <c r="T31" i="84"/>
  <c r="U31" i="84" s="1"/>
  <c r="Q31" i="84"/>
  <c r="F32" i="84" s="1"/>
  <c r="J31" i="85"/>
  <c r="T31" i="85"/>
  <c r="AT32" i="83"/>
  <c r="AS32" i="83"/>
  <c r="G32" i="83" s="1"/>
  <c r="I32" i="83" s="1"/>
  <c r="AR36" i="83"/>
  <c r="O32" i="83" l="1"/>
  <c r="T32" i="83"/>
  <c r="Q32" i="83"/>
  <c r="F33" i="83" s="1"/>
  <c r="J32" i="84"/>
  <c r="H32" i="84"/>
  <c r="AQ32" i="84"/>
  <c r="AP32" i="84"/>
  <c r="AR37" i="83"/>
  <c r="K31" i="85"/>
  <c r="F32" i="28" s="1"/>
  <c r="E32" i="28"/>
  <c r="D32" i="28"/>
  <c r="N31" i="85"/>
  <c r="AR38" i="83" l="1"/>
  <c r="J33" i="83"/>
  <c r="H33" i="83"/>
  <c r="AQ33" i="83"/>
  <c r="AP33" i="83"/>
  <c r="P32" i="85"/>
  <c r="F32" i="85" s="1"/>
  <c r="I32" i="28"/>
  <c r="L31" i="85"/>
  <c r="G32" i="28" s="1"/>
  <c r="AA32" i="85"/>
  <c r="AD32" i="85" s="1"/>
  <c r="P32" i="84" s="1"/>
  <c r="AR33" i="84" s="1"/>
  <c r="U32" i="83"/>
  <c r="K32" i="84"/>
  <c r="M32" i="84"/>
  <c r="N32" i="84" s="1"/>
  <c r="K33" i="83" l="1"/>
  <c r="M33" i="83"/>
  <c r="N33" i="83" s="1"/>
  <c r="AT32" i="84"/>
  <c r="AS32" i="84"/>
  <c r="G32" i="84" s="1"/>
  <c r="I32" i="84" s="1"/>
  <c r="C33" i="28"/>
  <c r="H32" i="85"/>
  <c r="AR39" i="83"/>
  <c r="S32" i="85" l="1"/>
  <c r="G32" i="85" s="1"/>
  <c r="O32" i="84"/>
  <c r="Q32" i="84"/>
  <c r="F33" i="84" s="1"/>
  <c r="T32" i="84"/>
  <c r="U32" i="84" s="1"/>
  <c r="J32" i="85"/>
  <c r="T32" i="85"/>
  <c r="AR40" i="83"/>
  <c r="AT33" i="83"/>
  <c r="AS33" i="83"/>
  <c r="G33" i="83" s="1"/>
  <c r="I33" i="83" s="1"/>
  <c r="J33" i="84" l="1"/>
  <c r="H33" i="84"/>
  <c r="AQ33" i="84"/>
  <c r="AP33" i="84"/>
  <c r="O33" i="83"/>
  <c r="T33" i="83"/>
  <c r="Q33" i="83"/>
  <c r="F34" i="83" s="1"/>
  <c r="AR41" i="83"/>
  <c r="K32" i="85"/>
  <c r="F33" i="28" s="1"/>
  <c r="E33" i="28"/>
  <c r="D33" i="28"/>
  <c r="N32" i="85"/>
  <c r="P33" i="85" l="1"/>
  <c r="F33" i="85" s="1"/>
  <c r="I33" i="28"/>
  <c r="AA33" i="85"/>
  <c r="AD33" i="85" s="1"/>
  <c r="P33" i="84" s="1"/>
  <c r="AR34" i="84" s="1"/>
  <c r="U33" i="83"/>
  <c r="L32" i="85"/>
  <c r="G33" i="28" s="1"/>
  <c r="AR42" i="83"/>
  <c r="J34" i="83"/>
  <c r="H34" i="83"/>
  <c r="AP34" i="83"/>
  <c r="AQ34" i="83"/>
  <c r="K33" i="84"/>
  <c r="M33" i="84"/>
  <c r="N33" i="84" s="1"/>
  <c r="C34" i="28" l="1"/>
  <c r="H33" i="85"/>
  <c r="AT33" i="84"/>
  <c r="AS33" i="84"/>
  <c r="G33" i="84" s="1"/>
  <c r="I33" i="84" s="1"/>
  <c r="K34" i="83"/>
  <c r="M34" i="83"/>
  <c r="N34" i="83" s="1"/>
  <c r="AT34" i="83" l="1"/>
  <c r="AS34" i="83"/>
  <c r="G34" i="83" s="1"/>
  <c r="I34" i="83" s="1"/>
  <c r="J33" i="85"/>
  <c r="T33" i="85"/>
  <c r="S33" i="85"/>
  <c r="G33" i="85" s="1"/>
  <c r="O33" i="84"/>
  <c r="Q33" i="84"/>
  <c r="F34" i="84" s="1"/>
  <c r="T33" i="84"/>
  <c r="U33" i="84" s="1"/>
  <c r="J34" i="84" l="1"/>
  <c r="H34" i="84"/>
  <c r="AP34" i="84"/>
  <c r="AQ34" i="84"/>
  <c r="K33" i="85"/>
  <c r="F34" i="28" s="1"/>
  <c r="E34" i="28"/>
  <c r="O34" i="83"/>
  <c r="Q34" i="83"/>
  <c r="F35" i="83" s="1"/>
  <c r="T34" i="83"/>
  <c r="D34" i="28"/>
  <c r="N33" i="85"/>
  <c r="L33" i="85" l="1"/>
  <c r="G34" i="28" s="1"/>
  <c r="AA34" i="85"/>
  <c r="AD34" i="85" s="1"/>
  <c r="U34" i="83"/>
  <c r="P34" i="85"/>
  <c r="F34" i="85" s="1"/>
  <c r="I34" i="28"/>
  <c r="H35" i="83"/>
  <c r="J35" i="83"/>
  <c r="AP35" i="83"/>
  <c r="AQ35" i="83"/>
  <c r="K34" i="84"/>
  <c r="M34" i="84"/>
  <c r="N34" i="84" s="1"/>
  <c r="B34" i="84"/>
  <c r="B59" i="84" l="1"/>
  <c r="AT34" i="84"/>
  <c r="AS34" i="84"/>
  <c r="G34" i="84" s="1"/>
  <c r="I34" i="84" s="1"/>
  <c r="C35" i="28"/>
  <c r="H34" i="85"/>
  <c r="K35" i="83"/>
  <c r="M35" i="83"/>
  <c r="N35" i="83" s="1"/>
  <c r="P34" i="84"/>
  <c r="AR35" i="84" s="1"/>
  <c r="AT35" i="83" l="1"/>
  <c r="AS35" i="83"/>
  <c r="G35" i="83" s="1"/>
  <c r="I35" i="83" s="1"/>
  <c r="S34" i="85"/>
  <c r="G34" i="85" s="1"/>
  <c r="O34" i="84"/>
  <c r="Q34" i="84"/>
  <c r="F35" i="84" s="1"/>
  <c r="T34" i="84"/>
  <c r="U34" i="84" s="1"/>
  <c r="T34" i="85"/>
  <c r="J34" i="85"/>
  <c r="E35" i="28" l="1"/>
  <c r="K34" i="85"/>
  <c r="F35" i="28" s="1"/>
  <c r="D35" i="28"/>
  <c r="N34" i="85"/>
  <c r="O35" i="83"/>
  <c r="T35" i="83"/>
  <c r="Q35" i="83"/>
  <c r="F36" i="83" s="1"/>
  <c r="H35" i="84"/>
  <c r="J35" i="84"/>
  <c r="AQ35" i="84"/>
  <c r="AP35" i="84"/>
  <c r="L34" i="85" l="1"/>
  <c r="G35" i="28" s="1"/>
  <c r="J36" i="83"/>
  <c r="H36" i="83"/>
  <c r="AQ36" i="83"/>
  <c r="AP36" i="83"/>
  <c r="K35" i="84"/>
  <c r="M35" i="84"/>
  <c r="N35" i="84" s="1"/>
  <c r="AA35" i="85"/>
  <c r="AD35" i="85" s="1"/>
  <c r="P35" i="84" s="1"/>
  <c r="AR36" i="84" s="1"/>
  <c r="U35" i="83"/>
  <c r="P35" i="85"/>
  <c r="F35" i="85" s="1"/>
  <c r="I35" i="28"/>
  <c r="C36" i="28" l="1"/>
  <c r="H35" i="85"/>
  <c r="AT35" i="84"/>
  <c r="AS35" i="84"/>
  <c r="G35" i="84" s="1"/>
  <c r="I35" i="84" s="1"/>
  <c r="K36" i="83"/>
  <c r="M36" i="83"/>
  <c r="N36" i="83" s="1"/>
  <c r="AT36" i="83" l="1"/>
  <c r="AS36" i="83"/>
  <c r="G36" i="83" s="1"/>
  <c r="I36" i="83" s="1"/>
  <c r="J35" i="85"/>
  <c r="T35" i="85"/>
  <c r="S35" i="85"/>
  <c r="G35" i="85" s="1"/>
  <c r="O35" i="84"/>
  <c r="Q35" i="84"/>
  <c r="F36" i="84" s="1"/>
  <c r="T35" i="84"/>
  <c r="U35" i="84" s="1"/>
  <c r="H36" i="84" l="1"/>
  <c r="J36" i="84"/>
  <c r="AQ36" i="84"/>
  <c r="AP36" i="84"/>
  <c r="K35" i="85"/>
  <c r="F36" i="28" s="1"/>
  <c r="E36" i="28"/>
  <c r="O36" i="83"/>
  <c r="T36" i="83"/>
  <c r="Q36" i="83"/>
  <c r="F37" i="83" s="1"/>
  <c r="D36" i="28"/>
  <c r="N35" i="85"/>
  <c r="L35" i="85" l="1"/>
  <c r="G36" i="28" s="1"/>
  <c r="J37" i="83"/>
  <c r="H37" i="83"/>
  <c r="AP37" i="83"/>
  <c r="AQ37" i="83"/>
  <c r="K36" i="84"/>
  <c r="M36" i="84"/>
  <c r="N36" i="84" s="1"/>
  <c r="P36" i="85"/>
  <c r="F36" i="85" s="1"/>
  <c r="I36" i="28"/>
  <c r="AA36" i="85"/>
  <c r="AD36" i="85" s="1"/>
  <c r="P36" i="84" s="1"/>
  <c r="AR37" i="84" s="1"/>
  <c r="U36" i="83"/>
  <c r="AT36" i="84" l="1"/>
  <c r="AS36" i="84"/>
  <c r="G36" i="84" s="1"/>
  <c r="I36" i="84" s="1"/>
  <c r="C37" i="28"/>
  <c r="H36" i="85"/>
  <c r="K37" i="83"/>
  <c r="M37" i="83"/>
  <c r="N37" i="83" s="1"/>
  <c r="S36" i="85" l="1"/>
  <c r="G36" i="85" s="1"/>
  <c r="O36" i="84"/>
  <c r="Q36" i="84"/>
  <c r="F37" i="84" s="1"/>
  <c r="T36" i="84"/>
  <c r="U36" i="84" s="1"/>
  <c r="AT37" i="83"/>
  <c r="AS37" i="83"/>
  <c r="G37" i="83" s="1"/>
  <c r="I37" i="83" s="1"/>
  <c r="T36" i="85"/>
  <c r="J36" i="85"/>
  <c r="E37" i="28" l="1"/>
  <c r="K36" i="85"/>
  <c r="F37" i="28" s="1"/>
  <c r="J37" i="84"/>
  <c r="H37" i="84"/>
  <c r="AP37" i="84"/>
  <c r="AQ37" i="84"/>
  <c r="O37" i="83"/>
  <c r="Q37" i="83"/>
  <c r="F38" i="83" s="1"/>
  <c r="T37" i="83"/>
  <c r="D37" i="28"/>
  <c r="N36" i="85"/>
  <c r="AA37" i="85" l="1"/>
  <c r="AD37" i="85" s="1"/>
  <c r="P37" i="84" s="1"/>
  <c r="AR38" i="84" s="1"/>
  <c r="U37" i="83"/>
  <c r="K37" i="84"/>
  <c r="M37" i="84"/>
  <c r="N37" i="84" s="1"/>
  <c r="P37" i="85"/>
  <c r="F37" i="85" s="1"/>
  <c r="I37" i="28"/>
  <c r="H38" i="83"/>
  <c r="J38" i="83"/>
  <c r="AP38" i="83"/>
  <c r="AQ38" i="83"/>
  <c r="L36" i="85"/>
  <c r="G37" i="28" s="1"/>
  <c r="K38" i="83" l="1"/>
  <c r="M38" i="83"/>
  <c r="N38" i="83" s="1"/>
  <c r="AT37" i="84"/>
  <c r="AS37" i="84"/>
  <c r="G37" i="84" s="1"/>
  <c r="I37" i="84" s="1"/>
  <c r="C38" i="28"/>
  <c r="H37" i="85"/>
  <c r="S37" i="85" l="1"/>
  <c r="G37" i="85" s="1"/>
  <c r="O37" i="84"/>
  <c r="Q37" i="84"/>
  <c r="F38" i="84" s="1"/>
  <c r="T37" i="84"/>
  <c r="U37" i="84" s="1"/>
  <c r="T37" i="85"/>
  <c r="J37" i="85"/>
  <c r="AT38" i="83"/>
  <c r="AS38" i="83"/>
  <c r="G38" i="83" s="1"/>
  <c r="I38" i="83" s="1"/>
  <c r="O38" i="83" l="1"/>
  <c r="Q38" i="83"/>
  <c r="F39" i="83" s="1"/>
  <c r="T38" i="83"/>
  <c r="J38" i="84"/>
  <c r="H38" i="84"/>
  <c r="AQ38" i="84"/>
  <c r="AP38" i="84"/>
  <c r="K37" i="85"/>
  <c r="F38" i="28" s="1"/>
  <c r="E38" i="28"/>
  <c r="D38" i="28"/>
  <c r="N37" i="85"/>
  <c r="K38" i="84" l="1"/>
  <c r="M38" i="84"/>
  <c r="N38" i="84" s="1"/>
  <c r="AA38" i="85"/>
  <c r="AD38" i="85" s="1"/>
  <c r="P38" i="84" s="1"/>
  <c r="AR39" i="84" s="1"/>
  <c r="U38" i="83"/>
  <c r="P38" i="85"/>
  <c r="F38" i="85" s="1"/>
  <c r="I38" i="28"/>
  <c r="J39" i="83"/>
  <c r="H39" i="83"/>
  <c r="AP39" i="83"/>
  <c r="AQ39" i="83"/>
  <c r="L37" i="85"/>
  <c r="G38" i="28" s="1"/>
  <c r="C39" i="28" l="1"/>
  <c r="H38" i="85"/>
  <c r="K39" i="83"/>
  <c r="M39" i="83"/>
  <c r="N39" i="83" s="1"/>
  <c r="AT38" i="84"/>
  <c r="AS38" i="84"/>
  <c r="G38" i="84" s="1"/>
  <c r="I38" i="84" s="1"/>
  <c r="J38" i="85" l="1"/>
  <c r="T38" i="85"/>
  <c r="S38" i="85"/>
  <c r="G38" i="85" s="1"/>
  <c r="O38" i="84"/>
  <c r="Q38" i="84"/>
  <c r="F39" i="84" s="1"/>
  <c r="T38" i="84"/>
  <c r="U38" i="84" s="1"/>
  <c r="AT39" i="83"/>
  <c r="AS39" i="83"/>
  <c r="G39" i="83" s="1"/>
  <c r="I39" i="83" s="1"/>
  <c r="D39" i="28" l="1"/>
  <c r="N38" i="85"/>
  <c r="O39" i="83"/>
  <c r="Q39" i="83"/>
  <c r="F40" i="83" s="1"/>
  <c r="T39" i="83"/>
  <c r="H39" i="84"/>
  <c r="J39" i="84"/>
  <c r="AP39" i="84"/>
  <c r="AQ39" i="84"/>
  <c r="K38" i="85"/>
  <c r="F39" i="28" s="1"/>
  <c r="E39" i="28"/>
  <c r="L38" i="85" l="1"/>
  <c r="G39" i="28" s="1"/>
  <c r="P39" i="85"/>
  <c r="F39" i="85" s="1"/>
  <c r="I39" i="28"/>
  <c r="AA39" i="85"/>
  <c r="AD39" i="85" s="1"/>
  <c r="P39" i="84" s="1"/>
  <c r="AR40" i="84" s="1"/>
  <c r="U39" i="83"/>
  <c r="K39" i="84"/>
  <c r="M39" i="84"/>
  <c r="N39" i="84" s="1"/>
  <c r="J40" i="83"/>
  <c r="H40" i="83"/>
  <c r="AQ40" i="83"/>
  <c r="AP40" i="83"/>
  <c r="C40" i="28" l="1"/>
  <c r="H39" i="85"/>
  <c r="K40" i="83"/>
  <c r="M40" i="83"/>
  <c r="N40" i="83" s="1"/>
  <c r="AT39" i="84"/>
  <c r="AS39" i="84"/>
  <c r="G39" i="84" s="1"/>
  <c r="I39" i="84" s="1"/>
  <c r="S39" i="85" l="1"/>
  <c r="G39" i="85" s="1"/>
  <c r="O39" i="84"/>
  <c r="T39" i="84"/>
  <c r="U39" i="84" s="1"/>
  <c r="Q39" i="84"/>
  <c r="F40" i="84" s="1"/>
  <c r="J39" i="85"/>
  <c r="T39" i="85"/>
  <c r="AT40" i="83"/>
  <c r="AS40" i="83"/>
  <c r="G40" i="83" s="1"/>
  <c r="I40" i="83" s="1"/>
  <c r="K39" i="85" l="1"/>
  <c r="F40" i="28" s="1"/>
  <c r="E40" i="28"/>
  <c r="O40" i="83"/>
  <c r="Q40" i="83"/>
  <c r="F41" i="83" s="1"/>
  <c r="T40" i="83"/>
  <c r="H40" i="84"/>
  <c r="J40" i="84"/>
  <c r="AQ40" i="84"/>
  <c r="AP40" i="84"/>
  <c r="D40" i="28"/>
  <c r="N39" i="85"/>
  <c r="L39" i="85" l="1"/>
  <c r="G40" i="28" s="1"/>
  <c r="J41" i="83"/>
  <c r="H41" i="83"/>
  <c r="AQ41" i="83"/>
  <c r="AP41" i="83"/>
  <c r="K40" i="84"/>
  <c r="M40" i="84"/>
  <c r="N40" i="84" s="1"/>
  <c r="P40" i="85"/>
  <c r="F40" i="85" s="1"/>
  <c r="I40" i="28"/>
  <c r="AA40" i="85"/>
  <c r="AD40" i="85" s="1"/>
  <c r="P40" i="84" s="1"/>
  <c r="AR41" i="84" s="1"/>
  <c r="U40" i="83"/>
  <c r="C41" i="28" l="1"/>
  <c r="H40" i="85"/>
  <c r="AT40" i="84"/>
  <c r="AS40" i="84"/>
  <c r="G40" i="84" s="1"/>
  <c r="I40" i="84" s="1"/>
  <c r="K41" i="83"/>
  <c r="M41" i="83"/>
  <c r="N41" i="83" s="1"/>
  <c r="AT41" i="83" l="1"/>
  <c r="AS41" i="83"/>
  <c r="G41" i="83" s="1"/>
  <c r="I41" i="83" s="1"/>
  <c r="T40" i="85"/>
  <c r="J40" i="85"/>
  <c r="S40" i="85"/>
  <c r="G40" i="85" s="1"/>
  <c r="O40" i="84"/>
  <c r="T40" i="84"/>
  <c r="U40" i="84" s="1"/>
  <c r="Q40" i="84"/>
  <c r="F41" i="84" s="1"/>
  <c r="H41" i="84" l="1"/>
  <c r="J41" i="84"/>
  <c r="AP41" i="84"/>
  <c r="AQ41" i="84"/>
  <c r="E41" i="28"/>
  <c r="K40" i="85"/>
  <c r="F41" i="28" s="1"/>
  <c r="O41" i="83"/>
  <c r="Q41" i="83"/>
  <c r="F42" i="83" s="1"/>
  <c r="T41" i="83"/>
  <c r="D41" i="28"/>
  <c r="N40" i="85"/>
  <c r="AA41" i="85" l="1"/>
  <c r="AD41" i="85" s="1"/>
  <c r="P41" i="84" s="1"/>
  <c r="AR42" i="84" s="1"/>
  <c r="U41" i="83"/>
  <c r="P41" i="85"/>
  <c r="F41" i="85" s="1"/>
  <c r="I41" i="28"/>
  <c r="H42" i="83"/>
  <c r="J42" i="83"/>
  <c r="AP42" i="83"/>
  <c r="AQ42" i="83"/>
  <c r="K41" i="84"/>
  <c r="M41" i="84"/>
  <c r="N41" i="84" s="1"/>
  <c r="L40" i="85"/>
  <c r="G41" i="28" s="1"/>
  <c r="AT41" i="84" l="1"/>
  <c r="AS41" i="84"/>
  <c r="G41" i="84" s="1"/>
  <c r="I41" i="84" s="1"/>
  <c r="C42" i="28"/>
  <c r="H41" i="85"/>
  <c r="K42" i="83"/>
  <c r="M42" i="83"/>
  <c r="N42" i="83" s="1"/>
  <c r="AT42" i="83" l="1"/>
  <c r="AS42" i="83"/>
  <c r="G42" i="83" s="1"/>
  <c r="I42" i="83" s="1"/>
  <c r="S41" i="85"/>
  <c r="G41" i="85" s="1"/>
  <c r="O41" i="84"/>
  <c r="T41" i="84"/>
  <c r="U41" i="84" s="1"/>
  <c r="Q41" i="84"/>
  <c r="F42" i="84" s="1"/>
  <c r="J41" i="85"/>
  <c r="T41" i="85"/>
  <c r="D42" i="28" l="1"/>
  <c r="N41" i="85"/>
  <c r="K41" i="85"/>
  <c r="F42" i="28" s="1"/>
  <c r="E42" i="28"/>
  <c r="J42" i="84"/>
  <c r="H42" i="84"/>
  <c r="AQ42" i="84"/>
  <c r="AP42" i="84"/>
  <c r="O42" i="83"/>
  <c r="T42" i="83"/>
  <c r="Q42" i="83"/>
  <c r="F43" i="83" s="1"/>
  <c r="P42" i="85" l="1"/>
  <c r="F42" i="85" s="1"/>
  <c r="I42" i="28"/>
  <c r="K42" i="84"/>
  <c r="M42" i="84"/>
  <c r="N42" i="84" s="1"/>
  <c r="L41" i="85"/>
  <c r="G42" i="28" s="1"/>
  <c r="AQ43" i="83"/>
  <c r="J43" i="83"/>
  <c r="H43" i="83"/>
  <c r="AP43" i="83"/>
  <c r="AA42" i="85"/>
  <c r="AD42" i="85" s="1"/>
  <c r="P42" i="84" s="1"/>
  <c r="U42" i="83"/>
  <c r="V43" i="83" s="1"/>
  <c r="C43" i="28" l="1"/>
  <c r="H42" i="85"/>
  <c r="K43" i="83"/>
  <c r="AT43" i="83" s="1"/>
  <c r="M43" i="83"/>
  <c r="N43" i="83" s="1"/>
  <c r="AR43" i="83"/>
  <c r="AT42" i="84"/>
  <c r="AS42" i="84"/>
  <c r="G42" i="84" s="1"/>
  <c r="I42" i="84" s="1"/>
  <c r="S42" i="85" l="1"/>
  <c r="G42" i="85" s="1"/>
  <c r="O42" i="84"/>
  <c r="T42" i="84"/>
  <c r="U42" i="84" s="1"/>
  <c r="V43" i="84" s="1"/>
  <c r="Q42" i="84"/>
  <c r="F43" i="84" s="1"/>
  <c r="T42" i="85"/>
  <c r="J42" i="85"/>
  <c r="AS43" i="83"/>
  <c r="G43" i="83" s="1"/>
  <c r="I43" i="83" s="1"/>
  <c r="AR44" i="83"/>
  <c r="AR45" i="83" l="1"/>
  <c r="AP43" i="84"/>
  <c r="J43" i="84"/>
  <c r="H43" i="84"/>
  <c r="AQ43" i="84"/>
  <c r="O43" i="83"/>
  <c r="Q43" i="83"/>
  <c r="F44" i="83" s="1"/>
  <c r="T43" i="83"/>
  <c r="K42" i="85"/>
  <c r="F43" i="28" s="1"/>
  <c r="E43" i="28"/>
  <c r="D43" i="28"/>
  <c r="N42" i="85"/>
  <c r="P43" i="85" l="1"/>
  <c r="F43" i="85" s="1"/>
  <c r="I43" i="28"/>
  <c r="AR43" i="84"/>
  <c r="L42" i="85"/>
  <c r="G43" i="28" s="1"/>
  <c r="AA43" i="85"/>
  <c r="AD43" i="85" s="1"/>
  <c r="P43" i="84" s="1"/>
  <c r="U43" i="83"/>
  <c r="J44" i="83"/>
  <c r="H44" i="83"/>
  <c r="AQ44" i="83"/>
  <c r="AP44" i="83"/>
  <c r="AR46" i="83"/>
  <c r="K43" i="84"/>
  <c r="AT43" i="84" s="1"/>
  <c r="M43" i="84"/>
  <c r="N43" i="84" s="1"/>
  <c r="AS43" i="84" l="1"/>
  <c r="G43" i="84" s="1"/>
  <c r="I43" i="84" s="1"/>
  <c r="AR47" i="83"/>
  <c r="AR44" i="84"/>
  <c r="C44" i="28"/>
  <c r="H43" i="85"/>
  <c r="K44" i="83"/>
  <c r="M44" i="83"/>
  <c r="N44" i="83" s="1"/>
  <c r="AT44" i="83" l="1"/>
  <c r="AS44" i="83"/>
  <c r="G44" i="83" s="1"/>
  <c r="I44" i="83" s="1"/>
  <c r="J43" i="85"/>
  <c r="T43" i="85"/>
  <c r="AR48" i="83"/>
  <c r="S43" i="85"/>
  <c r="G43" i="85" s="1"/>
  <c r="O43" i="84"/>
  <c r="Q43" i="84"/>
  <c r="F44" i="84" s="1"/>
  <c r="T43" i="84"/>
  <c r="U43" i="84" s="1"/>
  <c r="D44" i="28" l="1"/>
  <c r="N43" i="85"/>
  <c r="K43" i="85"/>
  <c r="F44" i="28" s="1"/>
  <c r="E44" i="28"/>
  <c r="J44" i="84"/>
  <c r="H44" i="84"/>
  <c r="AQ44" i="84"/>
  <c r="AP44" i="84"/>
  <c r="AR49" i="83"/>
  <c r="O44" i="83"/>
  <c r="Q44" i="83"/>
  <c r="F45" i="83" s="1"/>
  <c r="T44" i="83"/>
  <c r="AA44" i="85" l="1"/>
  <c r="AD44" i="85" s="1"/>
  <c r="P44" i="84" s="1"/>
  <c r="AR45" i="84" s="1"/>
  <c r="U44" i="83"/>
  <c r="J45" i="83"/>
  <c r="H45" i="83"/>
  <c r="AQ45" i="83"/>
  <c r="AP45" i="83"/>
  <c r="P44" i="85"/>
  <c r="F44" i="85" s="1"/>
  <c r="I44" i="28"/>
  <c r="K44" i="84"/>
  <c r="M44" i="84"/>
  <c r="N44" i="84" s="1"/>
  <c r="L43" i="85"/>
  <c r="G44" i="28" s="1"/>
  <c r="AR50" i="83"/>
  <c r="C45" i="28" l="1"/>
  <c r="H44" i="85"/>
  <c r="AT44" i="84"/>
  <c r="AS44" i="84"/>
  <c r="G44" i="84" s="1"/>
  <c r="I44" i="84" s="1"/>
  <c r="AR51" i="83"/>
  <c r="K45" i="83"/>
  <c r="M45" i="83"/>
  <c r="N45" i="83" s="1"/>
  <c r="S44" i="85" l="1"/>
  <c r="G44" i="85" s="1"/>
  <c r="O44" i="84"/>
  <c r="T44" i="84"/>
  <c r="U44" i="84" s="1"/>
  <c r="Q44" i="84"/>
  <c r="F45" i="84" s="1"/>
  <c r="AT45" i="83"/>
  <c r="AS45" i="83"/>
  <c r="G45" i="83" s="1"/>
  <c r="I45" i="83" s="1"/>
  <c r="AR52" i="83"/>
  <c r="J44" i="85"/>
  <c r="T44" i="85"/>
  <c r="AR53" i="83" l="1"/>
  <c r="H45" i="84"/>
  <c r="J45" i="84"/>
  <c r="AP45" i="84"/>
  <c r="AQ45" i="84"/>
  <c r="O45" i="83"/>
  <c r="T45" i="83"/>
  <c r="Q45" i="83"/>
  <c r="F46" i="83" s="1"/>
  <c r="K44" i="85"/>
  <c r="F45" i="28" s="1"/>
  <c r="E45" i="28"/>
  <c r="D45" i="28"/>
  <c r="N44" i="85"/>
  <c r="P45" i="85" l="1"/>
  <c r="F45" i="85" s="1"/>
  <c r="I45" i="28"/>
  <c r="K45" i="84"/>
  <c r="M45" i="84"/>
  <c r="N45" i="84" s="1"/>
  <c r="L44" i="85"/>
  <c r="G45" i="28" s="1"/>
  <c r="H46" i="83"/>
  <c r="J46" i="83"/>
  <c r="AP46" i="83"/>
  <c r="AQ46" i="83"/>
  <c r="AA45" i="85"/>
  <c r="AD45" i="85" s="1"/>
  <c r="P45" i="84" s="1"/>
  <c r="AR46" i="84" s="1"/>
  <c r="U45" i="83"/>
  <c r="AR54" i="83"/>
  <c r="AT45" i="84" l="1"/>
  <c r="AS45" i="84"/>
  <c r="G45" i="84" s="1"/>
  <c r="I45" i="84" s="1"/>
  <c r="K46" i="83"/>
  <c r="M46" i="83"/>
  <c r="N46" i="83" s="1"/>
  <c r="C46" i="28"/>
  <c r="H45" i="85"/>
  <c r="J45" i="85" l="1"/>
  <c r="T45" i="85"/>
  <c r="AT46" i="83"/>
  <c r="AS46" i="83"/>
  <c r="G46" i="83" s="1"/>
  <c r="I46" i="83" s="1"/>
  <c r="S45" i="85"/>
  <c r="G45" i="85" s="1"/>
  <c r="O45" i="84"/>
  <c r="Q45" i="84"/>
  <c r="F46" i="84" s="1"/>
  <c r="T45" i="84"/>
  <c r="U45" i="84" s="1"/>
  <c r="O46" i="83" l="1"/>
  <c r="T46" i="83"/>
  <c r="Q46" i="83"/>
  <c r="F47" i="83" s="1"/>
  <c r="J46" i="84"/>
  <c r="H46" i="84"/>
  <c r="AQ46" i="84"/>
  <c r="AP46" i="84"/>
  <c r="D46" i="28"/>
  <c r="N45" i="85"/>
  <c r="E46" i="28"/>
  <c r="K45" i="85"/>
  <c r="F46" i="28" s="1"/>
  <c r="K46" i="84" l="1"/>
  <c r="M46" i="84"/>
  <c r="N46" i="84" s="1"/>
  <c r="L45" i="85"/>
  <c r="G46" i="28" s="1"/>
  <c r="J47" i="83"/>
  <c r="H47" i="83"/>
  <c r="AQ47" i="83"/>
  <c r="AP47" i="83"/>
  <c r="P46" i="85"/>
  <c r="F46" i="85" s="1"/>
  <c r="I46" i="28"/>
  <c r="AA46" i="85"/>
  <c r="AD46" i="85" s="1"/>
  <c r="P46" i="84" s="1"/>
  <c r="AR47" i="84" s="1"/>
  <c r="U46" i="83"/>
  <c r="C47" i="28" l="1"/>
  <c r="H46" i="85"/>
  <c r="K47" i="83"/>
  <c r="M47" i="83"/>
  <c r="N47" i="83" s="1"/>
  <c r="AT46" i="84"/>
  <c r="AS46" i="84"/>
  <c r="G46" i="84" s="1"/>
  <c r="I46" i="84" s="1"/>
  <c r="S46" i="85" l="1"/>
  <c r="G46" i="85" s="1"/>
  <c r="O46" i="84"/>
  <c r="Q46" i="84"/>
  <c r="F47" i="84" s="1"/>
  <c r="T46" i="84"/>
  <c r="U46" i="84" s="1"/>
  <c r="T46" i="85"/>
  <c r="J46" i="85"/>
  <c r="AT47" i="83"/>
  <c r="AS47" i="83"/>
  <c r="G47" i="83" s="1"/>
  <c r="I47" i="83" s="1"/>
  <c r="O47" i="83" l="1"/>
  <c r="Q47" i="83"/>
  <c r="F48" i="83" s="1"/>
  <c r="T47" i="83"/>
  <c r="H47" i="84"/>
  <c r="J47" i="84"/>
  <c r="AQ47" i="84"/>
  <c r="AP47" i="84"/>
  <c r="E47" i="28"/>
  <c r="K46" i="85"/>
  <c r="F47" i="28" s="1"/>
  <c r="D47" i="28"/>
  <c r="N46" i="85"/>
  <c r="L46" i="85" l="1"/>
  <c r="G47" i="28" s="1"/>
  <c r="AA47" i="85"/>
  <c r="AD47" i="85" s="1"/>
  <c r="P47" i="84" s="1"/>
  <c r="AR48" i="84" s="1"/>
  <c r="U47" i="83"/>
  <c r="P47" i="85"/>
  <c r="F47" i="85" s="1"/>
  <c r="I47" i="28"/>
  <c r="K47" i="84"/>
  <c r="M47" i="84"/>
  <c r="N47" i="84" s="1"/>
  <c r="J48" i="83"/>
  <c r="H48" i="83"/>
  <c r="AQ48" i="83"/>
  <c r="AP48" i="83"/>
  <c r="K48" i="83" l="1"/>
  <c r="M48" i="83"/>
  <c r="N48" i="83" s="1"/>
  <c r="C48" i="28"/>
  <c r="H47" i="85"/>
  <c r="AT47" i="84"/>
  <c r="AS47" i="84"/>
  <c r="G47" i="84" s="1"/>
  <c r="I47" i="84" s="1"/>
  <c r="S47" i="85" l="1"/>
  <c r="G47" i="85" s="1"/>
  <c r="O47" i="84"/>
  <c r="Q47" i="84"/>
  <c r="F48" i="84" s="1"/>
  <c r="T47" i="84"/>
  <c r="U47" i="84" s="1"/>
  <c r="T47" i="85"/>
  <c r="J47" i="85"/>
  <c r="AT48" i="83"/>
  <c r="AS48" i="83"/>
  <c r="G48" i="83" s="1"/>
  <c r="I48" i="83" s="1"/>
  <c r="O48" i="83" l="1"/>
  <c r="Q48" i="83"/>
  <c r="F49" i="83" s="1"/>
  <c r="T48" i="83"/>
  <c r="H48" i="84"/>
  <c r="J48" i="84"/>
  <c r="AQ48" i="84"/>
  <c r="AP48" i="84"/>
  <c r="E48" i="28"/>
  <c r="K47" i="85"/>
  <c r="F48" i="28" s="1"/>
  <c r="D48" i="28"/>
  <c r="N47" i="85"/>
  <c r="AA48" i="85" l="1"/>
  <c r="AD48" i="85" s="1"/>
  <c r="P48" i="84" s="1"/>
  <c r="AR49" i="84" s="1"/>
  <c r="U48" i="83"/>
  <c r="P48" i="85"/>
  <c r="F48" i="85" s="1"/>
  <c r="I48" i="28"/>
  <c r="J49" i="83"/>
  <c r="H49" i="83"/>
  <c r="AP49" i="83"/>
  <c r="AQ49" i="83"/>
  <c r="L47" i="85"/>
  <c r="G48" i="28" s="1"/>
  <c r="K48" i="84"/>
  <c r="M48" i="84"/>
  <c r="N48" i="84" s="1"/>
  <c r="C49" i="28" l="1"/>
  <c r="H48" i="85"/>
  <c r="K49" i="83"/>
  <c r="M49" i="83"/>
  <c r="N49" i="83" s="1"/>
  <c r="AT48" i="84"/>
  <c r="AS48" i="84"/>
  <c r="G48" i="84" s="1"/>
  <c r="I48" i="84" s="1"/>
  <c r="S48" i="85" l="1"/>
  <c r="G48" i="85" s="1"/>
  <c r="O48" i="84"/>
  <c r="Q48" i="84"/>
  <c r="F49" i="84" s="1"/>
  <c r="T48" i="84"/>
  <c r="U48" i="84" s="1"/>
  <c r="J48" i="85"/>
  <c r="T48" i="85"/>
  <c r="AT49" i="83"/>
  <c r="AS49" i="83"/>
  <c r="G49" i="83" s="1"/>
  <c r="I49" i="83" s="1"/>
  <c r="H49" i="84" l="1"/>
  <c r="J49" i="84"/>
  <c r="AP49" i="84"/>
  <c r="AQ49" i="84"/>
  <c r="O49" i="83"/>
  <c r="T49" i="83"/>
  <c r="Q49" i="83"/>
  <c r="F50" i="83" s="1"/>
  <c r="E49" i="28"/>
  <c r="K48" i="85"/>
  <c r="F49" i="28" s="1"/>
  <c r="D49" i="28"/>
  <c r="N48" i="85"/>
  <c r="L48" i="85" l="1"/>
  <c r="G49" i="28" s="1"/>
  <c r="AA49" i="85"/>
  <c r="AD49" i="85" s="1"/>
  <c r="P49" i="84" s="1"/>
  <c r="AR50" i="84" s="1"/>
  <c r="U49" i="83"/>
  <c r="P49" i="85"/>
  <c r="F49" i="85" s="1"/>
  <c r="I49" i="28"/>
  <c r="K49" i="84"/>
  <c r="M49" i="84"/>
  <c r="N49" i="84" s="1"/>
  <c r="H50" i="83"/>
  <c r="J50" i="83"/>
  <c r="AP50" i="83"/>
  <c r="AQ50" i="83"/>
  <c r="C50" i="28" l="1"/>
  <c r="H49" i="85"/>
  <c r="K50" i="83"/>
  <c r="M50" i="83"/>
  <c r="N50" i="83" s="1"/>
  <c r="AT49" i="84"/>
  <c r="AS49" i="84"/>
  <c r="G49" i="84" s="1"/>
  <c r="I49" i="84" s="1"/>
  <c r="AT50" i="83" l="1"/>
  <c r="AS50" i="83"/>
  <c r="G50" i="83" s="1"/>
  <c r="I50" i="83" s="1"/>
  <c r="S49" i="85"/>
  <c r="G49" i="85" s="1"/>
  <c r="O49" i="84"/>
  <c r="Q49" i="84"/>
  <c r="F50" i="84" s="1"/>
  <c r="T49" i="84"/>
  <c r="U49" i="84" s="1"/>
  <c r="T49" i="85"/>
  <c r="J49" i="85"/>
  <c r="K49" i="85" l="1"/>
  <c r="F50" i="28" s="1"/>
  <c r="E50" i="28"/>
  <c r="D50" i="28"/>
  <c r="N49" i="85"/>
  <c r="O50" i="83"/>
  <c r="T50" i="83"/>
  <c r="Q50" i="83"/>
  <c r="F51" i="83" s="1"/>
  <c r="J50" i="84"/>
  <c r="H50" i="84"/>
  <c r="AP50" i="84"/>
  <c r="AQ50" i="84"/>
  <c r="L49" i="85" l="1"/>
  <c r="G50" i="28" s="1"/>
  <c r="J51" i="83"/>
  <c r="H51" i="83"/>
  <c r="AQ51" i="83"/>
  <c r="AP51" i="83"/>
  <c r="AA50" i="85"/>
  <c r="AD50" i="85" s="1"/>
  <c r="P50" i="84" s="1"/>
  <c r="AR51" i="84" s="1"/>
  <c r="U50" i="83"/>
  <c r="K50" i="84"/>
  <c r="M50" i="84"/>
  <c r="N50" i="84" s="1"/>
  <c r="P50" i="85"/>
  <c r="F50" i="85" s="1"/>
  <c r="I50" i="28"/>
  <c r="C51" i="28" l="1"/>
  <c r="H50" i="85"/>
  <c r="K51" i="83"/>
  <c r="M51" i="83"/>
  <c r="N51" i="83" s="1"/>
  <c r="AT50" i="84"/>
  <c r="AS50" i="84"/>
  <c r="G50" i="84" s="1"/>
  <c r="I50" i="84" s="1"/>
  <c r="S50" i="85" l="1"/>
  <c r="G50" i="85" s="1"/>
  <c r="O50" i="84"/>
  <c r="Q50" i="84"/>
  <c r="F51" i="84" s="1"/>
  <c r="T50" i="84"/>
  <c r="U50" i="84" s="1"/>
  <c r="J50" i="85"/>
  <c r="T50" i="85"/>
  <c r="AT51" i="83"/>
  <c r="AS51" i="83"/>
  <c r="G51" i="83" s="1"/>
  <c r="I51" i="83" s="1"/>
  <c r="K50" i="85" l="1"/>
  <c r="F51" i="28" s="1"/>
  <c r="E51" i="28"/>
  <c r="O51" i="83"/>
  <c r="T51" i="83"/>
  <c r="Q51" i="83"/>
  <c r="F52" i="83" s="1"/>
  <c r="H51" i="84"/>
  <c r="J51" i="84"/>
  <c r="AQ51" i="84"/>
  <c r="AP51" i="84"/>
  <c r="D51" i="28"/>
  <c r="N50" i="85"/>
  <c r="L50" i="85" l="1"/>
  <c r="G51" i="28" s="1"/>
  <c r="K51" i="84"/>
  <c r="M51" i="84"/>
  <c r="N51" i="84" s="1"/>
  <c r="AA51" i="85"/>
  <c r="AD51" i="85" s="1"/>
  <c r="P51" i="84" s="1"/>
  <c r="AR52" i="84" s="1"/>
  <c r="U51" i="83"/>
  <c r="P51" i="85"/>
  <c r="F51" i="85" s="1"/>
  <c r="I51" i="28"/>
  <c r="J52" i="83"/>
  <c r="H52" i="83"/>
  <c r="AP52" i="83"/>
  <c r="AQ52" i="83"/>
  <c r="C52" i="28" l="1"/>
  <c r="H51" i="85"/>
  <c r="K52" i="83"/>
  <c r="M52" i="83"/>
  <c r="N52" i="83" s="1"/>
  <c r="AT51" i="84"/>
  <c r="AS51" i="84"/>
  <c r="G51" i="84" s="1"/>
  <c r="I51" i="84" s="1"/>
  <c r="J51" i="85" l="1"/>
  <c r="T51" i="85"/>
  <c r="S51" i="85"/>
  <c r="G51" i="85" s="1"/>
  <c r="O51" i="84"/>
  <c r="Q51" i="84"/>
  <c r="F52" i="84" s="1"/>
  <c r="T51" i="84"/>
  <c r="U51" i="84" s="1"/>
  <c r="AT52" i="83"/>
  <c r="AS52" i="83"/>
  <c r="G52" i="83" s="1"/>
  <c r="I52" i="83" s="1"/>
  <c r="D52" i="28" l="1"/>
  <c r="N51" i="85"/>
  <c r="O52" i="83"/>
  <c r="Q52" i="83"/>
  <c r="F53" i="83" s="1"/>
  <c r="T52" i="83"/>
  <c r="H52" i="84"/>
  <c r="J52" i="84"/>
  <c r="AQ52" i="84"/>
  <c r="AP52" i="84"/>
  <c r="E52" i="28"/>
  <c r="K51" i="85"/>
  <c r="F52" i="28" s="1"/>
  <c r="P52" i="85" l="1"/>
  <c r="F52" i="85" s="1"/>
  <c r="I52" i="28"/>
  <c r="K52" i="84"/>
  <c r="M52" i="84"/>
  <c r="N52" i="84" s="1"/>
  <c r="AA52" i="85"/>
  <c r="AD52" i="85" s="1"/>
  <c r="P52" i="84" s="1"/>
  <c r="AR53" i="84" s="1"/>
  <c r="U52" i="83"/>
  <c r="L51" i="85"/>
  <c r="G52" i="28" s="1"/>
  <c r="J53" i="83"/>
  <c r="H53" i="83"/>
  <c r="AP53" i="83"/>
  <c r="AQ53" i="83"/>
  <c r="C53" i="28" l="1"/>
  <c r="H52" i="85"/>
  <c r="AT52" i="84"/>
  <c r="AS52" i="84"/>
  <c r="G52" i="84" s="1"/>
  <c r="I52" i="84" s="1"/>
  <c r="K53" i="83"/>
  <c r="M53" i="83"/>
  <c r="N53" i="83" s="1"/>
  <c r="AT53" i="83" l="1"/>
  <c r="AS53" i="83"/>
  <c r="G53" i="83" s="1"/>
  <c r="I53" i="83" s="1"/>
  <c r="J52" i="85"/>
  <c r="T52" i="85"/>
  <c r="S52" i="85"/>
  <c r="G52" i="85" s="1"/>
  <c r="O52" i="84"/>
  <c r="Q52" i="84"/>
  <c r="F53" i="84" s="1"/>
  <c r="T52" i="84"/>
  <c r="U52" i="84" s="1"/>
  <c r="H53" i="84" l="1"/>
  <c r="J53" i="84"/>
  <c r="AP53" i="84"/>
  <c r="AQ53" i="84"/>
  <c r="K52" i="85"/>
  <c r="F53" i="28" s="1"/>
  <c r="E53" i="28"/>
  <c r="O53" i="83"/>
  <c r="Q53" i="83"/>
  <c r="F54" i="83" s="1"/>
  <c r="T53" i="83"/>
  <c r="D53" i="28"/>
  <c r="N52" i="85"/>
  <c r="L52" i="85" l="1"/>
  <c r="G53" i="28" s="1"/>
  <c r="AA53" i="85"/>
  <c r="AD53" i="85" s="1"/>
  <c r="P53" i="84" s="1"/>
  <c r="AR54" i="84" s="1"/>
  <c r="U53" i="83"/>
  <c r="P53" i="85"/>
  <c r="F53" i="85" s="1"/>
  <c r="I53" i="28"/>
  <c r="H54" i="83"/>
  <c r="J54" i="83"/>
  <c r="AQ54" i="83"/>
  <c r="AP54" i="83"/>
  <c r="K53" i="84"/>
  <c r="M53" i="84"/>
  <c r="N53" i="84" s="1"/>
  <c r="AT53" i="84" l="1"/>
  <c r="AS53" i="84"/>
  <c r="G53" i="84" s="1"/>
  <c r="I53" i="84" s="1"/>
  <c r="K54" i="83"/>
  <c r="M54" i="83"/>
  <c r="N54" i="83" s="1"/>
  <c r="C54" i="28"/>
  <c r="H53" i="85"/>
  <c r="J53" i="85" l="1"/>
  <c r="T53" i="85"/>
  <c r="AT54" i="83"/>
  <c r="AS54" i="83"/>
  <c r="G54" i="83" s="1"/>
  <c r="I54" i="83" s="1"/>
  <c r="S53" i="85"/>
  <c r="G53" i="85" s="1"/>
  <c r="O53" i="84"/>
  <c r="Q53" i="84"/>
  <c r="F54" i="84" s="1"/>
  <c r="T53" i="84"/>
  <c r="U53" i="84" s="1"/>
  <c r="J54" i="84" l="1"/>
  <c r="H54" i="84"/>
  <c r="AQ54" i="84"/>
  <c r="AP54" i="84"/>
  <c r="O54" i="83"/>
  <c r="T54" i="83"/>
  <c r="Q54" i="83"/>
  <c r="F55" i="83" s="1"/>
  <c r="D54" i="28"/>
  <c r="N53" i="85"/>
  <c r="E54" i="28"/>
  <c r="K53" i="85"/>
  <c r="F54" i="28" s="1"/>
  <c r="AQ55" i="83" l="1"/>
  <c r="J55" i="83"/>
  <c r="H55" i="83"/>
  <c r="AP55" i="83"/>
  <c r="P54" i="85"/>
  <c r="F54" i="85" s="1"/>
  <c r="I54" i="28"/>
  <c r="AA54" i="85"/>
  <c r="AD54" i="85" s="1"/>
  <c r="P54" i="84" s="1"/>
  <c r="U54" i="83"/>
  <c r="V55" i="83" s="1"/>
  <c r="L53" i="85"/>
  <c r="G54" i="28" s="1"/>
  <c r="K54" i="84"/>
  <c r="M54" i="84"/>
  <c r="N54" i="84" s="1"/>
  <c r="AR55" i="83" l="1"/>
  <c r="AR56" i="83" s="1"/>
  <c r="K55" i="83"/>
  <c r="AT55" i="83" s="1"/>
  <c r="M55" i="83"/>
  <c r="N55" i="83" s="1"/>
  <c r="C55" i="28"/>
  <c r="H54" i="85"/>
  <c r="AT54" i="84"/>
  <c r="AS54" i="84"/>
  <c r="G54" i="84" s="1"/>
  <c r="I54" i="84" s="1"/>
  <c r="S54" i="85" l="1"/>
  <c r="G54" i="85" s="1"/>
  <c r="O54" i="84"/>
  <c r="Q54" i="84"/>
  <c r="F55" i="84" s="1"/>
  <c r="T54" i="84"/>
  <c r="U54" i="84" s="1"/>
  <c r="V55" i="84" s="1"/>
  <c r="AR57" i="83"/>
  <c r="T54" i="85"/>
  <c r="J54" i="85"/>
  <c r="AS55" i="83"/>
  <c r="G55" i="83" s="1"/>
  <c r="I55" i="83" s="1"/>
  <c r="E55" i="28" l="1"/>
  <c r="K54" i="85"/>
  <c r="F55" i="28" s="1"/>
  <c r="AP55" i="84"/>
  <c r="J55" i="84"/>
  <c r="H55" i="84"/>
  <c r="AQ55" i="84"/>
  <c r="AR58" i="83"/>
  <c r="O55" i="83"/>
  <c r="T55" i="83"/>
  <c r="Q55" i="83"/>
  <c r="F56" i="83" s="1"/>
  <c r="D55" i="28"/>
  <c r="L54" i="85"/>
  <c r="G55" i="28" s="1"/>
  <c r="N54" i="85"/>
  <c r="AA55" i="85" l="1"/>
  <c r="AD55" i="85" s="1"/>
  <c r="P55" i="84" s="1"/>
  <c r="U55" i="83"/>
  <c r="AR55" i="84"/>
  <c r="P55" i="85"/>
  <c r="F55" i="85" s="1"/>
  <c r="I55" i="28"/>
  <c r="AR59" i="83"/>
  <c r="J56" i="83"/>
  <c r="H56" i="83"/>
  <c r="AQ56" i="83"/>
  <c r="AP56" i="83"/>
  <c r="K55" i="84"/>
  <c r="AT55" i="84" s="1"/>
  <c r="M55" i="84"/>
  <c r="N55" i="84" s="1"/>
  <c r="C56" i="28" l="1"/>
  <c r="H55" i="85"/>
  <c r="AS55" i="84"/>
  <c r="G55" i="84" s="1"/>
  <c r="I55" i="84" s="1"/>
  <c r="AR60" i="83"/>
  <c r="K56" i="83"/>
  <c r="M56" i="83"/>
  <c r="N56" i="83" s="1"/>
  <c r="AR56" i="84"/>
  <c r="S55" i="85" l="1"/>
  <c r="G55" i="85" s="1"/>
  <c r="O55" i="84"/>
  <c r="Q55" i="84"/>
  <c r="F56" i="84" s="1"/>
  <c r="T55" i="84"/>
  <c r="U55" i="84" s="1"/>
  <c r="AT56" i="83"/>
  <c r="AS56" i="83"/>
  <c r="G56" i="83" s="1"/>
  <c r="I56" i="83" s="1"/>
  <c r="T55" i="85"/>
  <c r="J55" i="85"/>
  <c r="AR61" i="83"/>
  <c r="E56" i="28" l="1"/>
  <c r="K55" i="85"/>
  <c r="F56" i="28" s="1"/>
  <c r="J56" i="84"/>
  <c r="H56" i="84"/>
  <c r="AQ56" i="84"/>
  <c r="AP56" i="84"/>
  <c r="AR62" i="83"/>
  <c r="O56" i="83"/>
  <c r="T56" i="83"/>
  <c r="Q56" i="83"/>
  <c r="F57" i="83" s="1"/>
  <c r="D56" i="28"/>
  <c r="L55" i="85"/>
  <c r="G56" i="28" s="1"/>
  <c r="N55" i="85"/>
  <c r="AA56" i="85" l="1"/>
  <c r="AD56" i="85" s="1"/>
  <c r="P56" i="84" s="1"/>
  <c r="AR57" i="84" s="1"/>
  <c r="U56" i="83"/>
  <c r="K56" i="84"/>
  <c r="M56" i="84"/>
  <c r="N56" i="84" s="1"/>
  <c r="P56" i="85"/>
  <c r="F56" i="85" s="1"/>
  <c r="I56" i="28"/>
  <c r="AR63" i="83"/>
  <c r="J57" i="83"/>
  <c r="H57" i="83"/>
  <c r="AQ57" i="83"/>
  <c r="AP57" i="83"/>
  <c r="C57" i="28" l="1"/>
  <c r="H56" i="85"/>
  <c r="AT56" i="84"/>
  <c r="AS56" i="84"/>
  <c r="G56" i="84" s="1"/>
  <c r="I56" i="84" s="1"/>
  <c r="K57" i="83"/>
  <c r="M57" i="83"/>
  <c r="N57" i="83" s="1"/>
  <c r="AR64" i="83"/>
  <c r="J56" i="85" l="1"/>
  <c r="T56" i="85"/>
  <c r="AT57" i="83"/>
  <c r="AS57" i="83"/>
  <c r="G57" i="83" s="1"/>
  <c r="I57" i="83" s="1"/>
  <c r="AR65" i="83"/>
  <c r="S56" i="85"/>
  <c r="G56" i="85" s="1"/>
  <c r="O56" i="84"/>
  <c r="Q56" i="84"/>
  <c r="F57" i="84" s="1"/>
  <c r="T56" i="84"/>
  <c r="U56" i="84" s="1"/>
  <c r="O57" i="83" l="1"/>
  <c r="Q57" i="83"/>
  <c r="F58" i="83" s="1"/>
  <c r="T57" i="83"/>
  <c r="D57" i="28"/>
  <c r="N56" i="85"/>
  <c r="AR66" i="83"/>
  <c r="J57" i="84"/>
  <c r="H57" i="84"/>
  <c r="AP57" i="84"/>
  <c r="AQ57" i="84"/>
  <c r="E57" i="28"/>
  <c r="K56" i="85"/>
  <c r="F57" i="28" s="1"/>
  <c r="AA57" i="85" l="1"/>
  <c r="AD57" i="85" s="1"/>
  <c r="P57" i="84" s="1"/>
  <c r="AR58" i="84" s="1"/>
  <c r="U57" i="83"/>
  <c r="K57" i="84"/>
  <c r="M57" i="84"/>
  <c r="N57" i="84" s="1"/>
  <c r="P57" i="85"/>
  <c r="F57" i="85" s="1"/>
  <c r="I57" i="28"/>
  <c r="H58" i="83"/>
  <c r="J58" i="83"/>
  <c r="AP58" i="83"/>
  <c r="AQ58" i="83"/>
  <c r="L56" i="85"/>
  <c r="G57" i="28" s="1"/>
  <c r="K58" i="83" l="1"/>
  <c r="M58" i="83"/>
  <c r="N58" i="83" s="1"/>
  <c r="AT57" i="84"/>
  <c r="AS57" i="84"/>
  <c r="G57" i="84" s="1"/>
  <c r="I57" i="84" s="1"/>
  <c r="C58" i="28"/>
  <c r="H57" i="85"/>
  <c r="S57" i="85" l="1"/>
  <c r="G57" i="85" s="1"/>
  <c r="O57" i="84"/>
  <c r="Q57" i="84"/>
  <c r="F58" i="84" s="1"/>
  <c r="T57" i="84"/>
  <c r="U57" i="84" s="1"/>
  <c r="T57" i="85"/>
  <c r="J57" i="85"/>
  <c r="AT58" i="83"/>
  <c r="AS58" i="83"/>
  <c r="G58" i="83" s="1"/>
  <c r="I58" i="83" s="1"/>
  <c r="O58" i="83" l="1"/>
  <c r="Q58" i="83"/>
  <c r="F59" i="83" s="1"/>
  <c r="T58" i="83"/>
  <c r="J58" i="84"/>
  <c r="H58" i="84"/>
  <c r="AQ58" i="84"/>
  <c r="AP58" i="84"/>
  <c r="K57" i="85"/>
  <c r="F58" i="28" s="1"/>
  <c r="E58" i="28"/>
  <c r="D58" i="28"/>
  <c r="N57" i="85"/>
  <c r="L57" i="85" l="1"/>
  <c r="G58" i="28" s="1"/>
  <c r="K58" i="84"/>
  <c r="M58" i="84"/>
  <c r="N58" i="84" s="1"/>
  <c r="AA58" i="85"/>
  <c r="AD58" i="85" s="1"/>
  <c r="P58" i="84" s="1"/>
  <c r="AR59" i="84" s="1"/>
  <c r="U58" i="83"/>
  <c r="P58" i="85"/>
  <c r="F58" i="85" s="1"/>
  <c r="I58" i="28"/>
  <c r="J59" i="83"/>
  <c r="H59" i="83"/>
  <c r="AP59" i="83"/>
  <c r="AQ59" i="83"/>
  <c r="C59" i="28" l="1"/>
  <c r="H58" i="85"/>
  <c r="K59" i="83"/>
  <c r="M59" i="83"/>
  <c r="N59" i="83" s="1"/>
  <c r="AT58" i="84"/>
  <c r="AS58" i="84"/>
  <c r="G58" i="84" s="1"/>
  <c r="I58" i="84" s="1"/>
  <c r="S58" i="85" l="1"/>
  <c r="G58" i="85" s="1"/>
  <c r="O58" i="84"/>
  <c r="Q58" i="84"/>
  <c r="F59" i="84" s="1"/>
  <c r="T58" i="84"/>
  <c r="U58" i="84" s="1"/>
  <c r="J58" i="85"/>
  <c r="T58" i="85"/>
  <c r="AT59" i="83"/>
  <c r="AS59" i="83"/>
  <c r="G59" i="83" s="1"/>
  <c r="I59" i="83" s="1"/>
  <c r="K58" i="85" l="1"/>
  <c r="F59" i="28" s="1"/>
  <c r="E59" i="28"/>
  <c r="O59" i="83"/>
  <c r="T59" i="83"/>
  <c r="Q59" i="83"/>
  <c r="F60" i="83" s="1"/>
  <c r="J59" i="84"/>
  <c r="H59" i="84"/>
  <c r="AQ59" i="84"/>
  <c r="AP59" i="84"/>
  <c r="D59" i="28"/>
  <c r="N58" i="85"/>
  <c r="L58" i="85" l="1"/>
  <c r="G59" i="28" s="1"/>
  <c r="J60" i="83"/>
  <c r="H60" i="83"/>
  <c r="AQ60" i="83"/>
  <c r="AP60" i="83"/>
  <c r="AA59" i="85"/>
  <c r="AD59" i="85" s="1"/>
  <c r="P59" i="84" s="1"/>
  <c r="AR60" i="84" s="1"/>
  <c r="U59" i="83"/>
  <c r="K59" i="84"/>
  <c r="M59" i="84"/>
  <c r="N59" i="84" s="1"/>
  <c r="P59" i="85"/>
  <c r="F59" i="85" s="1"/>
  <c r="I59" i="28"/>
  <c r="C60" i="28" l="1"/>
  <c r="H59" i="85"/>
  <c r="K60" i="83"/>
  <c r="M60" i="83"/>
  <c r="N60" i="83" s="1"/>
  <c r="AT59" i="84"/>
  <c r="AS59" i="84"/>
  <c r="G59" i="84" s="1"/>
  <c r="I59" i="84" s="1"/>
  <c r="S59" i="85" l="1"/>
  <c r="G59" i="85" s="1"/>
  <c r="O59" i="84"/>
  <c r="T59" i="84"/>
  <c r="U59" i="84" s="1"/>
  <c r="Q59" i="84"/>
  <c r="F60" i="84" s="1"/>
  <c r="J59" i="85"/>
  <c r="T59" i="85"/>
  <c r="AT60" i="83"/>
  <c r="AS60" i="83"/>
  <c r="G60" i="83" s="1"/>
  <c r="I60" i="83" s="1"/>
  <c r="K59" i="85" l="1"/>
  <c r="F60" i="28" s="1"/>
  <c r="E60" i="28"/>
  <c r="O60" i="83"/>
  <c r="T60" i="83"/>
  <c r="Q60" i="83"/>
  <c r="F61" i="83" s="1"/>
  <c r="J60" i="84"/>
  <c r="H60" i="84"/>
  <c r="AQ60" i="84"/>
  <c r="AP60" i="84"/>
  <c r="D60" i="28"/>
  <c r="N59" i="85"/>
  <c r="L59" i="85" l="1"/>
  <c r="G60" i="28" s="1"/>
  <c r="P60" i="85"/>
  <c r="F60" i="85" s="1"/>
  <c r="I60" i="28"/>
  <c r="K60" i="84"/>
  <c r="M60" i="84"/>
  <c r="N60" i="84" s="1"/>
  <c r="AA60" i="85"/>
  <c r="AD60" i="85" s="1"/>
  <c r="P60" i="84" s="1"/>
  <c r="AR61" i="84" s="1"/>
  <c r="U60" i="83"/>
  <c r="J61" i="83"/>
  <c r="H61" i="83"/>
  <c r="AQ61" i="83"/>
  <c r="AP61" i="83"/>
  <c r="C61" i="28" l="1"/>
  <c r="H60" i="85"/>
  <c r="K61" i="83"/>
  <c r="M61" i="83"/>
  <c r="N61" i="83" s="1"/>
  <c r="AT60" i="84"/>
  <c r="AS60" i="84"/>
  <c r="G60" i="84" s="1"/>
  <c r="I60" i="84" s="1"/>
  <c r="S60" i="85" l="1"/>
  <c r="G60" i="85" s="1"/>
  <c r="O60" i="84"/>
  <c r="T60" i="84"/>
  <c r="U60" i="84" s="1"/>
  <c r="Q60" i="84"/>
  <c r="F61" i="84" s="1"/>
  <c r="T60" i="85"/>
  <c r="J60" i="85"/>
  <c r="AT61" i="83"/>
  <c r="AS61" i="83"/>
  <c r="G61" i="83" s="1"/>
  <c r="I61" i="83" s="1"/>
  <c r="O61" i="83" l="1"/>
  <c r="T61" i="83"/>
  <c r="Q61" i="83"/>
  <c r="F62" i="83" s="1"/>
  <c r="H61" i="84"/>
  <c r="J61" i="84"/>
  <c r="AP61" i="84"/>
  <c r="AQ61" i="84"/>
  <c r="K60" i="85"/>
  <c r="F61" i="28" s="1"/>
  <c r="E61" i="28"/>
  <c r="D61" i="28"/>
  <c r="N60" i="85"/>
  <c r="H62" i="83" l="1"/>
  <c r="J62" i="83"/>
  <c r="AQ62" i="83"/>
  <c r="AP62" i="83"/>
  <c r="P61" i="85"/>
  <c r="F61" i="85" s="1"/>
  <c r="I61" i="28"/>
  <c r="K61" i="84"/>
  <c r="M61" i="84"/>
  <c r="N61" i="84" s="1"/>
  <c r="AA61" i="85"/>
  <c r="AD61" i="85" s="1"/>
  <c r="P61" i="84" s="1"/>
  <c r="AR62" i="84" s="1"/>
  <c r="U61" i="83"/>
  <c r="L60" i="85"/>
  <c r="G61" i="28" s="1"/>
  <c r="C62" i="28" l="1"/>
  <c r="H61" i="85"/>
  <c r="K62" i="83"/>
  <c r="M62" i="83"/>
  <c r="N62" i="83" s="1"/>
  <c r="AT61" i="84"/>
  <c r="AS61" i="84"/>
  <c r="G61" i="84" s="1"/>
  <c r="I61" i="84" s="1"/>
  <c r="S61" i="85" l="1"/>
  <c r="G61" i="85" s="1"/>
  <c r="O61" i="84"/>
  <c r="Q61" i="84"/>
  <c r="F62" i="84" s="1"/>
  <c r="T61" i="84"/>
  <c r="U61" i="84" s="1"/>
  <c r="AT62" i="83"/>
  <c r="AS62" i="83"/>
  <c r="G62" i="83" s="1"/>
  <c r="I62" i="83" s="1"/>
  <c r="J61" i="85"/>
  <c r="T61" i="85"/>
  <c r="E62" i="28" l="1"/>
  <c r="K61" i="85"/>
  <c r="F62" i="28" s="1"/>
  <c r="J62" i="84"/>
  <c r="H62" i="84"/>
  <c r="AP62" i="84"/>
  <c r="AQ62" i="84"/>
  <c r="O62" i="83"/>
  <c r="Q62" i="83"/>
  <c r="F63" i="83" s="1"/>
  <c r="T62" i="83"/>
  <c r="D62" i="28"/>
  <c r="N61" i="85"/>
  <c r="L61" i="85" l="1"/>
  <c r="G62" i="28" s="1"/>
  <c r="AA62" i="85"/>
  <c r="AD62" i="85" s="1"/>
  <c r="P62" i="84" s="1"/>
  <c r="AR63" i="84" s="1"/>
  <c r="U62" i="83"/>
  <c r="K62" i="84"/>
  <c r="M62" i="84"/>
  <c r="N62" i="84" s="1"/>
  <c r="J63" i="83"/>
  <c r="H63" i="83"/>
  <c r="AQ63" i="83"/>
  <c r="AP63" i="83"/>
  <c r="P62" i="85"/>
  <c r="F62" i="85" s="1"/>
  <c r="I62" i="28"/>
  <c r="K63" i="83" l="1"/>
  <c r="M63" i="83"/>
  <c r="N63" i="83" s="1"/>
  <c r="C63" i="28"/>
  <c r="H62" i="85"/>
  <c r="AT62" i="84"/>
  <c r="AS62" i="84"/>
  <c r="G62" i="84" s="1"/>
  <c r="I62" i="84" s="1"/>
  <c r="S62" i="85" l="1"/>
  <c r="G62" i="85" s="1"/>
  <c r="O62" i="84"/>
  <c r="Q62" i="84"/>
  <c r="F63" i="84" s="1"/>
  <c r="T62" i="84"/>
  <c r="U62" i="84" s="1"/>
  <c r="J62" i="85"/>
  <c r="T62" i="85"/>
  <c r="AT63" i="83"/>
  <c r="AS63" i="83"/>
  <c r="G63" i="83" s="1"/>
  <c r="I63" i="83" s="1"/>
  <c r="K62" i="85" l="1"/>
  <c r="F63" i="28" s="1"/>
  <c r="E63" i="28"/>
  <c r="O63" i="83"/>
  <c r="Q63" i="83"/>
  <c r="F64" i="83" s="1"/>
  <c r="T63" i="83"/>
  <c r="H63" i="84"/>
  <c r="J63" i="84"/>
  <c r="AP63" i="84"/>
  <c r="AQ63" i="84"/>
  <c r="D63" i="28"/>
  <c r="N62" i="85"/>
  <c r="L62" i="85" l="1"/>
  <c r="G63" i="28" s="1"/>
  <c r="J64" i="83"/>
  <c r="H64" i="83"/>
  <c r="AQ64" i="83"/>
  <c r="AP64" i="83"/>
  <c r="K63" i="84"/>
  <c r="M63" i="84"/>
  <c r="N63" i="84" s="1"/>
  <c r="P63" i="85"/>
  <c r="F63" i="85" s="1"/>
  <c r="I63" i="28"/>
  <c r="AA63" i="85"/>
  <c r="AD63" i="85" s="1"/>
  <c r="P63" i="84" s="1"/>
  <c r="AR64" i="84" s="1"/>
  <c r="U63" i="83"/>
  <c r="C64" i="28" l="1"/>
  <c r="H63" i="85"/>
  <c r="AT63" i="84"/>
  <c r="AS63" i="84"/>
  <c r="G63" i="84" s="1"/>
  <c r="I63" i="84" s="1"/>
  <c r="K64" i="83"/>
  <c r="M64" i="83"/>
  <c r="N64" i="83" s="1"/>
  <c r="AT64" i="83" l="1"/>
  <c r="AS64" i="83"/>
  <c r="G64" i="83" s="1"/>
  <c r="I64" i="83" s="1"/>
  <c r="T63" i="85"/>
  <c r="J63" i="85"/>
  <c r="S63" i="85"/>
  <c r="G63" i="85" s="1"/>
  <c r="O63" i="84"/>
  <c r="T63" i="84"/>
  <c r="U63" i="84" s="1"/>
  <c r="Q63" i="84"/>
  <c r="F64" i="84" s="1"/>
  <c r="H64" i="84" l="1"/>
  <c r="J64" i="84"/>
  <c r="AP64" i="84"/>
  <c r="AQ64" i="84"/>
  <c r="K63" i="85"/>
  <c r="F64" i="28" s="1"/>
  <c r="E64" i="28"/>
  <c r="O64" i="83"/>
  <c r="T64" i="83"/>
  <c r="Q64" i="83"/>
  <c r="F65" i="83" s="1"/>
  <c r="D64" i="28"/>
  <c r="N63" i="85"/>
  <c r="L63" i="85" l="1"/>
  <c r="G64" i="28" s="1"/>
  <c r="J65" i="83"/>
  <c r="H65" i="83"/>
  <c r="AQ65" i="83"/>
  <c r="AP65" i="83"/>
  <c r="K64" i="84"/>
  <c r="M64" i="84"/>
  <c r="N64" i="84" s="1"/>
  <c r="P64" i="85"/>
  <c r="F64" i="85" s="1"/>
  <c r="I64" i="28"/>
  <c r="AA64" i="85"/>
  <c r="AD64" i="85" s="1"/>
  <c r="P64" i="84" s="1"/>
  <c r="AR65" i="84" s="1"/>
  <c r="U64" i="83"/>
  <c r="C65" i="28" l="1"/>
  <c r="H64" i="85"/>
  <c r="AT64" i="84"/>
  <c r="AS64" i="84"/>
  <c r="G64" i="84" s="1"/>
  <c r="I64" i="84" s="1"/>
  <c r="K65" i="83"/>
  <c r="M65" i="83"/>
  <c r="N65" i="83" s="1"/>
  <c r="AT65" i="83" l="1"/>
  <c r="AS65" i="83"/>
  <c r="G65" i="83" s="1"/>
  <c r="I65" i="83" s="1"/>
  <c r="J64" i="85"/>
  <c r="T64" i="85"/>
  <c r="S64" i="85"/>
  <c r="G64" i="85" s="1"/>
  <c r="O64" i="84"/>
  <c r="T64" i="84"/>
  <c r="U64" i="84" s="1"/>
  <c r="Q64" i="84"/>
  <c r="F65" i="84" s="1"/>
  <c r="H65" i="84" l="1"/>
  <c r="J65" i="84"/>
  <c r="AQ65" i="84"/>
  <c r="AP65" i="84"/>
  <c r="E65" i="28"/>
  <c r="K64" i="85"/>
  <c r="F65" i="28" s="1"/>
  <c r="O65" i="83"/>
  <c r="Q65" i="83"/>
  <c r="F66" i="83" s="1"/>
  <c r="T65" i="83"/>
  <c r="D65" i="28"/>
  <c r="N64" i="85"/>
  <c r="AA65" i="85" l="1"/>
  <c r="AD65" i="85" s="1"/>
  <c r="P65" i="84" s="1"/>
  <c r="AR66" i="84" s="1"/>
  <c r="U65" i="83"/>
  <c r="K65" i="84"/>
  <c r="M65" i="84"/>
  <c r="N65" i="84" s="1"/>
  <c r="P65" i="85"/>
  <c r="F65" i="85" s="1"/>
  <c r="I65" i="28"/>
  <c r="H66" i="83"/>
  <c r="J66" i="83"/>
  <c r="AQ66" i="83"/>
  <c r="AP66" i="83"/>
  <c r="L64" i="85"/>
  <c r="G65" i="28" s="1"/>
  <c r="C66" i="28" l="1"/>
  <c r="H65" i="85"/>
  <c r="K66" i="83"/>
  <c r="M66" i="83"/>
  <c r="N66" i="83" s="1"/>
  <c r="AT65" i="84"/>
  <c r="AS65" i="84"/>
  <c r="G65" i="84" s="1"/>
  <c r="I65" i="84" s="1"/>
  <c r="S65" i="85" l="1"/>
  <c r="G65" i="85" s="1"/>
  <c r="O65" i="84"/>
  <c r="T65" i="84"/>
  <c r="U65" i="84" s="1"/>
  <c r="Q65" i="84"/>
  <c r="F66" i="84" s="1"/>
  <c r="T65" i="85"/>
  <c r="J65" i="85"/>
  <c r="AT66" i="83"/>
  <c r="AS66" i="83"/>
  <c r="G66" i="83" s="1"/>
  <c r="I66" i="83" s="1"/>
  <c r="O66" i="83" l="1"/>
  <c r="Q66" i="83"/>
  <c r="F67" i="83" s="1"/>
  <c r="T66" i="83"/>
  <c r="J66" i="84"/>
  <c r="H66" i="84"/>
  <c r="AQ66" i="84"/>
  <c r="AP66" i="84"/>
  <c r="E66" i="28"/>
  <c r="K65" i="85"/>
  <c r="F66" i="28" s="1"/>
  <c r="D66" i="28"/>
  <c r="N65" i="85"/>
  <c r="L65" i="85" l="1"/>
  <c r="G66" i="28" s="1"/>
  <c r="K66" i="84"/>
  <c r="M66" i="84"/>
  <c r="N66" i="84" s="1"/>
  <c r="AA66" i="85"/>
  <c r="AD66" i="85" s="1"/>
  <c r="P66" i="84" s="1"/>
  <c r="U66" i="83"/>
  <c r="V67" i="83" s="1"/>
  <c r="P66" i="85"/>
  <c r="F66" i="85" s="1"/>
  <c r="I66" i="28"/>
  <c r="AQ67" i="83"/>
  <c r="J67" i="83"/>
  <c r="H67" i="83"/>
  <c r="AP67" i="83"/>
  <c r="AR67" i="83" l="1"/>
  <c r="AR68" i="83" s="1"/>
  <c r="C67" i="28"/>
  <c r="H66" i="85"/>
  <c r="K67" i="83"/>
  <c r="AT67" i="83" s="1"/>
  <c r="M67" i="83"/>
  <c r="N67" i="83" s="1"/>
  <c r="AT66" i="84"/>
  <c r="AS66" i="84"/>
  <c r="G66" i="84" s="1"/>
  <c r="I66" i="84" s="1"/>
  <c r="J66" i="85" l="1"/>
  <c r="T66" i="85"/>
  <c r="S66" i="85"/>
  <c r="G66" i="85" s="1"/>
  <c r="O66" i="84"/>
  <c r="Q66" i="84"/>
  <c r="F67" i="84" s="1"/>
  <c r="T66" i="84"/>
  <c r="U66" i="84" s="1"/>
  <c r="V67" i="84" s="1"/>
  <c r="AR69" i="83"/>
  <c r="AS67" i="83"/>
  <c r="G67" i="83" s="1"/>
  <c r="I67" i="83" s="1"/>
  <c r="AR70" i="83" l="1"/>
  <c r="D67" i="28"/>
  <c r="N66" i="85"/>
  <c r="O67" i="83"/>
  <c r="T67" i="83"/>
  <c r="Q67" i="83"/>
  <c r="F68" i="83" s="1"/>
  <c r="AP67" i="84"/>
  <c r="AQ67" i="84"/>
  <c r="J67" i="84"/>
  <c r="H67" i="84"/>
  <c r="E67" i="28"/>
  <c r="K66" i="85"/>
  <c r="F67" i="28" s="1"/>
  <c r="K67" i="84" l="1"/>
  <c r="AT67" i="84" s="1"/>
  <c r="M67" i="84"/>
  <c r="N67" i="84" s="1"/>
  <c r="L66" i="85"/>
  <c r="G67" i="28" s="1"/>
  <c r="AA67" i="85"/>
  <c r="AD67" i="85" s="1"/>
  <c r="P67" i="84" s="1"/>
  <c r="AR68" i="84" s="1"/>
  <c r="U67" i="83"/>
  <c r="J68" i="83"/>
  <c r="H68" i="83"/>
  <c r="AP68" i="83"/>
  <c r="AQ68" i="83"/>
  <c r="AR71" i="83"/>
  <c r="AR67" i="84"/>
  <c r="P67" i="85"/>
  <c r="F67" i="85" s="1"/>
  <c r="I67" i="28"/>
  <c r="AS67" i="84" l="1"/>
  <c r="G67" i="84" s="1"/>
  <c r="I67" i="84" s="1"/>
  <c r="T67" i="84" s="1"/>
  <c r="U67" i="84" s="1"/>
  <c r="C68" i="28"/>
  <c r="H67" i="85"/>
  <c r="K68" i="83"/>
  <c r="M68" i="83"/>
  <c r="N68" i="83" s="1"/>
  <c r="AR72" i="83"/>
  <c r="Q67" i="84" l="1"/>
  <c r="F68" i="84" s="1"/>
  <c r="AQ68" i="84" s="1"/>
  <c r="O67" i="84"/>
  <c r="S67" i="85"/>
  <c r="G67" i="85" s="1"/>
  <c r="N67" i="85" s="1"/>
  <c r="I68" i="28" s="1"/>
  <c r="AR73" i="83"/>
  <c r="J68" i="84"/>
  <c r="AT68" i="83"/>
  <c r="AS68" i="83"/>
  <c r="G68" i="83" s="1"/>
  <c r="I68" i="83" s="1"/>
  <c r="T67" i="85"/>
  <c r="J67" i="85"/>
  <c r="P68" i="85"/>
  <c r="F68" i="85" s="1"/>
  <c r="D68" i="28" l="1"/>
  <c r="AP68" i="84"/>
  <c r="H68" i="84"/>
  <c r="C69" i="28"/>
  <c r="H68" i="85"/>
  <c r="E68" i="28"/>
  <c r="K67" i="85"/>
  <c r="F68" i="28" s="1"/>
  <c r="K68" i="84"/>
  <c r="M68" i="84"/>
  <c r="N68" i="84" s="1"/>
  <c r="O68" i="83"/>
  <c r="T68" i="83"/>
  <c r="Q68" i="83"/>
  <c r="F69" i="83" s="1"/>
  <c r="AR74" i="83"/>
  <c r="L67" i="85" l="1"/>
  <c r="G68" i="28" s="1"/>
  <c r="AR75" i="83"/>
  <c r="J69" i="83"/>
  <c r="H69" i="83"/>
  <c r="AQ69" i="83"/>
  <c r="AP69" i="83"/>
  <c r="J68" i="85"/>
  <c r="T68" i="85"/>
  <c r="AA68" i="85"/>
  <c r="AD68" i="85" s="1"/>
  <c r="P68" i="84" s="1"/>
  <c r="AR69" i="84" s="1"/>
  <c r="U68" i="83"/>
  <c r="AT68" i="84"/>
  <c r="AS68" i="84"/>
  <c r="G68" i="84" s="1"/>
  <c r="I68" i="84" s="1"/>
  <c r="K69" i="83" l="1"/>
  <c r="M69" i="83"/>
  <c r="N69" i="83" s="1"/>
  <c r="S68" i="85"/>
  <c r="G68" i="85" s="1"/>
  <c r="O68" i="84"/>
  <c r="Q68" i="84"/>
  <c r="F69" i="84" s="1"/>
  <c r="T68" i="84"/>
  <c r="U68" i="84" s="1"/>
  <c r="AR76" i="83"/>
  <c r="E69" i="28"/>
  <c r="K68" i="85"/>
  <c r="F69" i="28" s="1"/>
  <c r="D69" i="28" l="1"/>
  <c r="L68" i="85"/>
  <c r="G69" i="28" s="1"/>
  <c r="N68" i="85"/>
  <c r="J69" i="84"/>
  <c r="H69" i="84"/>
  <c r="AP69" i="84"/>
  <c r="AQ69" i="84"/>
  <c r="AT69" i="83"/>
  <c r="AS69" i="83"/>
  <c r="G69" i="83" s="1"/>
  <c r="I69" i="83" s="1"/>
  <c r="AR77" i="83"/>
  <c r="AR78" i="83" l="1"/>
  <c r="O69" i="83"/>
  <c r="Q69" i="83"/>
  <c r="F70" i="83" s="1"/>
  <c r="T69" i="83"/>
  <c r="P69" i="85"/>
  <c r="F69" i="85" s="1"/>
  <c r="I69" i="28"/>
  <c r="K69" i="84"/>
  <c r="M69" i="84"/>
  <c r="N69" i="84" s="1"/>
  <c r="C70" i="28" l="1"/>
  <c r="H69" i="85"/>
  <c r="J70" i="83"/>
  <c r="H70" i="83"/>
  <c r="AP70" i="83"/>
  <c r="AQ70" i="83"/>
  <c r="AT69" i="84"/>
  <c r="AS69" i="84"/>
  <c r="G69" i="84" s="1"/>
  <c r="I69" i="84" s="1"/>
  <c r="AA69" i="85"/>
  <c r="AD69" i="85" s="1"/>
  <c r="P69" i="84" s="1"/>
  <c r="AR70" i="84" s="1"/>
  <c r="U69" i="83"/>
  <c r="S69" i="85" l="1"/>
  <c r="G69" i="85" s="1"/>
  <c r="O69" i="84"/>
  <c r="T69" i="84"/>
  <c r="U69" i="84" s="1"/>
  <c r="Q69" i="84"/>
  <c r="F70" i="84" s="1"/>
  <c r="J69" i="85"/>
  <c r="T69" i="85"/>
  <c r="K70" i="83"/>
  <c r="M70" i="83"/>
  <c r="N70" i="83" s="1"/>
  <c r="K69" i="85" l="1"/>
  <c r="F70" i="28" s="1"/>
  <c r="E70" i="28"/>
  <c r="J70" i="84"/>
  <c r="H70" i="84"/>
  <c r="AQ70" i="84"/>
  <c r="AP70" i="84"/>
  <c r="AT70" i="83"/>
  <c r="AS70" i="83"/>
  <c r="G70" i="83" s="1"/>
  <c r="I70" i="83" s="1"/>
  <c r="D70" i="28"/>
  <c r="N69" i="85"/>
  <c r="L69" i="85" l="1"/>
  <c r="G70" i="28" s="1"/>
  <c r="K70" i="84"/>
  <c r="M70" i="84"/>
  <c r="N70" i="84" s="1"/>
  <c r="O70" i="83"/>
  <c r="T70" i="83"/>
  <c r="Q70" i="83"/>
  <c r="F71" i="83" s="1"/>
  <c r="P70" i="85"/>
  <c r="F70" i="85" s="1"/>
  <c r="I70" i="28"/>
  <c r="AA70" i="85" l="1"/>
  <c r="AD70" i="85" s="1"/>
  <c r="P70" i="84" s="1"/>
  <c r="AR71" i="84" s="1"/>
  <c r="U70" i="83"/>
  <c r="C71" i="28"/>
  <c r="H70" i="85"/>
  <c r="J71" i="83"/>
  <c r="H71" i="83"/>
  <c r="AP71" i="83"/>
  <c r="AQ71" i="83"/>
  <c r="AT70" i="84"/>
  <c r="AS70" i="84"/>
  <c r="G70" i="84" s="1"/>
  <c r="I70" i="84" s="1"/>
  <c r="K71" i="83" l="1"/>
  <c r="M71" i="83"/>
  <c r="N71" i="83" s="1"/>
  <c r="S70" i="85"/>
  <c r="G70" i="85" s="1"/>
  <c r="O70" i="84"/>
  <c r="Q70" i="84"/>
  <c r="F71" i="84" s="1"/>
  <c r="T70" i="84"/>
  <c r="U70" i="84" s="1"/>
  <c r="T70" i="85"/>
  <c r="J70" i="85"/>
  <c r="K70" i="85" l="1"/>
  <c r="F71" i="28" s="1"/>
  <c r="E71" i="28"/>
  <c r="D71" i="28"/>
  <c r="N70" i="85"/>
  <c r="H71" i="84"/>
  <c r="J71" i="84"/>
  <c r="AP71" i="84"/>
  <c r="AQ71" i="84"/>
  <c r="AT71" i="83"/>
  <c r="AS71" i="83"/>
  <c r="G71" i="83" s="1"/>
  <c r="I71" i="83" s="1"/>
  <c r="P71" i="85" l="1"/>
  <c r="F71" i="85" s="1"/>
  <c r="I71" i="28"/>
  <c r="K71" i="84"/>
  <c r="M71" i="84"/>
  <c r="N71" i="84" s="1"/>
  <c r="L70" i="85"/>
  <c r="G71" i="28" s="1"/>
  <c r="O71" i="83"/>
  <c r="T71" i="83"/>
  <c r="Q71" i="83"/>
  <c r="F72" i="83" s="1"/>
  <c r="C72" i="28" l="1"/>
  <c r="H71" i="85"/>
  <c r="H72" i="83"/>
  <c r="J72" i="83"/>
  <c r="AP72" i="83"/>
  <c r="AQ72" i="83"/>
  <c r="AA71" i="85"/>
  <c r="AD71" i="85" s="1"/>
  <c r="P71" i="84" s="1"/>
  <c r="AR72" i="84" s="1"/>
  <c r="U71" i="83"/>
  <c r="AT71" i="84"/>
  <c r="AS71" i="84"/>
  <c r="G71" i="84" s="1"/>
  <c r="I71" i="84" s="1"/>
  <c r="K72" i="83" l="1"/>
  <c r="M72" i="83"/>
  <c r="N72" i="83" s="1"/>
  <c r="T71" i="85"/>
  <c r="J71" i="85"/>
  <c r="S71" i="85"/>
  <c r="G71" i="85" s="1"/>
  <c r="O71" i="84"/>
  <c r="Q71" i="84"/>
  <c r="F72" i="84" s="1"/>
  <c r="T71" i="84"/>
  <c r="U71" i="84" s="1"/>
  <c r="J72" i="84" l="1"/>
  <c r="H72" i="84"/>
  <c r="AP72" i="84"/>
  <c r="AQ72" i="84"/>
  <c r="E72" i="28"/>
  <c r="K71" i="85"/>
  <c r="F72" i="28" s="1"/>
  <c r="D72" i="28"/>
  <c r="L71" i="85"/>
  <c r="G72" i="28" s="1"/>
  <c r="N71" i="85"/>
  <c r="AT72" i="83"/>
  <c r="AS72" i="83"/>
  <c r="G72" i="83" s="1"/>
  <c r="I72" i="83" s="1"/>
  <c r="P72" i="85" l="1"/>
  <c r="F72" i="85" s="1"/>
  <c r="I72" i="28"/>
  <c r="O72" i="83"/>
  <c r="Q72" i="83"/>
  <c r="F73" i="83" s="1"/>
  <c r="T72" i="83"/>
  <c r="K72" i="84"/>
  <c r="M72" i="84"/>
  <c r="N72" i="84" s="1"/>
  <c r="J73" i="83" l="1"/>
  <c r="H73" i="83"/>
  <c r="AQ73" i="83"/>
  <c r="AP73" i="83"/>
  <c r="AT72" i="84"/>
  <c r="AS72" i="84"/>
  <c r="G72" i="84" s="1"/>
  <c r="I72" i="84" s="1"/>
  <c r="AA72" i="85"/>
  <c r="AD72" i="85" s="1"/>
  <c r="P72" i="84" s="1"/>
  <c r="AR73" i="84" s="1"/>
  <c r="U72" i="83"/>
  <c r="C73" i="28"/>
  <c r="H72" i="85"/>
  <c r="S72" i="85" l="1"/>
  <c r="G72" i="85" s="1"/>
  <c r="O72" i="84"/>
  <c r="Q72" i="84"/>
  <c r="F73" i="84" s="1"/>
  <c r="T72" i="84"/>
  <c r="U72" i="84" s="1"/>
  <c r="J72" i="85"/>
  <c r="T72" i="85"/>
  <c r="K73" i="83"/>
  <c r="M73" i="83"/>
  <c r="N73" i="83" s="1"/>
  <c r="E73" i="28" l="1"/>
  <c r="K72" i="85"/>
  <c r="F73" i="28" s="1"/>
  <c r="AT73" i="83"/>
  <c r="AS73" i="83"/>
  <c r="G73" i="83" s="1"/>
  <c r="I73" i="83" s="1"/>
  <c r="J73" i="84"/>
  <c r="H73" i="84"/>
  <c r="AP73" i="84"/>
  <c r="AQ73" i="84"/>
  <c r="D73" i="28"/>
  <c r="L72" i="85"/>
  <c r="G73" i="28" s="1"/>
  <c r="N72" i="85"/>
  <c r="O73" i="83" l="1"/>
  <c r="Q73" i="83"/>
  <c r="F74" i="83" s="1"/>
  <c r="T73" i="83"/>
  <c r="K73" i="84"/>
  <c r="M73" i="84"/>
  <c r="N73" i="84" s="1"/>
  <c r="P73" i="85"/>
  <c r="F73" i="85" s="1"/>
  <c r="I73" i="28"/>
  <c r="AT73" i="84" l="1"/>
  <c r="AS73" i="84"/>
  <c r="G73" i="84" s="1"/>
  <c r="I73" i="84" s="1"/>
  <c r="C74" i="28"/>
  <c r="H73" i="85"/>
  <c r="AA73" i="85"/>
  <c r="AD73" i="85" s="1"/>
  <c r="P73" i="84" s="1"/>
  <c r="AR74" i="84" s="1"/>
  <c r="U73" i="83"/>
  <c r="J74" i="83"/>
  <c r="H74" i="83"/>
  <c r="AP74" i="83"/>
  <c r="AQ74" i="83"/>
  <c r="K74" i="83" l="1"/>
  <c r="M74" i="83"/>
  <c r="N74" i="83" s="1"/>
  <c r="S73" i="85"/>
  <c r="G73" i="85" s="1"/>
  <c r="O73" i="84"/>
  <c r="Q73" i="84"/>
  <c r="F74" i="84" s="1"/>
  <c r="T73" i="84"/>
  <c r="U73" i="84" s="1"/>
  <c r="J73" i="85"/>
  <c r="T73" i="85"/>
  <c r="K73" i="85" l="1"/>
  <c r="F74" i="28" s="1"/>
  <c r="E74" i="28"/>
  <c r="D74" i="28"/>
  <c r="N73" i="85"/>
  <c r="J74" i="84"/>
  <c r="H74" i="84"/>
  <c r="AQ74" i="84"/>
  <c r="AP74" i="84"/>
  <c r="AT74" i="83"/>
  <c r="AS74" i="83"/>
  <c r="G74" i="83" s="1"/>
  <c r="I74" i="83" s="1"/>
  <c r="P74" i="85" l="1"/>
  <c r="F74" i="85" s="1"/>
  <c r="I74" i="28"/>
  <c r="L73" i="85"/>
  <c r="G74" i="28" s="1"/>
  <c r="K74" i="84"/>
  <c r="M74" i="84"/>
  <c r="N74" i="84" s="1"/>
  <c r="O74" i="83"/>
  <c r="T74" i="83"/>
  <c r="Q74" i="83"/>
  <c r="F75" i="83" s="1"/>
  <c r="J75" i="83" l="1"/>
  <c r="H75" i="83"/>
  <c r="AP75" i="83"/>
  <c r="AQ75" i="83"/>
  <c r="AT74" i="84"/>
  <c r="AS74" i="84"/>
  <c r="G74" i="84" s="1"/>
  <c r="I74" i="84" s="1"/>
  <c r="AA74" i="85"/>
  <c r="AD74" i="85" s="1"/>
  <c r="P74" i="84" s="1"/>
  <c r="AR75" i="84" s="1"/>
  <c r="U74" i="83"/>
  <c r="C75" i="28"/>
  <c r="H74" i="85"/>
  <c r="T74" i="85" l="1"/>
  <c r="J74" i="85"/>
  <c r="S74" i="85"/>
  <c r="G74" i="85" s="1"/>
  <c r="O74" i="84"/>
  <c r="T74" i="84"/>
  <c r="U74" i="84" s="1"/>
  <c r="Q74" i="84"/>
  <c r="F75" i="84" s="1"/>
  <c r="K75" i="83"/>
  <c r="M75" i="83"/>
  <c r="N75" i="83" s="1"/>
  <c r="AT75" i="83" l="1"/>
  <c r="AS75" i="83"/>
  <c r="G75" i="83" s="1"/>
  <c r="I75" i="83" s="1"/>
  <c r="D75" i="28"/>
  <c r="N74" i="85"/>
  <c r="H75" i="84"/>
  <c r="J75" i="84"/>
  <c r="AQ75" i="84"/>
  <c r="AP75" i="84"/>
  <c r="E75" i="28"/>
  <c r="K74" i="85"/>
  <c r="F75" i="28" s="1"/>
  <c r="K75" i="84" l="1"/>
  <c r="M75" i="84"/>
  <c r="N75" i="84" s="1"/>
  <c r="L74" i="85"/>
  <c r="G75" i="28" s="1"/>
  <c r="O75" i="83"/>
  <c r="Q75" i="83"/>
  <c r="F76" i="83" s="1"/>
  <c r="T75" i="83"/>
  <c r="P75" i="85"/>
  <c r="F75" i="85"/>
  <c r="I75" i="28"/>
  <c r="J76" i="83" l="1"/>
  <c r="H76" i="83"/>
  <c r="AP76" i="83"/>
  <c r="AQ76" i="83"/>
  <c r="C76" i="28"/>
  <c r="H75" i="85"/>
  <c r="AA75" i="85"/>
  <c r="AD75" i="85" s="1"/>
  <c r="P75" i="84" s="1"/>
  <c r="AR76" i="84" s="1"/>
  <c r="U75" i="83"/>
  <c r="AT75" i="84"/>
  <c r="AS75" i="84"/>
  <c r="G75" i="84" s="1"/>
  <c r="I75" i="84" s="1"/>
  <c r="K76" i="83" l="1"/>
  <c r="M76" i="83"/>
  <c r="N76" i="83" s="1"/>
  <c r="S75" i="85"/>
  <c r="G75" i="85" s="1"/>
  <c r="O75" i="84"/>
  <c r="Q75" i="84"/>
  <c r="F76" i="84" s="1"/>
  <c r="T75" i="84"/>
  <c r="U75" i="84" s="1"/>
  <c r="T75" i="85"/>
  <c r="J75" i="85"/>
  <c r="D76" i="28" l="1"/>
  <c r="N75" i="85"/>
  <c r="J76" i="84"/>
  <c r="H76" i="84"/>
  <c r="AQ76" i="84"/>
  <c r="AP76" i="84"/>
  <c r="K75" i="85"/>
  <c r="F76" i="28" s="1"/>
  <c r="E76" i="28"/>
  <c r="AT76" i="83"/>
  <c r="AS76" i="83"/>
  <c r="G76" i="83" s="1"/>
  <c r="I76" i="83" s="1"/>
  <c r="K76" i="84" l="1"/>
  <c r="M76" i="84"/>
  <c r="N76" i="84" s="1"/>
  <c r="P76" i="85"/>
  <c r="F76" i="85" s="1"/>
  <c r="I76" i="28"/>
  <c r="O76" i="83"/>
  <c r="T76" i="83"/>
  <c r="Q76" i="83"/>
  <c r="F77" i="83" s="1"/>
  <c r="L75" i="85"/>
  <c r="G76" i="28" s="1"/>
  <c r="C77" i="28" l="1"/>
  <c r="H76" i="85"/>
  <c r="J77" i="83"/>
  <c r="H77" i="83"/>
  <c r="AP77" i="83"/>
  <c r="AQ77" i="83"/>
  <c r="AA76" i="85"/>
  <c r="AD76" i="85" s="1"/>
  <c r="P76" i="84" s="1"/>
  <c r="AR77" i="84" s="1"/>
  <c r="U76" i="83"/>
  <c r="AT76" i="84"/>
  <c r="AS76" i="84"/>
  <c r="G76" i="84" s="1"/>
  <c r="I76" i="84" s="1"/>
  <c r="K77" i="83" l="1"/>
  <c r="M77" i="83"/>
  <c r="N77" i="83" s="1"/>
  <c r="J76" i="85"/>
  <c r="T76" i="85"/>
  <c r="S76" i="85"/>
  <c r="G76" i="85" s="1"/>
  <c r="O76" i="84"/>
  <c r="Q76" i="84"/>
  <c r="F77" i="84" s="1"/>
  <c r="T76" i="84"/>
  <c r="U76" i="84" s="1"/>
  <c r="H77" i="84" l="1"/>
  <c r="J77" i="84"/>
  <c r="AP77" i="84"/>
  <c r="AQ77" i="84"/>
  <c r="K76" i="85"/>
  <c r="F77" i="28" s="1"/>
  <c r="E77" i="28"/>
  <c r="D77" i="28"/>
  <c r="N76" i="85"/>
  <c r="AT77" i="83"/>
  <c r="AS77" i="83"/>
  <c r="G77" i="83" s="1"/>
  <c r="I77" i="83" s="1"/>
  <c r="L76" i="85" l="1"/>
  <c r="G77" i="28" s="1"/>
  <c r="P77" i="85"/>
  <c r="F77" i="85" s="1"/>
  <c r="I77" i="28"/>
  <c r="K77" i="84"/>
  <c r="M77" i="84"/>
  <c r="N77" i="84" s="1"/>
  <c r="O77" i="83"/>
  <c r="Q77" i="83"/>
  <c r="F78" i="83" s="1"/>
  <c r="T77" i="83"/>
  <c r="H78" i="83" l="1"/>
  <c r="J78" i="83"/>
  <c r="AP78" i="83"/>
  <c r="AQ78" i="83"/>
  <c r="AA77" i="85"/>
  <c r="AD77" i="85" s="1"/>
  <c r="P77" i="84" s="1"/>
  <c r="AR78" i="84" s="1"/>
  <c r="U77" i="83"/>
  <c r="AT77" i="84"/>
  <c r="AS77" i="84"/>
  <c r="G77" i="84" s="1"/>
  <c r="I77" i="84" s="1"/>
  <c r="C78" i="28"/>
  <c r="H77" i="85"/>
  <c r="J77" i="85" l="1"/>
  <c r="T77" i="85"/>
  <c r="K78" i="83"/>
  <c r="M78" i="83"/>
  <c r="N78" i="83" s="1"/>
  <c r="S77" i="85"/>
  <c r="G77" i="85" s="1"/>
  <c r="O77" i="84"/>
  <c r="T77" i="84"/>
  <c r="U77" i="84" s="1"/>
  <c r="Q77" i="84"/>
  <c r="F78" i="84" s="1"/>
  <c r="AT78" i="83" l="1"/>
  <c r="AS78" i="83"/>
  <c r="G78" i="83" s="1"/>
  <c r="I78" i="83" s="1"/>
  <c r="D78" i="28"/>
  <c r="N77" i="85"/>
  <c r="J78" i="84"/>
  <c r="H78" i="84"/>
  <c r="AP78" i="84"/>
  <c r="AQ78" i="84"/>
  <c r="E78" i="28"/>
  <c r="K77" i="85"/>
  <c r="F78" i="28" s="1"/>
  <c r="L77" i="85" l="1"/>
  <c r="G78" i="28" s="1"/>
  <c r="K78" i="84"/>
  <c r="M78" i="84"/>
  <c r="N78" i="84" s="1"/>
  <c r="O78" i="83"/>
  <c r="T78" i="83"/>
  <c r="Q78" i="83"/>
  <c r="F79" i="83" s="1"/>
  <c r="P78" i="85"/>
  <c r="F78" i="85"/>
  <c r="I78" i="28"/>
  <c r="AA78" i="85" l="1"/>
  <c r="AD78" i="85" s="1"/>
  <c r="P78" i="84" s="1"/>
  <c r="U78" i="83"/>
  <c r="V79" i="83" s="1"/>
  <c r="C79" i="28"/>
  <c r="H78" i="85"/>
  <c r="AQ79" i="83"/>
  <c r="H79" i="83"/>
  <c r="AP79" i="83"/>
  <c r="J79" i="83"/>
  <c r="AT78" i="84"/>
  <c r="AS78" i="84"/>
  <c r="G78" i="84" s="1"/>
  <c r="I78" i="84" s="1"/>
  <c r="AR79" i="83" l="1"/>
  <c r="S78" i="85"/>
  <c r="G78" i="85" s="1"/>
  <c r="O78" i="84"/>
  <c r="T78" i="84"/>
  <c r="U78" i="84" s="1"/>
  <c r="V79" i="84" s="1"/>
  <c r="Q78" i="84"/>
  <c r="F79" i="84" s="1"/>
  <c r="K79" i="83"/>
  <c r="AT79" i="83" s="1"/>
  <c r="M79" i="83"/>
  <c r="N79" i="83" s="1"/>
  <c r="T78" i="85"/>
  <c r="J78" i="85"/>
  <c r="D79" i="28" l="1"/>
  <c r="N78" i="85"/>
  <c r="K78" i="85"/>
  <c r="F79" i="28" s="1"/>
  <c r="E79" i="28"/>
  <c r="AP79" i="84"/>
  <c r="H79" i="84"/>
  <c r="AQ79" i="84"/>
  <c r="J79" i="84"/>
  <c r="AS79" i="83"/>
  <c r="G79" i="83" s="1"/>
  <c r="I79" i="83" s="1"/>
  <c r="AR80" i="83"/>
  <c r="O79" i="83" l="1"/>
  <c r="T79" i="83"/>
  <c r="Q79" i="83"/>
  <c r="F80" i="83" s="1"/>
  <c r="P79" i="85"/>
  <c r="F79" i="85" s="1"/>
  <c r="I79" i="28"/>
  <c r="K79" i="84"/>
  <c r="AT79" i="84" s="1"/>
  <c r="M79" i="84"/>
  <c r="N79" i="84" s="1"/>
  <c r="AR79" i="84"/>
  <c r="AS79" i="84" s="1"/>
  <c r="G79" i="84" s="1"/>
  <c r="I79" i="84" s="1"/>
  <c r="L78" i="85"/>
  <c r="G79" i="28" s="1"/>
  <c r="AR81" i="83"/>
  <c r="C80" i="28" l="1"/>
  <c r="H79" i="85"/>
  <c r="H80" i="83"/>
  <c r="J80" i="83"/>
  <c r="AP80" i="83"/>
  <c r="AQ80" i="83"/>
  <c r="AR82" i="83"/>
  <c r="AA79" i="85"/>
  <c r="AD79" i="85" s="1"/>
  <c r="P79" i="84" s="1"/>
  <c r="AR80" i="84" s="1"/>
  <c r="U79" i="83"/>
  <c r="S79" i="85"/>
  <c r="G79" i="85" s="1"/>
  <c r="O79" i="84"/>
  <c r="AR83" i="83" l="1"/>
  <c r="T79" i="85"/>
  <c r="J79" i="85"/>
  <c r="D80" i="28"/>
  <c r="K80" i="83"/>
  <c r="M80" i="83"/>
  <c r="N80" i="83" s="1"/>
  <c r="Q79" i="84"/>
  <c r="F80" i="84" s="1"/>
  <c r="T79" i="84"/>
  <c r="U79" i="84" s="1"/>
  <c r="N79" i="85"/>
  <c r="AR84" i="83" l="1"/>
  <c r="P80" i="85"/>
  <c r="F80" i="85" s="1"/>
  <c r="I80" i="28"/>
  <c r="J80" i="84"/>
  <c r="H80" i="84"/>
  <c r="AP80" i="84"/>
  <c r="AQ80" i="84"/>
  <c r="AT80" i="83"/>
  <c r="AS80" i="83"/>
  <c r="G80" i="83" s="1"/>
  <c r="I80" i="83" s="1"/>
  <c r="E80" i="28"/>
  <c r="K79" i="85"/>
  <c r="C81" i="28" l="1"/>
  <c r="H80" i="85"/>
  <c r="F80" i="28"/>
  <c r="L79" i="85"/>
  <c r="G80" i="28" s="1"/>
  <c r="K80" i="84"/>
  <c r="M80" i="84"/>
  <c r="N80" i="84" s="1"/>
  <c r="AR85" i="83"/>
  <c r="O80" i="83"/>
  <c r="T80" i="83"/>
  <c r="Q80" i="83"/>
  <c r="F81" i="83" s="1"/>
  <c r="J81" i="83" l="1"/>
  <c r="H81" i="83"/>
  <c r="AP81" i="83"/>
  <c r="AQ81" i="83"/>
  <c r="AA80" i="85"/>
  <c r="AD80" i="85" s="1"/>
  <c r="P80" i="84" s="1"/>
  <c r="AR81" i="84" s="1"/>
  <c r="U80" i="83"/>
  <c r="T80" i="85"/>
  <c r="J80" i="85"/>
  <c r="AT80" i="84"/>
  <c r="AS80" i="84"/>
  <c r="G80" i="84" s="1"/>
  <c r="I80" i="84" s="1"/>
  <c r="AR86" i="83"/>
  <c r="S80" i="85" l="1"/>
  <c r="G80" i="85" s="1"/>
  <c r="O80" i="84"/>
  <c r="T80" i="84"/>
  <c r="U80" i="84" s="1"/>
  <c r="Q80" i="84"/>
  <c r="F81" i="84" s="1"/>
  <c r="AR87" i="83"/>
  <c r="E81" i="28"/>
  <c r="K80" i="85"/>
  <c r="F81" i="28" s="1"/>
  <c r="K81" i="83"/>
  <c r="M81" i="83"/>
  <c r="N81" i="83" s="1"/>
  <c r="J81" i="84" l="1"/>
  <c r="H81" i="84"/>
  <c r="AQ81" i="84"/>
  <c r="AP81" i="84"/>
  <c r="AR88" i="83"/>
  <c r="AT81" i="83"/>
  <c r="AS81" i="83"/>
  <c r="G81" i="83" s="1"/>
  <c r="I81" i="83" s="1"/>
  <c r="D81" i="28"/>
  <c r="L80" i="85"/>
  <c r="G81" i="28" s="1"/>
  <c r="N80" i="85"/>
  <c r="AR89" i="83" l="1"/>
  <c r="O81" i="83"/>
  <c r="T81" i="83"/>
  <c r="Q81" i="83"/>
  <c r="F82" i="83" s="1"/>
  <c r="P81" i="85"/>
  <c r="F81" i="85" s="1"/>
  <c r="I81" i="28"/>
  <c r="K81" i="84"/>
  <c r="M81" i="84"/>
  <c r="N81" i="84" s="1"/>
  <c r="C82" i="28" l="1"/>
  <c r="H81" i="85"/>
  <c r="AA81" i="85"/>
  <c r="AD81" i="85" s="1"/>
  <c r="P81" i="84" s="1"/>
  <c r="AR82" i="84" s="1"/>
  <c r="U81" i="83"/>
  <c r="AT81" i="84"/>
  <c r="AS81" i="84"/>
  <c r="G81" i="84" s="1"/>
  <c r="I81" i="84" s="1"/>
  <c r="J82" i="83"/>
  <c r="H82" i="83"/>
  <c r="AP82" i="83"/>
  <c r="AQ82" i="83"/>
  <c r="AR90" i="83"/>
  <c r="K82" i="83" l="1"/>
  <c r="M82" i="83"/>
  <c r="N82" i="83" s="1"/>
  <c r="S81" i="85"/>
  <c r="G81" i="85" s="1"/>
  <c r="O81" i="84"/>
  <c r="Q81" i="84"/>
  <c r="F82" i="84" s="1"/>
  <c r="T81" i="84"/>
  <c r="U81" i="84" s="1"/>
  <c r="T81" i="85"/>
  <c r="J81" i="85"/>
  <c r="D82" i="28" l="1"/>
  <c r="N81" i="85"/>
  <c r="J82" i="84"/>
  <c r="H82" i="84"/>
  <c r="AP82" i="84"/>
  <c r="AQ82" i="84"/>
  <c r="K81" i="85"/>
  <c r="F82" i="28" s="1"/>
  <c r="E82" i="28"/>
  <c r="AT82" i="83"/>
  <c r="AS82" i="83"/>
  <c r="G82" i="83" s="1"/>
  <c r="I82" i="83" s="1"/>
  <c r="L81" i="85" l="1"/>
  <c r="G82" i="28" s="1"/>
  <c r="K82" i="84"/>
  <c r="M82" i="84"/>
  <c r="N82" i="84" s="1"/>
  <c r="P82" i="85"/>
  <c r="F82" i="85" s="1"/>
  <c r="I82" i="28"/>
  <c r="O82" i="83"/>
  <c r="Q82" i="83"/>
  <c r="F83" i="83" s="1"/>
  <c r="T82" i="83"/>
  <c r="J83" i="83" l="1"/>
  <c r="H83" i="83"/>
  <c r="AQ83" i="83"/>
  <c r="AP83" i="83"/>
  <c r="C83" i="28"/>
  <c r="H82" i="85"/>
  <c r="AT82" i="84"/>
  <c r="AS82" i="84"/>
  <c r="G82" i="84" s="1"/>
  <c r="I82" i="84" s="1"/>
  <c r="AA82" i="85"/>
  <c r="AD82" i="85" s="1"/>
  <c r="P82" i="84" s="1"/>
  <c r="AR83" i="84" s="1"/>
  <c r="U82" i="83"/>
  <c r="S82" i="85" l="1"/>
  <c r="G82" i="85" s="1"/>
  <c r="O82" i="84"/>
  <c r="T82" i="84"/>
  <c r="U82" i="84" s="1"/>
  <c r="Q82" i="84"/>
  <c r="F83" i="84" s="1"/>
  <c r="T82" i="85"/>
  <c r="J82" i="85"/>
  <c r="K83" i="83"/>
  <c r="M83" i="83"/>
  <c r="N83" i="83" s="1"/>
  <c r="AT83" i="83" l="1"/>
  <c r="AS83" i="83"/>
  <c r="G83" i="83" s="1"/>
  <c r="I83" i="83" s="1"/>
  <c r="K82" i="85"/>
  <c r="F83" i="28" s="1"/>
  <c r="E83" i="28"/>
  <c r="D83" i="28"/>
  <c r="N82" i="85"/>
  <c r="H83" i="84"/>
  <c r="J83" i="84"/>
  <c r="AP83" i="84"/>
  <c r="AQ83" i="84"/>
  <c r="L82" i="85" l="1"/>
  <c r="G83" i="28" s="1"/>
  <c r="K83" i="84"/>
  <c r="M83" i="84"/>
  <c r="N83" i="84" s="1"/>
  <c r="P83" i="85"/>
  <c r="F83" i="85" s="1"/>
  <c r="I83" i="28"/>
  <c r="O83" i="83"/>
  <c r="T83" i="83"/>
  <c r="Q83" i="83"/>
  <c r="F84" i="83" s="1"/>
  <c r="H83" i="85" l="1"/>
  <c r="C84" i="28"/>
  <c r="H84" i="83"/>
  <c r="J84" i="83"/>
  <c r="AP84" i="83"/>
  <c r="AQ84" i="83"/>
  <c r="AA83" i="85"/>
  <c r="AD83" i="85" s="1"/>
  <c r="P83" i="84" s="1"/>
  <c r="AR84" i="84" s="1"/>
  <c r="U83" i="83"/>
  <c r="AT83" i="84"/>
  <c r="AS83" i="84"/>
  <c r="G83" i="84" s="1"/>
  <c r="I83" i="84" s="1"/>
  <c r="J83" i="85" l="1"/>
  <c r="T83" i="85"/>
  <c r="K84" i="83"/>
  <c r="M84" i="83"/>
  <c r="N84" i="83" s="1"/>
  <c r="S83" i="85"/>
  <c r="G83" i="85" s="1"/>
  <c r="O83" i="84"/>
  <c r="T83" i="84"/>
  <c r="U83" i="84" s="1"/>
  <c r="Q83" i="84"/>
  <c r="F84" i="84" s="1"/>
  <c r="AT84" i="83" l="1"/>
  <c r="AS84" i="83"/>
  <c r="G84" i="83" s="1"/>
  <c r="I84" i="83" s="1"/>
  <c r="D84" i="28"/>
  <c r="N83" i="85"/>
  <c r="J84" i="84"/>
  <c r="H84" i="84"/>
  <c r="AQ84" i="84"/>
  <c r="AP84" i="84"/>
  <c r="K83" i="85"/>
  <c r="F84" i="28" s="1"/>
  <c r="E84" i="28"/>
  <c r="K84" i="84" l="1"/>
  <c r="M84" i="84"/>
  <c r="N84" i="84" s="1"/>
  <c r="L83" i="85"/>
  <c r="G84" i="28" s="1"/>
  <c r="O84" i="83"/>
  <c r="Q84" i="83"/>
  <c r="F85" i="83" s="1"/>
  <c r="T84" i="83"/>
  <c r="P84" i="85"/>
  <c r="F84" i="85" s="1"/>
  <c r="I84" i="28"/>
  <c r="C85" i="28" l="1"/>
  <c r="H84" i="85"/>
  <c r="AA84" i="85"/>
  <c r="AD84" i="85" s="1"/>
  <c r="P84" i="84" s="1"/>
  <c r="AR85" i="84" s="1"/>
  <c r="U84" i="83"/>
  <c r="J85" i="83"/>
  <c r="H85" i="83"/>
  <c r="AP85" i="83"/>
  <c r="AQ85" i="83"/>
  <c r="AT84" i="84"/>
  <c r="AS84" i="84"/>
  <c r="G84" i="84" s="1"/>
  <c r="I84" i="84" s="1"/>
  <c r="J84" i="85" l="1"/>
  <c r="T84" i="85"/>
  <c r="K85" i="83"/>
  <c r="M85" i="83"/>
  <c r="N85" i="83" s="1"/>
  <c r="S84" i="85"/>
  <c r="G84" i="85" s="1"/>
  <c r="O84" i="84"/>
  <c r="Q84" i="84"/>
  <c r="F85" i="84" s="1"/>
  <c r="T84" i="84"/>
  <c r="U84" i="84" s="1"/>
  <c r="J85" i="84" l="1"/>
  <c r="H85" i="84"/>
  <c r="AQ85" i="84"/>
  <c r="AP85" i="84"/>
  <c r="AT85" i="83"/>
  <c r="AS85" i="83"/>
  <c r="G85" i="83" s="1"/>
  <c r="I85" i="83" s="1"/>
  <c r="D85" i="28"/>
  <c r="N84" i="85"/>
  <c r="K84" i="85"/>
  <c r="F85" i="28" s="1"/>
  <c r="E85" i="28"/>
  <c r="O85" i="83" l="1"/>
  <c r="Q85" i="83"/>
  <c r="F86" i="83" s="1"/>
  <c r="T85" i="83"/>
  <c r="P85" i="85"/>
  <c r="F85" i="85" s="1"/>
  <c r="I85" i="28"/>
  <c r="L84" i="85"/>
  <c r="G85" i="28" s="1"/>
  <c r="K85" i="84"/>
  <c r="M85" i="84"/>
  <c r="N85" i="84" s="1"/>
  <c r="C86" i="28" l="1"/>
  <c r="H85" i="85"/>
  <c r="AT85" i="84"/>
  <c r="AS85" i="84"/>
  <c r="G85" i="84" s="1"/>
  <c r="I85" i="84" s="1"/>
  <c r="AA85" i="85"/>
  <c r="AD85" i="85" s="1"/>
  <c r="P85" i="84" s="1"/>
  <c r="AR86" i="84" s="1"/>
  <c r="U85" i="83"/>
  <c r="J86" i="83"/>
  <c r="H86" i="83"/>
  <c r="AP86" i="83"/>
  <c r="AQ86" i="83"/>
  <c r="K86" i="83" l="1"/>
  <c r="M86" i="83"/>
  <c r="N86" i="83" s="1"/>
  <c r="J85" i="85"/>
  <c r="T85" i="85"/>
  <c r="S85" i="85"/>
  <c r="G85" i="85" s="1"/>
  <c r="O85" i="84"/>
  <c r="Q85" i="84"/>
  <c r="F86" i="84" s="1"/>
  <c r="T85" i="84"/>
  <c r="U85" i="84" s="1"/>
  <c r="J86" i="84" l="1"/>
  <c r="H86" i="84"/>
  <c r="AP86" i="84"/>
  <c r="AQ86" i="84"/>
  <c r="K85" i="85"/>
  <c r="F86" i="28" s="1"/>
  <c r="E86" i="28"/>
  <c r="D86" i="28"/>
  <c r="N85" i="85"/>
  <c r="AT86" i="83"/>
  <c r="AS86" i="83"/>
  <c r="G86" i="83" s="1"/>
  <c r="I86" i="83" s="1"/>
  <c r="L85" i="85" l="1"/>
  <c r="G86" i="28" s="1"/>
  <c r="P86" i="85"/>
  <c r="F86" i="85" s="1"/>
  <c r="I86" i="28"/>
  <c r="O86" i="83"/>
  <c r="T86" i="83"/>
  <c r="Q86" i="83"/>
  <c r="F87" i="83" s="1"/>
  <c r="K86" i="84"/>
  <c r="M86" i="84"/>
  <c r="N86" i="84" s="1"/>
  <c r="C87" i="28" l="1"/>
  <c r="H86" i="85"/>
  <c r="AT86" i="84"/>
  <c r="AS86" i="84"/>
  <c r="G86" i="84" s="1"/>
  <c r="I86" i="84" s="1"/>
  <c r="J87" i="83"/>
  <c r="H87" i="83"/>
  <c r="AQ87" i="83"/>
  <c r="AP87" i="83"/>
  <c r="AA86" i="85"/>
  <c r="AD86" i="85" s="1"/>
  <c r="P86" i="84" s="1"/>
  <c r="AR87" i="84" s="1"/>
  <c r="U86" i="83"/>
  <c r="J86" i="85" l="1"/>
  <c r="T86" i="85"/>
  <c r="K87" i="83"/>
  <c r="M87" i="83"/>
  <c r="N87" i="83" s="1"/>
  <c r="S86" i="85"/>
  <c r="G86" i="85" s="1"/>
  <c r="O86" i="84"/>
  <c r="Q86" i="84"/>
  <c r="F87" i="84" s="1"/>
  <c r="T86" i="84"/>
  <c r="U86" i="84" s="1"/>
  <c r="H87" i="84" l="1"/>
  <c r="J87" i="84"/>
  <c r="AQ87" i="84"/>
  <c r="AP87" i="84"/>
  <c r="AT87" i="83"/>
  <c r="AS87" i="83"/>
  <c r="G87" i="83" s="1"/>
  <c r="I87" i="83" s="1"/>
  <c r="D87" i="28"/>
  <c r="N86" i="85"/>
  <c r="K86" i="85"/>
  <c r="F87" i="28" s="1"/>
  <c r="E87" i="28"/>
  <c r="O87" i="83" l="1"/>
  <c r="T87" i="83"/>
  <c r="Q87" i="83"/>
  <c r="F88" i="83" s="1"/>
  <c r="P87" i="85"/>
  <c r="F87" i="85" s="1"/>
  <c r="I87" i="28"/>
  <c r="K87" i="84"/>
  <c r="M87" i="84"/>
  <c r="N87" i="84" s="1"/>
  <c r="L86" i="85"/>
  <c r="G87" i="28" s="1"/>
  <c r="C88" i="28" l="1"/>
  <c r="H87" i="85"/>
  <c r="AT87" i="84"/>
  <c r="AS87" i="84"/>
  <c r="G87" i="84" s="1"/>
  <c r="I87" i="84" s="1"/>
  <c r="H88" i="83"/>
  <c r="J88" i="83"/>
  <c r="AP88" i="83"/>
  <c r="AQ88" i="83"/>
  <c r="AA87" i="85"/>
  <c r="AD87" i="85" s="1"/>
  <c r="P87" i="84" s="1"/>
  <c r="AR88" i="84" s="1"/>
  <c r="U87" i="83"/>
  <c r="T87" i="85" l="1"/>
  <c r="J87" i="85"/>
  <c r="K88" i="83"/>
  <c r="M88" i="83"/>
  <c r="N88" i="83" s="1"/>
  <c r="S87" i="85"/>
  <c r="G87" i="85" s="1"/>
  <c r="O87" i="84"/>
  <c r="Q87" i="84"/>
  <c r="F88" i="84" s="1"/>
  <c r="T87" i="84"/>
  <c r="U87" i="84" s="1"/>
  <c r="J88" i="84" l="1"/>
  <c r="H88" i="84"/>
  <c r="AQ88" i="84"/>
  <c r="AP88" i="84"/>
  <c r="AT88" i="83"/>
  <c r="AS88" i="83"/>
  <c r="G88" i="83" s="1"/>
  <c r="I88" i="83" s="1"/>
  <c r="K87" i="85"/>
  <c r="F88" i="28" s="1"/>
  <c r="E88" i="28"/>
  <c r="D88" i="28"/>
  <c r="N87" i="85"/>
  <c r="L87" i="85" l="1"/>
  <c r="G88" i="28" s="1"/>
  <c r="P88" i="85"/>
  <c r="F88" i="85" s="1"/>
  <c r="I88" i="28"/>
  <c r="O88" i="83"/>
  <c r="T88" i="83"/>
  <c r="Q88" i="83"/>
  <c r="F89" i="83" s="1"/>
  <c r="K88" i="84"/>
  <c r="M88" i="84"/>
  <c r="N88" i="84" s="1"/>
  <c r="AA88" i="85" l="1"/>
  <c r="AD88" i="85" s="1"/>
  <c r="P88" i="84" s="1"/>
  <c r="AR89" i="84" s="1"/>
  <c r="U88" i="83"/>
  <c r="AT88" i="84"/>
  <c r="AS88" i="84"/>
  <c r="G88" i="84" s="1"/>
  <c r="I88" i="84" s="1"/>
  <c r="J89" i="83"/>
  <c r="H89" i="83"/>
  <c r="AP89" i="83"/>
  <c r="AQ89" i="83"/>
  <c r="C89" i="28"/>
  <c r="H88" i="85"/>
  <c r="S88" i="85" l="1"/>
  <c r="G88" i="85" s="1"/>
  <c r="O88" i="84"/>
  <c r="T88" i="84"/>
  <c r="U88" i="84" s="1"/>
  <c r="Q88" i="84"/>
  <c r="F89" i="84" s="1"/>
  <c r="J88" i="85"/>
  <c r="T88" i="85"/>
  <c r="K89" i="83"/>
  <c r="M89" i="83"/>
  <c r="N89" i="83" s="1"/>
  <c r="E89" i="28" l="1"/>
  <c r="K88" i="85"/>
  <c r="F89" i="28" s="1"/>
  <c r="J89" i="84"/>
  <c r="H89" i="84"/>
  <c r="AP89" i="84"/>
  <c r="AQ89" i="84"/>
  <c r="AT89" i="83"/>
  <c r="AS89" i="83"/>
  <c r="G89" i="83" s="1"/>
  <c r="I89" i="83" s="1"/>
  <c r="D89" i="28"/>
  <c r="L88" i="85"/>
  <c r="G89" i="28" s="1"/>
  <c r="N88" i="85"/>
  <c r="K89" i="84" l="1"/>
  <c r="M89" i="84"/>
  <c r="N89" i="84" s="1"/>
  <c r="O89" i="83"/>
  <c r="T89" i="83"/>
  <c r="Q89" i="83"/>
  <c r="F90" i="83" s="1"/>
  <c r="P89" i="85"/>
  <c r="F89" i="85" s="1"/>
  <c r="I89" i="28"/>
  <c r="C90" i="28" l="1"/>
  <c r="H89" i="85"/>
  <c r="AA89" i="85"/>
  <c r="AD89" i="85" s="1"/>
  <c r="P89" i="84" s="1"/>
  <c r="AR90" i="84" s="1"/>
  <c r="U89" i="83"/>
  <c r="J90" i="83"/>
  <c r="H90" i="83"/>
  <c r="AQ90" i="83"/>
  <c r="AP90" i="83"/>
  <c r="AT89" i="84"/>
  <c r="AS89" i="84"/>
  <c r="G89" i="84" s="1"/>
  <c r="I89" i="84" s="1"/>
  <c r="K90" i="83" l="1"/>
  <c r="M90" i="83"/>
  <c r="N90" i="83" s="1"/>
  <c r="T89" i="85"/>
  <c r="J89" i="85"/>
  <c r="S89" i="85"/>
  <c r="G89" i="85" s="1"/>
  <c r="O89" i="84"/>
  <c r="Q89" i="84"/>
  <c r="F90" i="84" s="1"/>
  <c r="T89" i="84"/>
  <c r="U89" i="84" s="1"/>
  <c r="J90" i="84" l="1"/>
  <c r="H90" i="84"/>
  <c r="AQ90" i="84"/>
  <c r="AP90" i="84"/>
  <c r="D90" i="28"/>
  <c r="N89" i="85"/>
  <c r="AT90" i="83"/>
  <c r="AS90" i="83"/>
  <c r="G90" i="83" s="1"/>
  <c r="I90" i="83" s="1"/>
  <c r="E90" i="28"/>
  <c r="K89" i="85"/>
  <c r="F90" i="28" s="1"/>
  <c r="L89" i="85" l="1"/>
  <c r="G90" i="28" s="1"/>
  <c r="O90" i="83"/>
  <c r="Q90" i="83"/>
  <c r="F91" i="83" s="1"/>
  <c r="T90" i="83"/>
  <c r="P90" i="85"/>
  <c r="F90" i="85" s="1"/>
  <c r="I90" i="28"/>
  <c r="K90" i="84"/>
  <c r="M90" i="84"/>
  <c r="N90" i="84" s="1"/>
  <c r="C91" i="28" l="1"/>
  <c r="H90" i="85"/>
  <c r="AT90" i="84"/>
  <c r="AS90" i="84"/>
  <c r="G90" i="84" s="1"/>
  <c r="I90" i="84" s="1"/>
  <c r="AA90" i="85"/>
  <c r="AD90" i="85" s="1"/>
  <c r="P90" i="84" s="1"/>
  <c r="U90" i="83"/>
  <c r="V91" i="83" s="1"/>
  <c r="AQ91" i="83"/>
  <c r="J91" i="83"/>
  <c r="H91" i="83"/>
  <c r="AP91" i="83"/>
  <c r="AR91" i="83" l="1"/>
  <c r="T90" i="85"/>
  <c r="J90" i="85"/>
  <c r="K91" i="83"/>
  <c r="AT91" i="83" s="1"/>
  <c r="M91" i="83"/>
  <c r="N91" i="83" s="1"/>
  <c r="S90" i="85"/>
  <c r="G90" i="85" s="1"/>
  <c r="O90" i="84"/>
  <c r="T90" i="84"/>
  <c r="U90" i="84" s="1"/>
  <c r="V91" i="84" s="1"/>
  <c r="Q90" i="84"/>
  <c r="F91" i="84" s="1"/>
  <c r="D91" i="28" l="1"/>
  <c r="N90" i="85"/>
  <c r="E91" i="28"/>
  <c r="K90" i="85"/>
  <c r="F91" i="28" s="1"/>
  <c r="AP91" i="84"/>
  <c r="J91" i="84"/>
  <c r="AQ91" i="84"/>
  <c r="H91" i="84"/>
  <c r="AS91" i="83"/>
  <c r="G91" i="83" s="1"/>
  <c r="I91" i="83" s="1"/>
  <c r="AR92" i="83"/>
  <c r="AR91" i="84" l="1"/>
  <c r="L90" i="85"/>
  <c r="G91" i="28" s="1"/>
  <c r="O91" i="83"/>
  <c r="Q91" i="83"/>
  <c r="F92" i="83" s="1"/>
  <c r="T91" i="83"/>
  <c r="K91" i="84"/>
  <c r="AT91" i="84" s="1"/>
  <c r="M91" i="84"/>
  <c r="N91" i="84" s="1"/>
  <c r="P91" i="85"/>
  <c r="F91" i="85" s="1"/>
  <c r="I91" i="28"/>
  <c r="AR93" i="83"/>
  <c r="C92" i="28" l="1"/>
  <c r="H91" i="85"/>
  <c r="AR94" i="83"/>
  <c r="AA91" i="85"/>
  <c r="AD91" i="85" s="1"/>
  <c r="P91" i="84" s="1"/>
  <c r="AR92" i="84" s="1"/>
  <c r="U91" i="83"/>
  <c r="J92" i="83"/>
  <c r="H92" i="83"/>
  <c r="AQ92" i="83"/>
  <c r="AP92" i="83"/>
  <c r="AS91" i="84"/>
  <c r="G91" i="84" s="1"/>
  <c r="I91" i="84" s="1"/>
  <c r="S91" i="85" l="1"/>
  <c r="G91" i="85" s="1"/>
  <c r="O91" i="84"/>
  <c r="Q91" i="84"/>
  <c r="F92" i="84" s="1"/>
  <c r="T91" i="84"/>
  <c r="U91" i="84" s="1"/>
  <c r="K92" i="83"/>
  <c r="M92" i="83"/>
  <c r="N92" i="83" s="1"/>
  <c r="J91" i="85"/>
  <c r="T91" i="85"/>
  <c r="AR95" i="83"/>
  <c r="AT92" i="83" l="1"/>
  <c r="AS92" i="83"/>
  <c r="G92" i="83" s="1"/>
  <c r="I92" i="83" s="1"/>
  <c r="E92" i="28"/>
  <c r="K91" i="85"/>
  <c r="F92" i="28" s="1"/>
  <c r="J92" i="84"/>
  <c r="H92" i="84"/>
  <c r="AP92" i="84"/>
  <c r="AQ92" i="84"/>
  <c r="AR96" i="83"/>
  <c r="D92" i="28"/>
  <c r="N91" i="85"/>
  <c r="L91" i="85" l="1"/>
  <c r="G92" i="28" s="1"/>
  <c r="AR97" i="83"/>
  <c r="P92" i="85"/>
  <c r="F92" i="85" s="1"/>
  <c r="I92" i="28"/>
  <c r="O92" i="83"/>
  <c r="Q92" i="83"/>
  <c r="F93" i="83" s="1"/>
  <c r="T92" i="83"/>
  <c r="K92" i="84"/>
  <c r="M92" i="84"/>
  <c r="N92" i="84" s="1"/>
  <c r="C93" i="28" l="1"/>
  <c r="H92" i="85"/>
  <c r="AA92" i="85"/>
  <c r="AD92" i="85" s="1"/>
  <c r="P92" i="84" s="1"/>
  <c r="AR93" i="84" s="1"/>
  <c r="U92" i="83"/>
  <c r="J93" i="83"/>
  <c r="H93" i="83"/>
  <c r="AP93" i="83"/>
  <c r="AQ93" i="83"/>
  <c r="AR98" i="83"/>
  <c r="AT92" i="84"/>
  <c r="AS92" i="84"/>
  <c r="G92" i="84" s="1"/>
  <c r="I92" i="84" s="1"/>
  <c r="S92" i="85" l="1"/>
  <c r="G92" i="85" s="1"/>
  <c r="O92" i="84"/>
  <c r="T92" i="84"/>
  <c r="U92" i="84" s="1"/>
  <c r="Q92" i="84"/>
  <c r="F93" i="84" s="1"/>
  <c r="J92" i="85"/>
  <c r="T92" i="85"/>
  <c r="K93" i="83"/>
  <c r="M93" i="83"/>
  <c r="N93" i="83" s="1"/>
  <c r="AR99" i="83"/>
  <c r="E93" i="28" l="1"/>
  <c r="K92" i="85"/>
  <c r="F93" i="28" s="1"/>
  <c r="H93" i="84"/>
  <c r="J93" i="84"/>
  <c r="AQ93" i="84"/>
  <c r="AP93" i="84"/>
  <c r="AT93" i="83"/>
  <c r="AS93" i="83"/>
  <c r="G93" i="83" s="1"/>
  <c r="I93" i="83" s="1"/>
  <c r="AR100" i="83"/>
  <c r="D93" i="28"/>
  <c r="N92" i="85"/>
  <c r="L92" i="85" l="1"/>
  <c r="G93" i="28" s="1"/>
  <c r="P93" i="85"/>
  <c r="F93" i="85" s="1"/>
  <c r="I93" i="28"/>
  <c r="AR101" i="83"/>
  <c r="O93" i="83"/>
  <c r="T93" i="83"/>
  <c r="Q93" i="83"/>
  <c r="F94" i="83" s="1"/>
  <c r="K93" i="84"/>
  <c r="M93" i="84"/>
  <c r="N93" i="84" s="1"/>
  <c r="C94" i="28" l="1"/>
  <c r="H93" i="85"/>
  <c r="AT93" i="84"/>
  <c r="AS93" i="84"/>
  <c r="G93" i="84" s="1"/>
  <c r="I93" i="84" s="1"/>
  <c r="AR102" i="83"/>
  <c r="H94" i="83"/>
  <c r="J94" i="83"/>
  <c r="AP94" i="83"/>
  <c r="AQ94" i="83"/>
  <c r="AA93" i="85"/>
  <c r="AD93" i="85" s="1"/>
  <c r="P93" i="84" s="1"/>
  <c r="AR94" i="84" s="1"/>
  <c r="U93" i="83"/>
  <c r="K94" i="83" l="1"/>
  <c r="M94" i="83"/>
  <c r="N94" i="83" s="1"/>
  <c r="J93" i="85"/>
  <c r="T93" i="85"/>
  <c r="S93" i="85"/>
  <c r="G93" i="85" s="1"/>
  <c r="O93" i="84"/>
  <c r="T93" i="84"/>
  <c r="U93" i="84" s="1"/>
  <c r="Q93" i="84"/>
  <c r="F94" i="84" s="1"/>
  <c r="E94" i="28" l="1"/>
  <c r="K93" i="85"/>
  <c r="F94" i="28" s="1"/>
  <c r="D94" i="28"/>
  <c r="L93" i="85"/>
  <c r="G94" i="28" s="1"/>
  <c r="N93" i="85"/>
  <c r="J94" i="84"/>
  <c r="H94" i="84"/>
  <c r="AP94" i="84"/>
  <c r="AQ94" i="84"/>
  <c r="AT94" i="83"/>
  <c r="AS94" i="83"/>
  <c r="G94" i="83" s="1"/>
  <c r="I94" i="83" s="1"/>
  <c r="K94" i="84" l="1"/>
  <c r="M94" i="84"/>
  <c r="N94" i="84" s="1"/>
  <c r="O94" i="83"/>
  <c r="T94" i="83"/>
  <c r="Q94" i="83"/>
  <c r="F95" i="83" s="1"/>
  <c r="P94" i="85"/>
  <c r="F94" i="85" s="1"/>
  <c r="I94" i="28"/>
  <c r="C95" i="28" l="1"/>
  <c r="H94" i="85"/>
  <c r="J95" i="83"/>
  <c r="H95" i="83"/>
  <c r="AP95" i="83"/>
  <c r="AQ95" i="83"/>
  <c r="AA94" i="85"/>
  <c r="AD94" i="85" s="1"/>
  <c r="P94" i="84" s="1"/>
  <c r="AR95" i="84" s="1"/>
  <c r="U94" i="83"/>
  <c r="AT94" i="84"/>
  <c r="AS94" i="84"/>
  <c r="G94" i="84" s="1"/>
  <c r="I94" i="84" s="1"/>
  <c r="K95" i="83" l="1"/>
  <c r="M95" i="83"/>
  <c r="N95" i="83" s="1"/>
  <c r="T94" i="85"/>
  <c r="J94" i="85"/>
  <c r="S94" i="85"/>
  <c r="G94" i="85" s="1"/>
  <c r="O94" i="84"/>
  <c r="T94" i="84"/>
  <c r="U94" i="84" s="1"/>
  <c r="Q94" i="84"/>
  <c r="F95" i="84" s="1"/>
  <c r="J95" i="84" l="1"/>
  <c r="H95" i="84"/>
  <c r="AQ95" i="84"/>
  <c r="AP95" i="84"/>
  <c r="K94" i="85"/>
  <c r="F95" i="28" s="1"/>
  <c r="E95" i="28"/>
  <c r="D95" i="28"/>
  <c r="N94" i="85"/>
  <c r="AT95" i="83"/>
  <c r="AS95" i="83"/>
  <c r="G95" i="83" s="1"/>
  <c r="I95" i="83" s="1"/>
  <c r="O95" i="83" l="1"/>
  <c r="T95" i="83"/>
  <c r="Q95" i="83"/>
  <c r="F96" i="83" s="1"/>
  <c r="P95" i="85"/>
  <c r="F95" i="85" s="1"/>
  <c r="I95" i="28"/>
  <c r="L94" i="85"/>
  <c r="G95" i="28" s="1"/>
  <c r="K95" i="84"/>
  <c r="M95" i="84"/>
  <c r="N95" i="84" s="1"/>
  <c r="H95" i="85" l="1"/>
  <c r="C96" i="28"/>
  <c r="AT95" i="84"/>
  <c r="AS95" i="84"/>
  <c r="G95" i="84" s="1"/>
  <c r="I95" i="84" s="1"/>
  <c r="J96" i="83"/>
  <c r="H96" i="83"/>
  <c r="AQ96" i="83"/>
  <c r="AP96" i="83"/>
  <c r="AA95" i="85"/>
  <c r="AD95" i="85" s="1"/>
  <c r="P95" i="84" s="1"/>
  <c r="AR96" i="84" s="1"/>
  <c r="U95" i="83"/>
  <c r="K96" i="83" l="1"/>
  <c r="M96" i="83"/>
  <c r="N96" i="83" s="1"/>
  <c r="T95" i="85"/>
  <c r="J95" i="85"/>
  <c r="S95" i="85"/>
  <c r="G95" i="85" s="1"/>
  <c r="O95" i="84"/>
  <c r="Q95" i="84"/>
  <c r="F96" i="84" s="1"/>
  <c r="T95" i="84"/>
  <c r="U95" i="84" s="1"/>
  <c r="J96" i="84" l="1"/>
  <c r="H96" i="84"/>
  <c r="AQ96" i="84"/>
  <c r="AP96" i="84"/>
  <c r="D96" i="28"/>
  <c r="N95" i="85"/>
  <c r="AT96" i="83"/>
  <c r="AS96" i="83"/>
  <c r="G96" i="83" s="1"/>
  <c r="I96" i="83" s="1"/>
  <c r="E96" i="28"/>
  <c r="K95" i="85"/>
  <c r="F96" i="28" s="1"/>
  <c r="L95" i="85" l="1"/>
  <c r="G96" i="28" s="1"/>
  <c r="O96" i="83"/>
  <c r="T96" i="83"/>
  <c r="Q96" i="83"/>
  <c r="F97" i="83" s="1"/>
  <c r="P96" i="85"/>
  <c r="F96" i="85" s="1"/>
  <c r="I96" i="28"/>
  <c r="K96" i="84"/>
  <c r="M96" i="84"/>
  <c r="N96" i="84" s="1"/>
  <c r="C97" i="28" l="1"/>
  <c r="H96" i="85"/>
  <c r="J97" i="83"/>
  <c r="H97" i="83"/>
  <c r="AQ97" i="83"/>
  <c r="AP97" i="83"/>
  <c r="AT96" i="84"/>
  <c r="AS96" i="84"/>
  <c r="G96" i="84" s="1"/>
  <c r="I96" i="84" s="1"/>
  <c r="AA96" i="85"/>
  <c r="AD96" i="85" s="1"/>
  <c r="P96" i="84" s="1"/>
  <c r="AR97" i="84" s="1"/>
  <c r="U96" i="83"/>
  <c r="S96" i="85" l="1"/>
  <c r="G96" i="85" s="1"/>
  <c r="O96" i="84"/>
  <c r="T96" i="84"/>
  <c r="U96" i="84" s="1"/>
  <c r="Q96" i="84"/>
  <c r="F97" i="84" s="1"/>
  <c r="J96" i="85"/>
  <c r="T96" i="85"/>
  <c r="K97" i="83"/>
  <c r="M97" i="83"/>
  <c r="N97" i="83" s="1"/>
  <c r="E97" i="28" l="1"/>
  <c r="K96" i="85"/>
  <c r="F97" i="28" s="1"/>
  <c r="AT97" i="83"/>
  <c r="AS97" i="83"/>
  <c r="G97" i="83" s="1"/>
  <c r="I97" i="83" s="1"/>
  <c r="H97" i="84"/>
  <c r="J97" i="84"/>
  <c r="AP97" i="84"/>
  <c r="AQ97" i="84"/>
  <c r="D97" i="28"/>
  <c r="N96" i="85"/>
  <c r="O97" i="83" l="1"/>
  <c r="T97" i="83"/>
  <c r="Q97" i="83"/>
  <c r="F98" i="83" s="1"/>
  <c r="L96" i="85"/>
  <c r="G97" i="28" s="1"/>
  <c r="K97" i="84"/>
  <c r="M97" i="84"/>
  <c r="N97" i="84" s="1"/>
  <c r="P97" i="85"/>
  <c r="F97" i="85"/>
  <c r="I97" i="28"/>
  <c r="C98" i="28" l="1"/>
  <c r="H97" i="85"/>
  <c r="J98" i="83"/>
  <c r="H98" i="83"/>
  <c r="AQ98" i="83"/>
  <c r="AP98" i="83"/>
  <c r="AA97" i="85"/>
  <c r="AD97" i="85" s="1"/>
  <c r="P97" i="84" s="1"/>
  <c r="AR98" i="84" s="1"/>
  <c r="U97" i="83"/>
  <c r="AT97" i="84"/>
  <c r="AS97" i="84"/>
  <c r="G97" i="84" s="1"/>
  <c r="I97" i="84" s="1"/>
  <c r="T97" i="85" l="1"/>
  <c r="J97" i="85"/>
  <c r="K98" i="83"/>
  <c r="M98" i="83"/>
  <c r="N98" i="83" s="1"/>
  <c r="S97" i="85"/>
  <c r="G97" i="85" s="1"/>
  <c r="O97" i="84"/>
  <c r="Q97" i="84"/>
  <c r="F98" i="84" s="1"/>
  <c r="T97" i="84"/>
  <c r="U97" i="84" s="1"/>
  <c r="J98" i="84" l="1"/>
  <c r="H98" i="84"/>
  <c r="AQ98" i="84"/>
  <c r="AP98" i="84"/>
  <c r="AT98" i="83"/>
  <c r="AS98" i="83"/>
  <c r="G98" i="83" s="1"/>
  <c r="I98" i="83" s="1"/>
  <c r="D98" i="28"/>
  <c r="N97" i="85"/>
  <c r="K97" i="85"/>
  <c r="F98" i="28" s="1"/>
  <c r="E98" i="28"/>
  <c r="P98" i="85" l="1"/>
  <c r="F98" i="85" s="1"/>
  <c r="I98" i="28"/>
  <c r="O98" i="83"/>
  <c r="T98" i="83"/>
  <c r="Q98" i="83"/>
  <c r="F99" i="83" s="1"/>
  <c r="L97" i="85"/>
  <c r="G98" i="28" s="1"/>
  <c r="K98" i="84"/>
  <c r="M98" i="84"/>
  <c r="N98" i="84" s="1"/>
  <c r="AA98" i="85" l="1"/>
  <c r="AD98" i="85" s="1"/>
  <c r="P98" i="84" s="1"/>
  <c r="AR99" i="84" s="1"/>
  <c r="U98" i="83"/>
  <c r="AT98" i="84"/>
  <c r="AS98" i="84"/>
  <c r="G98" i="84" s="1"/>
  <c r="I98" i="84" s="1"/>
  <c r="H99" i="83"/>
  <c r="J99" i="83"/>
  <c r="AP99" i="83"/>
  <c r="AQ99" i="83"/>
  <c r="C99" i="28"/>
  <c r="H98" i="85"/>
  <c r="S98" i="85" l="1"/>
  <c r="G98" i="85" s="1"/>
  <c r="O98" i="84"/>
  <c r="T98" i="84"/>
  <c r="U98" i="84" s="1"/>
  <c r="Q98" i="84"/>
  <c r="F99" i="84" s="1"/>
  <c r="K99" i="83"/>
  <c r="M99" i="83"/>
  <c r="N99" i="83" s="1"/>
  <c r="T98" i="85"/>
  <c r="J98" i="85"/>
  <c r="AT99" i="83" l="1"/>
  <c r="AS99" i="83"/>
  <c r="G99" i="83" s="1"/>
  <c r="I99" i="83" s="1"/>
  <c r="K98" i="85"/>
  <c r="F99" i="28" s="1"/>
  <c r="E99" i="28"/>
  <c r="H99" i="84"/>
  <c r="J99" i="84"/>
  <c r="AQ99" i="84"/>
  <c r="AP99" i="84"/>
  <c r="D99" i="28"/>
  <c r="N98" i="85"/>
  <c r="L98" i="85" l="1"/>
  <c r="G99" i="28" s="1"/>
  <c r="K99" i="84"/>
  <c r="M99" i="84"/>
  <c r="N99" i="84" s="1"/>
  <c r="O99" i="83"/>
  <c r="T99" i="83"/>
  <c r="Q99" i="83"/>
  <c r="F100" i="83" s="1"/>
  <c r="P99" i="85"/>
  <c r="F99" i="85"/>
  <c r="I99" i="28"/>
  <c r="J100" i="83" l="1"/>
  <c r="H100" i="83"/>
  <c r="AQ100" i="83"/>
  <c r="AP100" i="83"/>
  <c r="AA99" i="85"/>
  <c r="AD99" i="85" s="1"/>
  <c r="P99" i="84" s="1"/>
  <c r="AR100" i="84" s="1"/>
  <c r="U99" i="83"/>
  <c r="H99" i="85"/>
  <c r="C100" i="28"/>
  <c r="AT99" i="84"/>
  <c r="AS99" i="84"/>
  <c r="G99" i="84" s="1"/>
  <c r="I99" i="84" s="1"/>
  <c r="T99" i="85" l="1"/>
  <c r="J99" i="85"/>
  <c r="K100" i="83"/>
  <c r="M100" i="83"/>
  <c r="N100" i="83" s="1"/>
  <c r="S99" i="85"/>
  <c r="G99" i="85" s="1"/>
  <c r="O99" i="84"/>
  <c r="Q99" i="84"/>
  <c r="F100" i="84" s="1"/>
  <c r="T99" i="84"/>
  <c r="U99" i="84" s="1"/>
  <c r="H100" i="84" l="1"/>
  <c r="J100" i="84"/>
  <c r="AP100" i="84"/>
  <c r="AQ100" i="84"/>
  <c r="AT100" i="83"/>
  <c r="AS100" i="83"/>
  <c r="G100" i="83" s="1"/>
  <c r="I100" i="83" s="1"/>
  <c r="E100" i="28"/>
  <c r="K99" i="85"/>
  <c r="F100" i="28" s="1"/>
  <c r="D100" i="28"/>
  <c r="N99" i="85"/>
  <c r="L99" i="85" l="1"/>
  <c r="G100" i="28" s="1"/>
  <c r="O100" i="83"/>
  <c r="T100" i="83"/>
  <c r="Q100" i="83"/>
  <c r="F101" i="83" s="1"/>
  <c r="K100" i="84"/>
  <c r="M100" i="84"/>
  <c r="N100" i="84" s="1"/>
  <c r="P100" i="85"/>
  <c r="F100" i="85" s="1"/>
  <c r="I100" i="28"/>
  <c r="C101" i="28" l="1"/>
  <c r="H100" i="85"/>
  <c r="AT100" i="84"/>
  <c r="AS100" i="84"/>
  <c r="G100" i="84" s="1"/>
  <c r="I100" i="84" s="1"/>
  <c r="J101" i="83"/>
  <c r="H101" i="83"/>
  <c r="AP101" i="83"/>
  <c r="AQ101" i="83"/>
  <c r="AA100" i="85"/>
  <c r="AD100" i="85" s="1"/>
  <c r="P100" i="84" s="1"/>
  <c r="AR101" i="84" s="1"/>
  <c r="U100" i="83"/>
  <c r="J100" i="85" l="1"/>
  <c r="T100" i="85"/>
  <c r="K101" i="83"/>
  <c r="M101" i="83"/>
  <c r="N101" i="83" s="1"/>
  <c r="S100" i="85"/>
  <c r="G100" i="85" s="1"/>
  <c r="O100" i="84"/>
  <c r="T100" i="84"/>
  <c r="U100" i="84" s="1"/>
  <c r="Q100" i="84"/>
  <c r="F101" i="84" s="1"/>
  <c r="J101" i="84" l="1"/>
  <c r="H101" i="84"/>
  <c r="AQ101" i="84"/>
  <c r="AP101" i="84"/>
  <c r="AT101" i="83"/>
  <c r="AS101" i="83"/>
  <c r="G101" i="83" s="1"/>
  <c r="I101" i="83" s="1"/>
  <c r="D101" i="28"/>
  <c r="L100" i="85"/>
  <c r="G101" i="28" s="1"/>
  <c r="N100" i="85"/>
  <c r="E101" i="28"/>
  <c r="K100" i="85"/>
  <c r="F101" i="28" s="1"/>
  <c r="O101" i="83" l="1"/>
  <c r="T101" i="83"/>
  <c r="Q101" i="83"/>
  <c r="F102" i="83" s="1"/>
  <c r="P101" i="85"/>
  <c r="F101" i="85" s="1"/>
  <c r="I101" i="28"/>
  <c r="K101" i="84"/>
  <c r="M101" i="84"/>
  <c r="N101" i="84" s="1"/>
  <c r="AT101" i="84" l="1"/>
  <c r="AS101" i="84"/>
  <c r="G101" i="84" s="1"/>
  <c r="I101" i="84" s="1"/>
  <c r="J102" i="83"/>
  <c r="H102" i="83"/>
  <c r="AQ102" i="83"/>
  <c r="AP102" i="83"/>
  <c r="AA101" i="85"/>
  <c r="AD101" i="85" s="1"/>
  <c r="P101" i="84" s="1"/>
  <c r="AR102" i="84" s="1"/>
  <c r="U101" i="83"/>
  <c r="C102" i="28"/>
  <c r="H101" i="85"/>
  <c r="K102" i="83" l="1"/>
  <c r="M102" i="83"/>
  <c r="N102" i="83" s="1"/>
  <c r="S101" i="85"/>
  <c r="G101" i="85" s="1"/>
  <c r="O101" i="84"/>
  <c r="Q101" i="84"/>
  <c r="F102" i="84" s="1"/>
  <c r="T101" i="84"/>
  <c r="U101" i="84" s="1"/>
  <c r="J101" i="85"/>
  <c r="T101" i="85"/>
  <c r="K101" i="85" l="1"/>
  <c r="F102" i="28" s="1"/>
  <c r="E102" i="28"/>
  <c r="D102" i="28"/>
  <c r="N101" i="85"/>
  <c r="J102" i="84"/>
  <c r="H102" i="84"/>
  <c r="AP102" i="84"/>
  <c r="AQ102" i="84"/>
  <c r="AT102" i="83"/>
  <c r="AS102" i="83"/>
  <c r="G102" i="83" s="1"/>
  <c r="I102" i="83" s="1"/>
  <c r="L101" i="85" l="1"/>
  <c r="G102" i="28" s="1"/>
  <c r="K102" i="84"/>
  <c r="M102" i="84"/>
  <c r="N102" i="84" s="1"/>
  <c r="O102" i="83"/>
  <c r="T102" i="83"/>
  <c r="Q102" i="83"/>
  <c r="F103" i="83" s="1"/>
  <c r="P102" i="85"/>
  <c r="F102" i="85" s="1"/>
  <c r="I102" i="28"/>
  <c r="AQ103" i="83" l="1"/>
  <c r="H103" i="83"/>
  <c r="J103" i="83"/>
  <c r="AP103" i="83"/>
  <c r="AA102" i="85"/>
  <c r="AD102" i="85" s="1"/>
  <c r="P102" i="84" s="1"/>
  <c r="U102" i="83"/>
  <c r="V103" i="83" s="1"/>
  <c r="C103" i="28"/>
  <c r="H102" i="85"/>
  <c r="AT102" i="84"/>
  <c r="AS102" i="84"/>
  <c r="G102" i="84" s="1"/>
  <c r="I102" i="84" s="1"/>
  <c r="J102" i="85" l="1"/>
  <c r="T102" i="85"/>
  <c r="K103" i="83"/>
  <c r="AT103" i="83" s="1"/>
  <c r="M103" i="83"/>
  <c r="N103" i="83" s="1"/>
  <c r="AR103" i="83"/>
  <c r="S102" i="85"/>
  <c r="G102" i="85" s="1"/>
  <c r="O102" i="84"/>
  <c r="T102" i="84"/>
  <c r="U102" i="84" s="1"/>
  <c r="V103" i="84" s="1"/>
  <c r="Q102" i="84"/>
  <c r="F103" i="84" s="1"/>
  <c r="D103" i="28" l="1"/>
  <c r="N102" i="85"/>
  <c r="AP103" i="84"/>
  <c r="H103" i="84"/>
  <c r="J103" i="84"/>
  <c r="AQ103" i="84"/>
  <c r="AS103" i="83"/>
  <c r="G103" i="83" s="1"/>
  <c r="I103" i="83" s="1"/>
  <c r="AR104" i="83"/>
  <c r="K102" i="85"/>
  <c r="F103" i="28" s="1"/>
  <c r="E103" i="28"/>
  <c r="AR105" i="83" l="1"/>
  <c r="K103" i="84"/>
  <c r="AT103" i="84" s="1"/>
  <c r="M103" i="84"/>
  <c r="N103" i="84" s="1"/>
  <c r="P103" i="85"/>
  <c r="F103" i="85" s="1"/>
  <c r="I103" i="28"/>
  <c r="AR103" i="84"/>
  <c r="AS103" i="84" s="1"/>
  <c r="G103" i="84" s="1"/>
  <c r="I103" i="84" s="1"/>
  <c r="O103" i="83"/>
  <c r="T103" i="83"/>
  <c r="Q103" i="83"/>
  <c r="F104" i="83" s="1"/>
  <c r="L102" i="85"/>
  <c r="G103" i="28" s="1"/>
  <c r="S103" i="85" l="1"/>
  <c r="G103" i="85" s="1"/>
  <c r="N103" i="85" s="1"/>
  <c r="O103" i="84"/>
  <c r="H104" i="83"/>
  <c r="J104" i="83"/>
  <c r="AQ104" i="83"/>
  <c r="AP104" i="83"/>
  <c r="AA103" i="85"/>
  <c r="AD103" i="85" s="1"/>
  <c r="P103" i="84" s="1"/>
  <c r="AR104" i="84" s="1"/>
  <c r="U103" i="83"/>
  <c r="AR106" i="83"/>
  <c r="C104" i="28"/>
  <c r="H103" i="85"/>
  <c r="T103" i="84" l="1"/>
  <c r="U103" i="84" s="1"/>
  <c r="P104" i="85"/>
  <c r="F104" i="85" s="1"/>
  <c r="I104" i="28"/>
  <c r="Q103" i="84"/>
  <c r="F104" i="84" s="1"/>
  <c r="K104" i="83"/>
  <c r="M104" i="83"/>
  <c r="N104" i="83" s="1"/>
  <c r="T103" i="85"/>
  <c r="J103" i="85"/>
  <c r="AR107" i="83"/>
  <c r="D104" i="28"/>
  <c r="C105" i="28" l="1"/>
  <c r="H104" i="85"/>
  <c r="AR108" i="83"/>
  <c r="AT104" i="83"/>
  <c r="AS104" i="83"/>
  <c r="G104" i="83" s="1"/>
  <c r="I104" i="83" s="1"/>
  <c r="K103" i="85"/>
  <c r="E104" i="28"/>
  <c r="J104" i="84"/>
  <c r="H104" i="84"/>
  <c r="AQ104" i="84"/>
  <c r="AP104" i="84"/>
  <c r="O104" i="83" l="1"/>
  <c r="T104" i="83"/>
  <c r="Q104" i="83"/>
  <c r="F105" i="83" s="1"/>
  <c r="T104" i="85"/>
  <c r="J104" i="85"/>
  <c r="F104" i="28"/>
  <c r="L103" i="85"/>
  <c r="G104" i="28" s="1"/>
  <c r="K104" i="84"/>
  <c r="M104" i="84"/>
  <c r="N104" i="84" s="1"/>
  <c r="AR109" i="83"/>
  <c r="AR110" i="83" l="1"/>
  <c r="J105" i="83"/>
  <c r="H105" i="83"/>
  <c r="AQ105" i="83"/>
  <c r="AP105" i="83"/>
  <c r="AT104" i="84"/>
  <c r="AS104" i="84"/>
  <c r="G104" i="84" s="1"/>
  <c r="I104" i="84" s="1"/>
  <c r="AA104" i="85"/>
  <c r="AD104" i="85" s="1"/>
  <c r="P104" i="84" s="1"/>
  <c r="AR105" i="84" s="1"/>
  <c r="U104" i="83"/>
  <c r="K104" i="85"/>
  <c r="F105" i="28" s="1"/>
  <c r="E105" i="28"/>
  <c r="K105" i="83" l="1"/>
  <c r="M105" i="83"/>
  <c r="N105" i="83" s="1"/>
  <c r="S104" i="85"/>
  <c r="G104" i="85" s="1"/>
  <c r="O104" i="84"/>
  <c r="T104" i="84"/>
  <c r="U104" i="84" s="1"/>
  <c r="Q104" i="84"/>
  <c r="F105" i="84" s="1"/>
  <c r="AR111" i="83"/>
  <c r="AR112" i="83" l="1"/>
  <c r="D105" i="28"/>
  <c r="L104" i="85"/>
  <c r="G105" i="28" s="1"/>
  <c r="N104" i="85"/>
  <c r="H105" i="84"/>
  <c r="J105" i="84"/>
  <c r="AP105" i="84"/>
  <c r="AQ105" i="84"/>
  <c r="AT105" i="83"/>
  <c r="AS105" i="83"/>
  <c r="G105" i="83" s="1"/>
  <c r="I105" i="83" s="1"/>
  <c r="K105" i="84" l="1"/>
  <c r="M105" i="84"/>
  <c r="N105" i="84" s="1"/>
  <c r="AR113" i="83"/>
  <c r="O105" i="83"/>
  <c r="Q105" i="83"/>
  <c r="F106" i="83" s="1"/>
  <c r="T105" i="83"/>
  <c r="P105" i="85"/>
  <c r="F105" i="85"/>
  <c r="I105" i="28"/>
  <c r="AR114" i="83" l="1"/>
  <c r="AA105" i="85"/>
  <c r="AD105" i="85" s="1"/>
  <c r="P105" i="84" s="1"/>
  <c r="AR106" i="84" s="1"/>
  <c r="U105" i="83"/>
  <c r="H106" i="83"/>
  <c r="J106" i="83"/>
  <c r="AP106" i="83"/>
  <c r="AQ106" i="83"/>
  <c r="C106" i="28"/>
  <c r="H105" i="85"/>
  <c r="AT105" i="84"/>
  <c r="AS105" i="84"/>
  <c r="G105" i="84" s="1"/>
  <c r="I105" i="84" s="1"/>
  <c r="S105" i="85" l="1"/>
  <c r="G105" i="85" s="1"/>
  <c r="O105" i="84"/>
  <c r="T105" i="84"/>
  <c r="U105" i="84" s="1"/>
  <c r="Q105" i="84"/>
  <c r="F106" i="84" s="1"/>
  <c r="K106" i="83"/>
  <c r="M106" i="83"/>
  <c r="N106" i="83" s="1"/>
  <c r="T105" i="85"/>
  <c r="J105" i="85"/>
  <c r="J106" i="84" l="1"/>
  <c r="H106" i="84"/>
  <c r="AQ106" i="84"/>
  <c r="AP106" i="84"/>
  <c r="E106" i="28"/>
  <c r="K105" i="85"/>
  <c r="F106" i="28" s="1"/>
  <c r="AT106" i="83"/>
  <c r="AS106" i="83"/>
  <c r="G106" i="83" s="1"/>
  <c r="I106" i="83" s="1"/>
  <c r="D106" i="28"/>
  <c r="N105" i="85"/>
  <c r="L105" i="85" l="1"/>
  <c r="G106" i="28" s="1"/>
  <c r="O106" i="83"/>
  <c r="Q106" i="83"/>
  <c r="F107" i="83" s="1"/>
  <c r="T106" i="83"/>
  <c r="P106" i="85"/>
  <c r="F106" i="85" s="1"/>
  <c r="I106" i="28"/>
  <c r="K106" i="84"/>
  <c r="M106" i="84"/>
  <c r="N106" i="84" s="1"/>
  <c r="C107" i="28" l="1"/>
  <c r="H106" i="85"/>
  <c r="AT106" i="84"/>
  <c r="AS106" i="84"/>
  <c r="G106" i="84" s="1"/>
  <c r="I106" i="84" s="1"/>
  <c r="AA106" i="85"/>
  <c r="AD106" i="85" s="1"/>
  <c r="P106" i="84" s="1"/>
  <c r="AR107" i="84" s="1"/>
  <c r="U106" i="83"/>
  <c r="H107" i="83"/>
  <c r="J107" i="83"/>
  <c r="AQ107" i="83"/>
  <c r="AP107" i="83"/>
  <c r="K107" i="83" l="1"/>
  <c r="M107" i="83"/>
  <c r="N107" i="83" s="1"/>
  <c r="J106" i="85"/>
  <c r="T106" i="85"/>
  <c r="S106" i="85"/>
  <c r="G106" i="85" s="1"/>
  <c r="O106" i="84"/>
  <c r="T106" i="84"/>
  <c r="U106" i="84" s="1"/>
  <c r="Q106" i="84"/>
  <c r="F107" i="84" s="1"/>
  <c r="E107" i="28" l="1"/>
  <c r="K106" i="85"/>
  <c r="F107" i="28" s="1"/>
  <c r="D107" i="28"/>
  <c r="L106" i="85"/>
  <c r="G107" i="28" s="1"/>
  <c r="N106" i="85"/>
  <c r="H107" i="84"/>
  <c r="J107" i="84"/>
  <c r="AP107" i="84"/>
  <c r="AQ107" i="84"/>
  <c r="AT107" i="83"/>
  <c r="AS107" i="83"/>
  <c r="G107" i="83" s="1"/>
  <c r="I107" i="83" s="1"/>
  <c r="K107" i="84" l="1"/>
  <c r="M107" i="84"/>
  <c r="N107" i="84" s="1"/>
  <c r="O107" i="83"/>
  <c r="Q107" i="83"/>
  <c r="F108" i="83" s="1"/>
  <c r="T107" i="83"/>
  <c r="P107" i="85"/>
  <c r="F107" i="85" s="1"/>
  <c r="I107" i="28"/>
  <c r="C108" i="28" l="1"/>
  <c r="H107" i="85"/>
  <c r="H108" i="83"/>
  <c r="J108" i="83"/>
  <c r="AP108" i="83"/>
  <c r="AQ108" i="83"/>
  <c r="AA107" i="85"/>
  <c r="AD107" i="85" s="1"/>
  <c r="P107" i="84" s="1"/>
  <c r="AR108" i="84" s="1"/>
  <c r="U107" i="83"/>
  <c r="AT107" i="84"/>
  <c r="AS107" i="84"/>
  <c r="G107" i="84" s="1"/>
  <c r="I107" i="84" s="1"/>
  <c r="K108" i="83" l="1"/>
  <c r="M108" i="83"/>
  <c r="N108" i="83" s="1"/>
  <c r="T107" i="85"/>
  <c r="J107" i="85"/>
  <c r="S107" i="85"/>
  <c r="G107" i="85" s="1"/>
  <c r="O107" i="84"/>
  <c r="Q107" i="84"/>
  <c r="F108" i="84" s="1"/>
  <c r="T107" i="84"/>
  <c r="U107" i="84" s="1"/>
  <c r="J108" i="84" l="1"/>
  <c r="H108" i="84"/>
  <c r="AQ108" i="84"/>
  <c r="AP108" i="84"/>
  <c r="E108" i="28"/>
  <c r="K107" i="85"/>
  <c r="F108" i="28" s="1"/>
  <c r="D108" i="28"/>
  <c r="N107" i="85"/>
  <c r="AT108" i="83"/>
  <c r="AS108" i="83"/>
  <c r="G108" i="83" s="1"/>
  <c r="I108" i="83" s="1"/>
  <c r="O108" i="83" l="1"/>
  <c r="Q108" i="83"/>
  <c r="F109" i="83" s="1"/>
  <c r="T108" i="83"/>
  <c r="P108" i="85"/>
  <c r="F108" i="85" s="1"/>
  <c r="I108" i="28"/>
  <c r="L107" i="85"/>
  <c r="G108" i="28" s="1"/>
  <c r="K108" i="84"/>
  <c r="M108" i="84"/>
  <c r="N108" i="84" s="1"/>
  <c r="AT108" i="84" l="1"/>
  <c r="AS108" i="84"/>
  <c r="G108" i="84" s="1"/>
  <c r="I108" i="84" s="1"/>
  <c r="AA108" i="85"/>
  <c r="AD108" i="85" s="1"/>
  <c r="P108" i="84" s="1"/>
  <c r="AR109" i="84" s="1"/>
  <c r="U108" i="83"/>
  <c r="C109" i="28"/>
  <c r="H108" i="85"/>
  <c r="J109" i="83"/>
  <c r="H109" i="83"/>
  <c r="AQ109" i="83"/>
  <c r="AP109" i="83"/>
  <c r="K109" i="83" l="1"/>
  <c r="M109" i="83"/>
  <c r="N109" i="83" s="1"/>
  <c r="J108" i="85"/>
  <c r="T108" i="85"/>
  <c r="S108" i="85"/>
  <c r="G108" i="85" s="1"/>
  <c r="O108" i="84"/>
  <c r="Q108" i="84"/>
  <c r="F109" i="84" s="1"/>
  <c r="T108" i="84"/>
  <c r="U108" i="84" s="1"/>
  <c r="H109" i="84" l="1"/>
  <c r="J109" i="84"/>
  <c r="AP109" i="84"/>
  <c r="AQ109" i="84"/>
  <c r="E109" i="28"/>
  <c r="K108" i="85"/>
  <c r="F109" i="28" s="1"/>
  <c r="D109" i="28"/>
  <c r="L108" i="85"/>
  <c r="G109" i="28" s="1"/>
  <c r="N108" i="85"/>
  <c r="AT109" i="83"/>
  <c r="AS109" i="83"/>
  <c r="G109" i="83" s="1"/>
  <c r="I109" i="83" s="1"/>
  <c r="P109" i="85" l="1"/>
  <c r="F109" i="85" s="1"/>
  <c r="I109" i="28"/>
  <c r="K109" i="84"/>
  <c r="M109" i="84"/>
  <c r="N109" i="84" s="1"/>
  <c r="O109" i="83"/>
  <c r="Q109" i="83"/>
  <c r="F110" i="83" s="1"/>
  <c r="T109" i="83"/>
  <c r="H110" i="83" l="1"/>
  <c r="J110" i="83"/>
  <c r="AQ110" i="83"/>
  <c r="AP110" i="83"/>
  <c r="AA109" i="85"/>
  <c r="AD109" i="85" s="1"/>
  <c r="P109" i="84" s="1"/>
  <c r="AR110" i="84" s="1"/>
  <c r="U109" i="83"/>
  <c r="AT109" i="84"/>
  <c r="AS109" i="84"/>
  <c r="G109" i="84" s="1"/>
  <c r="I109" i="84" s="1"/>
  <c r="C110" i="28"/>
  <c r="H109" i="85"/>
  <c r="K110" i="83" l="1"/>
  <c r="M110" i="83"/>
  <c r="N110" i="83" s="1"/>
  <c r="S109" i="85"/>
  <c r="G109" i="85" s="1"/>
  <c r="O109" i="84"/>
  <c r="Q109" i="84"/>
  <c r="F110" i="84" s="1"/>
  <c r="T109" i="84"/>
  <c r="U109" i="84" s="1"/>
  <c r="T109" i="85"/>
  <c r="J109" i="85"/>
  <c r="D110" i="28" l="1"/>
  <c r="N109" i="85"/>
  <c r="J110" i="84"/>
  <c r="H110" i="84"/>
  <c r="AP110" i="84"/>
  <c r="AQ110" i="84"/>
  <c r="AT110" i="83"/>
  <c r="AS110" i="83"/>
  <c r="G110" i="83" s="1"/>
  <c r="I110" i="83" s="1"/>
  <c r="K109" i="85"/>
  <c r="F110" i="28" s="1"/>
  <c r="E110" i="28"/>
  <c r="O110" i="83" l="1"/>
  <c r="Q110" i="83"/>
  <c r="F111" i="83" s="1"/>
  <c r="T110" i="83"/>
  <c r="P110" i="85"/>
  <c r="F110" i="85" s="1"/>
  <c r="I110" i="28"/>
  <c r="K110" i="84"/>
  <c r="M110" i="84"/>
  <c r="N110" i="84" s="1"/>
  <c r="L109" i="85"/>
  <c r="G110" i="28" s="1"/>
  <c r="C111" i="28" l="1"/>
  <c r="H110" i="85"/>
  <c r="AT110" i="84"/>
  <c r="AS110" i="84"/>
  <c r="G110" i="84" s="1"/>
  <c r="I110" i="84" s="1"/>
  <c r="AA110" i="85"/>
  <c r="AD110" i="85" s="1"/>
  <c r="P110" i="84" s="1"/>
  <c r="AR111" i="84" s="1"/>
  <c r="U110" i="83"/>
  <c r="J111" i="83"/>
  <c r="H111" i="83"/>
  <c r="AP111" i="83"/>
  <c r="AQ111" i="83"/>
  <c r="K111" i="83" l="1"/>
  <c r="M111" i="83"/>
  <c r="N111" i="83" s="1"/>
  <c r="J110" i="85"/>
  <c r="T110" i="85"/>
  <c r="S110" i="85"/>
  <c r="G110" i="85" s="1"/>
  <c r="O110" i="84"/>
  <c r="Q110" i="84"/>
  <c r="F111" i="84" s="1"/>
  <c r="T110" i="84"/>
  <c r="U110" i="84" s="1"/>
  <c r="H111" i="84" l="1"/>
  <c r="J111" i="84"/>
  <c r="AQ111" i="84"/>
  <c r="AP111" i="84"/>
  <c r="K110" i="85"/>
  <c r="F111" i="28" s="1"/>
  <c r="E111" i="28"/>
  <c r="D111" i="28"/>
  <c r="N110" i="85"/>
  <c r="AT111" i="83"/>
  <c r="AS111" i="83"/>
  <c r="G111" i="83" s="1"/>
  <c r="I111" i="83" s="1"/>
  <c r="O111" i="83" l="1"/>
  <c r="Q111" i="83"/>
  <c r="F112" i="83" s="1"/>
  <c r="T111" i="83"/>
  <c r="P111" i="85"/>
  <c r="F111" i="85" s="1"/>
  <c r="I111" i="28"/>
  <c r="K111" i="84"/>
  <c r="M111" i="84"/>
  <c r="N111" i="84" s="1"/>
  <c r="L110" i="85"/>
  <c r="G111" i="28" s="1"/>
  <c r="C112" i="28" l="1"/>
  <c r="H111" i="85"/>
  <c r="AT111" i="84"/>
  <c r="AS111" i="84"/>
  <c r="G111" i="84" s="1"/>
  <c r="I111" i="84" s="1"/>
  <c r="AA111" i="85"/>
  <c r="AD111" i="85" s="1"/>
  <c r="P111" i="84" s="1"/>
  <c r="AR112" i="84" s="1"/>
  <c r="U111" i="83"/>
  <c r="H112" i="83"/>
  <c r="J112" i="83"/>
  <c r="AQ112" i="83"/>
  <c r="AP112" i="83"/>
  <c r="K112" i="83" l="1"/>
  <c r="M112" i="83"/>
  <c r="N112" i="83" s="1"/>
  <c r="T111" i="85"/>
  <c r="J111" i="85"/>
  <c r="S111" i="85"/>
  <c r="G111" i="85" s="1"/>
  <c r="O111" i="84"/>
  <c r="Q111" i="84"/>
  <c r="F112" i="84" s="1"/>
  <c r="T111" i="84"/>
  <c r="U111" i="84" s="1"/>
  <c r="J112" i="84" l="1"/>
  <c r="H112" i="84"/>
  <c r="AP112" i="84"/>
  <c r="AQ112" i="84"/>
  <c r="E112" i="28"/>
  <c r="K111" i="85"/>
  <c r="F112" i="28" s="1"/>
  <c r="D112" i="28"/>
  <c r="N111" i="85"/>
  <c r="AT112" i="83"/>
  <c r="AS112" i="83"/>
  <c r="G112" i="83" s="1"/>
  <c r="I112" i="83" s="1"/>
  <c r="O112" i="83" l="1"/>
  <c r="Q112" i="83"/>
  <c r="F113" i="83" s="1"/>
  <c r="T112" i="83"/>
  <c r="P112" i="85"/>
  <c r="F112" i="85" s="1"/>
  <c r="I112" i="28"/>
  <c r="L111" i="85"/>
  <c r="G112" i="28" s="1"/>
  <c r="K112" i="84"/>
  <c r="M112" i="84"/>
  <c r="N112" i="84" s="1"/>
  <c r="C113" i="28" l="1"/>
  <c r="H112" i="85"/>
  <c r="AT112" i="84"/>
  <c r="AS112" i="84"/>
  <c r="G112" i="84" s="1"/>
  <c r="I112" i="84" s="1"/>
  <c r="AA112" i="85"/>
  <c r="AD112" i="85" s="1"/>
  <c r="P112" i="84" s="1"/>
  <c r="AR113" i="84" s="1"/>
  <c r="U112" i="83"/>
  <c r="J113" i="83"/>
  <c r="H113" i="83"/>
  <c r="AP113" i="83"/>
  <c r="AQ113" i="83"/>
  <c r="K113" i="83" l="1"/>
  <c r="M113" i="83"/>
  <c r="N113" i="83" s="1"/>
  <c r="T112" i="85"/>
  <c r="J112" i="85"/>
  <c r="S112" i="85"/>
  <c r="G112" i="85" s="1"/>
  <c r="O112" i="84"/>
  <c r="Q112" i="84"/>
  <c r="F113" i="84" s="1"/>
  <c r="T112" i="84"/>
  <c r="U112" i="84" s="1"/>
  <c r="H113" i="84" l="1"/>
  <c r="J113" i="84"/>
  <c r="AP113" i="84"/>
  <c r="AQ113" i="84"/>
  <c r="E113" i="28"/>
  <c r="K112" i="85"/>
  <c r="F113" i="28" s="1"/>
  <c r="D113" i="28"/>
  <c r="N112" i="85"/>
  <c r="AT113" i="83"/>
  <c r="AS113" i="83"/>
  <c r="G113" i="83" s="1"/>
  <c r="I113" i="83" s="1"/>
  <c r="O113" i="83" l="1"/>
  <c r="Q113" i="83"/>
  <c r="F114" i="83" s="1"/>
  <c r="T113" i="83"/>
  <c r="P113" i="85"/>
  <c r="F113" i="85" s="1"/>
  <c r="I113" i="28"/>
  <c r="L112" i="85"/>
  <c r="G113" i="28" s="1"/>
  <c r="K113" i="84"/>
  <c r="M113" i="84"/>
  <c r="N113" i="84" s="1"/>
  <c r="C114" i="28" l="1"/>
  <c r="H113" i="85"/>
  <c r="AT113" i="84"/>
  <c r="AS113" i="84"/>
  <c r="G113" i="84" s="1"/>
  <c r="I113" i="84" s="1"/>
  <c r="AA113" i="85"/>
  <c r="AD113" i="85" s="1"/>
  <c r="P113" i="84" s="1"/>
  <c r="AR114" i="84" s="1"/>
  <c r="U113" i="83"/>
  <c r="J114" i="83"/>
  <c r="H114" i="83"/>
  <c r="AP114" i="83"/>
  <c r="AQ114" i="83"/>
  <c r="K114" i="83" l="1"/>
  <c r="M114" i="83"/>
  <c r="N114" i="83" s="1"/>
  <c r="J113" i="85"/>
  <c r="T113" i="85"/>
  <c r="S113" i="85"/>
  <c r="G113" i="85" s="1"/>
  <c r="O113" i="84"/>
  <c r="Q113" i="84"/>
  <c r="F114" i="84" s="1"/>
  <c r="T113" i="84"/>
  <c r="U113" i="84" s="1"/>
  <c r="J114" i="84" l="1"/>
  <c r="H114" i="84"/>
  <c r="AP114" i="84"/>
  <c r="AQ114" i="84"/>
  <c r="K113" i="85"/>
  <c r="F114" i="28" s="1"/>
  <c r="E114" i="28"/>
  <c r="D114" i="28"/>
  <c r="N113" i="85"/>
  <c r="AT114" i="83"/>
  <c r="AS114" i="83"/>
  <c r="G114" i="83" s="1"/>
  <c r="I114" i="83" s="1"/>
  <c r="O114" i="83" l="1"/>
  <c r="Q114" i="83"/>
  <c r="F115" i="83" s="1"/>
  <c r="T114" i="83"/>
  <c r="P114" i="85"/>
  <c r="F114" i="85" s="1"/>
  <c r="I114" i="28"/>
  <c r="L113" i="85"/>
  <c r="G114" i="28" s="1"/>
  <c r="K114" i="84"/>
  <c r="M114" i="84"/>
  <c r="N114" i="84" s="1"/>
  <c r="C115" i="28" l="1"/>
  <c r="H114" i="85"/>
  <c r="AT114" i="84"/>
  <c r="AS114" i="84"/>
  <c r="G114" i="84" s="1"/>
  <c r="I114" i="84" s="1"/>
  <c r="AA114" i="85"/>
  <c r="AD114" i="85" s="1"/>
  <c r="P114" i="84" s="1"/>
  <c r="U114" i="83"/>
  <c r="V115" i="83" s="1"/>
  <c r="AQ115" i="83"/>
  <c r="H115" i="83"/>
  <c r="AP115" i="83"/>
  <c r="J115" i="83"/>
  <c r="K115" i="83" l="1"/>
  <c r="AT115" i="83" s="1"/>
  <c r="M115" i="83"/>
  <c r="N115" i="83" s="1"/>
  <c r="AR115" i="83"/>
  <c r="T114" i="85"/>
  <c r="J114" i="85"/>
  <c r="S114" i="85"/>
  <c r="G114" i="85" s="1"/>
  <c r="O114" i="84"/>
  <c r="T114" i="84"/>
  <c r="U114" i="84" s="1"/>
  <c r="V115" i="84" s="1"/>
  <c r="Q114" i="84"/>
  <c r="F115" i="84" s="1"/>
  <c r="D115" i="28" l="1"/>
  <c r="N114" i="85"/>
  <c r="AS115" i="83"/>
  <c r="G115" i="83" s="1"/>
  <c r="I115" i="83" s="1"/>
  <c r="AR116" i="83"/>
  <c r="AP115" i="84"/>
  <c r="AQ115" i="84"/>
  <c r="J115" i="84"/>
  <c r="H115" i="84"/>
  <c r="E115" i="28"/>
  <c r="K114" i="85"/>
  <c r="F115" i="28" s="1"/>
  <c r="L114" i="85" l="1"/>
  <c r="G115" i="28" s="1"/>
  <c r="O115" i="83"/>
  <c r="Q115" i="83"/>
  <c r="F116" i="83" s="1"/>
  <c r="T115" i="83"/>
  <c r="P115" i="85"/>
  <c r="F115" i="85" s="1"/>
  <c r="I115" i="28"/>
  <c r="AR115" i="84"/>
  <c r="K115" i="84"/>
  <c r="AT115" i="84" s="1"/>
  <c r="M115" i="84"/>
  <c r="N115" i="84" s="1"/>
  <c r="AR117" i="83"/>
  <c r="AR118" i="83" l="1"/>
  <c r="AS115" i="84"/>
  <c r="G115" i="84" s="1"/>
  <c r="I115" i="84" s="1"/>
  <c r="AA115" i="85"/>
  <c r="AD115" i="85" s="1"/>
  <c r="P115" i="84" s="1"/>
  <c r="AR116" i="84" s="1"/>
  <c r="U115" i="83"/>
  <c r="H116" i="83"/>
  <c r="J116" i="83"/>
  <c r="AP116" i="83"/>
  <c r="AQ116" i="83"/>
  <c r="H115" i="85"/>
  <c r="C116" i="28"/>
  <c r="S115" i="85" l="1"/>
  <c r="G115" i="85" s="1"/>
  <c r="O115" i="84"/>
  <c r="Q115" i="84"/>
  <c r="F116" i="84" s="1"/>
  <c r="T115" i="84"/>
  <c r="U115" i="84" s="1"/>
  <c r="K116" i="83"/>
  <c r="M116" i="83"/>
  <c r="N116" i="83" s="1"/>
  <c r="T115" i="85"/>
  <c r="J115" i="85"/>
  <c r="AR119" i="83"/>
  <c r="H116" i="84" l="1"/>
  <c r="J116" i="84"/>
  <c r="AP116" i="84"/>
  <c r="AQ116" i="84"/>
  <c r="AR120" i="83"/>
  <c r="AT116" i="83"/>
  <c r="AS116" i="83"/>
  <c r="G116" i="83" s="1"/>
  <c r="I116" i="83" s="1"/>
  <c r="D116" i="28"/>
  <c r="N115" i="85"/>
  <c r="K115" i="85"/>
  <c r="F116" i="28" s="1"/>
  <c r="E116" i="28"/>
  <c r="L115" i="85" l="1"/>
  <c r="G116" i="28" s="1"/>
  <c r="AR121" i="83"/>
  <c r="K116" i="84"/>
  <c r="M116" i="84"/>
  <c r="N116" i="84" s="1"/>
  <c r="O116" i="83"/>
  <c r="Q116" i="83"/>
  <c r="F117" i="83" s="1"/>
  <c r="T116" i="83"/>
  <c r="P116" i="85"/>
  <c r="F116" i="85" s="1"/>
  <c r="I116" i="28"/>
  <c r="C117" i="28" l="1"/>
  <c r="H116" i="85"/>
  <c r="AA116" i="85"/>
  <c r="AD116" i="85" s="1"/>
  <c r="P116" i="84" s="1"/>
  <c r="AR117" i="84" s="1"/>
  <c r="U116" i="83"/>
  <c r="AT116" i="84"/>
  <c r="AS116" i="84"/>
  <c r="G116" i="84" s="1"/>
  <c r="I116" i="84" s="1"/>
  <c r="J117" i="83"/>
  <c r="H117" i="83"/>
  <c r="AQ117" i="83"/>
  <c r="AP117" i="83"/>
  <c r="AR122" i="83"/>
  <c r="K117" i="83" l="1"/>
  <c r="M117" i="83"/>
  <c r="N117" i="83" s="1"/>
  <c r="S116" i="85"/>
  <c r="G116" i="85" s="1"/>
  <c r="O116" i="84"/>
  <c r="Q116" i="84"/>
  <c r="F117" i="84" s="1"/>
  <c r="T116" i="84"/>
  <c r="U116" i="84" s="1"/>
  <c r="J116" i="85"/>
  <c r="T116" i="85"/>
  <c r="AR123" i="83"/>
  <c r="AR124" i="83" l="1"/>
  <c r="K116" i="85"/>
  <c r="F117" i="28" s="1"/>
  <c r="E117" i="28"/>
  <c r="D117" i="28"/>
  <c r="N116" i="85"/>
  <c r="J117" i="84"/>
  <c r="H117" i="84"/>
  <c r="AQ117" i="84"/>
  <c r="AP117" i="84"/>
  <c r="AT117" i="83"/>
  <c r="AS117" i="83"/>
  <c r="G117" i="83" s="1"/>
  <c r="I117" i="83" s="1"/>
  <c r="L116" i="85" l="1"/>
  <c r="G117" i="28" s="1"/>
  <c r="O117" i="83"/>
  <c r="T117" i="83"/>
  <c r="Q117" i="83"/>
  <c r="F118" i="83" s="1"/>
  <c r="P117" i="85"/>
  <c r="F117" i="85" s="1"/>
  <c r="I117" i="28"/>
  <c r="K117" i="84"/>
  <c r="M117" i="84"/>
  <c r="N117" i="84" s="1"/>
  <c r="AR125" i="83"/>
  <c r="AT117" i="84" l="1"/>
  <c r="AS117" i="84"/>
  <c r="G117" i="84" s="1"/>
  <c r="I117" i="84" s="1"/>
  <c r="J118" i="83"/>
  <c r="H118" i="83"/>
  <c r="AP118" i="83"/>
  <c r="AQ118" i="83"/>
  <c r="AR126" i="83"/>
  <c r="AA117" i="85"/>
  <c r="AD117" i="85" s="1"/>
  <c r="P117" i="84" s="1"/>
  <c r="AR118" i="84" s="1"/>
  <c r="U117" i="83"/>
  <c r="C118" i="28"/>
  <c r="H117" i="85"/>
  <c r="K118" i="83" l="1"/>
  <c r="M118" i="83"/>
  <c r="N118" i="83" s="1"/>
  <c r="T117" i="85"/>
  <c r="J117" i="85"/>
  <c r="S117" i="85"/>
  <c r="G117" i="85" s="1"/>
  <c r="O117" i="84"/>
  <c r="Q117" i="84"/>
  <c r="F118" i="84" s="1"/>
  <c r="T117" i="84"/>
  <c r="U117" i="84" s="1"/>
  <c r="J118" i="84" l="1"/>
  <c r="H118" i="84"/>
  <c r="AQ118" i="84"/>
  <c r="AP118" i="84"/>
  <c r="D118" i="28"/>
  <c r="N117" i="85"/>
  <c r="AT118" i="83"/>
  <c r="AS118" i="83"/>
  <c r="G118" i="83" s="1"/>
  <c r="I118" i="83" s="1"/>
  <c r="K117" i="85"/>
  <c r="F118" i="28" s="1"/>
  <c r="E118" i="28"/>
  <c r="O118" i="83" l="1"/>
  <c r="T118" i="83"/>
  <c r="Q118" i="83"/>
  <c r="F119" i="83" s="1"/>
  <c r="L117" i="85"/>
  <c r="G118" i="28" s="1"/>
  <c r="P118" i="85"/>
  <c r="F118" i="85" s="1"/>
  <c r="I118" i="28"/>
  <c r="K118" i="84"/>
  <c r="M118" i="84"/>
  <c r="N118" i="84" s="1"/>
  <c r="H119" i="83" l="1"/>
  <c r="J119" i="83"/>
  <c r="AP119" i="83"/>
  <c r="AQ119" i="83"/>
  <c r="AT118" i="84"/>
  <c r="AS118" i="84"/>
  <c r="G118" i="84" s="1"/>
  <c r="I118" i="84" s="1"/>
  <c r="C119" i="28"/>
  <c r="H118" i="85"/>
  <c r="AA118" i="85"/>
  <c r="AD118" i="85" s="1"/>
  <c r="P118" i="84" s="1"/>
  <c r="AR119" i="84" s="1"/>
  <c r="U118" i="83"/>
  <c r="S118" i="85" l="1"/>
  <c r="G118" i="85" s="1"/>
  <c r="O118" i="84"/>
  <c r="T118" i="84"/>
  <c r="U118" i="84" s="1"/>
  <c r="Q118" i="84"/>
  <c r="F119" i="84" s="1"/>
  <c r="J118" i="85"/>
  <c r="T118" i="85"/>
  <c r="K119" i="83"/>
  <c r="M119" i="83"/>
  <c r="N119" i="83" s="1"/>
  <c r="K118" i="85" l="1"/>
  <c r="F119" i="28" s="1"/>
  <c r="E119" i="28"/>
  <c r="J119" i="84"/>
  <c r="H119" i="84"/>
  <c r="AP119" i="84"/>
  <c r="AQ119" i="84"/>
  <c r="AT119" i="83"/>
  <c r="AS119" i="83"/>
  <c r="G119" i="83" s="1"/>
  <c r="I119" i="83" s="1"/>
  <c r="D119" i="28"/>
  <c r="N118" i="85"/>
  <c r="L118" i="85" l="1"/>
  <c r="G119" i="28" s="1"/>
  <c r="K119" i="84"/>
  <c r="M119" i="84"/>
  <c r="N119" i="84" s="1"/>
  <c r="O119" i="83"/>
  <c r="Q119" i="83"/>
  <c r="F120" i="83" s="1"/>
  <c r="T119" i="83"/>
  <c r="P119" i="85"/>
  <c r="F119" i="85" s="1"/>
  <c r="I119" i="28"/>
  <c r="C120" i="28" l="1"/>
  <c r="H119" i="85"/>
  <c r="H120" i="83"/>
  <c r="J120" i="83"/>
  <c r="AP120" i="83"/>
  <c r="AQ120" i="83"/>
  <c r="AA119" i="85"/>
  <c r="AD119" i="85" s="1"/>
  <c r="P119" i="84" s="1"/>
  <c r="AR120" i="84" s="1"/>
  <c r="U119" i="83"/>
  <c r="AT119" i="84"/>
  <c r="AS119" i="84"/>
  <c r="G119" i="84" s="1"/>
  <c r="I119" i="84" s="1"/>
  <c r="J119" i="85" l="1"/>
  <c r="T119" i="85"/>
  <c r="K120" i="83"/>
  <c r="M120" i="83"/>
  <c r="N120" i="83" s="1"/>
  <c r="S119" i="85"/>
  <c r="G119" i="85" s="1"/>
  <c r="O119" i="84"/>
  <c r="T119" i="84"/>
  <c r="U119" i="84" s="1"/>
  <c r="Q119" i="84"/>
  <c r="F120" i="84" s="1"/>
  <c r="H120" i="84" l="1"/>
  <c r="J120" i="84"/>
  <c r="AP120" i="84"/>
  <c r="AQ120" i="84"/>
  <c r="AT120" i="83"/>
  <c r="AS120" i="83"/>
  <c r="G120" i="83" s="1"/>
  <c r="I120" i="83" s="1"/>
  <c r="D120" i="28"/>
  <c r="N119" i="85"/>
  <c r="K119" i="85"/>
  <c r="F120" i="28" s="1"/>
  <c r="E120" i="28"/>
  <c r="P120" i="85" l="1"/>
  <c r="F120" i="85" s="1"/>
  <c r="I120" i="28"/>
  <c r="K120" i="84"/>
  <c r="M120" i="84"/>
  <c r="N120" i="84" s="1"/>
  <c r="O120" i="83"/>
  <c r="Q120" i="83"/>
  <c r="F121" i="83" s="1"/>
  <c r="T120" i="83"/>
  <c r="L119" i="85"/>
  <c r="G120" i="28" s="1"/>
  <c r="AA120" i="85" l="1"/>
  <c r="AD120" i="85" s="1"/>
  <c r="P120" i="84" s="1"/>
  <c r="AR121" i="84" s="1"/>
  <c r="U120" i="83"/>
  <c r="AT120" i="84"/>
  <c r="AS120" i="84"/>
  <c r="G120" i="84" s="1"/>
  <c r="I120" i="84" s="1"/>
  <c r="J121" i="83"/>
  <c r="H121" i="83"/>
  <c r="AP121" i="83"/>
  <c r="AQ121" i="83"/>
  <c r="C121" i="28"/>
  <c r="H120" i="85"/>
  <c r="J120" i="85" l="1"/>
  <c r="T120" i="85"/>
  <c r="K121" i="83"/>
  <c r="M121" i="83"/>
  <c r="N121" i="83" s="1"/>
  <c r="S120" i="85"/>
  <c r="G120" i="85" s="1"/>
  <c r="O120" i="84"/>
  <c r="Q120" i="84"/>
  <c r="F121" i="84" s="1"/>
  <c r="T120" i="84"/>
  <c r="U120" i="84" s="1"/>
  <c r="J121" i="84" l="1"/>
  <c r="H121" i="84"/>
  <c r="AQ121" i="84"/>
  <c r="AP121" i="84"/>
  <c r="AT121" i="83"/>
  <c r="AS121" i="83"/>
  <c r="G121" i="83" s="1"/>
  <c r="I121" i="83" s="1"/>
  <c r="D121" i="28"/>
  <c r="N120" i="85"/>
  <c r="K120" i="85"/>
  <c r="F121" i="28" s="1"/>
  <c r="E121" i="28"/>
  <c r="O121" i="83" l="1"/>
  <c r="T121" i="83"/>
  <c r="Q121" i="83"/>
  <c r="F122" i="83" s="1"/>
  <c r="P121" i="85"/>
  <c r="F121" i="85" s="1"/>
  <c r="I121" i="28"/>
  <c r="L120" i="85"/>
  <c r="G121" i="28" s="1"/>
  <c r="K121" i="84"/>
  <c r="M121" i="84"/>
  <c r="N121" i="84" s="1"/>
  <c r="C122" i="28" l="1"/>
  <c r="H121" i="85"/>
  <c r="AT121" i="84"/>
  <c r="AS121" i="84"/>
  <c r="G121" i="84" s="1"/>
  <c r="I121" i="84" s="1"/>
  <c r="J122" i="83"/>
  <c r="H122" i="83"/>
  <c r="AP122" i="83"/>
  <c r="AQ122" i="83"/>
  <c r="AA121" i="85"/>
  <c r="AD121" i="85" s="1"/>
  <c r="P121" i="84" s="1"/>
  <c r="AR122" i="84" s="1"/>
  <c r="U121" i="83"/>
  <c r="K122" i="83" l="1"/>
  <c r="M122" i="83"/>
  <c r="N122" i="83" s="1"/>
  <c r="J121" i="85"/>
  <c r="T121" i="85"/>
  <c r="S121" i="85"/>
  <c r="G121" i="85" s="1"/>
  <c r="O121" i="84"/>
  <c r="Q121" i="84"/>
  <c r="F122" i="84" s="1"/>
  <c r="T121" i="84"/>
  <c r="U121" i="84" s="1"/>
  <c r="J122" i="84" l="1"/>
  <c r="H122" i="84"/>
  <c r="AP122" i="84"/>
  <c r="AQ122" i="84"/>
  <c r="K121" i="85"/>
  <c r="F122" i="28" s="1"/>
  <c r="E122" i="28"/>
  <c r="D122" i="28"/>
  <c r="N121" i="85"/>
  <c r="AT122" i="83"/>
  <c r="AS122" i="83"/>
  <c r="G122" i="83" s="1"/>
  <c r="I122" i="83" s="1"/>
  <c r="L121" i="85" l="1"/>
  <c r="G122" i="28" s="1"/>
  <c r="P122" i="85"/>
  <c r="F122" i="85" s="1"/>
  <c r="I122" i="28"/>
  <c r="O122" i="83"/>
  <c r="T122" i="83"/>
  <c r="Q122" i="83"/>
  <c r="F123" i="83" s="1"/>
  <c r="K122" i="84"/>
  <c r="M122" i="84"/>
  <c r="N122" i="84" s="1"/>
  <c r="C123" i="28" l="1"/>
  <c r="H122" i="85"/>
  <c r="AA122" i="85"/>
  <c r="AD122" i="85" s="1"/>
  <c r="P122" i="84" s="1"/>
  <c r="AR123" i="84" s="1"/>
  <c r="U122" i="83"/>
  <c r="AT122" i="84"/>
  <c r="AS122" i="84"/>
  <c r="G122" i="84" s="1"/>
  <c r="I122" i="84" s="1"/>
  <c r="H123" i="83"/>
  <c r="J123" i="83"/>
  <c r="AP123" i="83"/>
  <c r="AQ123" i="83"/>
  <c r="K123" i="83" l="1"/>
  <c r="M123" i="83"/>
  <c r="N123" i="83" s="1"/>
  <c r="S122" i="85"/>
  <c r="G122" i="85" s="1"/>
  <c r="O122" i="84"/>
  <c r="T122" i="84"/>
  <c r="U122" i="84" s="1"/>
  <c r="Q122" i="84"/>
  <c r="F123" i="84" s="1"/>
  <c r="J122" i="85"/>
  <c r="T122" i="85"/>
  <c r="E123" i="28" l="1"/>
  <c r="K122" i="85"/>
  <c r="F123" i="28" s="1"/>
  <c r="J123" i="84"/>
  <c r="H123" i="84"/>
  <c r="AQ123" i="84"/>
  <c r="AP123" i="84"/>
  <c r="D123" i="28"/>
  <c r="L122" i="85"/>
  <c r="G123" i="28" s="1"/>
  <c r="N122" i="85"/>
  <c r="AT123" i="83"/>
  <c r="AS123" i="83"/>
  <c r="G123" i="83" s="1"/>
  <c r="I123" i="83" s="1"/>
  <c r="K123" i="84" l="1"/>
  <c r="M123" i="84"/>
  <c r="N123" i="84" s="1"/>
  <c r="P123" i="85"/>
  <c r="F123" i="85" s="1"/>
  <c r="I123" i="28"/>
  <c r="O123" i="83"/>
  <c r="T123" i="83"/>
  <c r="Q123" i="83"/>
  <c r="F124" i="83" s="1"/>
  <c r="H123" i="85" l="1"/>
  <c r="C124" i="28"/>
  <c r="H124" i="83"/>
  <c r="J124" i="83"/>
  <c r="AP124" i="83"/>
  <c r="AQ124" i="83"/>
  <c r="AA123" i="85"/>
  <c r="AD123" i="85" s="1"/>
  <c r="P123" i="84" s="1"/>
  <c r="AR124" i="84" s="1"/>
  <c r="U123" i="83"/>
  <c r="AT123" i="84"/>
  <c r="AS123" i="84"/>
  <c r="G123" i="84" s="1"/>
  <c r="I123" i="84" s="1"/>
  <c r="K124" i="83" l="1"/>
  <c r="M124" i="83"/>
  <c r="N124" i="83" s="1"/>
  <c r="J123" i="85"/>
  <c r="T123" i="85"/>
  <c r="S123" i="85"/>
  <c r="G123" i="85" s="1"/>
  <c r="O123" i="84"/>
  <c r="T123" i="84"/>
  <c r="U123" i="84" s="1"/>
  <c r="Q123" i="84"/>
  <c r="F124" i="84" s="1"/>
  <c r="K123" i="85" l="1"/>
  <c r="F124" i="28" s="1"/>
  <c r="E124" i="28"/>
  <c r="D124" i="28"/>
  <c r="N123" i="85"/>
  <c r="H124" i="84"/>
  <c r="J124" i="84"/>
  <c r="AP124" i="84"/>
  <c r="AQ124" i="84"/>
  <c r="AT124" i="83"/>
  <c r="AS124" i="83"/>
  <c r="G124" i="83" s="1"/>
  <c r="I124" i="83" s="1"/>
  <c r="L123" i="85" l="1"/>
  <c r="G124" i="28" s="1"/>
  <c r="K124" i="84"/>
  <c r="M124" i="84"/>
  <c r="N124" i="84" s="1"/>
  <c r="O124" i="83"/>
  <c r="Q124" i="83"/>
  <c r="F125" i="83" s="1"/>
  <c r="T124" i="83"/>
  <c r="P124" i="85"/>
  <c r="F124" i="85" s="1"/>
  <c r="I124" i="28"/>
  <c r="C125" i="28" l="1"/>
  <c r="H124" i="85"/>
  <c r="J125" i="83"/>
  <c r="H125" i="83"/>
  <c r="AP125" i="83"/>
  <c r="AQ125" i="83"/>
  <c r="AA124" i="85"/>
  <c r="AD124" i="85" s="1"/>
  <c r="P124" i="84" s="1"/>
  <c r="AR125" i="84" s="1"/>
  <c r="U124" i="83"/>
  <c r="AT124" i="84"/>
  <c r="AS124" i="84"/>
  <c r="G124" i="84" s="1"/>
  <c r="I124" i="84" s="1"/>
  <c r="K125" i="83" l="1"/>
  <c r="M125" i="83"/>
  <c r="N125" i="83" s="1"/>
  <c r="T124" i="85"/>
  <c r="J124" i="85"/>
  <c r="S124" i="85"/>
  <c r="G124" i="85" s="1"/>
  <c r="O124" i="84"/>
  <c r="T124" i="84"/>
  <c r="U124" i="84" s="1"/>
  <c r="Q124" i="84"/>
  <c r="F125" i="84" s="1"/>
  <c r="J125" i="84" l="1"/>
  <c r="H125" i="84"/>
  <c r="AP125" i="84"/>
  <c r="AQ125" i="84"/>
  <c r="E125" i="28"/>
  <c r="K124" i="85"/>
  <c r="F125" i="28" s="1"/>
  <c r="D125" i="28"/>
  <c r="N124" i="85"/>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J126" i="83"/>
  <c r="H126" i="83"/>
  <c r="AP126" i="83"/>
  <c r="AQ126" i="83"/>
  <c r="AA125" i="85"/>
  <c r="AD125" i="85" s="1"/>
  <c r="P125" i="84" s="1"/>
  <c r="AR126" i="84" s="1"/>
  <c r="U125" i="83"/>
  <c r="J125" i="85" l="1"/>
  <c r="T125" i="85"/>
  <c r="K126" i="83"/>
  <c r="M126" i="83"/>
  <c r="N126" i="83" s="1"/>
  <c r="S125" i="85"/>
  <c r="G125" i="85" s="1"/>
  <c r="O125" i="84"/>
  <c r="T125" i="84"/>
  <c r="U125" i="84" s="1"/>
  <c r="Q125" i="84"/>
  <c r="F126" i="84" s="1"/>
  <c r="AT126" i="83" l="1"/>
  <c r="AS126" i="83"/>
  <c r="G126" i="83" s="1"/>
  <c r="I126" i="83" s="1"/>
  <c r="D126" i="28"/>
  <c r="N125" i="85"/>
  <c r="K125" i="85"/>
  <c r="F126" i="28" s="1"/>
  <c r="E126" i="28"/>
  <c r="J126" i="84"/>
  <c r="H126" i="84"/>
  <c r="AQ126" i="84"/>
  <c r="AP126" i="84"/>
  <c r="L125" i="85" l="1"/>
  <c r="G126" i="28" s="1"/>
  <c r="K126" i="84"/>
  <c r="M126" i="84"/>
  <c r="N126" i="84" s="1"/>
  <c r="O126" i="83"/>
  <c r="Q126" i="83"/>
  <c r="F127" i="83" s="1"/>
  <c r="T126" i="83"/>
  <c r="P126" i="85"/>
  <c r="F126" i="85"/>
  <c r="I126" i="28"/>
  <c r="AQ127" i="83" l="1"/>
  <c r="J127" i="83"/>
  <c r="AP127" i="83"/>
  <c r="H127" i="83"/>
  <c r="C127" i="28"/>
  <c r="H126" i="85"/>
  <c r="AA126" i="85"/>
  <c r="AD126" i="85" s="1"/>
  <c r="P126" i="84" s="1"/>
  <c r="U126" i="83"/>
  <c r="V127" i="83" s="1"/>
  <c r="AT126" i="84"/>
  <c r="AS126" i="84"/>
  <c r="G126" i="84" s="1"/>
  <c r="I126" i="84" s="1"/>
  <c r="AR127" i="83" l="1"/>
  <c r="K127" i="83"/>
  <c r="AT127" i="83" s="1"/>
  <c r="M127" i="83"/>
  <c r="N127" i="83" s="1"/>
  <c r="S126" i="85"/>
  <c r="G126" i="85" s="1"/>
  <c r="O126" i="84"/>
  <c r="Q126" i="84"/>
  <c r="F127" i="84" s="1"/>
  <c r="T126" i="84"/>
  <c r="U126" i="84" s="1"/>
  <c r="V127" i="84" s="1"/>
  <c r="J126" i="85"/>
  <c r="T126" i="85"/>
  <c r="AR128" i="83"/>
  <c r="AS127" i="83" l="1"/>
  <c r="G127" i="83" s="1"/>
  <c r="I127" i="83" s="1"/>
  <c r="Q127" i="83" s="1"/>
  <c r="F128" i="83" s="1"/>
  <c r="D127" i="28"/>
  <c r="N126" i="85"/>
  <c r="AP127" i="84"/>
  <c r="AQ127" i="84"/>
  <c r="J127" i="84"/>
  <c r="H127" i="84"/>
  <c r="E127" i="28"/>
  <c r="K126" i="85"/>
  <c r="F127" i="28" s="1"/>
  <c r="AR129" i="83"/>
  <c r="T127" i="83" l="1"/>
  <c r="O127" i="83"/>
  <c r="AR127" i="84"/>
  <c r="P127" i="85"/>
  <c r="F127" i="85" s="1"/>
  <c r="I127" i="28"/>
  <c r="AR130" i="83"/>
  <c r="K127" i="84"/>
  <c r="AT127" i="84" s="1"/>
  <c r="M127" i="84"/>
  <c r="N127" i="84" s="1"/>
  <c r="J128" i="83"/>
  <c r="H128" i="83"/>
  <c r="AP128" i="83"/>
  <c r="AQ128" i="83"/>
  <c r="L126" i="85"/>
  <c r="G127" i="28" s="1"/>
  <c r="AA127" i="85"/>
  <c r="AD127" i="85" s="1"/>
  <c r="P127" i="84" s="1"/>
  <c r="AR128" i="84" s="1"/>
  <c r="U127" i="83"/>
  <c r="K128" i="83" l="1"/>
  <c r="M128" i="83"/>
  <c r="N128" i="83" s="1"/>
  <c r="AR131" i="83"/>
  <c r="C128" i="28"/>
  <c r="H127" i="85"/>
  <c r="AS127" i="84"/>
  <c r="G127" i="84" s="1"/>
  <c r="I127" i="84" s="1"/>
  <c r="J127" i="85" l="1"/>
  <c r="T127" i="85"/>
  <c r="AR132" i="83"/>
  <c r="AT128" i="83"/>
  <c r="AS128" i="83"/>
  <c r="G128" i="83" s="1"/>
  <c r="I128" i="83" s="1"/>
  <c r="S127" i="85"/>
  <c r="G127" i="85" s="1"/>
  <c r="O127" i="84"/>
  <c r="T127" i="84"/>
  <c r="U127" i="84" s="1"/>
  <c r="Q127" i="84"/>
  <c r="F128" i="84" s="1"/>
  <c r="AR133" i="83" l="1"/>
  <c r="D128" i="28"/>
  <c r="N127" i="85"/>
  <c r="J128" i="84"/>
  <c r="H128" i="84"/>
  <c r="AQ128" i="84"/>
  <c r="AP128" i="84"/>
  <c r="O128" i="83"/>
  <c r="T128" i="83"/>
  <c r="Q128" i="83"/>
  <c r="F129" i="83" s="1"/>
  <c r="E128" i="28"/>
  <c r="K127" i="85"/>
  <c r="F128" i="28" s="1"/>
  <c r="L127" i="85" l="1"/>
  <c r="G128" i="28" s="1"/>
  <c r="K128" i="84"/>
  <c r="M128" i="84"/>
  <c r="N128" i="84" s="1"/>
  <c r="J129" i="83"/>
  <c r="H129" i="83"/>
  <c r="AQ129" i="83"/>
  <c r="AP129" i="83"/>
  <c r="AR134" i="83"/>
  <c r="AA128" i="85"/>
  <c r="AD128" i="85" s="1"/>
  <c r="P128" i="84" s="1"/>
  <c r="AR129" i="84" s="1"/>
  <c r="U128" i="83"/>
  <c r="P128" i="85"/>
  <c r="F128" i="85" s="1"/>
  <c r="I128" i="28"/>
  <c r="C129" i="28" l="1"/>
  <c r="H128" i="85"/>
  <c r="K129" i="83"/>
  <c r="M129" i="83"/>
  <c r="N129" i="83" s="1"/>
  <c r="AR135" i="83"/>
  <c r="AT128" i="84"/>
  <c r="AS128" i="84"/>
  <c r="G128" i="84" s="1"/>
  <c r="I128" i="84" s="1"/>
  <c r="AR136" i="83" l="1"/>
  <c r="J128" i="85"/>
  <c r="T128" i="85"/>
  <c r="S128" i="85"/>
  <c r="G128" i="85" s="1"/>
  <c r="O128" i="84"/>
  <c r="T128" i="84"/>
  <c r="U128" i="84" s="1"/>
  <c r="Q128" i="84"/>
  <c r="F129" i="84" s="1"/>
  <c r="AT129" i="83"/>
  <c r="AS129" i="83"/>
  <c r="G129" i="83" s="1"/>
  <c r="I129" i="83" s="1"/>
  <c r="H129" i="84" l="1"/>
  <c r="J129" i="84"/>
  <c r="AP129" i="84"/>
  <c r="AQ129" i="84"/>
  <c r="E129" i="28"/>
  <c r="K128" i="85"/>
  <c r="F129" i="28" s="1"/>
  <c r="O129" i="83"/>
  <c r="T129" i="83"/>
  <c r="Q129" i="83"/>
  <c r="F130" i="83" s="1"/>
  <c r="AR137" i="83"/>
  <c r="D129" i="28"/>
  <c r="N128" i="85"/>
  <c r="P129" i="85" l="1"/>
  <c r="F129" i="85" s="1"/>
  <c r="I129" i="28"/>
  <c r="J130" i="83"/>
  <c r="H130" i="83"/>
  <c r="AQ130" i="83"/>
  <c r="AP130" i="83"/>
  <c r="L128" i="85"/>
  <c r="G129" i="28" s="1"/>
  <c r="AA129" i="85"/>
  <c r="AD129" i="85" s="1"/>
  <c r="P129" i="84" s="1"/>
  <c r="AR130" i="84" s="1"/>
  <c r="U129" i="83"/>
  <c r="K129" i="84"/>
  <c r="M129" i="84"/>
  <c r="N129" i="84" s="1"/>
  <c r="AR138" i="83"/>
  <c r="C130" i="28" l="1"/>
  <c r="H129" i="85"/>
  <c r="AT129" i="84"/>
  <c r="AS129" i="84"/>
  <c r="G129" i="84" s="1"/>
  <c r="I129" i="84" s="1"/>
  <c r="K130" i="83"/>
  <c r="M130" i="83"/>
  <c r="N130" i="83" s="1"/>
  <c r="S129" i="85" l="1"/>
  <c r="G129" i="85" s="1"/>
  <c r="O129" i="84"/>
  <c r="Q129" i="84"/>
  <c r="F130" i="84" s="1"/>
  <c r="T129" i="84"/>
  <c r="U129" i="84" s="1"/>
  <c r="AT130" i="83"/>
  <c r="AS130" i="83"/>
  <c r="G130" i="83" s="1"/>
  <c r="I130" i="83" s="1"/>
  <c r="J129" i="85"/>
  <c r="T129" i="85"/>
  <c r="E130" i="28" l="1"/>
  <c r="K129" i="85"/>
  <c r="F130" i="28" s="1"/>
  <c r="J130" i="84"/>
  <c r="H130" i="84"/>
  <c r="AQ130" i="84"/>
  <c r="AP130" i="84"/>
  <c r="O130" i="83"/>
  <c r="Q130" i="83"/>
  <c r="F131" i="83" s="1"/>
  <c r="T130" i="83"/>
  <c r="D130" i="28"/>
  <c r="N129" i="85"/>
  <c r="L129" i="85" l="1"/>
  <c r="G130" i="28" s="1"/>
  <c r="AA130" i="85"/>
  <c r="AD130" i="85" s="1"/>
  <c r="P130" i="84" s="1"/>
  <c r="AR131" i="84" s="1"/>
  <c r="U130" i="83"/>
  <c r="K130" i="84"/>
  <c r="M130" i="84"/>
  <c r="N130" i="84" s="1"/>
  <c r="J131" i="83"/>
  <c r="H131" i="83"/>
  <c r="AQ131" i="83"/>
  <c r="AP131" i="83"/>
  <c r="P130" i="85"/>
  <c r="F130" i="85" s="1"/>
  <c r="I130" i="28"/>
  <c r="C131" i="28" l="1"/>
  <c r="H130" i="85"/>
  <c r="AT130" i="84"/>
  <c r="AS130" i="84"/>
  <c r="G130" i="84" s="1"/>
  <c r="I130" i="84" s="1"/>
  <c r="K131" i="83"/>
  <c r="M131" i="83"/>
  <c r="N131" i="83" s="1"/>
  <c r="AT131" i="83" l="1"/>
  <c r="AS131" i="83"/>
  <c r="G131" i="83" s="1"/>
  <c r="I131" i="83" s="1"/>
  <c r="J130" i="85"/>
  <c r="T130" i="85"/>
  <c r="S130" i="85"/>
  <c r="G130" i="85" s="1"/>
  <c r="O130" i="84"/>
  <c r="Q130" i="84"/>
  <c r="F131" i="84" s="1"/>
  <c r="T130" i="84"/>
  <c r="U130" i="84" s="1"/>
  <c r="J131" i="84" l="1"/>
  <c r="H131" i="84"/>
  <c r="AQ131" i="84"/>
  <c r="AP131" i="84"/>
  <c r="K130" i="85"/>
  <c r="F131" i="28" s="1"/>
  <c r="E131" i="28"/>
  <c r="O131" i="83"/>
  <c r="Q131" i="83"/>
  <c r="F132" i="83" s="1"/>
  <c r="T131" i="83"/>
  <c r="D131" i="28"/>
  <c r="N130" i="85"/>
  <c r="L130" i="85" l="1"/>
  <c r="G131" i="28" s="1"/>
  <c r="AA131" i="85"/>
  <c r="AD131" i="85" s="1"/>
  <c r="P131" i="84" s="1"/>
  <c r="AR132" i="84" s="1"/>
  <c r="U131" i="83"/>
  <c r="P131" i="85"/>
  <c r="F131" i="85" s="1"/>
  <c r="I131" i="28"/>
  <c r="J132" i="83"/>
  <c r="H132" i="83"/>
  <c r="AQ132" i="83"/>
  <c r="AP132" i="83"/>
  <c r="K131" i="84"/>
  <c r="M131" i="84"/>
  <c r="N131" i="84" s="1"/>
  <c r="C132" i="28" l="1"/>
  <c r="H131" i="85"/>
  <c r="K132" i="83"/>
  <c r="M132" i="83"/>
  <c r="N132" i="83" s="1"/>
  <c r="AT131" i="84"/>
  <c r="AS131" i="84"/>
  <c r="G131" i="84" s="1"/>
  <c r="I131" i="84" s="1"/>
  <c r="AT132" i="83" l="1"/>
  <c r="AS132" i="83"/>
  <c r="G132" i="83" s="1"/>
  <c r="I132" i="83" s="1"/>
  <c r="S131" i="85"/>
  <c r="G131" i="85" s="1"/>
  <c r="O131" i="84"/>
  <c r="Q131" i="84"/>
  <c r="F132" i="84" s="1"/>
  <c r="T131" i="84"/>
  <c r="U131" i="84" s="1"/>
  <c r="J131" i="85"/>
  <c r="T131" i="85"/>
  <c r="E132" i="28" l="1"/>
  <c r="K131" i="85"/>
  <c r="F132" i="28" s="1"/>
  <c r="D132" i="28"/>
  <c r="L131" i="85"/>
  <c r="G132" i="28" s="1"/>
  <c r="N131" i="85"/>
  <c r="O132" i="83"/>
  <c r="Q132" i="83"/>
  <c r="F133" i="83" s="1"/>
  <c r="T132" i="83"/>
  <c r="J132" i="84"/>
  <c r="H132" i="84"/>
  <c r="AP132" i="84"/>
  <c r="AQ132" i="84"/>
  <c r="AA132" i="85" l="1"/>
  <c r="AD132" i="85" s="1"/>
  <c r="P132" i="84" s="1"/>
  <c r="AR133" i="84" s="1"/>
  <c r="U132" i="83"/>
  <c r="J133" i="83"/>
  <c r="H133" i="83"/>
  <c r="AP133" i="83"/>
  <c r="AQ133" i="83"/>
  <c r="K132" i="84"/>
  <c r="M132" i="84"/>
  <c r="N132" i="84" s="1"/>
  <c r="P132" i="85"/>
  <c r="F132" i="85" s="1"/>
  <c r="I132" i="28"/>
  <c r="C133" i="28" l="1"/>
  <c r="H132" i="85"/>
  <c r="AT132" i="84"/>
  <c r="AS132" i="84"/>
  <c r="G132" i="84" s="1"/>
  <c r="I132" i="84" s="1"/>
  <c r="K133" i="83"/>
  <c r="M133" i="83"/>
  <c r="N133" i="83" s="1"/>
  <c r="AT133" i="83" l="1"/>
  <c r="AS133" i="83"/>
  <c r="G133" i="83" s="1"/>
  <c r="I133" i="83" s="1"/>
  <c r="J132" i="85"/>
  <c r="T132" i="85"/>
  <c r="S132" i="85"/>
  <c r="G132" i="85" s="1"/>
  <c r="O132" i="84"/>
  <c r="T132" i="84"/>
  <c r="U132" i="84" s="1"/>
  <c r="Q132" i="84"/>
  <c r="F133" i="84" s="1"/>
  <c r="E133" i="28" l="1"/>
  <c r="K132" i="85"/>
  <c r="F133" i="28" s="1"/>
  <c r="J133" i="84"/>
  <c r="H133" i="84"/>
  <c r="AP133" i="84"/>
  <c r="AQ133" i="84"/>
  <c r="O133" i="83"/>
  <c r="Q133" i="83"/>
  <c r="F134" i="83" s="1"/>
  <c r="T133" i="83"/>
  <c r="D133" i="28"/>
  <c r="N132" i="85"/>
  <c r="K133" i="84" l="1"/>
  <c r="M133" i="84"/>
  <c r="N133" i="84" s="1"/>
  <c r="AA133" i="85"/>
  <c r="AD133" i="85" s="1"/>
  <c r="P133" i="84" s="1"/>
  <c r="AR134" i="84" s="1"/>
  <c r="U133" i="83"/>
  <c r="P133" i="85"/>
  <c r="F133" i="85" s="1"/>
  <c r="I133" i="28"/>
  <c r="J134" i="83"/>
  <c r="H134" i="83"/>
  <c r="AP134" i="83"/>
  <c r="AQ134" i="83"/>
  <c r="L132" i="85"/>
  <c r="G133" i="28" s="1"/>
  <c r="C134" i="28" l="1"/>
  <c r="H133" i="85"/>
  <c r="K134" i="83"/>
  <c r="M134" i="83"/>
  <c r="N134" i="83" s="1"/>
  <c r="AT133" i="84"/>
  <c r="AS133" i="84"/>
  <c r="G133" i="84" s="1"/>
  <c r="I133" i="84" s="1"/>
  <c r="S133" i="85" l="1"/>
  <c r="G133" i="85" s="1"/>
  <c r="O133" i="84"/>
  <c r="T133" i="84"/>
  <c r="U133" i="84" s="1"/>
  <c r="Q133" i="84"/>
  <c r="F134" i="84" s="1"/>
  <c r="J133" i="85"/>
  <c r="T133" i="85"/>
  <c r="AT134" i="83"/>
  <c r="AS134" i="83"/>
  <c r="G134" i="83" s="1"/>
  <c r="I134" i="83" s="1"/>
  <c r="O134" i="83" l="1"/>
  <c r="T134" i="83"/>
  <c r="Q134" i="83"/>
  <c r="F135" i="83" s="1"/>
  <c r="J134" i="84"/>
  <c r="H134" i="84"/>
  <c r="AP134" i="84"/>
  <c r="AQ134" i="84"/>
  <c r="K133" i="85"/>
  <c r="F134" i="28" s="1"/>
  <c r="E134" i="28"/>
  <c r="D134" i="28"/>
  <c r="N133" i="85"/>
  <c r="L133" i="85" l="1"/>
  <c r="G134" i="28" s="1"/>
  <c r="K134" i="84"/>
  <c r="M134" i="84"/>
  <c r="N134" i="84" s="1"/>
  <c r="H135" i="83"/>
  <c r="J135" i="83"/>
  <c r="AP135" i="83"/>
  <c r="AQ135" i="83"/>
  <c r="P134" i="85"/>
  <c r="F134" i="85" s="1"/>
  <c r="I134" i="28"/>
  <c r="AA134" i="85"/>
  <c r="AD134" i="85" s="1"/>
  <c r="P134" i="84" s="1"/>
  <c r="AR135" i="84" s="1"/>
  <c r="U134" i="83"/>
  <c r="C135" i="28" l="1"/>
  <c r="H134" i="85"/>
  <c r="K135" i="83"/>
  <c r="M135" i="83"/>
  <c r="N135" i="83" s="1"/>
  <c r="AT134" i="84"/>
  <c r="AS134" i="84"/>
  <c r="G134" i="84" s="1"/>
  <c r="I134" i="84" s="1"/>
  <c r="S134" i="85" l="1"/>
  <c r="G134" i="85" s="1"/>
  <c r="O134" i="84"/>
  <c r="T134" i="84"/>
  <c r="U134" i="84" s="1"/>
  <c r="Q134" i="84"/>
  <c r="F135" i="84" s="1"/>
  <c r="T134" i="85"/>
  <c r="J134" i="85"/>
  <c r="AT135" i="83"/>
  <c r="AS135" i="83"/>
  <c r="G135" i="83" s="1"/>
  <c r="I135" i="83" s="1"/>
  <c r="O135" i="83" l="1"/>
  <c r="T135" i="83"/>
  <c r="Q135" i="83"/>
  <c r="F136" i="83" s="1"/>
  <c r="J135" i="84"/>
  <c r="H135" i="84"/>
  <c r="AQ135" i="84"/>
  <c r="AP135" i="84"/>
  <c r="E135" i="28"/>
  <c r="K134" i="85"/>
  <c r="F135" i="28" s="1"/>
  <c r="D135" i="28"/>
  <c r="N134" i="85"/>
  <c r="L134" i="85" l="1"/>
  <c r="G135" i="28" s="1"/>
  <c r="J136" i="83"/>
  <c r="H136" i="83"/>
  <c r="AQ136" i="83"/>
  <c r="AP136" i="83"/>
  <c r="P135" i="85"/>
  <c r="F135" i="85" s="1"/>
  <c r="I135" i="28"/>
  <c r="AA135" i="85"/>
  <c r="AD135" i="85" s="1"/>
  <c r="P135" i="84" s="1"/>
  <c r="AR136" i="84" s="1"/>
  <c r="U135" i="83"/>
  <c r="K135" i="84"/>
  <c r="M135" i="84"/>
  <c r="N135" i="84" s="1"/>
  <c r="C136" i="28" l="1"/>
  <c r="H135" i="85"/>
  <c r="AT135" i="84"/>
  <c r="AS135" i="84"/>
  <c r="G135" i="84" s="1"/>
  <c r="I135" i="84" s="1"/>
  <c r="K136" i="83"/>
  <c r="M136" i="83"/>
  <c r="N136" i="83" s="1"/>
  <c r="AT136" i="83" l="1"/>
  <c r="AS136" i="83"/>
  <c r="G136" i="83" s="1"/>
  <c r="I136" i="83" s="1"/>
  <c r="T135" i="85"/>
  <c r="J135" i="85"/>
  <c r="S135" i="85"/>
  <c r="G135" i="85" s="1"/>
  <c r="O135" i="84"/>
  <c r="Q135" i="84"/>
  <c r="F136" i="84" s="1"/>
  <c r="T135" i="84"/>
  <c r="U135" i="84" s="1"/>
  <c r="H136" i="84" l="1"/>
  <c r="J136" i="84"/>
  <c r="AQ136" i="84"/>
  <c r="AP136" i="84"/>
  <c r="E136" i="28"/>
  <c r="K135" i="85"/>
  <c r="F136" i="28" s="1"/>
  <c r="O136" i="83"/>
  <c r="T136" i="83"/>
  <c r="Q136" i="83"/>
  <c r="F137" i="83" s="1"/>
  <c r="D136" i="28"/>
  <c r="N135" i="85"/>
  <c r="J137" i="83" l="1"/>
  <c r="H137" i="83"/>
  <c r="AQ137" i="83"/>
  <c r="AP137" i="83"/>
  <c r="P136" i="85"/>
  <c r="F136" i="85" s="1"/>
  <c r="I136" i="28"/>
  <c r="AA136" i="85"/>
  <c r="AD136" i="85" s="1"/>
  <c r="P136" i="84" s="1"/>
  <c r="AR137" i="84" s="1"/>
  <c r="U136" i="83"/>
  <c r="K136" i="84"/>
  <c r="M136" i="84"/>
  <c r="N136" i="84" s="1"/>
  <c r="L135" i="85"/>
  <c r="G136" i="28" s="1"/>
  <c r="C137" i="28" l="1"/>
  <c r="H136" i="85"/>
  <c r="AT136" i="84"/>
  <c r="AS136" i="84"/>
  <c r="G136" i="84" s="1"/>
  <c r="I136" i="84" s="1"/>
  <c r="K137" i="83"/>
  <c r="M137" i="83"/>
  <c r="N137" i="83" s="1"/>
  <c r="AT137" i="83" l="1"/>
  <c r="AS137" i="83"/>
  <c r="G137" i="83" s="1"/>
  <c r="I137" i="83" s="1"/>
  <c r="J136" i="85"/>
  <c r="T136" i="85"/>
  <c r="S136" i="85"/>
  <c r="G136" i="85" s="1"/>
  <c r="O136" i="84"/>
  <c r="T136" i="84"/>
  <c r="U136" i="84" s="1"/>
  <c r="Q136" i="84"/>
  <c r="F137" i="84" s="1"/>
  <c r="E137" i="28" l="1"/>
  <c r="K136" i="85"/>
  <c r="F137" i="28" s="1"/>
  <c r="H137" i="84"/>
  <c r="J137" i="84"/>
  <c r="AP137" i="84"/>
  <c r="AQ137" i="84"/>
  <c r="O137" i="83"/>
  <c r="T137" i="83"/>
  <c r="Q137" i="83"/>
  <c r="F138" i="83" s="1"/>
  <c r="D137" i="28"/>
  <c r="N136" i="85"/>
  <c r="L136" i="85" l="1"/>
  <c r="G137" i="28" s="1"/>
  <c r="K137" i="84"/>
  <c r="M137" i="84"/>
  <c r="N137" i="84" s="1"/>
  <c r="H138" i="83"/>
  <c r="J138" i="83"/>
  <c r="AP138" i="83"/>
  <c r="AQ138" i="83"/>
  <c r="P137" i="85"/>
  <c r="F137" i="85" s="1"/>
  <c r="I137" i="28"/>
  <c r="AA137" i="85"/>
  <c r="AD137" i="85" s="1"/>
  <c r="P137" i="84" s="1"/>
  <c r="AR138" i="84" s="1"/>
  <c r="U137" i="83"/>
  <c r="C138" i="28" l="1"/>
  <c r="H137" i="85"/>
  <c r="K138" i="83"/>
  <c r="M138" i="83"/>
  <c r="N138" i="83" s="1"/>
  <c r="AT137" i="84"/>
  <c r="AS137" i="84"/>
  <c r="G137" i="84" s="1"/>
  <c r="I137" i="84" s="1"/>
  <c r="S137" i="85" l="1"/>
  <c r="G137" i="85" s="1"/>
  <c r="O137" i="84"/>
  <c r="Q137" i="84"/>
  <c r="F138" i="84" s="1"/>
  <c r="T137" i="84"/>
  <c r="U137" i="84" s="1"/>
  <c r="J137" i="85"/>
  <c r="T137" i="85"/>
  <c r="AT138" i="83"/>
  <c r="AS138" i="83"/>
  <c r="G138" i="83" s="1"/>
  <c r="I138" i="83" s="1"/>
  <c r="O138" i="83" l="1"/>
  <c r="Q138" i="83"/>
  <c r="F139" i="83" s="1"/>
  <c r="T138" i="83"/>
  <c r="J138" i="84"/>
  <c r="H138" i="84"/>
  <c r="AP138" i="84"/>
  <c r="AQ138" i="84"/>
  <c r="E138" i="28"/>
  <c r="K137" i="85"/>
  <c r="F138" i="28" s="1"/>
  <c r="D138" i="28"/>
  <c r="N137" i="85"/>
  <c r="AA138" i="85" l="1"/>
  <c r="AD138" i="85" s="1"/>
  <c r="P138" i="84" s="1"/>
  <c r="U138" i="83"/>
  <c r="V139" i="83" s="1"/>
  <c r="K138" i="84"/>
  <c r="M138" i="84"/>
  <c r="N138" i="84" s="1"/>
  <c r="P138" i="85"/>
  <c r="F138" i="85" s="1"/>
  <c r="I138" i="28"/>
  <c r="AQ139" i="83"/>
  <c r="J139" i="83"/>
  <c r="AP139" i="83"/>
  <c r="AR139" i="83" s="1"/>
  <c r="H139" i="83"/>
  <c r="L137" i="85"/>
  <c r="G138" i="28" s="1"/>
  <c r="AR140" i="83" l="1"/>
  <c r="K139" i="83"/>
  <c r="AT139" i="83" s="1"/>
  <c r="M139" i="83"/>
  <c r="N139" i="83" s="1"/>
  <c r="AT138" i="84"/>
  <c r="AS138" i="84"/>
  <c r="G138" i="84" s="1"/>
  <c r="I138" i="84" s="1"/>
  <c r="C139" i="28"/>
  <c r="H138" i="85"/>
  <c r="AS139" i="83" l="1"/>
  <c r="G139" i="83" s="1"/>
  <c r="I139" i="83" s="1"/>
  <c r="T139" i="83" s="1"/>
  <c r="T138" i="85"/>
  <c r="J138" i="85"/>
  <c r="S138" i="85"/>
  <c r="G138" i="85" s="1"/>
  <c r="O138" i="84"/>
  <c r="T138" i="84"/>
  <c r="U138" i="84" s="1"/>
  <c r="V139" i="84" s="1"/>
  <c r="Q138" i="84"/>
  <c r="F139" i="84" s="1"/>
  <c r="AR141" i="83"/>
  <c r="Q139" i="83" l="1"/>
  <c r="F140" i="83" s="1"/>
  <c r="AQ140" i="83" s="1"/>
  <c r="O139" i="83"/>
  <c r="D139" i="28"/>
  <c r="N138" i="85"/>
  <c r="AR142" i="83"/>
  <c r="AA139" i="85"/>
  <c r="AD139" i="85" s="1"/>
  <c r="P139" i="84" s="1"/>
  <c r="U139" i="83"/>
  <c r="AP139" i="84"/>
  <c r="AQ139" i="84"/>
  <c r="H139" i="84"/>
  <c r="J139" i="84"/>
  <c r="E139" i="28"/>
  <c r="K138" i="85"/>
  <c r="F139" i="28" s="1"/>
  <c r="AP140" i="83" l="1"/>
  <c r="J140" i="83"/>
  <c r="L138" i="85"/>
  <c r="G139" i="28" s="1"/>
  <c r="H140" i="83"/>
  <c r="K140" i="83"/>
  <c r="M140" i="83"/>
  <c r="N140" i="83" s="1"/>
  <c r="AR143" i="83"/>
  <c r="K139" i="84"/>
  <c r="AT139" i="84" s="1"/>
  <c r="M139" i="84"/>
  <c r="N139" i="84" s="1"/>
  <c r="AR139" i="84"/>
  <c r="P139" i="85"/>
  <c r="F139" i="85" s="1"/>
  <c r="I139" i="28"/>
  <c r="AS139" i="84" l="1"/>
  <c r="G139" i="84" s="1"/>
  <c r="I139" i="84" s="1"/>
  <c r="T139" i="84" s="1"/>
  <c r="U139" i="84" s="1"/>
  <c r="AR144" i="83"/>
  <c r="C140" i="28"/>
  <c r="H139" i="85"/>
  <c r="AT140" i="83"/>
  <c r="AS140" i="83"/>
  <c r="G140" i="83" s="1"/>
  <c r="I140" i="83" s="1"/>
  <c r="AR140" i="84"/>
  <c r="Q139" i="84" l="1"/>
  <c r="F140" i="84" s="1"/>
  <c r="AQ140" i="84" s="1"/>
  <c r="O139" i="84"/>
  <c r="S139" i="85"/>
  <c r="G139" i="85" s="1"/>
  <c r="N139" i="85" s="1"/>
  <c r="P140" i="85" s="1"/>
  <c r="F140" i="85" s="1"/>
  <c r="O140" i="83"/>
  <c r="T140" i="83"/>
  <c r="Q140" i="83"/>
  <c r="F141" i="83" s="1"/>
  <c r="I140" i="28"/>
  <c r="AR145" i="83"/>
  <c r="J139" i="85"/>
  <c r="T139" i="85"/>
  <c r="J140" i="84"/>
  <c r="H140" i="84"/>
  <c r="AP140" i="84"/>
  <c r="D140" i="28" l="1"/>
  <c r="C141" i="28"/>
  <c r="H140" i="85"/>
  <c r="E140" i="28"/>
  <c r="K139" i="85"/>
  <c r="F140" i="28" s="1"/>
  <c r="AR146" i="83"/>
  <c r="AA140" i="85"/>
  <c r="AD140" i="85" s="1"/>
  <c r="P140" i="84" s="1"/>
  <c r="AR141" i="84" s="1"/>
  <c r="U140" i="83"/>
  <c r="J141" i="83"/>
  <c r="H141" i="83"/>
  <c r="AP141" i="83"/>
  <c r="AQ141" i="83"/>
  <c r="K140" i="84"/>
  <c r="M140" i="84"/>
  <c r="N140" i="84" s="1"/>
  <c r="L139" i="85" l="1"/>
  <c r="G140" i="28" s="1"/>
  <c r="K141" i="83"/>
  <c r="M141" i="83"/>
  <c r="N141" i="83" s="1"/>
  <c r="T140" i="85"/>
  <c r="J140" i="85"/>
  <c r="AR147" i="83"/>
  <c r="AT140" i="84"/>
  <c r="AS140" i="84"/>
  <c r="G140" i="84" s="1"/>
  <c r="I140" i="84" s="1"/>
  <c r="K140" i="85" l="1"/>
  <c r="F141" i="28" s="1"/>
  <c r="E141" i="28"/>
  <c r="S140" i="85"/>
  <c r="G140" i="85" s="1"/>
  <c r="O140" i="84"/>
  <c r="T140" i="84"/>
  <c r="U140" i="84" s="1"/>
  <c r="Q140" i="84"/>
  <c r="F141" i="84" s="1"/>
  <c r="AR148" i="83"/>
  <c r="AT141" i="83"/>
  <c r="AS141" i="83"/>
  <c r="G141" i="83" s="1"/>
  <c r="I141" i="83" s="1"/>
  <c r="D141" i="28" l="1"/>
  <c r="L140" i="85"/>
  <c r="G141" i="28" s="1"/>
  <c r="N140" i="85"/>
  <c r="O141" i="83"/>
  <c r="T141" i="83"/>
  <c r="Q141" i="83"/>
  <c r="F142" i="83" s="1"/>
  <c r="J141" i="84"/>
  <c r="H141" i="84"/>
  <c r="AP141" i="84"/>
  <c r="AQ141" i="84"/>
  <c r="AR149" i="83"/>
  <c r="K141" i="84" l="1"/>
  <c r="M141" i="84"/>
  <c r="N141" i="84" s="1"/>
  <c r="P141" i="85"/>
  <c r="F141" i="85" s="1"/>
  <c r="I141" i="28"/>
  <c r="J142" i="83"/>
  <c r="H142" i="83"/>
  <c r="AQ142" i="83"/>
  <c r="AP142" i="83"/>
  <c r="AR150" i="83"/>
  <c r="AA141" i="85"/>
  <c r="AD141" i="85" s="1"/>
  <c r="P141" i="84" s="1"/>
  <c r="AR142" i="84" s="1"/>
  <c r="U141" i="83"/>
  <c r="K142" i="83" l="1"/>
  <c r="M142" i="83"/>
  <c r="N142" i="83" s="1"/>
  <c r="C142" i="28"/>
  <c r="H141" i="85"/>
  <c r="AT141" i="84"/>
  <c r="AS141" i="84"/>
  <c r="G141" i="84" s="1"/>
  <c r="I141" i="84" s="1"/>
  <c r="J141" i="85" l="1"/>
  <c r="T141" i="85"/>
  <c r="S141" i="85"/>
  <c r="G141" i="85" s="1"/>
  <c r="O141" i="84"/>
  <c r="Q141" i="84"/>
  <c r="F142" i="84" s="1"/>
  <c r="T141" i="84"/>
  <c r="U141" i="84" s="1"/>
  <c r="AT142" i="83"/>
  <c r="AS142" i="83"/>
  <c r="G142" i="83" s="1"/>
  <c r="I142" i="83" s="1"/>
  <c r="D142" i="28" l="1"/>
  <c r="N141" i="85"/>
  <c r="O142" i="83"/>
  <c r="T142" i="83"/>
  <c r="Q142" i="83"/>
  <c r="F143" i="83" s="1"/>
  <c r="J142" i="84"/>
  <c r="H142" i="84"/>
  <c r="AP142" i="84"/>
  <c r="AQ142" i="84"/>
  <c r="E142" i="28"/>
  <c r="K141" i="85"/>
  <c r="F142" i="28" s="1"/>
  <c r="K142" i="84" l="1"/>
  <c r="M142" i="84"/>
  <c r="N142" i="84" s="1"/>
  <c r="P142" i="85"/>
  <c r="F142" i="85" s="1"/>
  <c r="I142" i="28"/>
  <c r="H143" i="83"/>
  <c r="J143" i="83"/>
  <c r="AQ143" i="83"/>
  <c r="AP143" i="83"/>
  <c r="L141" i="85"/>
  <c r="G142" i="28" s="1"/>
  <c r="AA142" i="85"/>
  <c r="AD142" i="85" s="1"/>
  <c r="P142" i="84" s="1"/>
  <c r="AR143" i="84" s="1"/>
  <c r="U142" i="83"/>
  <c r="C143" i="28" l="1"/>
  <c r="H142" i="85"/>
  <c r="K143" i="83"/>
  <c r="M143" i="83"/>
  <c r="N143" i="83" s="1"/>
  <c r="AT142" i="84"/>
  <c r="AS142" i="84"/>
  <c r="G142" i="84" s="1"/>
  <c r="I142" i="84" s="1"/>
  <c r="S142" i="85" l="1"/>
  <c r="G142" i="85" s="1"/>
  <c r="O142" i="84"/>
  <c r="Q142" i="84"/>
  <c r="F143" i="84" s="1"/>
  <c r="T142" i="84"/>
  <c r="U142" i="84" s="1"/>
  <c r="AT143" i="83"/>
  <c r="AS143" i="83"/>
  <c r="G143" i="83" s="1"/>
  <c r="I143" i="83" s="1"/>
  <c r="J142" i="85"/>
  <c r="T142" i="85"/>
  <c r="K142" i="85" l="1"/>
  <c r="F143" i="28" s="1"/>
  <c r="E143" i="28"/>
  <c r="O143" i="83"/>
  <c r="Q143" i="83"/>
  <c r="F144" i="83" s="1"/>
  <c r="T143" i="83"/>
  <c r="J143" i="84"/>
  <c r="H143" i="84"/>
  <c r="AP143" i="84"/>
  <c r="AQ143" i="84"/>
  <c r="D143" i="28"/>
  <c r="N142" i="85"/>
  <c r="L142" i="85" l="1"/>
  <c r="G143" i="28" s="1"/>
  <c r="H144" i="83"/>
  <c r="J144" i="83"/>
  <c r="AQ144" i="83"/>
  <c r="AP144" i="83"/>
  <c r="K143" i="84"/>
  <c r="M143" i="84"/>
  <c r="N143" i="84" s="1"/>
  <c r="P143" i="85"/>
  <c r="F143" i="85" s="1"/>
  <c r="I143" i="28"/>
  <c r="AA143" i="85"/>
  <c r="AD143" i="85" s="1"/>
  <c r="P143" i="84" s="1"/>
  <c r="AR144" i="84" s="1"/>
  <c r="U143" i="83"/>
  <c r="AT143" i="84" l="1"/>
  <c r="AS143" i="84"/>
  <c r="G143" i="84" s="1"/>
  <c r="I143" i="84" s="1"/>
  <c r="K144" i="83"/>
  <c r="M144" i="83"/>
  <c r="N144" i="83" s="1"/>
  <c r="H143" i="85"/>
  <c r="C144" i="28"/>
  <c r="T143" i="85" l="1"/>
  <c r="J143" i="85"/>
  <c r="AT144" i="83"/>
  <c r="AS144" i="83"/>
  <c r="G144" i="83" s="1"/>
  <c r="I144" i="83" s="1"/>
  <c r="S143" i="85"/>
  <c r="G143" i="85" s="1"/>
  <c r="O143" i="84"/>
  <c r="Q143" i="84"/>
  <c r="F144" i="84" s="1"/>
  <c r="T143" i="84"/>
  <c r="U143" i="84" s="1"/>
  <c r="O144" i="83" l="1"/>
  <c r="T144" i="83"/>
  <c r="Q144" i="83"/>
  <c r="F145" i="83" s="1"/>
  <c r="H144" i="84"/>
  <c r="J144" i="84"/>
  <c r="AP144" i="84"/>
  <c r="AQ144" i="84"/>
  <c r="K143" i="85"/>
  <c r="F144" i="28" s="1"/>
  <c r="E144" i="28"/>
  <c r="D144" i="28"/>
  <c r="N143" i="85"/>
  <c r="L143" i="85" l="1"/>
  <c r="G144" i="28" s="1"/>
  <c r="J145" i="83"/>
  <c r="H145" i="83"/>
  <c r="AQ145" i="83"/>
  <c r="AP145" i="83"/>
  <c r="P144" i="85"/>
  <c r="F144" i="85" s="1"/>
  <c r="I144" i="28"/>
  <c r="K144" i="84"/>
  <c r="M144" i="84"/>
  <c r="N144" i="84" s="1"/>
  <c r="AA144" i="85"/>
  <c r="AD144" i="85" s="1"/>
  <c r="P144" i="84" s="1"/>
  <c r="AR145" i="84" s="1"/>
  <c r="U144" i="83"/>
  <c r="C145" i="28" l="1"/>
  <c r="H144" i="85"/>
  <c r="AT144" i="84"/>
  <c r="AS144" i="84"/>
  <c r="G144" i="84" s="1"/>
  <c r="I144" i="84" s="1"/>
  <c r="K145" i="83"/>
  <c r="M145" i="83"/>
  <c r="N145" i="83" s="1"/>
  <c r="AT145" i="83" l="1"/>
  <c r="AS145" i="83"/>
  <c r="G145" i="83" s="1"/>
  <c r="I145" i="83" s="1"/>
  <c r="T144" i="85"/>
  <c r="J144" i="85"/>
  <c r="S144" i="85"/>
  <c r="G144" i="85" s="1"/>
  <c r="O144" i="84"/>
  <c r="Q144" i="84"/>
  <c r="F145" i="84" s="1"/>
  <c r="T144" i="84"/>
  <c r="U144" i="84" s="1"/>
  <c r="E145" i="28" l="1"/>
  <c r="K144" i="85"/>
  <c r="F145" i="28" s="1"/>
  <c r="J145" i="84"/>
  <c r="H145" i="84"/>
  <c r="AP145" i="84"/>
  <c r="AQ145" i="84"/>
  <c r="O145" i="83"/>
  <c r="T145" i="83"/>
  <c r="Q145" i="83"/>
  <c r="F146" i="83" s="1"/>
  <c r="D145" i="28"/>
  <c r="N144" i="85"/>
  <c r="J146" i="83" l="1"/>
  <c r="H146" i="83"/>
  <c r="AP146" i="83"/>
  <c r="AQ146" i="83"/>
  <c r="K145" i="84"/>
  <c r="M145" i="84"/>
  <c r="N145" i="84" s="1"/>
  <c r="P145" i="85"/>
  <c r="F145" i="85" s="1"/>
  <c r="I145" i="28"/>
  <c r="AA145" i="85"/>
  <c r="AD145" i="85" s="1"/>
  <c r="P145" i="84" s="1"/>
  <c r="AR146" i="84" s="1"/>
  <c r="U145" i="83"/>
  <c r="L144" i="85"/>
  <c r="G145" i="28" s="1"/>
  <c r="AT145" i="84" l="1"/>
  <c r="AS145" i="84"/>
  <c r="G145" i="84" s="1"/>
  <c r="I145" i="84" s="1"/>
  <c r="C146" i="28"/>
  <c r="H145" i="85"/>
  <c r="K146" i="83"/>
  <c r="M146" i="83"/>
  <c r="N146" i="83" s="1"/>
  <c r="S145" i="85" l="1"/>
  <c r="G145" i="85" s="1"/>
  <c r="O145" i="84"/>
  <c r="Q145" i="84"/>
  <c r="F146" i="84" s="1"/>
  <c r="T145" i="84"/>
  <c r="U145" i="84" s="1"/>
  <c r="AT146" i="83"/>
  <c r="AS146" i="83"/>
  <c r="G146" i="83" s="1"/>
  <c r="I146" i="83" s="1"/>
  <c r="T145" i="85"/>
  <c r="J145" i="85"/>
  <c r="K145" i="85" l="1"/>
  <c r="F146" i="28" s="1"/>
  <c r="E146" i="28"/>
  <c r="J146" i="84"/>
  <c r="H146" i="84"/>
  <c r="AQ146" i="84"/>
  <c r="AP146" i="84"/>
  <c r="O146" i="83"/>
  <c r="Q146" i="83"/>
  <c r="F147" i="83" s="1"/>
  <c r="T146" i="83"/>
  <c r="D146" i="28"/>
  <c r="N145" i="85"/>
  <c r="L145" i="85" l="1"/>
  <c r="G146" i="28" s="1"/>
  <c r="AA146" i="85"/>
  <c r="AD146" i="85" s="1"/>
  <c r="P146" i="84" s="1"/>
  <c r="AR147" i="84" s="1"/>
  <c r="U146" i="83"/>
  <c r="K146" i="84"/>
  <c r="M146" i="84"/>
  <c r="N146" i="84" s="1"/>
  <c r="P146" i="85"/>
  <c r="F146" i="85" s="1"/>
  <c r="I146" i="28"/>
  <c r="H147" i="83"/>
  <c r="J147" i="83"/>
  <c r="AP147" i="83"/>
  <c r="AQ147" i="83"/>
  <c r="C147" i="28" l="1"/>
  <c r="H146" i="85"/>
  <c r="AT146" i="84"/>
  <c r="AS146" i="84"/>
  <c r="G146" i="84" s="1"/>
  <c r="I146" i="84" s="1"/>
  <c r="K147" i="83"/>
  <c r="M147" i="83"/>
  <c r="N147" i="83" s="1"/>
  <c r="J146" i="85" l="1"/>
  <c r="T146" i="85"/>
  <c r="AT147" i="83"/>
  <c r="AS147" i="83"/>
  <c r="G147" i="83" s="1"/>
  <c r="I147" i="83" s="1"/>
  <c r="S146" i="85"/>
  <c r="G146" i="85" s="1"/>
  <c r="O146" i="84"/>
  <c r="Q146" i="84"/>
  <c r="F147" i="84" s="1"/>
  <c r="T146" i="84"/>
  <c r="U146" i="84" s="1"/>
  <c r="J147" i="84" l="1"/>
  <c r="H147" i="84"/>
  <c r="AP147" i="84"/>
  <c r="AQ147" i="84"/>
  <c r="O147" i="83"/>
  <c r="Q147" i="83"/>
  <c r="F148" i="83" s="1"/>
  <c r="T147" i="83"/>
  <c r="D147" i="28"/>
  <c r="N146" i="85"/>
  <c r="K146" i="85"/>
  <c r="F147" i="28" s="1"/>
  <c r="E147" i="28"/>
  <c r="P147" i="85" l="1"/>
  <c r="F147" i="85" s="1"/>
  <c r="I147" i="28"/>
  <c r="L146" i="85"/>
  <c r="G147" i="28" s="1"/>
  <c r="K147" i="84"/>
  <c r="M147" i="84"/>
  <c r="N147" i="84" s="1"/>
  <c r="J148" i="83"/>
  <c r="H148" i="83"/>
  <c r="AP148" i="83"/>
  <c r="AQ148" i="83"/>
  <c r="AA147" i="85"/>
  <c r="AD147" i="85" s="1"/>
  <c r="P147" i="84" s="1"/>
  <c r="AR148" i="84" s="1"/>
  <c r="U147" i="83"/>
  <c r="H147" i="85" l="1"/>
  <c r="C148" i="28"/>
  <c r="K148" i="83"/>
  <c r="M148" i="83"/>
  <c r="N148" i="83" s="1"/>
  <c r="AT147" i="84"/>
  <c r="AS147" i="84"/>
  <c r="G147" i="84" s="1"/>
  <c r="I147" i="84" s="1"/>
  <c r="AT148" i="83" l="1"/>
  <c r="AS148" i="83"/>
  <c r="G148" i="83" s="1"/>
  <c r="I148" i="83" s="1"/>
  <c r="S147" i="85"/>
  <c r="G147" i="85" s="1"/>
  <c r="O147" i="84"/>
  <c r="Q147" i="84"/>
  <c r="F148" i="84" s="1"/>
  <c r="T147" i="84"/>
  <c r="U147" i="84" s="1"/>
  <c r="T147" i="85"/>
  <c r="J147" i="85"/>
  <c r="D148" i="28" l="1"/>
  <c r="N147" i="85"/>
  <c r="E148" i="28"/>
  <c r="K147" i="85"/>
  <c r="F148" i="28" s="1"/>
  <c r="O148" i="83"/>
  <c r="T148" i="83"/>
  <c r="Q148" i="83"/>
  <c r="F149" i="83" s="1"/>
  <c r="H148" i="84"/>
  <c r="J148" i="84"/>
  <c r="AQ148" i="84"/>
  <c r="AP148" i="84"/>
  <c r="J149" i="83" l="1"/>
  <c r="H149" i="83"/>
  <c r="AP149" i="83"/>
  <c r="AQ149" i="83"/>
  <c r="AA148" i="85"/>
  <c r="AD148" i="85" s="1"/>
  <c r="P148" i="84" s="1"/>
  <c r="AR149" i="84" s="1"/>
  <c r="U148" i="83"/>
  <c r="P148" i="85"/>
  <c r="F148" i="85" s="1"/>
  <c r="I148" i="28"/>
  <c r="K148" i="84"/>
  <c r="M148" i="84"/>
  <c r="N148" i="84" s="1"/>
  <c r="L147" i="85"/>
  <c r="G148" i="28" s="1"/>
  <c r="AT148" i="84" l="1"/>
  <c r="AS148" i="84"/>
  <c r="G148" i="84" s="1"/>
  <c r="I148" i="84" s="1"/>
  <c r="K149" i="83"/>
  <c r="M149" i="83"/>
  <c r="N149" i="83" s="1"/>
  <c r="C149" i="28"/>
  <c r="H148" i="85"/>
  <c r="J148" i="85" l="1"/>
  <c r="T148" i="85"/>
  <c r="AT149" i="83"/>
  <c r="AS149" i="83"/>
  <c r="G149" i="83" s="1"/>
  <c r="I149" i="83" s="1"/>
  <c r="S148" i="85"/>
  <c r="G148" i="85" s="1"/>
  <c r="O148" i="84"/>
  <c r="Q148" i="84"/>
  <c r="F149" i="84" s="1"/>
  <c r="T148" i="84"/>
  <c r="U148" i="84" s="1"/>
  <c r="J149" i="84" l="1"/>
  <c r="H149" i="84"/>
  <c r="AP149" i="84"/>
  <c r="AQ149" i="84"/>
  <c r="O149" i="83"/>
  <c r="Q149" i="83"/>
  <c r="F150" i="83" s="1"/>
  <c r="T149" i="83"/>
  <c r="D149" i="28"/>
  <c r="N148" i="85"/>
  <c r="E149" i="28"/>
  <c r="K148" i="85"/>
  <c r="F149" i="28" s="1"/>
  <c r="L148" i="85" l="1"/>
  <c r="G149" i="28" s="1"/>
  <c r="P149" i="85"/>
  <c r="F149" i="85" s="1"/>
  <c r="I149" i="28"/>
  <c r="H150" i="83"/>
  <c r="J150" i="83"/>
  <c r="AP150" i="83"/>
  <c r="AQ150" i="83"/>
  <c r="AA149" i="85"/>
  <c r="AD149" i="85" s="1"/>
  <c r="P149" i="84" s="1"/>
  <c r="AR150" i="84" s="1"/>
  <c r="U149" i="83"/>
  <c r="K149" i="84"/>
  <c r="M149" i="84"/>
  <c r="N149" i="84" s="1"/>
  <c r="C150" i="28" l="1"/>
  <c r="H149" i="85"/>
  <c r="AT149" i="84"/>
  <c r="AS149" i="84"/>
  <c r="G149" i="84" s="1"/>
  <c r="I149" i="84" s="1"/>
  <c r="K150" i="83"/>
  <c r="M150" i="83"/>
  <c r="N150" i="83" s="1"/>
  <c r="S149" i="85" l="1"/>
  <c r="G149" i="85" s="1"/>
  <c r="O149" i="84"/>
  <c r="T149" i="84"/>
  <c r="U149" i="84" s="1"/>
  <c r="Q149" i="84"/>
  <c r="F150" i="84" s="1"/>
  <c r="J149" i="85"/>
  <c r="T149" i="85"/>
  <c r="AT150" i="83"/>
  <c r="AS150" i="83"/>
  <c r="G150" i="83" s="1"/>
  <c r="I150" i="83" s="1"/>
  <c r="E150" i="28" l="1"/>
  <c r="K149" i="85"/>
  <c r="F150" i="28" s="1"/>
  <c r="O150" i="83"/>
  <c r="Q150" i="83"/>
  <c r="F151" i="83" s="1"/>
  <c r="T150" i="83"/>
  <c r="J150" i="84"/>
  <c r="H150" i="84"/>
  <c r="AP150" i="84"/>
  <c r="AQ150" i="84"/>
  <c r="D150" i="28"/>
  <c r="N149" i="85"/>
  <c r="L149" i="85" l="1"/>
  <c r="G150" i="28" s="1"/>
  <c r="AA150" i="85"/>
  <c r="AD150" i="85" s="1"/>
  <c r="P150" i="84" s="1"/>
  <c r="U150" i="83"/>
  <c r="V151" i="83" s="1"/>
  <c r="AP151" i="83"/>
  <c r="AQ151" i="83"/>
  <c r="J151" i="83"/>
  <c r="H151" i="83"/>
  <c r="P150" i="85"/>
  <c r="F150" i="85" s="1"/>
  <c r="I150" i="28"/>
  <c r="K150" i="84"/>
  <c r="M150" i="84"/>
  <c r="N150" i="84" s="1"/>
  <c r="AR151" i="83" l="1"/>
  <c r="C151" i="28"/>
  <c r="H150" i="85"/>
  <c r="AT150" i="84"/>
  <c r="AS150" i="84"/>
  <c r="G150" i="84" s="1"/>
  <c r="I150" i="84" s="1"/>
  <c r="K151" i="83"/>
  <c r="AT151" i="83" s="1"/>
  <c r="M151" i="83"/>
  <c r="N151" i="83" s="1"/>
  <c r="J150" i="85" l="1"/>
  <c r="T150" i="85"/>
  <c r="S150" i="85"/>
  <c r="G150" i="85" s="1"/>
  <c r="O150" i="84"/>
  <c r="T150" i="84"/>
  <c r="U150" i="84" s="1"/>
  <c r="V151" i="84" s="1"/>
  <c r="Q150" i="84"/>
  <c r="F151" i="84" s="1"/>
  <c r="AS151" i="83"/>
  <c r="G151" i="83" s="1"/>
  <c r="I151" i="83" s="1"/>
  <c r="AR152" i="83"/>
  <c r="O151" i="83" l="1"/>
  <c r="T151" i="83"/>
  <c r="Q151" i="83"/>
  <c r="F152" i="83" s="1"/>
  <c r="D151" i="28"/>
  <c r="N150" i="85"/>
  <c r="AR153" i="83"/>
  <c r="J151" i="84"/>
  <c r="H151" i="84"/>
  <c r="AP151" i="84"/>
  <c r="AQ151" i="84"/>
  <c r="K150" i="85"/>
  <c r="F151" i="28" s="1"/>
  <c r="E151" i="28"/>
  <c r="AR154" i="83" l="1"/>
  <c r="AR151" i="84"/>
  <c r="J152" i="83"/>
  <c r="H152" i="83"/>
  <c r="AQ152" i="83"/>
  <c r="AP152" i="83"/>
  <c r="P151" i="85"/>
  <c r="F151" i="85" s="1"/>
  <c r="I151" i="28"/>
  <c r="AA151" i="85"/>
  <c r="AD151" i="85" s="1"/>
  <c r="P151" i="84" s="1"/>
  <c r="AR152" i="84" s="1"/>
  <c r="U151" i="83"/>
  <c r="K151" i="84"/>
  <c r="AT151" i="84" s="1"/>
  <c r="M151" i="84"/>
  <c r="N151" i="84" s="1"/>
  <c r="L150" i="85"/>
  <c r="G151" i="28" s="1"/>
  <c r="K152" i="83" l="1"/>
  <c r="M152" i="83"/>
  <c r="N152" i="83" s="1"/>
  <c r="AS151" i="84"/>
  <c r="G151" i="84" s="1"/>
  <c r="I151" i="84" s="1"/>
  <c r="C152" i="28"/>
  <c r="H151" i="85"/>
  <c r="AR155" i="83"/>
  <c r="S151" i="85" l="1"/>
  <c r="G151" i="85" s="1"/>
  <c r="O151" i="84"/>
  <c r="T151" i="84"/>
  <c r="U151" i="84" s="1"/>
  <c r="Q151" i="84"/>
  <c r="F152" i="84" s="1"/>
  <c r="AR156" i="83"/>
  <c r="T151" i="85"/>
  <c r="J151" i="85"/>
  <c r="AT152" i="83"/>
  <c r="AS152" i="83"/>
  <c r="G152" i="83" s="1"/>
  <c r="I152" i="83" s="1"/>
  <c r="K151" i="85" l="1"/>
  <c r="F152" i="28" s="1"/>
  <c r="E152" i="28"/>
  <c r="J152" i="84"/>
  <c r="H152" i="84"/>
  <c r="AP152" i="84"/>
  <c r="AQ152" i="84"/>
  <c r="O152" i="83"/>
  <c r="T152" i="83"/>
  <c r="Q152" i="83"/>
  <c r="F153" i="83" s="1"/>
  <c r="AR157" i="83"/>
  <c r="D152" i="28"/>
  <c r="N151" i="85"/>
  <c r="L151" i="85" l="1"/>
  <c r="G152" i="28" s="1"/>
  <c r="P152" i="85"/>
  <c r="F152" i="85" s="1"/>
  <c r="I152" i="28"/>
  <c r="J153" i="83"/>
  <c r="H153" i="83"/>
  <c r="AQ153" i="83"/>
  <c r="AP153" i="83"/>
  <c r="K152" i="84"/>
  <c r="M152" i="84"/>
  <c r="N152" i="84" s="1"/>
  <c r="AA152" i="85"/>
  <c r="AD152" i="85" s="1"/>
  <c r="P152" i="84" s="1"/>
  <c r="AR153" i="84" s="1"/>
  <c r="U152" i="83"/>
  <c r="AR158" i="83"/>
  <c r="AR159" i="83" l="1"/>
  <c r="AT152" i="84"/>
  <c r="AS152" i="84"/>
  <c r="G152" i="84" s="1"/>
  <c r="I152" i="84" s="1"/>
  <c r="C153" i="28"/>
  <c r="H152" i="85"/>
  <c r="K153" i="83"/>
  <c r="M153" i="83"/>
  <c r="N153" i="83" s="1"/>
  <c r="J152" i="85" l="1"/>
  <c r="T152" i="85"/>
  <c r="AR160" i="83"/>
  <c r="AT153" i="83"/>
  <c r="AS153" i="83"/>
  <c r="G153" i="83" s="1"/>
  <c r="I153" i="83" s="1"/>
  <c r="S152" i="85"/>
  <c r="G152" i="85" s="1"/>
  <c r="O152" i="84"/>
  <c r="Q152" i="84"/>
  <c r="F153" i="84" s="1"/>
  <c r="T152" i="84"/>
  <c r="U152" i="84" s="1"/>
  <c r="AR161" i="83" l="1"/>
  <c r="D153" i="28"/>
  <c r="N152" i="85"/>
  <c r="O153" i="83"/>
  <c r="Q153" i="83"/>
  <c r="F154" i="83" s="1"/>
  <c r="T153" i="83"/>
  <c r="J153" i="84"/>
  <c r="H153" i="84"/>
  <c r="AQ153" i="84"/>
  <c r="AP153" i="84"/>
  <c r="K152" i="85"/>
  <c r="F153" i="28" s="1"/>
  <c r="E153" i="28"/>
  <c r="L152" i="85" l="1"/>
  <c r="G153" i="28" s="1"/>
  <c r="AA153" i="85"/>
  <c r="AD153" i="85" s="1"/>
  <c r="P153" i="84" s="1"/>
  <c r="AR154" i="84" s="1"/>
  <c r="U153" i="83"/>
  <c r="J154" i="83"/>
  <c r="H154" i="83"/>
  <c r="AQ154" i="83"/>
  <c r="AP154" i="83"/>
  <c r="AR162" i="83"/>
  <c r="K153" i="84"/>
  <c r="M153" i="84"/>
  <c r="N153" i="84" s="1"/>
  <c r="P153" i="85"/>
  <c r="F153" i="85" s="1"/>
  <c r="I153" i="28"/>
  <c r="C154" i="28" l="1"/>
  <c r="H153" i="85"/>
  <c r="AT153" i="84"/>
  <c r="AS153" i="84"/>
  <c r="G153" i="84" s="1"/>
  <c r="I153" i="84" s="1"/>
  <c r="K154" i="83"/>
  <c r="M154" i="83"/>
  <c r="N154" i="83" s="1"/>
  <c r="AT154" i="83" l="1"/>
  <c r="AS154" i="83"/>
  <c r="G154" i="83" s="1"/>
  <c r="I154" i="83" s="1"/>
  <c r="T153" i="85"/>
  <c r="J153" i="85"/>
  <c r="S153" i="85"/>
  <c r="G153" i="85" s="1"/>
  <c r="O153" i="84"/>
  <c r="Q153" i="84"/>
  <c r="F154" i="84" s="1"/>
  <c r="T153" i="84"/>
  <c r="U153" i="84" s="1"/>
  <c r="E154" i="28" l="1"/>
  <c r="K153" i="85"/>
  <c r="F154" i="28" s="1"/>
  <c r="J154" i="84"/>
  <c r="H154" i="84"/>
  <c r="AP154" i="84"/>
  <c r="AQ154" i="84"/>
  <c r="O154" i="83"/>
  <c r="Q154" i="83"/>
  <c r="F155" i="83" s="1"/>
  <c r="T154" i="83"/>
  <c r="D154" i="28"/>
  <c r="N153" i="85"/>
  <c r="L153" i="85" l="1"/>
  <c r="G154" i="28" s="1"/>
  <c r="K154" i="84"/>
  <c r="M154" i="84"/>
  <c r="N154" i="84" s="1"/>
  <c r="AA154" i="85"/>
  <c r="AD154" i="85" s="1"/>
  <c r="P154" i="84" s="1"/>
  <c r="AR155" i="84" s="1"/>
  <c r="U154" i="83"/>
  <c r="P154" i="85"/>
  <c r="F154" i="85" s="1"/>
  <c r="I154" i="28"/>
  <c r="J155" i="83"/>
  <c r="H155" i="83"/>
  <c r="AP155" i="83"/>
  <c r="AQ155" i="83"/>
  <c r="C155" i="28" l="1"/>
  <c r="H154" i="85"/>
  <c r="K155" i="83"/>
  <c r="M155" i="83"/>
  <c r="N155" i="83" s="1"/>
  <c r="AT154" i="84"/>
  <c r="AS154" i="84"/>
  <c r="G154" i="84" s="1"/>
  <c r="I154" i="84" s="1"/>
  <c r="S154" i="85" l="1"/>
  <c r="G154" i="85" s="1"/>
  <c r="O154" i="84"/>
  <c r="T154" i="84"/>
  <c r="U154" i="84" s="1"/>
  <c r="Q154" i="84"/>
  <c r="F155" i="84" s="1"/>
  <c r="T154" i="85"/>
  <c r="J154" i="85"/>
  <c r="AT155" i="83"/>
  <c r="AS155" i="83"/>
  <c r="G155" i="83" s="1"/>
  <c r="I155" i="83" s="1"/>
  <c r="O155" i="83" l="1"/>
  <c r="Q155" i="83"/>
  <c r="F156" i="83" s="1"/>
  <c r="T155" i="83"/>
  <c r="J155" i="84"/>
  <c r="H155" i="84"/>
  <c r="AP155" i="84"/>
  <c r="AQ155" i="84"/>
  <c r="E155" i="28"/>
  <c r="K154" i="85"/>
  <c r="F155" i="28" s="1"/>
  <c r="D155" i="28"/>
  <c r="N154" i="85"/>
  <c r="AA155" i="85" l="1"/>
  <c r="AD155" i="85" s="1"/>
  <c r="P155" i="84" s="1"/>
  <c r="AR156" i="84" s="1"/>
  <c r="U155" i="83"/>
  <c r="P155" i="85"/>
  <c r="F155" i="85" s="1"/>
  <c r="I155" i="28"/>
  <c r="J156" i="83"/>
  <c r="H156" i="83"/>
  <c r="AP156" i="83"/>
  <c r="AQ156" i="83"/>
  <c r="L154" i="85"/>
  <c r="G155" i="28" s="1"/>
  <c r="K155" i="84"/>
  <c r="M155" i="84"/>
  <c r="N155" i="84" s="1"/>
  <c r="C156" i="28" l="1"/>
  <c r="H155" i="85"/>
  <c r="AT155" i="84"/>
  <c r="AS155" i="84"/>
  <c r="G155" i="84" s="1"/>
  <c r="I155" i="84" s="1"/>
  <c r="K156" i="83"/>
  <c r="M156" i="83"/>
  <c r="N156" i="83" s="1"/>
  <c r="T155" i="85" l="1"/>
  <c r="J155" i="85"/>
  <c r="AT156" i="83"/>
  <c r="AS156" i="83"/>
  <c r="G156" i="83" s="1"/>
  <c r="I156" i="83" s="1"/>
  <c r="S155" i="85"/>
  <c r="G155" i="85" s="1"/>
  <c r="O155" i="84"/>
  <c r="T155" i="84"/>
  <c r="U155" i="84" s="1"/>
  <c r="Q155" i="84"/>
  <c r="F156" i="84" s="1"/>
  <c r="J156" i="84" l="1"/>
  <c r="H156" i="84"/>
  <c r="AP156" i="84"/>
  <c r="AQ156" i="84"/>
  <c r="O156" i="83"/>
  <c r="T156" i="83"/>
  <c r="Q156" i="83"/>
  <c r="F157" i="83" s="1"/>
  <c r="E156" i="28"/>
  <c r="K155" i="85"/>
  <c r="F156" i="28" s="1"/>
  <c r="D156" i="28"/>
  <c r="N155" i="85"/>
  <c r="L155" i="85" l="1"/>
  <c r="G156" i="28" s="1"/>
  <c r="AA156" i="85"/>
  <c r="AD156" i="85" s="1"/>
  <c r="P156" i="84" s="1"/>
  <c r="AR157" i="84" s="1"/>
  <c r="U156" i="83"/>
  <c r="P156" i="85"/>
  <c r="F156" i="85" s="1"/>
  <c r="I156" i="28"/>
  <c r="J157" i="83"/>
  <c r="H157" i="83"/>
  <c r="AQ157" i="83"/>
  <c r="AP157" i="83"/>
  <c r="K156" i="84"/>
  <c r="M156" i="84"/>
  <c r="N156" i="84" s="1"/>
  <c r="AT156" i="84" l="1"/>
  <c r="AS156" i="84"/>
  <c r="G156" i="84" s="1"/>
  <c r="I156" i="84" s="1"/>
  <c r="C157" i="28"/>
  <c r="H156" i="85"/>
  <c r="K157" i="83"/>
  <c r="M157" i="83"/>
  <c r="N157" i="83" s="1"/>
  <c r="AT157" i="83" l="1"/>
  <c r="AS157" i="83"/>
  <c r="G157" i="83" s="1"/>
  <c r="I157" i="83" s="1"/>
  <c r="S156" i="85"/>
  <c r="G156" i="85" s="1"/>
  <c r="O156" i="84"/>
  <c r="T156" i="84"/>
  <c r="U156" i="84" s="1"/>
  <c r="Q156" i="84"/>
  <c r="F157" i="84" s="1"/>
  <c r="T156" i="85"/>
  <c r="J156" i="85"/>
  <c r="K156" i="85" l="1"/>
  <c r="F157" i="28" s="1"/>
  <c r="E157" i="28"/>
  <c r="J157" i="84"/>
  <c r="H157" i="84"/>
  <c r="AP157" i="84"/>
  <c r="AQ157" i="84"/>
  <c r="O157" i="83"/>
  <c r="Q157" i="83"/>
  <c r="F158" i="83" s="1"/>
  <c r="T157" i="83"/>
  <c r="D157" i="28"/>
  <c r="N156" i="85"/>
  <c r="L156" i="85" l="1"/>
  <c r="G157" i="28" s="1"/>
  <c r="AA157" i="85"/>
  <c r="AD157" i="85" s="1"/>
  <c r="P157" i="84" s="1"/>
  <c r="AR158" i="84" s="1"/>
  <c r="U157" i="83"/>
  <c r="K157" i="84"/>
  <c r="M157" i="84"/>
  <c r="N157" i="84" s="1"/>
  <c r="P157" i="85"/>
  <c r="F157" i="85" s="1"/>
  <c r="I157" i="28"/>
  <c r="H158" i="83"/>
  <c r="J158" i="83"/>
  <c r="AP158" i="83"/>
  <c r="AQ158" i="83"/>
  <c r="K158" i="83" l="1"/>
  <c r="M158" i="83"/>
  <c r="N158" i="83" s="1"/>
  <c r="AT157" i="84"/>
  <c r="AS157" i="84"/>
  <c r="G157" i="84" s="1"/>
  <c r="I157" i="84" s="1"/>
  <c r="C158" i="28"/>
  <c r="H157" i="85"/>
  <c r="S157" i="85" l="1"/>
  <c r="G157" i="85" s="1"/>
  <c r="O157" i="84"/>
  <c r="Q157" i="84"/>
  <c r="F158" i="84" s="1"/>
  <c r="T157" i="84"/>
  <c r="U157" i="84" s="1"/>
  <c r="J157" i="85"/>
  <c r="T157" i="85"/>
  <c r="AT158" i="83"/>
  <c r="AS158" i="83"/>
  <c r="G158" i="83" s="1"/>
  <c r="I158" i="83" s="1"/>
  <c r="O158" i="83" l="1"/>
  <c r="T158" i="83"/>
  <c r="Q158" i="83"/>
  <c r="F159" i="83" s="1"/>
  <c r="J158" i="84"/>
  <c r="H158" i="84"/>
  <c r="AQ158" i="84"/>
  <c r="AP158" i="84"/>
  <c r="K157" i="85"/>
  <c r="F158" i="28" s="1"/>
  <c r="E158" i="28"/>
  <c r="D158" i="28"/>
  <c r="N157" i="85"/>
  <c r="L157" i="85" l="1"/>
  <c r="G158" i="28" s="1"/>
  <c r="H159" i="83"/>
  <c r="J159" i="83"/>
  <c r="AP159" i="83"/>
  <c r="AQ159" i="83"/>
  <c r="P158" i="85"/>
  <c r="F158" i="85" s="1"/>
  <c r="I158" i="28"/>
  <c r="AA158" i="85"/>
  <c r="AD158" i="85" s="1"/>
  <c r="P158" i="84" s="1"/>
  <c r="AR159" i="84" s="1"/>
  <c r="U158" i="83"/>
  <c r="K158" i="84"/>
  <c r="M158" i="84"/>
  <c r="N158" i="84" s="1"/>
  <c r="C159" i="28" l="1"/>
  <c r="H158" i="85"/>
  <c r="AT158" i="84"/>
  <c r="AS158" i="84"/>
  <c r="G158" i="84" s="1"/>
  <c r="I158" i="84" s="1"/>
  <c r="K159" i="83"/>
  <c r="M159" i="83"/>
  <c r="N159" i="83" s="1"/>
  <c r="S158" i="85" l="1"/>
  <c r="G158" i="85" s="1"/>
  <c r="O158" i="84"/>
  <c r="T158" i="84"/>
  <c r="U158" i="84" s="1"/>
  <c r="Q158" i="84"/>
  <c r="F159" i="84" s="1"/>
  <c r="J158" i="85"/>
  <c r="T158" i="85"/>
  <c r="AT159" i="83"/>
  <c r="AS159" i="83"/>
  <c r="G159" i="83" s="1"/>
  <c r="I159" i="83" s="1"/>
  <c r="O159" i="83" l="1"/>
  <c r="T159" i="83"/>
  <c r="Q159" i="83"/>
  <c r="F160" i="83" s="1"/>
  <c r="J159" i="84"/>
  <c r="H159" i="84"/>
  <c r="AQ159" i="84"/>
  <c r="AP159" i="84"/>
  <c r="K158" i="85"/>
  <c r="F159" i="28" s="1"/>
  <c r="E159" i="28"/>
  <c r="D159" i="28"/>
  <c r="N158" i="85"/>
  <c r="L158" i="85" l="1"/>
  <c r="G159" i="28" s="1"/>
  <c r="H160" i="83"/>
  <c r="J160" i="83"/>
  <c r="AQ160" i="83"/>
  <c r="AP160" i="83"/>
  <c r="P159" i="85"/>
  <c r="F159" i="85" s="1"/>
  <c r="I159" i="28"/>
  <c r="AA159" i="85"/>
  <c r="AD159" i="85" s="1"/>
  <c r="P159" i="84" s="1"/>
  <c r="AR160" i="84" s="1"/>
  <c r="U159" i="83"/>
  <c r="K159" i="84"/>
  <c r="M159" i="84"/>
  <c r="N159" i="84" s="1"/>
  <c r="C160" i="28" l="1"/>
  <c r="H159" i="85"/>
  <c r="AT159" i="84"/>
  <c r="AS159" i="84"/>
  <c r="G159" i="84" s="1"/>
  <c r="I159" i="84" s="1"/>
  <c r="K160" i="83"/>
  <c r="M160" i="83"/>
  <c r="N160" i="83" s="1"/>
  <c r="S159" i="85" l="1"/>
  <c r="G159" i="85" s="1"/>
  <c r="O159" i="84"/>
  <c r="Q159" i="84"/>
  <c r="F160" i="84" s="1"/>
  <c r="T159" i="84"/>
  <c r="U159" i="84" s="1"/>
  <c r="J159" i="85"/>
  <c r="T159" i="85"/>
  <c r="AT160" i="83"/>
  <c r="AS160" i="83"/>
  <c r="G160" i="83" s="1"/>
  <c r="I160" i="83" s="1"/>
  <c r="H160" i="84" l="1"/>
  <c r="J160" i="84"/>
  <c r="AP160" i="84"/>
  <c r="AQ160" i="84"/>
  <c r="O160" i="83"/>
  <c r="T160" i="83"/>
  <c r="Q160" i="83"/>
  <c r="F161" i="83" s="1"/>
  <c r="K159" i="85"/>
  <c r="F160" i="28" s="1"/>
  <c r="E160" i="28"/>
  <c r="D160" i="28"/>
  <c r="N159" i="85"/>
  <c r="L159" i="85" l="1"/>
  <c r="G160" i="28" s="1"/>
  <c r="AA160" i="85"/>
  <c r="AD160" i="85" s="1"/>
  <c r="P160" i="84" s="1"/>
  <c r="AR161" i="84" s="1"/>
  <c r="U160" i="83"/>
  <c r="P160" i="85"/>
  <c r="F160" i="85" s="1"/>
  <c r="I160" i="28"/>
  <c r="K160" i="84"/>
  <c r="M160" i="84"/>
  <c r="N160" i="84" s="1"/>
  <c r="J161" i="83"/>
  <c r="H161" i="83"/>
  <c r="AQ161" i="83"/>
  <c r="AP161" i="83"/>
  <c r="K161" i="83" l="1"/>
  <c r="M161" i="83"/>
  <c r="N161" i="83" s="1"/>
  <c r="C161" i="28"/>
  <c r="H160" i="85"/>
  <c r="AT160" i="84"/>
  <c r="AS160" i="84"/>
  <c r="G160" i="84" s="1"/>
  <c r="I160" i="84" s="1"/>
  <c r="S160" i="85" l="1"/>
  <c r="G160" i="85" s="1"/>
  <c r="O160" i="84"/>
  <c r="T160" i="84"/>
  <c r="U160" i="84" s="1"/>
  <c r="Q160" i="84"/>
  <c r="F161" i="84" s="1"/>
  <c r="T160" i="85"/>
  <c r="J160" i="85"/>
  <c r="AT161" i="83"/>
  <c r="AS161" i="83"/>
  <c r="G161" i="83" s="1"/>
  <c r="I161" i="83" s="1"/>
  <c r="O161" i="83" l="1"/>
  <c r="T161" i="83"/>
  <c r="Q161" i="83"/>
  <c r="F162" i="83" s="1"/>
  <c r="J161" i="84"/>
  <c r="H161" i="84"/>
  <c r="AP161" i="84"/>
  <c r="AQ161" i="84"/>
  <c r="K160" i="85"/>
  <c r="F161" i="28" s="1"/>
  <c r="E161" i="28"/>
  <c r="D161" i="28"/>
  <c r="N160" i="85"/>
  <c r="L160" i="85" l="1"/>
  <c r="G161" i="28" s="1"/>
  <c r="J162" i="83"/>
  <c r="H162" i="83"/>
  <c r="AQ162" i="83"/>
  <c r="AP162" i="83"/>
  <c r="K161" i="84"/>
  <c r="M161" i="84"/>
  <c r="N161" i="84" s="1"/>
  <c r="P161" i="85"/>
  <c r="F161" i="85" s="1"/>
  <c r="I161" i="28"/>
  <c r="AA161" i="85"/>
  <c r="AD161" i="85" s="1"/>
  <c r="P161" i="84" s="1"/>
  <c r="AR162" i="84" s="1"/>
  <c r="U161" i="83"/>
  <c r="AT161" i="84" l="1"/>
  <c r="AS161" i="84"/>
  <c r="G161" i="84" s="1"/>
  <c r="I161" i="84" s="1"/>
  <c r="C162" i="28"/>
  <c r="H161" i="85"/>
  <c r="K162" i="83"/>
  <c r="M162" i="83"/>
  <c r="N162" i="83" s="1"/>
  <c r="AT162" i="83" l="1"/>
  <c r="AS162" i="83"/>
  <c r="G162" i="83" s="1"/>
  <c r="I162" i="83" s="1"/>
  <c r="O161" i="84"/>
  <c r="S161" i="85"/>
  <c r="G161" i="85" s="1"/>
  <c r="Q161" i="84"/>
  <c r="F162" i="84" s="1"/>
  <c r="T161" i="84"/>
  <c r="U161" i="84" s="1"/>
  <c r="J161" i="85"/>
  <c r="T161" i="85"/>
  <c r="D162" i="28" l="1"/>
  <c r="N161" i="85"/>
  <c r="K161" i="85"/>
  <c r="F162" i="28" s="1"/>
  <c r="E162" i="28"/>
  <c r="O162" i="83"/>
  <c r="Q162" i="83"/>
  <c r="F163" i="83" s="1"/>
  <c r="T162" i="83"/>
  <c r="J162" i="84"/>
  <c r="H162" i="84"/>
  <c r="AQ162" i="84"/>
  <c r="AP162" i="84"/>
  <c r="AA162" i="85" l="1"/>
  <c r="AD162" i="85" s="1"/>
  <c r="P162" i="84" s="1"/>
  <c r="U162" i="83"/>
  <c r="V163" i="83" s="1"/>
  <c r="AQ163" i="83"/>
  <c r="AP163" i="83"/>
  <c r="H163" i="83"/>
  <c r="J163" i="83"/>
  <c r="P162" i="85"/>
  <c r="F162" i="85" s="1"/>
  <c r="I162" i="28"/>
  <c r="L161" i="85"/>
  <c r="G162" i="28" s="1"/>
  <c r="K162" i="84"/>
  <c r="M162" i="84"/>
  <c r="N162" i="84" s="1"/>
  <c r="AR163" i="83" l="1"/>
  <c r="AR164" i="83" s="1"/>
  <c r="K163" i="83"/>
  <c r="AT163" i="83" s="1"/>
  <c r="M163" i="83"/>
  <c r="N163" i="83" s="1"/>
  <c r="C163" i="28"/>
  <c r="H162" i="85"/>
  <c r="AT162" i="84"/>
  <c r="AS162" i="84"/>
  <c r="G162" i="84" s="1"/>
  <c r="I162" i="84" s="1"/>
  <c r="T162" i="85" l="1"/>
  <c r="J162" i="85"/>
  <c r="AR165" i="83"/>
  <c r="S162" i="85"/>
  <c r="G162" i="85" s="1"/>
  <c r="O162" i="84"/>
  <c r="T162" i="84"/>
  <c r="U162" i="84" s="1"/>
  <c r="V163" i="84" s="1"/>
  <c r="Q162" i="84"/>
  <c r="F163" i="84" s="1"/>
  <c r="AS163" i="83"/>
  <c r="G163" i="83" s="1"/>
  <c r="I163" i="83" s="1"/>
  <c r="O163" i="83" l="1"/>
  <c r="T163" i="83"/>
  <c r="Q163" i="83"/>
  <c r="F164" i="83" s="1"/>
  <c r="AP163" i="84"/>
  <c r="AQ163" i="84"/>
  <c r="H163" i="84"/>
  <c r="J163" i="84"/>
  <c r="AR166" i="83"/>
  <c r="E163" i="28"/>
  <c r="K162" i="85"/>
  <c r="F163" i="28" s="1"/>
  <c r="D163" i="28"/>
  <c r="L162" i="85"/>
  <c r="G163" i="28" s="1"/>
  <c r="N162" i="85"/>
  <c r="AR163" i="84" l="1"/>
  <c r="AR167" i="83"/>
  <c r="J164" i="83"/>
  <c r="H164" i="83"/>
  <c r="AQ164" i="83"/>
  <c r="AP164" i="83"/>
  <c r="AA163" i="85"/>
  <c r="AD163" i="85" s="1"/>
  <c r="P163" i="84" s="1"/>
  <c r="U163" i="83"/>
  <c r="P163" i="85"/>
  <c r="F163" i="85" s="1"/>
  <c r="I163" i="28"/>
  <c r="K163" i="84"/>
  <c r="AT163" i="84" s="1"/>
  <c r="M163" i="84"/>
  <c r="N163" i="84" s="1"/>
  <c r="AR164" i="84" l="1"/>
  <c r="H163" i="85"/>
  <c r="C164" i="28"/>
  <c r="AR168" i="83"/>
  <c r="K164" i="83"/>
  <c r="M164" i="83"/>
  <c r="N164" i="83" s="1"/>
  <c r="AS163" i="84"/>
  <c r="G163" i="84" s="1"/>
  <c r="I163" i="84" s="1"/>
  <c r="S163" i="85" l="1"/>
  <c r="G163" i="85" s="1"/>
  <c r="O163" i="84"/>
  <c r="Q163" i="84"/>
  <c r="F164" i="84" s="1"/>
  <c r="T163" i="84"/>
  <c r="U163" i="84" s="1"/>
  <c r="AT164" i="83"/>
  <c r="AS164" i="83"/>
  <c r="G164" i="83" s="1"/>
  <c r="I164" i="83" s="1"/>
  <c r="AR169" i="83"/>
  <c r="T163" i="85"/>
  <c r="J163" i="85"/>
  <c r="AR170" i="83" l="1"/>
  <c r="H164" i="84"/>
  <c r="J164" i="84"/>
  <c r="AP164" i="84"/>
  <c r="AQ164" i="84"/>
  <c r="K163" i="85"/>
  <c r="F164" i="28" s="1"/>
  <c r="E164" i="28"/>
  <c r="O164" i="83"/>
  <c r="Q164" i="83"/>
  <c r="F165" i="83" s="1"/>
  <c r="T164" i="83"/>
  <c r="D164" i="28"/>
  <c r="N163" i="85"/>
  <c r="P164" i="85" l="1"/>
  <c r="F164" i="85" s="1"/>
  <c r="I164" i="28"/>
  <c r="J165" i="83"/>
  <c r="H165" i="83"/>
  <c r="AQ165" i="83"/>
  <c r="AP165" i="83"/>
  <c r="K164" i="84"/>
  <c r="M164" i="84"/>
  <c r="N164" i="84" s="1"/>
  <c r="L163" i="85"/>
  <c r="G164" i="28" s="1"/>
  <c r="AR171" i="83"/>
  <c r="AA164" i="85"/>
  <c r="AD164" i="85" s="1"/>
  <c r="P164" i="84" s="1"/>
  <c r="AR165" i="84" s="1"/>
  <c r="U164" i="83"/>
  <c r="C165" i="28" l="1"/>
  <c r="H164" i="85"/>
  <c r="K165" i="83"/>
  <c r="M165" i="83"/>
  <c r="N165" i="83" s="1"/>
  <c r="AT164" i="84"/>
  <c r="AS164" i="84"/>
  <c r="G164" i="84" s="1"/>
  <c r="I164" i="84" s="1"/>
  <c r="AR172" i="83"/>
  <c r="S164" i="85" l="1"/>
  <c r="G164" i="85" s="1"/>
  <c r="O164" i="84"/>
  <c r="Q164" i="84"/>
  <c r="F165" i="84" s="1"/>
  <c r="T164" i="84"/>
  <c r="U164" i="84" s="1"/>
  <c r="J164" i="85"/>
  <c r="T164" i="85"/>
  <c r="AR173" i="83"/>
  <c r="AT165" i="83"/>
  <c r="AS165" i="83"/>
  <c r="G165" i="83" s="1"/>
  <c r="I165" i="83" s="1"/>
  <c r="K164" i="85" l="1"/>
  <c r="F165" i="28" s="1"/>
  <c r="E165" i="28"/>
  <c r="AR174" i="83"/>
  <c r="H165" i="84"/>
  <c r="J165" i="84"/>
  <c r="AP165" i="84"/>
  <c r="AQ165" i="84"/>
  <c r="O165" i="83"/>
  <c r="Q165" i="83"/>
  <c r="F166" i="83" s="1"/>
  <c r="T165" i="83"/>
  <c r="D165" i="28"/>
  <c r="N164" i="85"/>
  <c r="L164" i="85" l="1"/>
  <c r="G165" i="28" s="1"/>
  <c r="P165" i="85"/>
  <c r="F165" i="85" s="1"/>
  <c r="I165" i="28"/>
  <c r="K165" i="84"/>
  <c r="M165" i="84"/>
  <c r="N165" i="84" s="1"/>
  <c r="H166" i="83"/>
  <c r="J166" i="83"/>
  <c r="AQ166" i="83"/>
  <c r="AP166" i="83"/>
  <c r="AA165" i="85"/>
  <c r="AD165" i="85" s="1"/>
  <c r="P165" i="84" s="1"/>
  <c r="AR166" i="84" s="1"/>
  <c r="U165" i="83"/>
  <c r="C166" i="28" l="1"/>
  <c r="H165" i="85"/>
  <c r="AT165" i="84"/>
  <c r="AS165" i="84"/>
  <c r="G165" i="84" s="1"/>
  <c r="I165" i="84" s="1"/>
  <c r="K166" i="83"/>
  <c r="M166" i="83"/>
  <c r="N166" i="83" s="1"/>
  <c r="AT166" i="83" l="1"/>
  <c r="AS166" i="83"/>
  <c r="G166" i="83" s="1"/>
  <c r="I166" i="83" s="1"/>
  <c r="T165" i="85"/>
  <c r="J165" i="85"/>
  <c r="S165" i="85"/>
  <c r="G165" i="85" s="1"/>
  <c r="O165" i="84"/>
  <c r="Q165" i="84"/>
  <c r="F166" i="84" s="1"/>
  <c r="T165" i="84"/>
  <c r="U165" i="84" s="1"/>
  <c r="K165" i="85" l="1"/>
  <c r="F166" i="28" s="1"/>
  <c r="E166" i="28"/>
  <c r="J166" i="84"/>
  <c r="H166" i="84"/>
  <c r="AQ166" i="84"/>
  <c r="AP166" i="84"/>
  <c r="O166" i="83"/>
  <c r="Q166" i="83"/>
  <c r="F167" i="83" s="1"/>
  <c r="T166" i="83"/>
  <c r="D166" i="28"/>
  <c r="N165" i="85"/>
  <c r="L165" i="85" l="1"/>
  <c r="G166" i="28" s="1"/>
  <c r="AA166" i="85"/>
  <c r="AD166" i="85" s="1"/>
  <c r="P166" i="84" s="1"/>
  <c r="AR167" i="84" s="1"/>
  <c r="U166" i="83"/>
  <c r="K166" i="84"/>
  <c r="M166" i="84"/>
  <c r="N166" i="84" s="1"/>
  <c r="H167" i="83"/>
  <c r="J167" i="83"/>
  <c r="AQ167" i="83"/>
  <c r="AP167" i="83"/>
  <c r="P166" i="85"/>
  <c r="F166" i="85" s="1"/>
  <c r="I166" i="28"/>
  <c r="K167" i="83" l="1"/>
  <c r="M167" i="83"/>
  <c r="N167" i="83" s="1"/>
  <c r="AT166" i="84"/>
  <c r="AS166" i="84"/>
  <c r="G166" i="84" s="1"/>
  <c r="I166" i="84" s="1"/>
  <c r="C167" i="28"/>
  <c r="H166" i="85"/>
  <c r="J166" i="85" l="1"/>
  <c r="T166" i="85"/>
  <c r="S166" i="85"/>
  <c r="G166" i="85" s="1"/>
  <c r="O166" i="84"/>
  <c r="Q166" i="84"/>
  <c r="F167" i="84" s="1"/>
  <c r="T166" i="84"/>
  <c r="U166" i="84" s="1"/>
  <c r="AT167" i="83"/>
  <c r="AS167" i="83"/>
  <c r="G167" i="83" s="1"/>
  <c r="I167" i="83" s="1"/>
  <c r="O167" i="83" l="1"/>
  <c r="Q167" i="83"/>
  <c r="F168" i="83" s="1"/>
  <c r="T167" i="83"/>
  <c r="D167" i="28"/>
  <c r="N166" i="85"/>
  <c r="H167" i="84"/>
  <c r="J167" i="84"/>
  <c r="AP167" i="84"/>
  <c r="AQ167" i="84"/>
  <c r="K166" i="85"/>
  <c r="F167" i="28" s="1"/>
  <c r="E167" i="28"/>
  <c r="AA167" i="85" l="1"/>
  <c r="AD167" i="85" s="1"/>
  <c r="P167" i="84" s="1"/>
  <c r="AR168" i="84" s="1"/>
  <c r="U167" i="83"/>
  <c r="P167" i="85"/>
  <c r="F167" i="85"/>
  <c r="I167" i="28"/>
  <c r="J168" i="83"/>
  <c r="H168" i="83"/>
  <c r="AP168" i="83"/>
  <c r="AQ168" i="83"/>
  <c r="K167" i="84"/>
  <c r="M167" i="84"/>
  <c r="N167" i="84" s="1"/>
  <c r="L166" i="85"/>
  <c r="G167" i="28" s="1"/>
  <c r="AT167" i="84" l="1"/>
  <c r="AS167" i="84"/>
  <c r="G167" i="84" s="1"/>
  <c r="I167" i="84" s="1"/>
  <c r="H167" i="85"/>
  <c r="C168" i="28"/>
  <c r="K168" i="83"/>
  <c r="M168" i="83"/>
  <c r="N168" i="83" s="1"/>
  <c r="AT168" i="83" l="1"/>
  <c r="AS168" i="83"/>
  <c r="G168" i="83" s="1"/>
  <c r="I168" i="83" s="1"/>
  <c r="T167" i="85"/>
  <c r="J167" i="85"/>
  <c r="S167" i="85"/>
  <c r="G167" i="85" s="1"/>
  <c r="O167" i="84"/>
  <c r="Q167" i="84"/>
  <c r="F168" i="84" s="1"/>
  <c r="T167" i="84"/>
  <c r="U167" i="84" s="1"/>
  <c r="E168" i="28" l="1"/>
  <c r="K167" i="85"/>
  <c r="F168" i="28" s="1"/>
  <c r="H168" i="84"/>
  <c r="J168" i="84"/>
  <c r="AP168" i="84"/>
  <c r="AQ168" i="84"/>
  <c r="O168" i="83"/>
  <c r="T168" i="83"/>
  <c r="Q168" i="83"/>
  <c r="F169" i="83" s="1"/>
  <c r="D168" i="28"/>
  <c r="N167" i="85"/>
  <c r="L167" i="85" l="1"/>
  <c r="G168" i="28" s="1"/>
  <c r="K168" i="84"/>
  <c r="M168" i="84"/>
  <c r="N168" i="84" s="1"/>
  <c r="J169" i="83"/>
  <c r="H169" i="83"/>
  <c r="AP169" i="83"/>
  <c r="AQ169" i="83"/>
  <c r="P168" i="85"/>
  <c r="F168" i="85" s="1"/>
  <c r="I168" i="28"/>
  <c r="AA168" i="85"/>
  <c r="AD168" i="85" s="1"/>
  <c r="P168" i="84" s="1"/>
  <c r="AR169" i="84" s="1"/>
  <c r="U168" i="83"/>
  <c r="C169" i="28" l="1"/>
  <c r="H168" i="85"/>
  <c r="K169" i="83"/>
  <c r="M169" i="83"/>
  <c r="N169" i="83" s="1"/>
  <c r="AT168" i="84"/>
  <c r="AS168" i="84"/>
  <c r="G168" i="84" s="1"/>
  <c r="I168" i="84" s="1"/>
  <c r="S168" i="85" l="1"/>
  <c r="G168" i="85" s="1"/>
  <c r="O168" i="84"/>
  <c r="Q168" i="84"/>
  <c r="F169" i="84" s="1"/>
  <c r="T168" i="84"/>
  <c r="U168" i="84" s="1"/>
  <c r="J168" i="85"/>
  <c r="T168" i="85"/>
  <c r="AT169" i="83"/>
  <c r="AS169" i="83"/>
  <c r="G169" i="83" s="1"/>
  <c r="I169" i="83" s="1"/>
  <c r="K168" i="85" l="1"/>
  <c r="F169" i="28" s="1"/>
  <c r="E169" i="28"/>
  <c r="O169" i="83"/>
  <c r="Q169" i="83"/>
  <c r="F170" i="83" s="1"/>
  <c r="T169" i="83"/>
  <c r="H169" i="84"/>
  <c r="J169" i="84"/>
  <c r="AQ169" i="84"/>
  <c r="AP169" i="84"/>
  <c r="D169" i="28"/>
  <c r="N168" i="85"/>
  <c r="L168" i="85" l="1"/>
  <c r="G169" i="28" s="1"/>
  <c r="H170" i="83"/>
  <c r="J170" i="83"/>
  <c r="AP170" i="83"/>
  <c r="AQ170" i="83"/>
  <c r="P169" i="85"/>
  <c r="F169" i="85" s="1"/>
  <c r="I169" i="28"/>
  <c r="K169" i="84"/>
  <c r="M169" i="84"/>
  <c r="N169" i="84" s="1"/>
  <c r="AA169" i="85"/>
  <c r="AD169" i="85" s="1"/>
  <c r="P169" i="84" s="1"/>
  <c r="AR170" i="84" s="1"/>
  <c r="U169" i="83"/>
  <c r="C170" i="28" l="1"/>
  <c r="H169" i="85"/>
  <c r="K170" i="83"/>
  <c r="M170" i="83"/>
  <c r="N170" i="83" s="1"/>
  <c r="AT169" i="84"/>
  <c r="AS169" i="84"/>
  <c r="G169" i="84" s="1"/>
  <c r="I169" i="84" s="1"/>
  <c r="S169" i="85" l="1"/>
  <c r="G169" i="85" s="1"/>
  <c r="O169" i="84"/>
  <c r="T169" i="84"/>
  <c r="U169" i="84" s="1"/>
  <c r="Q169" i="84"/>
  <c r="F170" i="84" s="1"/>
  <c r="J169" i="85"/>
  <c r="T169" i="85"/>
  <c r="AT170" i="83"/>
  <c r="AS170" i="83"/>
  <c r="G170" i="83" s="1"/>
  <c r="I170" i="83" s="1"/>
  <c r="O170" i="83" l="1"/>
  <c r="Q170" i="83"/>
  <c r="F171" i="83" s="1"/>
  <c r="T170" i="83"/>
  <c r="J170" i="84"/>
  <c r="H170" i="84"/>
  <c r="AQ170" i="84"/>
  <c r="AP170" i="84"/>
  <c r="K169" i="85"/>
  <c r="F170" i="28" s="1"/>
  <c r="E170" i="28"/>
  <c r="D170" i="28"/>
  <c r="N169" i="85"/>
  <c r="L169" i="85" l="1"/>
  <c r="G170" i="28" s="1"/>
  <c r="K170" i="84"/>
  <c r="M170" i="84"/>
  <c r="N170" i="84" s="1"/>
  <c r="AA170" i="85"/>
  <c r="AD170" i="85" s="1"/>
  <c r="P170" i="84" s="1"/>
  <c r="AR171" i="84" s="1"/>
  <c r="U170" i="83"/>
  <c r="P170" i="85"/>
  <c r="F170" i="85" s="1"/>
  <c r="I170" i="28"/>
  <c r="J171" i="83"/>
  <c r="AP171" i="83"/>
  <c r="AQ171" i="83"/>
  <c r="H171" i="83"/>
  <c r="C171" i="28" l="1"/>
  <c r="H170" i="85"/>
  <c r="K171" i="83"/>
  <c r="M171" i="83"/>
  <c r="N171" i="83" s="1"/>
  <c r="AT170" i="84"/>
  <c r="AS170" i="84"/>
  <c r="G170" i="84" s="1"/>
  <c r="I170" i="84" s="1"/>
  <c r="S170" i="85" l="1"/>
  <c r="G170" i="85" s="1"/>
  <c r="O170" i="84"/>
  <c r="Q170" i="84"/>
  <c r="F171" i="84" s="1"/>
  <c r="T170" i="84"/>
  <c r="U170" i="84" s="1"/>
  <c r="J170" i="85"/>
  <c r="T170" i="85"/>
  <c r="AT171" i="83"/>
  <c r="AS171" i="83"/>
  <c r="G171" i="83" s="1"/>
  <c r="I171" i="83" s="1"/>
  <c r="O171" i="83" l="1"/>
  <c r="Q171" i="83"/>
  <c r="F172" i="83" s="1"/>
  <c r="T171" i="83"/>
  <c r="H171" i="84"/>
  <c r="J171" i="84"/>
  <c r="AP171" i="84"/>
  <c r="AQ171" i="84"/>
  <c r="E171" i="28"/>
  <c r="K170" i="85"/>
  <c r="F171" i="28" s="1"/>
  <c r="D171" i="28"/>
  <c r="N170" i="85"/>
  <c r="L170" i="85" l="1"/>
  <c r="G171" i="28" s="1"/>
  <c r="AA171" i="85"/>
  <c r="AD171" i="85" s="1"/>
  <c r="P171" i="84" s="1"/>
  <c r="AR172" i="84" s="1"/>
  <c r="U171" i="83"/>
  <c r="P171" i="85"/>
  <c r="F171" i="85" s="1"/>
  <c r="I171" i="28"/>
  <c r="K171" i="84"/>
  <c r="M171" i="84"/>
  <c r="N171" i="84" s="1"/>
  <c r="J172" i="83"/>
  <c r="H172" i="83"/>
  <c r="AP172" i="83"/>
  <c r="AQ172" i="83"/>
  <c r="K172" i="83" l="1"/>
  <c r="M172" i="83"/>
  <c r="N172" i="83" s="1"/>
  <c r="H171" i="85"/>
  <c r="C172" i="28"/>
  <c r="AT171" i="84"/>
  <c r="AS171" i="84"/>
  <c r="G171" i="84" s="1"/>
  <c r="I171" i="84" s="1"/>
  <c r="S171" i="85" l="1"/>
  <c r="G171" i="85" s="1"/>
  <c r="O171" i="84"/>
  <c r="Q171" i="84"/>
  <c r="F172" i="84" s="1"/>
  <c r="T171" i="84"/>
  <c r="U171" i="84" s="1"/>
  <c r="T171" i="85"/>
  <c r="J171" i="85"/>
  <c r="AT172" i="83"/>
  <c r="AS172" i="83"/>
  <c r="G172" i="83" s="1"/>
  <c r="I172" i="83" s="1"/>
  <c r="O172" i="83" l="1"/>
  <c r="T172" i="83"/>
  <c r="Q172" i="83"/>
  <c r="F173" i="83" s="1"/>
  <c r="J172" i="84"/>
  <c r="H172" i="84"/>
  <c r="AP172" i="84"/>
  <c r="AQ172" i="84"/>
  <c r="E172" i="28"/>
  <c r="K171" i="85"/>
  <c r="F172" i="28" s="1"/>
  <c r="D172" i="28"/>
  <c r="N171" i="85"/>
  <c r="L171" i="85" l="1"/>
  <c r="G172" i="28" s="1"/>
  <c r="J173" i="83"/>
  <c r="H173" i="83"/>
  <c r="AP173" i="83"/>
  <c r="AQ173" i="83"/>
  <c r="P172" i="85"/>
  <c r="F172" i="85" s="1"/>
  <c r="I172" i="28"/>
  <c r="AA172" i="85"/>
  <c r="AD172" i="85" s="1"/>
  <c r="P172" i="84" s="1"/>
  <c r="AR173" i="84" s="1"/>
  <c r="U172" i="83"/>
  <c r="K172" i="84"/>
  <c r="M172" i="84"/>
  <c r="N172" i="84" s="1"/>
  <c r="AT172" i="84" l="1"/>
  <c r="AS172" i="84"/>
  <c r="G172" i="84" s="1"/>
  <c r="I172" i="84" s="1"/>
  <c r="C173" i="28"/>
  <c r="H172" i="85"/>
  <c r="K173" i="83"/>
  <c r="M173" i="83"/>
  <c r="N173" i="83" s="1"/>
  <c r="AT173" i="83" l="1"/>
  <c r="AS173" i="83"/>
  <c r="G173" i="83" s="1"/>
  <c r="I173" i="83" s="1"/>
  <c r="S172" i="85"/>
  <c r="G172" i="85" s="1"/>
  <c r="O172" i="84"/>
  <c r="T172" i="84"/>
  <c r="U172" i="84" s="1"/>
  <c r="Q172" i="84"/>
  <c r="F173" i="84" s="1"/>
  <c r="T172" i="85"/>
  <c r="J172" i="85"/>
  <c r="D173" i="28" l="1"/>
  <c r="N172" i="85"/>
  <c r="J173" i="84"/>
  <c r="H173" i="84"/>
  <c r="AQ173" i="84"/>
  <c r="AP173" i="84"/>
  <c r="O173" i="83"/>
  <c r="Q173" i="83"/>
  <c r="F174" i="83" s="1"/>
  <c r="T173" i="83"/>
  <c r="E173" i="28"/>
  <c r="K172" i="85"/>
  <c r="F173" i="28" s="1"/>
  <c r="AA173" i="85" l="1"/>
  <c r="AD173" i="85" s="1"/>
  <c r="P173" i="84" s="1"/>
  <c r="AR174" i="84" s="1"/>
  <c r="U173" i="83"/>
  <c r="J174" i="83"/>
  <c r="H174" i="83"/>
  <c r="AP174" i="83"/>
  <c r="AQ174" i="83"/>
  <c r="P173" i="85"/>
  <c r="F173" i="85"/>
  <c r="I173" i="28"/>
  <c r="K173" i="84"/>
  <c r="M173" i="84"/>
  <c r="N173" i="84" s="1"/>
  <c r="L172" i="85"/>
  <c r="G173" i="28" s="1"/>
  <c r="AT173" i="84" l="1"/>
  <c r="AS173" i="84"/>
  <c r="G173" i="84" s="1"/>
  <c r="I173" i="84" s="1"/>
  <c r="K174" i="83"/>
  <c r="M174" i="83"/>
  <c r="N174" i="83" s="1"/>
  <c r="C174" i="28"/>
  <c r="H173" i="85"/>
  <c r="T173" i="85" l="1"/>
  <c r="J173" i="85"/>
  <c r="AT174" i="83"/>
  <c r="AS174" i="83"/>
  <c r="G174" i="83" s="1"/>
  <c r="I174" i="83" s="1"/>
  <c r="S173" i="85"/>
  <c r="G173" i="85" s="1"/>
  <c r="O173" i="84"/>
  <c r="Q173" i="84"/>
  <c r="F174" i="84" s="1"/>
  <c r="T173" i="84"/>
  <c r="U173" i="84" s="1"/>
  <c r="J174" i="84" l="1"/>
  <c r="H174" i="84"/>
  <c r="AQ174" i="84"/>
  <c r="AP174" i="84"/>
  <c r="O174" i="83"/>
  <c r="Q174" i="83"/>
  <c r="F175" i="83" s="1"/>
  <c r="T174" i="83"/>
  <c r="E174" i="28"/>
  <c r="K173" i="85"/>
  <c r="F174" i="28" s="1"/>
  <c r="D174" i="28"/>
  <c r="N173" i="85"/>
  <c r="L173" i="85" l="1"/>
  <c r="G174" i="28" s="1"/>
  <c r="AP175" i="83"/>
  <c r="AQ175" i="83"/>
  <c r="J175" i="83"/>
  <c r="H175" i="83"/>
  <c r="P174" i="85"/>
  <c r="F174" i="85" s="1"/>
  <c r="I174" i="28"/>
  <c r="AA174" i="85"/>
  <c r="AD174" i="85" s="1"/>
  <c r="P174" i="84" s="1"/>
  <c r="U174" i="83"/>
  <c r="V175" i="83" s="1"/>
  <c r="K174" i="84"/>
  <c r="M174" i="84"/>
  <c r="N174" i="84" s="1"/>
  <c r="AT174" i="84" l="1"/>
  <c r="AS174" i="84"/>
  <c r="G174" i="84" s="1"/>
  <c r="I174" i="84" s="1"/>
  <c r="C175" i="28"/>
  <c r="H174" i="85"/>
  <c r="K175" i="83"/>
  <c r="AT175" i="83" s="1"/>
  <c r="M175" i="83"/>
  <c r="N175" i="83" s="1"/>
  <c r="AR175" i="83"/>
  <c r="S174" i="85" l="1"/>
  <c r="G174" i="85" s="1"/>
  <c r="O174" i="84"/>
  <c r="T174" i="84"/>
  <c r="U174" i="84" s="1"/>
  <c r="V175" i="84" s="1"/>
  <c r="Q174" i="84"/>
  <c r="F175" i="84" s="1"/>
  <c r="AS175" i="83"/>
  <c r="G175" i="83" s="1"/>
  <c r="I175" i="83" s="1"/>
  <c r="AR176" i="83"/>
  <c r="J174" i="85"/>
  <c r="T174" i="85"/>
  <c r="O175" i="83" l="1"/>
  <c r="T175" i="83"/>
  <c r="Q175" i="83"/>
  <c r="F176" i="83" s="1"/>
  <c r="J175" i="84"/>
  <c r="H175" i="84"/>
  <c r="AP175" i="84"/>
  <c r="AQ175" i="84"/>
  <c r="E175" i="28"/>
  <c r="K174" i="85"/>
  <c r="F175" i="28" s="1"/>
  <c r="AR177" i="83"/>
  <c r="D175" i="28"/>
  <c r="N174" i="85"/>
  <c r="L174" i="85" l="1"/>
  <c r="G175" i="28" s="1"/>
  <c r="P175" i="85"/>
  <c r="F175" i="85" s="1"/>
  <c r="I175" i="28"/>
  <c r="K175" i="84"/>
  <c r="AT175" i="84" s="1"/>
  <c r="M175" i="84"/>
  <c r="N175" i="84" s="1"/>
  <c r="J176" i="83"/>
  <c r="H176" i="83"/>
  <c r="AP176" i="83"/>
  <c r="AQ176" i="83"/>
  <c r="AR175" i="84"/>
  <c r="AA175" i="85"/>
  <c r="AD175" i="85" s="1"/>
  <c r="P175" i="84" s="1"/>
  <c r="U175" i="83"/>
  <c r="AR178" i="83"/>
  <c r="AS175" i="84" l="1"/>
  <c r="G175" i="84" s="1"/>
  <c r="I175" i="84" s="1"/>
  <c r="T175" i="84" s="1"/>
  <c r="U175" i="84" s="1"/>
  <c r="H175" i="85"/>
  <c r="C176" i="28"/>
  <c r="AR179" i="83"/>
  <c r="K176" i="83"/>
  <c r="M176" i="83"/>
  <c r="N176" i="83" s="1"/>
  <c r="AR176" i="84"/>
  <c r="O175" i="84" l="1"/>
  <c r="S175" i="85"/>
  <c r="G175" i="85" s="1"/>
  <c r="D176" i="28" s="1"/>
  <c r="Q175" i="84"/>
  <c r="F176" i="84" s="1"/>
  <c r="AP176" i="84" s="1"/>
  <c r="AT176" i="83"/>
  <c r="AS176" i="83"/>
  <c r="G176" i="83" s="1"/>
  <c r="I176" i="83" s="1"/>
  <c r="J175" i="85"/>
  <c r="T175" i="85"/>
  <c r="J176" i="84"/>
  <c r="AQ176" i="84"/>
  <c r="AR180" i="83"/>
  <c r="H176" i="84" l="1"/>
  <c r="N175" i="85"/>
  <c r="I176" i="28" s="1"/>
  <c r="K176" i="84"/>
  <c r="M176" i="84"/>
  <c r="N176" i="84" s="1"/>
  <c r="AR181" i="83"/>
  <c r="O176" i="83"/>
  <c r="Q176" i="83"/>
  <c r="F177" i="83" s="1"/>
  <c r="T176" i="83"/>
  <c r="K175" i="85"/>
  <c r="E176" i="28"/>
  <c r="P176" i="85" l="1"/>
  <c r="F176" i="85" s="1"/>
  <c r="C177" i="28" s="1"/>
  <c r="F176" i="28"/>
  <c r="L175" i="85"/>
  <c r="G176" i="28" s="1"/>
  <c r="AR182" i="83"/>
  <c r="AA176" i="85"/>
  <c r="AD176" i="85" s="1"/>
  <c r="P176" i="84" s="1"/>
  <c r="AR177" i="84" s="1"/>
  <c r="U176" i="83"/>
  <c r="J177" i="83"/>
  <c r="H177" i="83"/>
  <c r="AP177" i="83"/>
  <c r="AQ177" i="83"/>
  <c r="AT176" i="84"/>
  <c r="AS176" i="84"/>
  <c r="G176" i="84" s="1"/>
  <c r="I176" i="84" s="1"/>
  <c r="H176" i="85" l="1"/>
  <c r="J176" i="85" s="1"/>
  <c r="K177" i="83"/>
  <c r="M177" i="83"/>
  <c r="N177" i="83" s="1"/>
  <c r="AR183" i="83"/>
  <c r="S176" i="85"/>
  <c r="G176" i="85" s="1"/>
  <c r="O176" i="84"/>
  <c r="T176" i="84"/>
  <c r="U176" i="84" s="1"/>
  <c r="Q176" i="84"/>
  <c r="F177" i="84" s="1"/>
  <c r="T176" i="85"/>
  <c r="J177" i="84" l="1"/>
  <c r="H177" i="84"/>
  <c r="AQ177" i="84"/>
  <c r="AP177" i="84"/>
  <c r="AR184" i="83"/>
  <c r="K176" i="85"/>
  <c r="F177" i="28" s="1"/>
  <c r="E177" i="28"/>
  <c r="D177" i="28"/>
  <c r="N176" i="85"/>
  <c r="AT177" i="83"/>
  <c r="AS177" i="83"/>
  <c r="G177" i="83" s="1"/>
  <c r="I177" i="83" s="1"/>
  <c r="L176" i="85" l="1"/>
  <c r="G177" i="28" s="1"/>
  <c r="AR185" i="83"/>
  <c r="O177" i="83"/>
  <c r="T177" i="83"/>
  <c r="Q177" i="83"/>
  <c r="F178" i="83" s="1"/>
  <c r="P177" i="85"/>
  <c r="F177" i="85" s="1"/>
  <c r="I177" i="28"/>
  <c r="K177" i="84"/>
  <c r="M177" i="84"/>
  <c r="N177" i="84" s="1"/>
  <c r="C178" i="28" l="1"/>
  <c r="H177" i="85"/>
  <c r="AA177" i="85"/>
  <c r="AD177" i="85" s="1"/>
  <c r="P177" i="84" s="1"/>
  <c r="AR178" i="84" s="1"/>
  <c r="U177" i="83"/>
  <c r="AR186" i="83"/>
  <c r="AT177" i="84"/>
  <c r="AS177" i="84"/>
  <c r="G177" i="84" s="1"/>
  <c r="I177" i="84" s="1"/>
  <c r="J178" i="83"/>
  <c r="H178" i="83"/>
  <c r="AP178" i="83"/>
  <c r="AQ178" i="83"/>
  <c r="K178" i="83" l="1"/>
  <c r="M178" i="83"/>
  <c r="N178" i="83" s="1"/>
  <c r="J177" i="85"/>
  <c r="T177" i="85"/>
  <c r="S177" i="85"/>
  <c r="G177" i="85" s="1"/>
  <c r="O177" i="84"/>
  <c r="Q177" i="84"/>
  <c r="F178" i="84" s="1"/>
  <c r="T177" i="84"/>
  <c r="U177" i="84" s="1"/>
  <c r="J178" i="84" l="1"/>
  <c r="H178" i="84"/>
  <c r="AP178" i="84"/>
  <c r="AQ178" i="84"/>
  <c r="K177" i="85"/>
  <c r="F178" i="28" s="1"/>
  <c r="E178" i="28"/>
  <c r="D178" i="28"/>
  <c r="N177" i="85"/>
  <c r="AT178" i="83"/>
  <c r="AS178" i="83"/>
  <c r="G178" i="83" s="1"/>
  <c r="I178" i="83" s="1"/>
  <c r="O178" i="83" l="1"/>
  <c r="T178" i="83"/>
  <c r="Q178" i="83"/>
  <c r="F179" i="83" s="1"/>
  <c r="P178" i="85"/>
  <c r="F178" i="85" s="1"/>
  <c r="I178" i="28"/>
  <c r="L177" i="85"/>
  <c r="G178" i="28" s="1"/>
  <c r="K178" i="84"/>
  <c r="M178" i="84"/>
  <c r="N178" i="84" s="1"/>
  <c r="H178" i="85" l="1"/>
  <c r="C179" i="28"/>
  <c r="AT178" i="84"/>
  <c r="AS178" i="84"/>
  <c r="G178" i="84" s="1"/>
  <c r="I178" i="84" s="1"/>
  <c r="J179" i="83"/>
  <c r="H179" i="83"/>
  <c r="AQ179" i="83"/>
  <c r="AP179" i="83"/>
  <c r="AA178" i="85"/>
  <c r="AD178" i="85" s="1"/>
  <c r="P178" i="84" s="1"/>
  <c r="AR179" i="84" s="1"/>
  <c r="U178" i="83"/>
  <c r="K179" i="83" l="1"/>
  <c r="M179" i="83"/>
  <c r="N179" i="83" s="1"/>
  <c r="T178" i="85"/>
  <c r="J178" i="85"/>
  <c r="S178" i="85"/>
  <c r="G178" i="85" s="1"/>
  <c r="O178" i="84"/>
  <c r="Q178" i="84"/>
  <c r="F179" i="84" s="1"/>
  <c r="T178" i="84"/>
  <c r="U178" i="84" s="1"/>
  <c r="J179" i="84" l="1"/>
  <c r="H179" i="84"/>
  <c r="AQ179" i="84"/>
  <c r="AP179" i="84"/>
  <c r="D179" i="28"/>
  <c r="N178" i="85"/>
  <c r="AT179" i="83"/>
  <c r="AS179" i="83"/>
  <c r="G179" i="83" s="1"/>
  <c r="I179" i="83" s="1"/>
  <c r="E179" i="28"/>
  <c r="K178" i="85"/>
  <c r="F179" i="28" s="1"/>
  <c r="L178" i="85" l="1"/>
  <c r="G179" i="28" s="1"/>
  <c r="O179" i="83"/>
  <c r="T179" i="83"/>
  <c r="Q179" i="83"/>
  <c r="F180" i="83" s="1"/>
  <c r="M179" i="84"/>
  <c r="N179" i="84" s="1"/>
  <c r="K179" i="84"/>
  <c r="P179" i="85"/>
  <c r="F179" i="85" s="1"/>
  <c r="I179" i="28"/>
  <c r="C180" i="28" l="1"/>
  <c r="H179" i="85"/>
  <c r="J180" i="83"/>
  <c r="H180" i="83"/>
  <c r="AQ180" i="83"/>
  <c r="AP180" i="83"/>
  <c r="AA179" i="85"/>
  <c r="AD179" i="85" s="1"/>
  <c r="P179" i="84" s="1"/>
  <c r="AR180" i="84" s="1"/>
  <c r="U179" i="83"/>
  <c r="AT179" i="84"/>
  <c r="AS179" i="84"/>
  <c r="G179" i="84" s="1"/>
  <c r="I179" i="84" s="1"/>
  <c r="K180" i="83" l="1"/>
  <c r="M180" i="83"/>
  <c r="N180" i="83" s="1"/>
  <c r="J179" i="85"/>
  <c r="T179" i="85"/>
  <c r="S179" i="85"/>
  <c r="G179" i="85" s="1"/>
  <c r="O179" i="84"/>
  <c r="Q179" i="84"/>
  <c r="F180" i="84" s="1"/>
  <c r="T179" i="84"/>
  <c r="U179" i="84" s="1"/>
  <c r="H180" i="84" l="1"/>
  <c r="AP180" i="84"/>
  <c r="AQ180" i="84"/>
  <c r="J180" i="84"/>
  <c r="K179" i="85"/>
  <c r="F180" i="28" s="1"/>
  <c r="E180" i="28"/>
  <c r="D180" i="28"/>
  <c r="N179" i="85"/>
  <c r="AT180" i="83"/>
  <c r="AS180" i="83"/>
  <c r="G180" i="83" s="1"/>
  <c r="I180" i="83" s="1"/>
  <c r="O180" i="83" l="1"/>
  <c r="T180" i="83"/>
  <c r="Q180" i="83"/>
  <c r="F181" i="83" s="1"/>
  <c r="P180" i="85"/>
  <c r="F180" i="85" s="1"/>
  <c r="I180" i="28"/>
  <c r="L179" i="85"/>
  <c r="G180" i="28" s="1"/>
  <c r="K180" i="84"/>
  <c r="M180" i="84"/>
  <c r="N180" i="84" s="1"/>
  <c r="C181" i="28" l="1"/>
  <c r="H180" i="85"/>
  <c r="J181" i="83"/>
  <c r="H181" i="83"/>
  <c r="AQ181" i="83"/>
  <c r="AP181" i="83"/>
  <c r="AT180" i="84"/>
  <c r="AS180" i="84"/>
  <c r="G180" i="84" s="1"/>
  <c r="I180" i="84" s="1"/>
  <c r="AA180" i="85"/>
  <c r="AD180" i="85" s="1"/>
  <c r="P180" i="84" s="1"/>
  <c r="AR181" i="84" s="1"/>
  <c r="U180" i="83"/>
  <c r="S180" i="85" l="1"/>
  <c r="G180" i="85" s="1"/>
  <c r="O180" i="84"/>
  <c r="Q180" i="84"/>
  <c r="F181" i="84" s="1"/>
  <c r="T180" i="84"/>
  <c r="U180" i="84" s="1"/>
  <c r="T180" i="85"/>
  <c r="J180" i="85"/>
  <c r="K181" i="83"/>
  <c r="M181" i="83"/>
  <c r="N181" i="83" s="1"/>
  <c r="D181" i="28" l="1"/>
  <c r="N180" i="85"/>
  <c r="AT181" i="83"/>
  <c r="AS181" i="83"/>
  <c r="G181" i="83" s="1"/>
  <c r="I181" i="83" s="1"/>
  <c r="J181" i="84"/>
  <c r="H181" i="84"/>
  <c r="AQ181" i="84"/>
  <c r="AP181" i="84"/>
  <c r="K180" i="85"/>
  <c r="F181" i="28" s="1"/>
  <c r="E181" i="28"/>
  <c r="P181" i="85" l="1"/>
  <c r="F181" i="85" s="1"/>
  <c r="I181" i="28"/>
  <c r="K181" i="84"/>
  <c r="M181" i="84"/>
  <c r="N181" i="84" s="1"/>
  <c r="O181" i="83"/>
  <c r="Q181" i="83"/>
  <c r="F182" i="83" s="1"/>
  <c r="T181" i="83"/>
  <c r="L180" i="85"/>
  <c r="G181" i="28" s="1"/>
  <c r="J182" i="83" l="1"/>
  <c r="H182" i="83"/>
  <c r="AQ182" i="83"/>
  <c r="AP182" i="83"/>
  <c r="AA181" i="85"/>
  <c r="AD181" i="85" s="1"/>
  <c r="P181" i="84" s="1"/>
  <c r="AR182" i="84" s="1"/>
  <c r="U181" i="83"/>
  <c r="AT181" i="84"/>
  <c r="AS181" i="84"/>
  <c r="G181" i="84" s="1"/>
  <c r="I181" i="84" s="1"/>
  <c r="C182" i="28"/>
  <c r="H181" i="85"/>
  <c r="S181" i="85" l="1"/>
  <c r="G181" i="85" s="1"/>
  <c r="O181" i="84"/>
  <c r="T181" i="84"/>
  <c r="U181" i="84" s="1"/>
  <c r="Q181" i="84"/>
  <c r="F182" i="84" s="1"/>
  <c r="K182" i="83"/>
  <c r="M182" i="83"/>
  <c r="N182" i="83" s="1"/>
  <c r="T181" i="85"/>
  <c r="J181" i="85"/>
  <c r="AT182" i="83" l="1"/>
  <c r="AS182" i="83"/>
  <c r="G182" i="83" s="1"/>
  <c r="I182" i="83" s="1"/>
  <c r="D182" i="28"/>
  <c r="N181" i="85"/>
  <c r="K181" i="85"/>
  <c r="F182" i="28" s="1"/>
  <c r="E182" i="28"/>
  <c r="J182" i="84"/>
  <c r="H182" i="84"/>
  <c r="AP182" i="84"/>
  <c r="AQ182" i="84"/>
  <c r="L181" i="85" l="1"/>
  <c r="G182" i="28" s="1"/>
  <c r="O182" i="83"/>
  <c r="Q182" i="83"/>
  <c r="F183" i="83" s="1"/>
  <c r="T182" i="83"/>
  <c r="K182" i="84"/>
  <c r="M182" i="84"/>
  <c r="N182" i="84" s="1"/>
  <c r="P182" i="85"/>
  <c r="F182" i="85" s="1"/>
  <c r="I182" i="28"/>
  <c r="C183" i="28" l="1"/>
  <c r="H182" i="85"/>
  <c r="J183" i="83"/>
  <c r="H183" i="83"/>
  <c r="AQ183" i="83"/>
  <c r="AP183" i="83"/>
  <c r="AA182" i="85"/>
  <c r="AD182" i="85" s="1"/>
  <c r="P182" i="84" s="1"/>
  <c r="AR183" i="84" s="1"/>
  <c r="U182" i="83"/>
  <c r="AT182" i="84"/>
  <c r="AS182" i="84"/>
  <c r="G182" i="84" s="1"/>
  <c r="I182" i="84" s="1"/>
  <c r="J182" i="85" l="1"/>
  <c r="T182" i="85"/>
  <c r="K183" i="83"/>
  <c r="M183" i="83"/>
  <c r="N183" i="83" s="1"/>
  <c r="S182" i="85"/>
  <c r="G182" i="85" s="1"/>
  <c r="O182" i="84"/>
  <c r="Q182" i="84"/>
  <c r="F183" i="84" s="1"/>
  <c r="T182" i="84"/>
  <c r="U182" i="84" s="1"/>
  <c r="J183" i="84" l="1"/>
  <c r="H183" i="84"/>
  <c r="AQ183" i="84"/>
  <c r="AP183" i="84"/>
  <c r="AT183" i="83"/>
  <c r="AS183" i="83"/>
  <c r="G183" i="83" s="1"/>
  <c r="I183" i="83" s="1"/>
  <c r="D183" i="28"/>
  <c r="N182" i="85"/>
  <c r="K182" i="85"/>
  <c r="F183" i="28" s="1"/>
  <c r="E183" i="28"/>
  <c r="P183" i="85" l="1"/>
  <c r="F183" i="85" s="1"/>
  <c r="I183" i="28"/>
  <c r="O183" i="83"/>
  <c r="Q183" i="83"/>
  <c r="F184" i="83" s="1"/>
  <c r="T183" i="83"/>
  <c r="L182" i="85"/>
  <c r="G183" i="28" s="1"/>
  <c r="K183" i="84"/>
  <c r="M183" i="84"/>
  <c r="N183" i="84" s="1"/>
  <c r="C184" i="28" l="1"/>
  <c r="H183" i="85"/>
  <c r="AT183" i="84"/>
  <c r="AS183" i="84"/>
  <c r="G183" i="84" s="1"/>
  <c r="I183" i="84" s="1"/>
  <c r="AA183" i="85"/>
  <c r="AD183" i="85" s="1"/>
  <c r="P183" i="84" s="1"/>
  <c r="AR184" i="84" s="1"/>
  <c r="U183" i="83"/>
  <c r="J184" i="83"/>
  <c r="H184" i="83"/>
  <c r="AQ184" i="83"/>
  <c r="AP184" i="83"/>
  <c r="K184" i="83" l="1"/>
  <c r="M184" i="83"/>
  <c r="N184" i="83" s="1"/>
  <c r="T183" i="85"/>
  <c r="J183" i="85"/>
  <c r="S183" i="85"/>
  <c r="G183" i="85" s="1"/>
  <c r="O183" i="84"/>
  <c r="Q183" i="84"/>
  <c r="F184" i="84" s="1"/>
  <c r="T183" i="84"/>
  <c r="U183" i="84" s="1"/>
  <c r="J184" i="84" l="1"/>
  <c r="H184" i="84"/>
  <c r="AP184" i="84"/>
  <c r="AQ184" i="84"/>
  <c r="K183" i="85"/>
  <c r="F184" i="28" s="1"/>
  <c r="E184" i="28"/>
  <c r="D184" i="28"/>
  <c r="N183" i="85"/>
  <c r="AT184" i="83"/>
  <c r="AS184" i="83"/>
  <c r="G184" i="83" s="1"/>
  <c r="I184" i="83" s="1"/>
  <c r="L183" i="85" l="1"/>
  <c r="G184" i="28" s="1"/>
  <c r="P184" i="85"/>
  <c r="F184" i="85" s="1"/>
  <c r="I184" i="28"/>
  <c r="K184" i="84"/>
  <c r="M184" i="84"/>
  <c r="N184" i="84" s="1"/>
  <c r="O184" i="83"/>
  <c r="T184" i="83"/>
  <c r="Q184" i="83"/>
  <c r="F185" i="83" s="1"/>
  <c r="AT184" i="84" l="1"/>
  <c r="AS184" i="84"/>
  <c r="G184" i="84" s="1"/>
  <c r="I184" i="84" s="1"/>
  <c r="C185" i="28"/>
  <c r="H184" i="85"/>
  <c r="J185" i="83"/>
  <c r="H185" i="83"/>
  <c r="AP185" i="83"/>
  <c r="AQ185" i="83"/>
  <c r="AA184" i="85"/>
  <c r="AD184" i="85" s="1"/>
  <c r="P184" i="84" s="1"/>
  <c r="AR185" i="84" s="1"/>
  <c r="U184" i="83"/>
  <c r="K185" i="83" l="1"/>
  <c r="M185" i="83"/>
  <c r="N185" i="83" s="1"/>
  <c r="S184" i="85"/>
  <c r="G184" i="85" s="1"/>
  <c r="O184" i="84"/>
  <c r="Q184" i="84"/>
  <c r="F185" i="84" s="1"/>
  <c r="T184" i="84"/>
  <c r="U184" i="84" s="1"/>
  <c r="J184" i="85"/>
  <c r="T184" i="85"/>
  <c r="K184" i="85" l="1"/>
  <c r="F185" i="28" s="1"/>
  <c r="E185" i="28"/>
  <c r="J185" i="84"/>
  <c r="H185" i="84"/>
  <c r="AP185" i="84"/>
  <c r="AQ185" i="84"/>
  <c r="AT185" i="83"/>
  <c r="AS185" i="83"/>
  <c r="G185" i="83" s="1"/>
  <c r="I185" i="83" s="1"/>
  <c r="D185" i="28"/>
  <c r="N184" i="85"/>
  <c r="L184" i="85" l="1"/>
  <c r="G185" i="28" s="1"/>
  <c r="K185" i="84"/>
  <c r="M185" i="84"/>
  <c r="N185" i="84" s="1"/>
  <c r="O185" i="83"/>
  <c r="T185" i="83"/>
  <c r="Q185" i="83"/>
  <c r="F186" i="83" s="1"/>
  <c r="P185" i="85"/>
  <c r="F185" i="85" s="1"/>
  <c r="I185" i="28"/>
  <c r="C186" i="28" l="1"/>
  <c r="H185" i="85"/>
  <c r="AA185" i="85"/>
  <c r="AD185" i="85" s="1"/>
  <c r="P185" i="84" s="1"/>
  <c r="AR186" i="84" s="1"/>
  <c r="U185" i="83"/>
  <c r="J186" i="83"/>
  <c r="H186" i="83"/>
  <c r="AQ186" i="83"/>
  <c r="AP186" i="83"/>
  <c r="AT185" i="84"/>
  <c r="AS185" i="84"/>
  <c r="G185" i="84" s="1"/>
  <c r="I185" i="84" s="1"/>
  <c r="J185" i="85" l="1"/>
  <c r="T185" i="85"/>
  <c r="K186" i="83"/>
  <c r="M186" i="83"/>
  <c r="N186" i="83" s="1"/>
  <c r="S185" i="85"/>
  <c r="G185" i="85" s="1"/>
  <c r="O185" i="84"/>
  <c r="Q185" i="84"/>
  <c r="F186" i="84" s="1"/>
  <c r="T185" i="84"/>
  <c r="U185" i="84" s="1"/>
  <c r="J186" i="84" l="1"/>
  <c r="H186" i="84"/>
  <c r="AP186" i="84"/>
  <c r="AQ186" i="84"/>
  <c r="AT186" i="83"/>
  <c r="AS186" i="83"/>
  <c r="G186" i="83" s="1"/>
  <c r="I186" i="83" s="1"/>
  <c r="D186" i="28"/>
  <c r="N185" i="85"/>
  <c r="E186" i="28"/>
  <c r="K185" i="85"/>
  <c r="F186" i="28" s="1"/>
  <c r="P186" i="85" l="1"/>
  <c r="F186" i="85" s="1"/>
  <c r="I186" i="28"/>
  <c r="O186" i="83"/>
  <c r="T186" i="83"/>
  <c r="Q186" i="83"/>
  <c r="F187" i="83" s="1"/>
  <c r="L185" i="85"/>
  <c r="G186" i="28" s="1"/>
  <c r="K186" i="84"/>
  <c r="M186" i="84"/>
  <c r="N186" i="84" s="1"/>
  <c r="AT186" i="84" l="1"/>
  <c r="AS186" i="84"/>
  <c r="G186" i="84" s="1"/>
  <c r="I186" i="84" s="1"/>
  <c r="AP187" i="83"/>
  <c r="AQ187" i="83"/>
  <c r="J187" i="83"/>
  <c r="H187" i="83"/>
  <c r="C187" i="28"/>
  <c r="H186" i="85"/>
  <c r="AA186" i="85"/>
  <c r="AD186" i="85" s="1"/>
  <c r="P186" i="84" s="1"/>
  <c r="U186" i="83"/>
  <c r="V187" i="83" s="1"/>
  <c r="AR187" i="83" l="1"/>
  <c r="AR188" i="83" s="1"/>
  <c r="T186" i="85"/>
  <c r="J186" i="85"/>
  <c r="K187" i="83"/>
  <c r="AT187" i="83" s="1"/>
  <c r="M187" i="83"/>
  <c r="N187" i="83" s="1"/>
  <c r="S186" i="85"/>
  <c r="G186" i="85" s="1"/>
  <c r="O186" i="84"/>
  <c r="T186" i="84"/>
  <c r="U186" i="84" s="1"/>
  <c r="V187" i="84" s="1"/>
  <c r="Q186" i="84"/>
  <c r="F187" i="84" s="1"/>
  <c r="D187" i="28" l="1"/>
  <c r="N186" i="85"/>
  <c r="J187" i="84"/>
  <c r="H187" i="84"/>
  <c r="AP187" i="84"/>
  <c r="AQ187" i="84"/>
  <c r="AR189" i="83"/>
  <c r="K186" i="85"/>
  <c r="F187" i="28" s="1"/>
  <c r="E187" i="28"/>
  <c r="AS187" i="83"/>
  <c r="G187" i="83" s="1"/>
  <c r="I187" i="83" s="1"/>
  <c r="K187" i="84" l="1"/>
  <c r="AT187" i="84" s="1"/>
  <c r="M187" i="84"/>
  <c r="N187" i="84" s="1"/>
  <c r="AR190" i="83"/>
  <c r="P187" i="85"/>
  <c r="F187" i="85" s="1"/>
  <c r="I187" i="28"/>
  <c r="O187" i="83"/>
  <c r="Q187" i="83"/>
  <c r="F188" i="83" s="1"/>
  <c r="T187" i="83"/>
  <c r="AR187" i="84"/>
  <c r="AS187" i="84" s="1"/>
  <c r="G187" i="84" s="1"/>
  <c r="I187" i="84" s="1"/>
  <c r="L186" i="85"/>
  <c r="G187" i="28" s="1"/>
  <c r="C188" i="28" l="1"/>
  <c r="H187" i="85"/>
  <c r="S187" i="85"/>
  <c r="G187" i="85" s="1"/>
  <c r="O187" i="84"/>
  <c r="AR191" i="83"/>
  <c r="AA187" i="85"/>
  <c r="AD187" i="85" s="1"/>
  <c r="P187" i="84" s="1"/>
  <c r="AR188" i="84" s="1"/>
  <c r="U187" i="83"/>
  <c r="J188" i="83"/>
  <c r="H188" i="83"/>
  <c r="AQ188" i="83"/>
  <c r="AP188" i="83"/>
  <c r="K188" i="83" l="1"/>
  <c r="M188" i="83"/>
  <c r="N188" i="83" s="1"/>
  <c r="D188" i="28"/>
  <c r="Q187" i="84"/>
  <c r="F188" i="84" s="1"/>
  <c r="T187" i="85"/>
  <c r="J187" i="85"/>
  <c r="T187" i="84"/>
  <c r="U187" i="84" s="1"/>
  <c r="AR192" i="83"/>
  <c r="N187" i="85"/>
  <c r="AR193" i="83" l="1"/>
  <c r="K187" i="85"/>
  <c r="E188" i="28"/>
  <c r="P188" i="85"/>
  <c r="F188" i="85" s="1"/>
  <c r="I188" i="28"/>
  <c r="J188" i="84"/>
  <c r="AP188" i="84"/>
  <c r="AQ188" i="84"/>
  <c r="H188" i="84"/>
  <c r="AT188" i="83"/>
  <c r="AS188" i="83"/>
  <c r="G188" i="83" s="1"/>
  <c r="I188" i="83" s="1"/>
  <c r="O188" i="83" l="1"/>
  <c r="T188" i="83"/>
  <c r="Q188" i="83"/>
  <c r="F189" i="83" s="1"/>
  <c r="F188" i="28"/>
  <c r="L187" i="85"/>
  <c r="G188" i="28" s="1"/>
  <c r="C189" i="28"/>
  <c r="H188" i="85"/>
  <c r="AR194" i="83"/>
  <c r="K188" i="84"/>
  <c r="M188" i="84"/>
  <c r="N188" i="84" s="1"/>
  <c r="J188" i="85" l="1"/>
  <c r="T188" i="85"/>
  <c r="AT188" i="84"/>
  <c r="AS188" i="84"/>
  <c r="G188" i="84" s="1"/>
  <c r="I188" i="84" s="1"/>
  <c r="J189" i="83"/>
  <c r="H189" i="83"/>
  <c r="AQ189" i="83"/>
  <c r="AP189" i="83"/>
  <c r="AA188" i="85"/>
  <c r="AD188" i="85" s="1"/>
  <c r="P188" i="84" s="1"/>
  <c r="AR189" i="84" s="1"/>
  <c r="U188" i="83"/>
  <c r="AR195" i="83"/>
  <c r="S188" i="85" l="1"/>
  <c r="G188" i="85" s="1"/>
  <c r="O188" i="84"/>
  <c r="Q188" i="84"/>
  <c r="F189" i="84" s="1"/>
  <c r="T188" i="84"/>
  <c r="U188" i="84" s="1"/>
  <c r="AR196" i="83"/>
  <c r="K189" i="83"/>
  <c r="M189" i="83"/>
  <c r="N189" i="83" s="1"/>
  <c r="E189" i="28"/>
  <c r="K188" i="85"/>
  <c r="F189" i="28" s="1"/>
  <c r="AT189" i="83" l="1"/>
  <c r="AS189" i="83"/>
  <c r="G189" i="83" s="1"/>
  <c r="I189" i="83" s="1"/>
  <c r="AR197" i="83"/>
  <c r="J189" i="84"/>
  <c r="H189" i="84"/>
  <c r="AQ189" i="84"/>
  <c r="AP189" i="84"/>
  <c r="D189" i="28"/>
  <c r="L188" i="85"/>
  <c r="G189" i="28" s="1"/>
  <c r="N188" i="85"/>
  <c r="AR198" i="83" l="1"/>
  <c r="O189" i="83"/>
  <c r="Q189" i="83"/>
  <c r="F190" i="83" s="1"/>
  <c r="T189" i="83"/>
  <c r="P189" i="85"/>
  <c r="F189" i="85" s="1"/>
  <c r="I189" i="28"/>
  <c r="K189" i="84"/>
  <c r="M189" i="84"/>
  <c r="N189" i="84" s="1"/>
  <c r="C190" i="28" l="1"/>
  <c r="H189" i="85"/>
  <c r="J190" i="83"/>
  <c r="H190" i="83"/>
  <c r="AQ190" i="83"/>
  <c r="AP190" i="83"/>
  <c r="AT189" i="84"/>
  <c r="AS189" i="84"/>
  <c r="G189" i="84" s="1"/>
  <c r="I189" i="84" s="1"/>
  <c r="AA189" i="85"/>
  <c r="AD189" i="85" s="1"/>
  <c r="P189" i="84" s="1"/>
  <c r="AR190" i="84" s="1"/>
  <c r="U189" i="83"/>
  <c r="S189" i="85" l="1"/>
  <c r="G189" i="85" s="1"/>
  <c r="O189" i="84"/>
  <c r="T189" i="84"/>
  <c r="U189" i="84" s="1"/>
  <c r="Q189" i="84"/>
  <c r="F190" i="84" s="1"/>
  <c r="T189" i="85"/>
  <c r="J189" i="85"/>
  <c r="K190" i="83"/>
  <c r="M190" i="83"/>
  <c r="N190" i="83" s="1"/>
  <c r="AT190" i="83" l="1"/>
  <c r="AS190" i="83"/>
  <c r="G190" i="83" s="1"/>
  <c r="I190" i="83" s="1"/>
  <c r="J190" i="84"/>
  <c r="H190" i="84"/>
  <c r="AP190" i="84"/>
  <c r="AQ190" i="84"/>
  <c r="K189" i="85"/>
  <c r="F190" i="28" s="1"/>
  <c r="E190" i="28"/>
  <c r="D190" i="28"/>
  <c r="N189" i="85"/>
  <c r="L189" i="85" l="1"/>
  <c r="G190" i="28" s="1"/>
  <c r="K190" i="84"/>
  <c r="M190" i="84"/>
  <c r="N190" i="84" s="1"/>
  <c r="O190" i="83"/>
  <c r="Q190" i="83"/>
  <c r="F191" i="83" s="1"/>
  <c r="T190" i="83"/>
  <c r="P190" i="85"/>
  <c r="F190" i="85" s="1"/>
  <c r="I190" i="28"/>
  <c r="C191" i="28" l="1"/>
  <c r="H190" i="85"/>
  <c r="J191" i="83"/>
  <c r="H191" i="83"/>
  <c r="AQ191" i="83"/>
  <c r="AP191" i="83"/>
  <c r="AA190" i="85"/>
  <c r="AD190" i="85" s="1"/>
  <c r="P190" i="84" s="1"/>
  <c r="AR191" i="84" s="1"/>
  <c r="U190" i="83"/>
  <c r="AT190" i="84"/>
  <c r="AS190" i="84"/>
  <c r="G190" i="84" s="1"/>
  <c r="I190" i="84" s="1"/>
  <c r="J190" i="85" l="1"/>
  <c r="T190" i="85"/>
  <c r="K191" i="83"/>
  <c r="M191" i="83"/>
  <c r="N191" i="83" s="1"/>
  <c r="S190" i="85"/>
  <c r="G190" i="85" s="1"/>
  <c r="O190" i="84"/>
  <c r="Q190" i="84"/>
  <c r="F191" i="84" s="1"/>
  <c r="T190" i="84"/>
  <c r="U190" i="84" s="1"/>
  <c r="J191" i="84" l="1"/>
  <c r="H191" i="84"/>
  <c r="AQ191" i="84"/>
  <c r="AP191" i="84"/>
  <c r="AT191" i="83"/>
  <c r="AS191" i="83"/>
  <c r="G191" i="83" s="1"/>
  <c r="I191" i="83" s="1"/>
  <c r="D191" i="28"/>
  <c r="N190" i="85"/>
  <c r="K190" i="85"/>
  <c r="F191" i="28" s="1"/>
  <c r="E191" i="28"/>
  <c r="O191" i="83" l="1"/>
  <c r="Q191" i="83"/>
  <c r="F192" i="83" s="1"/>
  <c r="T191" i="83"/>
  <c r="P191" i="85"/>
  <c r="F191" i="85" s="1"/>
  <c r="I191" i="28"/>
  <c r="L190" i="85"/>
  <c r="G191" i="28" s="1"/>
  <c r="K191" i="84"/>
  <c r="M191" i="84"/>
  <c r="N191" i="84" s="1"/>
  <c r="H191" i="85" l="1"/>
  <c r="C192" i="28"/>
  <c r="AA191" i="85"/>
  <c r="AD191" i="85" s="1"/>
  <c r="P191" i="84" s="1"/>
  <c r="AR192" i="84" s="1"/>
  <c r="U191" i="83"/>
  <c r="AT191" i="84"/>
  <c r="AS191" i="84"/>
  <c r="G191" i="84" s="1"/>
  <c r="I191" i="84" s="1"/>
  <c r="J192" i="83"/>
  <c r="H192" i="83"/>
  <c r="AP192" i="83"/>
  <c r="AQ192" i="83"/>
  <c r="S191" i="85" l="1"/>
  <c r="G191" i="85" s="1"/>
  <c r="O191" i="84"/>
  <c r="Q191" i="84"/>
  <c r="F192" i="84" s="1"/>
  <c r="T191" i="84"/>
  <c r="U191" i="84" s="1"/>
  <c r="K192" i="83"/>
  <c r="M192" i="83"/>
  <c r="N192" i="83" s="1"/>
  <c r="J191" i="85"/>
  <c r="T191" i="85"/>
  <c r="E192" i="28" l="1"/>
  <c r="K191" i="85"/>
  <c r="F192" i="28" s="1"/>
  <c r="H192" i="84"/>
  <c r="AQ192" i="84"/>
  <c r="J192" i="84"/>
  <c r="AP192" i="84"/>
  <c r="AT192" i="83"/>
  <c r="AS192" i="83"/>
  <c r="G192" i="83" s="1"/>
  <c r="I192" i="83" s="1"/>
  <c r="D192" i="28"/>
  <c r="N191" i="85"/>
  <c r="L191" i="85" l="1"/>
  <c r="G192" i="28" s="1"/>
  <c r="O192" i="83"/>
  <c r="T192" i="83"/>
  <c r="Q192" i="83"/>
  <c r="F193" i="83" s="1"/>
  <c r="K192" i="84"/>
  <c r="M192" i="84"/>
  <c r="N192" i="84" s="1"/>
  <c r="P192" i="85"/>
  <c r="F192" i="85" s="1"/>
  <c r="I192" i="28"/>
  <c r="AT192" i="84" l="1"/>
  <c r="AS192" i="84"/>
  <c r="G192" i="84" s="1"/>
  <c r="I192" i="84" s="1"/>
  <c r="J193" i="83"/>
  <c r="H193" i="83"/>
  <c r="AQ193" i="83"/>
  <c r="AP193" i="83"/>
  <c r="AA192" i="85"/>
  <c r="AD192" i="85" s="1"/>
  <c r="P192" i="84" s="1"/>
  <c r="AR193" i="84" s="1"/>
  <c r="U192" i="83"/>
  <c r="C193" i="28"/>
  <c r="H192" i="85"/>
  <c r="J192" i="85" l="1"/>
  <c r="T192" i="85"/>
  <c r="K193" i="83"/>
  <c r="M193" i="83"/>
  <c r="N193" i="83" s="1"/>
  <c r="S192" i="85"/>
  <c r="G192" i="85" s="1"/>
  <c r="O192" i="84"/>
  <c r="Q192" i="84"/>
  <c r="F193" i="84" s="1"/>
  <c r="T192" i="84"/>
  <c r="U192" i="84" s="1"/>
  <c r="J193" i="84" l="1"/>
  <c r="H193" i="84"/>
  <c r="AP193" i="84"/>
  <c r="AQ193" i="84"/>
  <c r="AT193" i="83"/>
  <c r="AS193" i="83"/>
  <c r="G193" i="83" s="1"/>
  <c r="I193" i="83" s="1"/>
  <c r="D193" i="28"/>
  <c r="N192" i="85"/>
  <c r="K192" i="85"/>
  <c r="F193" i="28" s="1"/>
  <c r="E193" i="28"/>
  <c r="O193" i="83" l="1"/>
  <c r="T193" i="83"/>
  <c r="Q193" i="83"/>
  <c r="F194" i="83" s="1"/>
  <c r="P193" i="85"/>
  <c r="F193" i="85" s="1"/>
  <c r="I193" i="28"/>
  <c r="L192" i="85"/>
  <c r="G193" i="28" s="1"/>
  <c r="K193" i="84"/>
  <c r="M193" i="84"/>
  <c r="N193" i="84" s="1"/>
  <c r="C194" i="28" l="1"/>
  <c r="H193" i="85"/>
  <c r="J194" i="83"/>
  <c r="H194" i="83"/>
  <c r="AP194" i="83"/>
  <c r="AQ194" i="83"/>
  <c r="AT193" i="84"/>
  <c r="AS193" i="84"/>
  <c r="G193" i="84" s="1"/>
  <c r="I193" i="84" s="1"/>
  <c r="AA193" i="85"/>
  <c r="AD193" i="85" s="1"/>
  <c r="P193" i="84" s="1"/>
  <c r="AR194" i="84" s="1"/>
  <c r="U193" i="83"/>
  <c r="S193" i="85" l="1"/>
  <c r="G193" i="85" s="1"/>
  <c r="O193" i="84"/>
  <c r="Q193" i="84"/>
  <c r="F194" i="84" s="1"/>
  <c r="T193" i="84"/>
  <c r="U193" i="84" s="1"/>
  <c r="T193" i="85"/>
  <c r="J193" i="85"/>
  <c r="K194" i="83"/>
  <c r="M194" i="83"/>
  <c r="N194" i="83" s="1"/>
  <c r="AT194" i="83" l="1"/>
  <c r="AS194" i="83"/>
  <c r="G194" i="83" s="1"/>
  <c r="I194" i="83" s="1"/>
  <c r="J194" i="84"/>
  <c r="H194" i="84"/>
  <c r="AP194" i="84"/>
  <c r="AQ194" i="84"/>
  <c r="K193" i="85"/>
  <c r="F194" i="28" s="1"/>
  <c r="E194" i="28"/>
  <c r="D194" i="28"/>
  <c r="N193" i="85"/>
  <c r="L193" i="85" l="1"/>
  <c r="G194" i="28" s="1"/>
  <c r="K194" i="84"/>
  <c r="M194" i="84"/>
  <c r="N194" i="84" s="1"/>
  <c r="O194" i="83"/>
  <c r="Q194" i="83"/>
  <c r="F195" i="83" s="1"/>
  <c r="T194" i="83"/>
  <c r="P194" i="85"/>
  <c r="F194" i="85" s="1"/>
  <c r="I194" i="28"/>
  <c r="C195" i="28" l="1"/>
  <c r="H194" i="85"/>
  <c r="J195" i="83"/>
  <c r="H195" i="83"/>
  <c r="AP195" i="83"/>
  <c r="AQ195" i="83"/>
  <c r="AA194" i="85"/>
  <c r="AD194" i="85" s="1"/>
  <c r="P194" i="84" s="1"/>
  <c r="AR195" i="84" s="1"/>
  <c r="U194" i="83"/>
  <c r="AT194" i="84"/>
  <c r="AS194" i="84"/>
  <c r="G194" i="84" s="1"/>
  <c r="I194" i="84" s="1"/>
  <c r="J194" i="85" l="1"/>
  <c r="T194" i="85"/>
  <c r="K195" i="83"/>
  <c r="M195" i="83"/>
  <c r="N195" i="83" s="1"/>
  <c r="S194" i="85"/>
  <c r="G194" i="85" s="1"/>
  <c r="O194" i="84"/>
  <c r="Q194" i="84"/>
  <c r="F195" i="84" s="1"/>
  <c r="T194" i="84"/>
  <c r="U194" i="84" s="1"/>
  <c r="J195" i="84" l="1"/>
  <c r="H195" i="84"/>
  <c r="AQ195" i="84"/>
  <c r="AP195" i="84"/>
  <c r="AT195" i="83"/>
  <c r="AS195" i="83"/>
  <c r="G195" i="83" s="1"/>
  <c r="I195" i="83" s="1"/>
  <c r="D195" i="28"/>
  <c r="N194" i="85"/>
  <c r="K194" i="85"/>
  <c r="F195" i="28" s="1"/>
  <c r="E195" i="28"/>
  <c r="O195" i="83" l="1"/>
  <c r="Q195" i="83"/>
  <c r="F196" i="83" s="1"/>
  <c r="T195" i="83"/>
  <c r="P195" i="85"/>
  <c r="F195" i="85" s="1"/>
  <c r="I195" i="28"/>
  <c r="L194" i="85"/>
  <c r="G195" i="28" s="1"/>
  <c r="K195" i="84"/>
  <c r="M195" i="84"/>
  <c r="N195" i="84" s="1"/>
  <c r="AT195" i="84" l="1"/>
  <c r="AS195" i="84"/>
  <c r="G195" i="84" s="1"/>
  <c r="I195" i="84" s="1"/>
  <c r="AA195" i="85"/>
  <c r="AD195" i="85" s="1"/>
  <c r="P195" i="84" s="1"/>
  <c r="AR196" i="84" s="1"/>
  <c r="U195" i="83"/>
  <c r="H195" i="85"/>
  <c r="C196" i="28"/>
  <c r="J196" i="83"/>
  <c r="H196" i="83"/>
  <c r="AP196" i="83"/>
  <c r="AQ196" i="83"/>
  <c r="K196" i="83" l="1"/>
  <c r="M196" i="83"/>
  <c r="N196" i="83" s="1"/>
  <c r="T195" i="85"/>
  <c r="J195" i="85"/>
  <c r="S195" i="85"/>
  <c r="G195" i="85" s="1"/>
  <c r="O195" i="84"/>
  <c r="Q195" i="84"/>
  <c r="F196" i="84" s="1"/>
  <c r="T195" i="84"/>
  <c r="U195" i="84" s="1"/>
  <c r="J196" i="84" l="1"/>
  <c r="H196" i="84"/>
  <c r="AP196" i="84"/>
  <c r="AQ196" i="84"/>
  <c r="D196" i="28"/>
  <c r="N195" i="85"/>
  <c r="AT196" i="83"/>
  <c r="AS196" i="83"/>
  <c r="G196" i="83" s="1"/>
  <c r="I196" i="83" s="1"/>
  <c r="K195" i="85"/>
  <c r="F196" i="28" s="1"/>
  <c r="E196" i="28"/>
  <c r="L195" i="85" l="1"/>
  <c r="G196" i="28" s="1"/>
  <c r="O196" i="83"/>
  <c r="T196" i="83"/>
  <c r="Q196" i="83"/>
  <c r="F197" i="83" s="1"/>
  <c r="K196" i="84"/>
  <c r="M196" i="84"/>
  <c r="N196" i="84" s="1"/>
  <c r="P196" i="85"/>
  <c r="F196" i="85" s="1"/>
  <c r="I196" i="28"/>
  <c r="C197" i="28" l="1"/>
  <c r="H196" i="85"/>
  <c r="AA196" i="85"/>
  <c r="AD196" i="85" s="1"/>
  <c r="P196" i="84" s="1"/>
  <c r="AR197" i="84" s="1"/>
  <c r="U196" i="83"/>
  <c r="J197" i="83"/>
  <c r="H197" i="83"/>
  <c r="AQ197" i="83"/>
  <c r="AP197" i="83"/>
  <c r="AT196" i="84"/>
  <c r="AS196" i="84"/>
  <c r="G196" i="84" s="1"/>
  <c r="I196" i="84" s="1"/>
  <c r="K197" i="83" l="1"/>
  <c r="M197" i="83"/>
  <c r="N197" i="83" s="1"/>
  <c r="T196" i="85"/>
  <c r="J196" i="85"/>
  <c r="S196" i="85"/>
  <c r="G196" i="85" s="1"/>
  <c r="O196" i="84"/>
  <c r="Q196" i="84"/>
  <c r="F197" i="84" s="1"/>
  <c r="T196" i="84"/>
  <c r="U196" i="84" s="1"/>
  <c r="J197" i="84" l="1"/>
  <c r="H197" i="84"/>
  <c r="AP197" i="84"/>
  <c r="AQ197" i="84"/>
  <c r="D197" i="28"/>
  <c r="N196" i="85"/>
  <c r="E197" i="28"/>
  <c r="K196" i="85"/>
  <c r="F197" i="28" s="1"/>
  <c r="AT197" i="83"/>
  <c r="AS197" i="83"/>
  <c r="G197" i="83" s="1"/>
  <c r="I197" i="83" s="1"/>
  <c r="L196" i="85" l="1"/>
  <c r="G197" i="28" s="1"/>
  <c r="O197" i="83"/>
  <c r="T197" i="83"/>
  <c r="Q197" i="83"/>
  <c r="F198" i="83" s="1"/>
  <c r="P197" i="85"/>
  <c r="F197" i="85" s="1"/>
  <c r="I197" i="28"/>
  <c r="K197" i="84"/>
  <c r="M197" i="84"/>
  <c r="N197" i="84" s="1"/>
  <c r="C198" i="28" l="1"/>
  <c r="H197" i="85"/>
  <c r="J198" i="83"/>
  <c r="H198" i="83"/>
  <c r="AP198" i="83"/>
  <c r="AQ198" i="83"/>
  <c r="AT197" i="84"/>
  <c r="AS197" i="84"/>
  <c r="G197" i="84" s="1"/>
  <c r="I197" i="84" s="1"/>
  <c r="AA197" i="85"/>
  <c r="AD197" i="85" s="1"/>
  <c r="P197" i="84" s="1"/>
  <c r="AR198" i="84" s="1"/>
  <c r="U197" i="83"/>
  <c r="S197" i="85" l="1"/>
  <c r="G197" i="85" s="1"/>
  <c r="O197" i="84"/>
  <c r="T197" i="84"/>
  <c r="U197" i="84" s="1"/>
  <c r="Q197" i="84"/>
  <c r="F198" i="84" s="1"/>
  <c r="T197" i="85"/>
  <c r="J197" i="85"/>
  <c r="K198" i="83"/>
  <c r="M198" i="83"/>
  <c r="N198" i="83" s="1"/>
  <c r="AT198" i="83" l="1"/>
  <c r="AS198" i="83"/>
  <c r="G198" i="83" s="1"/>
  <c r="I198" i="83" s="1"/>
  <c r="J198" i="84"/>
  <c r="H198" i="84"/>
  <c r="AP198" i="84"/>
  <c r="AQ198" i="84"/>
  <c r="E198" i="28"/>
  <c r="K197" i="85"/>
  <c r="F198" i="28" s="1"/>
  <c r="D198" i="28"/>
  <c r="N197" i="85"/>
  <c r="L197" i="85" l="1"/>
  <c r="G198" i="28" s="1"/>
  <c r="K198" i="84"/>
  <c r="M198" i="84"/>
  <c r="N198" i="84" s="1"/>
  <c r="O198" i="83"/>
  <c r="Q198" i="83"/>
  <c r="F199" i="83" s="1"/>
  <c r="T198" i="83"/>
  <c r="P198" i="85"/>
  <c r="F198" i="85" s="1"/>
  <c r="I198" i="28"/>
  <c r="C199" i="28" l="1"/>
  <c r="H198" i="85"/>
  <c r="AA198" i="85"/>
  <c r="AD198" i="85" s="1"/>
  <c r="P198" i="84" s="1"/>
  <c r="U198" i="83"/>
  <c r="V199" i="83" s="1"/>
  <c r="AT198" i="84"/>
  <c r="AS198" i="84"/>
  <c r="G198" i="84" s="1"/>
  <c r="I198" i="84" s="1"/>
  <c r="AP199" i="83"/>
  <c r="AQ199" i="83"/>
  <c r="J199" i="83"/>
  <c r="H199" i="83"/>
  <c r="AR199" i="83" l="1"/>
  <c r="AS199" i="83" s="1"/>
  <c r="G199" i="83" s="1"/>
  <c r="I199" i="83" s="1"/>
  <c r="K199" i="83"/>
  <c r="AT199" i="83" s="1"/>
  <c r="M199" i="83"/>
  <c r="N199" i="83" s="1"/>
  <c r="S198" i="85"/>
  <c r="G198" i="85" s="1"/>
  <c r="O198" i="84"/>
  <c r="Q198" i="84"/>
  <c r="F199" i="84" s="1"/>
  <c r="T198" i="84"/>
  <c r="U198" i="84" s="1"/>
  <c r="V199" i="84" s="1"/>
  <c r="J198" i="85"/>
  <c r="T198" i="85"/>
  <c r="AR200" i="83" l="1"/>
  <c r="AR201" i="83" s="1"/>
  <c r="E199" i="28"/>
  <c r="K198" i="85"/>
  <c r="F199" i="28" s="1"/>
  <c r="D199" i="28"/>
  <c r="N198" i="85"/>
  <c r="O199" i="83"/>
  <c r="T199" i="83"/>
  <c r="Q199" i="83"/>
  <c r="F200" i="83" s="1"/>
  <c r="J199" i="84"/>
  <c r="H199" i="84"/>
  <c r="AP199" i="84"/>
  <c r="AQ199" i="84"/>
  <c r="AR199" i="84" l="1"/>
  <c r="L198" i="85"/>
  <c r="G199" i="28" s="1"/>
  <c r="AR202" i="83"/>
  <c r="K199" i="84"/>
  <c r="AT199" i="84" s="1"/>
  <c r="M199" i="84"/>
  <c r="N199" i="84" s="1"/>
  <c r="J200" i="83"/>
  <c r="H200" i="83"/>
  <c r="AQ200" i="83"/>
  <c r="AP200" i="83"/>
  <c r="AA199" i="85"/>
  <c r="AD199" i="85" s="1"/>
  <c r="P199" i="84" s="1"/>
  <c r="AR200" i="84" s="1"/>
  <c r="U199" i="83"/>
  <c r="P199" i="85"/>
  <c r="F199" i="85" s="1"/>
  <c r="I199" i="28"/>
  <c r="AS199" i="84" l="1"/>
  <c r="G199" i="84" s="1"/>
  <c r="I199" i="84" s="1"/>
  <c r="T199" i="84" s="1"/>
  <c r="U199" i="84" s="1"/>
  <c r="C200" i="28"/>
  <c r="H199" i="85"/>
  <c r="AR203" i="83"/>
  <c r="K200" i="83"/>
  <c r="M200" i="83"/>
  <c r="N200" i="83" s="1"/>
  <c r="Q199" i="84" l="1"/>
  <c r="F200" i="84" s="1"/>
  <c r="AQ200" i="84" s="1"/>
  <c r="O199" i="84"/>
  <c r="S199" i="85"/>
  <c r="G199" i="85" s="1"/>
  <c r="D200" i="28" s="1"/>
  <c r="AT200" i="83"/>
  <c r="AS200" i="83"/>
  <c r="G200" i="83" s="1"/>
  <c r="I200" i="83" s="1"/>
  <c r="J199" i="85"/>
  <c r="T199" i="85"/>
  <c r="AR204" i="83"/>
  <c r="J200" i="84"/>
  <c r="N199" i="85" l="1"/>
  <c r="AP200" i="84"/>
  <c r="H200" i="84"/>
  <c r="AR205" i="83"/>
  <c r="P200" i="85"/>
  <c r="F200" i="85" s="1"/>
  <c r="I200" i="28"/>
  <c r="K200" i="84"/>
  <c r="M200" i="84"/>
  <c r="N200" i="84" s="1"/>
  <c r="O200" i="83"/>
  <c r="T200" i="83"/>
  <c r="Q200" i="83"/>
  <c r="F201" i="83" s="1"/>
  <c r="E200" i="28"/>
  <c r="K199" i="85"/>
  <c r="F200" i="28" s="1"/>
  <c r="C201" i="28" l="1"/>
  <c r="H200" i="85"/>
  <c r="J201" i="83"/>
  <c r="H201" i="83"/>
  <c r="AQ201" i="83"/>
  <c r="AP201" i="83"/>
  <c r="AR206" i="83"/>
  <c r="AT200" i="84"/>
  <c r="AS200" i="84"/>
  <c r="G200" i="84" s="1"/>
  <c r="I200" i="84" s="1"/>
  <c r="AA200" i="85"/>
  <c r="AD200" i="85" s="1"/>
  <c r="P200" i="84" s="1"/>
  <c r="AR201" i="84" s="1"/>
  <c r="U200" i="83"/>
  <c r="L199" i="85"/>
  <c r="G200" i="28" s="1"/>
  <c r="T200" i="85" l="1"/>
  <c r="J200" i="85"/>
  <c r="AR207" i="83"/>
  <c r="S200" i="85"/>
  <c r="G200" i="85" s="1"/>
  <c r="O200" i="84"/>
  <c r="Q200" i="84"/>
  <c r="F201" i="84" s="1"/>
  <c r="T200" i="84"/>
  <c r="U200" i="84" s="1"/>
  <c r="K201" i="83"/>
  <c r="M201" i="83"/>
  <c r="N201" i="83" s="1"/>
  <c r="J201" i="84" l="1"/>
  <c r="H201" i="84"/>
  <c r="AQ201" i="84"/>
  <c r="AP201" i="84"/>
  <c r="AT201" i="83"/>
  <c r="AS201" i="83"/>
  <c r="G201" i="83" s="1"/>
  <c r="I201" i="83" s="1"/>
  <c r="D201" i="28"/>
  <c r="N200" i="85"/>
  <c r="K200" i="85"/>
  <c r="F201" i="28" s="1"/>
  <c r="E201" i="28"/>
  <c r="AR208" i="83"/>
  <c r="O201" i="83" l="1"/>
  <c r="T201" i="83"/>
  <c r="Q201" i="83"/>
  <c r="F202" i="83" s="1"/>
  <c r="P201" i="85"/>
  <c r="F201" i="85" s="1"/>
  <c r="I201" i="28"/>
  <c r="L200" i="85"/>
  <c r="G201" i="28" s="1"/>
  <c r="AR209" i="83"/>
  <c r="K201" i="84"/>
  <c r="M201" i="84"/>
  <c r="N201" i="84" s="1"/>
  <c r="C202" i="28" l="1"/>
  <c r="H201" i="85"/>
  <c r="J202" i="83"/>
  <c r="H202" i="83"/>
  <c r="AQ202" i="83"/>
  <c r="AP202" i="83"/>
  <c r="AT201" i="84"/>
  <c r="AS201" i="84"/>
  <c r="G201" i="84" s="1"/>
  <c r="I201" i="84" s="1"/>
  <c r="AA201" i="85"/>
  <c r="AD201" i="85" s="1"/>
  <c r="P201" i="84" s="1"/>
  <c r="AR202" i="84" s="1"/>
  <c r="U201" i="83"/>
  <c r="AR210" i="83"/>
  <c r="S201" i="85" l="1"/>
  <c r="G201" i="85" s="1"/>
  <c r="O201" i="84"/>
  <c r="T201" i="84"/>
  <c r="U201" i="84" s="1"/>
  <c r="Q201" i="84"/>
  <c r="F202" i="84" s="1"/>
  <c r="T201" i="85"/>
  <c r="J201" i="85"/>
  <c r="K202" i="83"/>
  <c r="M202" i="83"/>
  <c r="N202" i="83" s="1"/>
  <c r="E202" i="28" l="1"/>
  <c r="K201" i="85"/>
  <c r="F202" i="28" s="1"/>
  <c r="D202" i="28"/>
  <c r="N201" i="85"/>
  <c r="AT202" i="83"/>
  <c r="AS202" i="83"/>
  <c r="G202" i="83" s="1"/>
  <c r="I202" i="83" s="1"/>
  <c r="J202" i="84"/>
  <c r="H202" i="84"/>
  <c r="AQ202" i="84"/>
  <c r="AP202" i="84"/>
  <c r="L201" i="85" l="1"/>
  <c r="G202" i="28" s="1"/>
  <c r="K202" i="84"/>
  <c r="M202" i="84"/>
  <c r="N202" i="84" s="1"/>
  <c r="P202" i="85"/>
  <c r="F202" i="85" s="1"/>
  <c r="I202" i="28"/>
  <c r="O202" i="83"/>
  <c r="Q202" i="83"/>
  <c r="F203" i="83" s="1"/>
  <c r="T202" i="83"/>
  <c r="AA202" i="85" l="1"/>
  <c r="AD202" i="85" s="1"/>
  <c r="P202" i="84" s="1"/>
  <c r="AR203" i="84" s="1"/>
  <c r="U202" i="83"/>
  <c r="J203" i="83"/>
  <c r="H203" i="83"/>
  <c r="AQ203" i="83"/>
  <c r="AP203" i="83"/>
  <c r="C203" i="28"/>
  <c r="H202" i="85"/>
  <c r="AT202" i="84"/>
  <c r="AS202" i="84"/>
  <c r="G202" i="84" s="1"/>
  <c r="I202" i="84" s="1"/>
  <c r="S202" i="85" l="1"/>
  <c r="G202" i="85" s="1"/>
  <c r="O202" i="84"/>
  <c r="Q202" i="84"/>
  <c r="F203" i="84" s="1"/>
  <c r="T202" i="84"/>
  <c r="U202" i="84" s="1"/>
  <c r="J202" i="85"/>
  <c r="T202" i="85"/>
  <c r="K203" i="83"/>
  <c r="M203" i="83"/>
  <c r="N203" i="83" s="1"/>
  <c r="AT203" i="83" l="1"/>
  <c r="AS203" i="83"/>
  <c r="G203" i="83" s="1"/>
  <c r="I203" i="83" s="1"/>
  <c r="J203" i="84"/>
  <c r="H203" i="84"/>
  <c r="AP203" i="84"/>
  <c r="AQ203" i="84"/>
  <c r="K202" i="85"/>
  <c r="F203" i="28" s="1"/>
  <c r="E203" i="28"/>
  <c r="D203" i="28"/>
  <c r="N202" i="85"/>
  <c r="L202" i="85" l="1"/>
  <c r="G203" i="28" s="1"/>
  <c r="K203" i="84"/>
  <c r="M203" i="84"/>
  <c r="N203" i="84" s="1"/>
  <c r="O203" i="83"/>
  <c r="T203" i="83"/>
  <c r="Q203" i="83"/>
  <c r="F204" i="83" s="1"/>
  <c r="P203" i="85"/>
  <c r="F203" i="85" s="1"/>
  <c r="I203" i="28"/>
  <c r="C204" i="28" l="1"/>
  <c r="H203" i="85"/>
  <c r="AA203" i="85"/>
  <c r="AD203" i="85" s="1"/>
  <c r="P203" i="84" s="1"/>
  <c r="AR204" i="84" s="1"/>
  <c r="U203" i="83"/>
  <c r="J204" i="83"/>
  <c r="H204" i="83"/>
  <c r="AP204" i="83"/>
  <c r="AQ204" i="83"/>
  <c r="AT203" i="84"/>
  <c r="AS203" i="84"/>
  <c r="G203" i="84" s="1"/>
  <c r="I203" i="84" s="1"/>
  <c r="J203" i="85" l="1"/>
  <c r="T203" i="85"/>
  <c r="K204" i="83"/>
  <c r="M204" i="83"/>
  <c r="N204" i="83" s="1"/>
  <c r="S203" i="85"/>
  <c r="G203" i="85" s="1"/>
  <c r="O203" i="84"/>
  <c r="Q203" i="84"/>
  <c r="F204" i="84" s="1"/>
  <c r="T203" i="84"/>
  <c r="U203" i="84" s="1"/>
  <c r="H204" i="84" l="1"/>
  <c r="J204" i="84"/>
  <c r="AQ204" i="84"/>
  <c r="AP204" i="84"/>
  <c r="AT204" i="83"/>
  <c r="AS204" i="83"/>
  <c r="G204" i="83" s="1"/>
  <c r="I204" i="83" s="1"/>
  <c r="D204" i="28"/>
  <c r="N203" i="85"/>
  <c r="K203" i="85"/>
  <c r="F204" i="28" s="1"/>
  <c r="E204" i="28"/>
  <c r="O204" i="83" l="1"/>
  <c r="Q204" i="83"/>
  <c r="F205" i="83" s="1"/>
  <c r="T204" i="83"/>
  <c r="P204" i="85"/>
  <c r="F204" i="85" s="1"/>
  <c r="I204" i="28"/>
  <c r="K204" i="84"/>
  <c r="M204" i="84"/>
  <c r="N204" i="84" s="1"/>
  <c r="L203" i="85"/>
  <c r="G204" i="28" s="1"/>
  <c r="C205" i="28" l="1"/>
  <c r="H204" i="85"/>
  <c r="AT204" i="84"/>
  <c r="AS204" i="84"/>
  <c r="G204" i="84" s="1"/>
  <c r="I204" i="84" s="1"/>
  <c r="AA204" i="85"/>
  <c r="AD204" i="85" s="1"/>
  <c r="P204" i="84" s="1"/>
  <c r="AR205" i="84" s="1"/>
  <c r="U204" i="83"/>
  <c r="J205" i="83"/>
  <c r="H205" i="83"/>
  <c r="AQ205" i="83"/>
  <c r="AP205" i="83"/>
  <c r="K205" i="83" l="1"/>
  <c r="M205" i="83"/>
  <c r="N205" i="83" s="1"/>
  <c r="J204" i="85"/>
  <c r="T204" i="85"/>
  <c r="S204" i="85"/>
  <c r="G204" i="85" s="1"/>
  <c r="O204" i="84"/>
  <c r="Q204" i="84"/>
  <c r="F205" i="84" s="1"/>
  <c r="T204" i="84"/>
  <c r="U204" i="84" s="1"/>
  <c r="J205" i="84" l="1"/>
  <c r="H205" i="84"/>
  <c r="AP205" i="84"/>
  <c r="AQ205" i="84"/>
  <c r="K204" i="85"/>
  <c r="F205" i="28" s="1"/>
  <c r="E205" i="28"/>
  <c r="D205" i="28"/>
  <c r="N204" i="85"/>
  <c r="AT205" i="83"/>
  <c r="AS205" i="83"/>
  <c r="G205" i="83" s="1"/>
  <c r="I205" i="83" s="1"/>
  <c r="L204" i="85" l="1"/>
  <c r="G205" i="28" s="1"/>
  <c r="P205" i="85"/>
  <c r="F205" i="85" s="1"/>
  <c r="I205" i="28"/>
  <c r="O205" i="83"/>
  <c r="Q205" i="83"/>
  <c r="F206" i="83" s="1"/>
  <c r="T205" i="83"/>
  <c r="K205" i="84"/>
  <c r="M205" i="84"/>
  <c r="N205" i="84" s="1"/>
  <c r="AT205" i="84" l="1"/>
  <c r="AS205" i="84"/>
  <c r="G205" i="84" s="1"/>
  <c r="I205" i="84" s="1"/>
  <c r="AA205" i="85"/>
  <c r="AD205" i="85" s="1"/>
  <c r="P205" i="84" s="1"/>
  <c r="AR206" i="84" s="1"/>
  <c r="U205" i="83"/>
  <c r="C206" i="28"/>
  <c r="H205" i="85"/>
  <c r="H206" i="83"/>
  <c r="J206" i="83"/>
  <c r="AP206" i="83"/>
  <c r="AQ206" i="83"/>
  <c r="J205" i="85" l="1"/>
  <c r="T205" i="85"/>
  <c r="S205" i="85"/>
  <c r="G205" i="85" s="1"/>
  <c r="O205" i="84"/>
  <c r="T205" i="84"/>
  <c r="U205" i="84" s="1"/>
  <c r="Q205" i="84"/>
  <c r="F206" i="84" s="1"/>
  <c r="K206" i="83"/>
  <c r="M206" i="83"/>
  <c r="N206" i="83" s="1"/>
  <c r="J206" i="84" l="1"/>
  <c r="H206" i="84"/>
  <c r="AP206" i="84"/>
  <c r="AQ206" i="84"/>
  <c r="AT206" i="83"/>
  <c r="AS206" i="83"/>
  <c r="G206" i="83" s="1"/>
  <c r="I206" i="83" s="1"/>
  <c r="K205" i="85"/>
  <c r="F206" i="28" s="1"/>
  <c r="E206" i="28"/>
  <c r="D206" i="28"/>
  <c r="N205" i="85"/>
  <c r="L205" i="85" l="1"/>
  <c r="G206" i="28" s="1"/>
  <c r="O206" i="83"/>
  <c r="T206" i="83"/>
  <c r="Q206" i="83"/>
  <c r="F207" i="83" s="1"/>
  <c r="P206" i="85"/>
  <c r="F206" i="85" s="1"/>
  <c r="I206" i="28"/>
  <c r="K206" i="84"/>
  <c r="M206" i="84"/>
  <c r="N206" i="84" s="1"/>
  <c r="H206" i="85" l="1"/>
  <c r="C207" i="28"/>
  <c r="AT206" i="84"/>
  <c r="AS206" i="84"/>
  <c r="G206" i="84" s="1"/>
  <c r="I206" i="84" s="1"/>
  <c r="H207" i="83"/>
  <c r="J207" i="83"/>
  <c r="AP207" i="83"/>
  <c r="AQ207" i="83"/>
  <c r="AA206" i="85"/>
  <c r="AD206" i="85" s="1"/>
  <c r="P206" i="84" s="1"/>
  <c r="AR207" i="84" s="1"/>
  <c r="U206" i="83"/>
  <c r="K207" i="83" l="1"/>
  <c r="M207" i="83"/>
  <c r="N207" i="83" s="1"/>
  <c r="T206" i="85"/>
  <c r="J206" i="85"/>
  <c r="S206" i="85"/>
  <c r="G206" i="85" s="1"/>
  <c r="O206" i="84"/>
  <c r="T206" i="84"/>
  <c r="U206" i="84" s="1"/>
  <c r="Q206" i="84"/>
  <c r="F207" i="84" s="1"/>
  <c r="D207" i="28" l="1"/>
  <c r="N206" i="85"/>
  <c r="AT207" i="83"/>
  <c r="AS207" i="83"/>
  <c r="G207" i="83" s="1"/>
  <c r="I207" i="83" s="1"/>
  <c r="H207" i="84"/>
  <c r="J207" i="84"/>
  <c r="AP207" i="84"/>
  <c r="AQ207" i="84"/>
  <c r="E207" i="28"/>
  <c r="K206" i="85"/>
  <c r="F207" i="28" s="1"/>
  <c r="K207" i="84" l="1"/>
  <c r="M207" i="84"/>
  <c r="N207" i="84" s="1"/>
  <c r="P207" i="85"/>
  <c r="F207" i="85" s="1"/>
  <c r="I207" i="28"/>
  <c r="L206" i="85"/>
  <c r="G207" i="28" s="1"/>
  <c r="O207" i="83"/>
  <c r="T207" i="83"/>
  <c r="Q207" i="83"/>
  <c r="F208" i="83" s="1"/>
  <c r="AA207" i="85" l="1"/>
  <c r="AD207" i="85" s="1"/>
  <c r="P207" i="84" s="1"/>
  <c r="AR208" i="84" s="1"/>
  <c r="U207" i="83"/>
  <c r="C208" i="28"/>
  <c r="H207" i="85"/>
  <c r="H208" i="83"/>
  <c r="J208" i="83"/>
  <c r="AQ208" i="83"/>
  <c r="AP208" i="83"/>
  <c r="AT207" i="84"/>
  <c r="AS207" i="84"/>
  <c r="G207" i="84" s="1"/>
  <c r="I207" i="84" s="1"/>
  <c r="K208" i="83" l="1"/>
  <c r="M208" i="83"/>
  <c r="N208" i="83" s="1"/>
  <c r="S207" i="85"/>
  <c r="G207" i="85" s="1"/>
  <c r="O207" i="84"/>
  <c r="Q207" i="84"/>
  <c r="F208" i="84" s="1"/>
  <c r="T207" i="84"/>
  <c r="U207" i="84" s="1"/>
  <c r="T207" i="85"/>
  <c r="J207" i="85"/>
  <c r="K207" i="85" l="1"/>
  <c r="F208" i="28" s="1"/>
  <c r="E208" i="28"/>
  <c r="D208" i="28"/>
  <c r="N207" i="85"/>
  <c r="J208" i="84"/>
  <c r="H208" i="84"/>
  <c r="AP208" i="84"/>
  <c r="AQ208" i="84"/>
  <c r="AT208" i="83"/>
  <c r="AS208" i="83"/>
  <c r="G208" i="83" s="1"/>
  <c r="I208" i="83" s="1"/>
  <c r="L207" i="85" l="1"/>
  <c r="G208" i="28" s="1"/>
  <c r="K208" i="84"/>
  <c r="M208" i="84"/>
  <c r="N208" i="84" s="1"/>
  <c r="O208" i="83"/>
  <c r="Q208" i="83"/>
  <c r="F209" i="83" s="1"/>
  <c r="T208" i="83"/>
  <c r="P208" i="85"/>
  <c r="F208" i="85" s="1"/>
  <c r="I208" i="28"/>
  <c r="C209" i="28" l="1"/>
  <c r="H208" i="85"/>
  <c r="J209" i="83"/>
  <c r="H209" i="83"/>
  <c r="AQ209" i="83"/>
  <c r="AP209" i="83"/>
  <c r="AA208" i="85"/>
  <c r="AD208" i="85" s="1"/>
  <c r="P208" i="84" s="1"/>
  <c r="AR209" i="84" s="1"/>
  <c r="U208" i="83"/>
  <c r="AT208" i="84"/>
  <c r="AS208" i="84"/>
  <c r="G208" i="84" s="1"/>
  <c r="I208" i="84" s="1"/>
  <c r="K209" i="83" l="1"/>
  <c r="M209" i="83"/>
  <c r="N209" i="83" s="1"/>
  <c r="T208" i="85"/>
  <c r="J208" i="85"/>
  <c r="S208" i="85"/>
  <c r="G208" i="85" s="1"/>
  <c r="O208" i="84"/>
  <c r="T208" i="84"/>
  <c r="U208" i="84" s="1"/>
  <c r="Q208" i="84"/>
  <c r="F209" i="84" s="1"/>
  <c r="K208" i="85" l="1"/>
  <c r="F209" i="28" s="1"/>
  <c r="E209" i="28"/>
  <c r="D209" i="28"/>
  <c r="N208" i="85"/>
  <c r="H209" i="84"/>
  <c r="J209" i="84"/>
  <c r="AQ209" i="84"/>
  <c r="AP209" i="84"/>
  <c r="AT209" i="83"/>
  <c r="AS209" i="83"/>
  <c r="G209" i="83" s="1"/>
  <c r="I209" i="83" s="1"/>
  <c r="L208" i="85" l="1"/>
  <c r="G209" i="28" s="1"/>
  <c r="K209" i="84"/>
  <c r="M209" i="84"/>
  <c r="N209" i="84" s="1"/>
  <c r="O209" i="83"/>
  <c r="Q209" i="83"/>
  <c r="F210" i="83" s="1"/>
  <c r="T209" i="83"/>
  <c r="P209" i="85"/>
  <c r="F209" i="85" s="1"/>
  <c r="I209" i="28"/>
  <c r="C210" i="28" l="1"/>
  <c r="H209" i="85"/>
  <c r="H210" i="83"/>
  <c r="J210" i="83"/>
  <c r="AP210" i="83"/>
  <c r="AQ210" i="83"/>
  <c r="AA209" i="85"/>
  <c r="AD209" i="85" s="1"/>
  <c r="P209" i="84" s="1"/>
  <c r="AR210" i="84" s="1"/>
  <c r="U209" i="83"/>
  <c r="AT209" i="84"/>
  <c r="AS209" i="84"/>
  <c r="G209" i="84" s="1"/>
  <c r="I209" i="84" s="1"/>
  <c r="K210" i="83" l="1"/>
  <c r="M210" i="83"/>
  <c r="N210" i="83" s="1"/>
  <c r="J209" i="85"/>
  <c r="T209" i="85"/>
  <c r="S209" i="85"/>
  <c r="G209" i="85" s="1"/>
  <c r="O209" i="84"/>
  <c r="T209" i="84"/>
  <c r="U209" i="84" s="1"/>
  <c r="Q209" i="84"/>
  <c r="F210" i="84" s="1"/>
  <c r="E210" i="28" l="1"/>
  <c r="K209" i="85"/>
  <c r="F210" i="28" s="1"/>
  <c r="D210" i="28"/>
  <c r="L209" i="85"/>
  <c r="G210" i="28" s="1"/>
  <c r="N209" i="85"/>
  <c r="J210" i="84"/>
  <c r="H210" i="84"/>
  <c r="AP210" i="84"/>
  <c r="AQ210" i="84"/>
  <c r="AT210" i="83"/>
  <c r="AS210" i="83"/>
  <c r="G210" i="83" s="1"/>
  <c r="I210" i="83" s="1"/>
  <c r="K210" i="84" l="1"/>
  <c r="M210" i="84"/>
  <c r="N210" i="84" s="1"/>
  <c r="O210" i="83"/>
  <c r="T210" i="83"/>
  <c r="Q210" i="83"/>
  <c r="F211" i="83" s="1"/>
  <c r="P210" i="85"/>
  <c r="F210" i="85" s="1"/>
  <c r="I210" i="28"/>
  <c r="C211" i="28" l="1"/>
  <c r="H210" i="85"/>
  <c r="AA210" i="85"/>
  <c r="AD210" i="85" s="1"/>
  <c r="P210" i="84" s="1"/>
  <c r="U210" i="83"/>
  <c r="V211" i="83" s="1"/>
  <c r="AQ211" i="83"/>
  <c r="J211" i="83"/>
  <c r="AP211" i="83"/>
  <c r="H211" i="83"/>
  <c r="AT210" i="84"/>
  <c r="AS210" i="84"/>
  <c r="G210" i="84" s="1"/>
  <c r="I210" i="84" s="1"/>
  <c r="AR211" i="83" l="1"/>
  <c r="S210" i="85"/>
  <c r="G210" i="85" s="1"/>
  <c r="O210" i="84"/>
  <c r="T210" i="84"/>
  <c r="U210" i="84" s="1"/>
  <c r="V211" i="84" s="1"/>
  <c r="Q210" i="84"/>
  <c r="F211" i="84" s="1"/>
  <c r="K211" i="83"/>
  <c r="AT211" i="83" s="1"/>
  <c r="M211" i="83"/>
  <c r="N211" i="83" s="1"/>
  <c r="J210" i="85"/>
  <c r="T210" i="85"/>
  <c r="AR212" i="83"/>
  <c r="AS211" i="83" l="1"/>
  <c r="G211" i="83" s="1"/>
  <c r="I211" i="83" s="1"/>
  <c r="T211" i="83" s="1"/>
  <c r="E211" i="28"/>
  <c r="K210" i="85"/>
  <c r="F211" i="28" s="1"/>
  <c r="AP211" i="84"/>
  <c r="J211" i="84"/>
  <c r="AQ211" i="84"/>
  <c r="H211" i="84"/>
  <c r="AR213" i="83"/>
  <c r="O211" i="83"/>
  <c r="D211" i="28"/>
  <c r="L210" i="85"/>
  <c r="G211" i="28" s="1"/>
  <c r="N210" i="85"/>
  <c r="Q211" i="83" l="1"/>
  <c r="F212" i="83" s="1"/>
  <c r="AQ212" i="83" s="1"/>
  <c r="AA211" i="85"/>
  <c r="AD211" i="85" s="1"/>
  <c r="P211" i="84" s="1"/>
  <c r="U211" i="83"/>
  <c r="AR211" i="84"/>
  <c r="AR214" i="83"/>
  <c r="P211" i="85"/>
  <c r="F211" i="85" s="1"/>
  <c r="I211" i="28"/>
  <c r="H212" i="83"/>
  <c r="J212" i="83"/>
  <c r="AP212" i="83"/>
  <c r="K211" i="84"/>
  <c r="AT211" i="84" s="1"/>
  <c r="M211" i="84"/>
  <c r="N211" i="84" s="1"/>
  <c r="H211" i="85" l="1"/>
  <c r="C212" i="28"/>
  <c r="K212" i="83"/>
  <c r="M212" i="83"/>
  <c r="N212" i="83" s="1"/>
  <c r="AS211" i="84"/>
  <c r="G211" i="84" s="1"/>
  <c r="I211" i="84" s="1"/>
  <c r="AR215" i="83"/>
  <c r="AR212" i="84"/>
  <c r="AR216" i="83" l="1"/>
  <c r="AT212" i="83"/>
  <c r="AS212" i="83"/>
  <c r="G212" i="83" s="1"/>
  <c r="I212" i="83" s="1"/>
  <c r="S211" i="85"/>
  <c r="G211" i="85" s="1"/>
  <c r="O211" i="84"/>
  <c r="T211" i="84"/>
  <c r="U211" i="84" s="1"/>
  <c r="Q211" i="84"/>
  <c r="F212" i="84" s="1"/>
  <c r="T211" i="85"/>
  <c r="J211" i="85"/>
  <c r="H212" i="84" l="1"/>
  <c r="J212" i="84"/>
  <c r="AQ212" i="84"/>
  <c r="AP212" i="84"/>
  <c r="O212" i="83"/>
  <c r="T212" i="83"/>
  <c r="Q212" i="83"/>
  <c r="F213" i="83" s="1"/>
  <c r="K211" i="85"/>
  <c r="F212" i="28" s="1"/>
  <c r="E212" i="28"/>
  <c r="D212" i="28"/>
  <c r="N211" i="85"/>
  <c r="AR217" i="83"/>
  <c r="L211" i="85" l="1"/>
  <c r="G212" i="28" s="1"/>
  <c r="AR218" i="83"/>
  <c r="AA212" i="85"/>
  <c r="AD212" i="85" s="1"/>
  <c r="P212" i="84" s="1"/>
  <c r="AR213" i="84" s="1"/>
  <c r="U212" i="83"/>
  <c r="I212" i="28"/>
  <c r="P212" i="85"/>
  <c r="F212" i="85" s="1"/>
  <c r="K212" i="84"/>
  <c r="M212" i="84"/>
  <c r="N212" i="84" s="1"/>
  <c r="J213" i="83"/>
  <c r="H213" i="83"/>
  <c r="AQ213" i="83"/>
  <c r="AP213" i="83"/>
  <c r="C213" i="28" l="1"/>
  <c r="H212" i="85"/>
  <c r="AT212" i="84"/>
  <c r="AS212" i="84"/>
  <c r="G212" i="84" s="1"/>
  <c r="I212" i="84" s="1"/>
  <c r="K213" i="83"/>
  <c r="M213" i="83"/>
  <c r="N213" i="83" s="1"/>
  <c r="AR219" i="83"/>
  <c r="AR220" i="83" l="1"/>
  <c r="AT213" i="83"/>
  <c r="AS213" i="83"/>
  <c r="G213" i="83" s="1"/>
  <c r="I213" i="83" s="1"/>
  <c r="J212" i="85"/>
  <c r="T212" i="85"/>
  <c r="S212" i="85"/>
  <c r="G212" i="85" s="1"/>
  <c r="O212" i="84"/>
  <c r="Q212" i="84"/>
  <c r="F213" i="84" s="1"/>
  <c r="T212" i="84"/>
  <c r="U212" i="84" s="1"/>
  <c r="O213" i="83" l="1"/>
  <c r="T213" i="83"/>
  <c r="Q213" i="83"/>
  <c r="F214" i="83" s="1"/>
  <c r="D213" i="28"/>
  <c r="N212" i="85"/>
  <c r="AR221" i="83"/>
  <c r="H213" i="84"/>
  <c r="J213" i="84"/>
  <c r="AQ213" i="84"/>
  <c r="AP213" i="84"/>
  <c r="E213" i="28"/>
  <c r="K212" i="85"/>
  <c r="F213" i="28" s="1"/>
  <c r="H214" i="83" l="1"/>
  <c r="J214" i="83"/>
  <c r="AQ214" i="83"/>
  <c r="AP214" i="83"/>
  <c r="AR222" i="83"/>
  <c r="K213" i="84"/>
  <c r="M213" i="84"/>
  <c r="N213" i="84" s="1"/>
  <c r="P213" i="85"/>
  <c r="F213" i="85" s="1"/>
  <c r="I213" i="28"/>
  <c r="AA213" i="85"/>
  <c r="AD213" i="85" s="1"/>
  <c r="P213" i="84" s="1"/>
  <c r="AR214" i="84" s="1"/>
  <c r="U213" i="83"/>
  <c r="L212" i="85"/>
  <c r="G213" i="28" s="1"/>
  <c r="H213" i="85" l="1"/>
  <c r="C214" i="28"/>
  <c r="K214" i="83"/>
  <c r="M214" i="83"/>
  <c r="N214" i="83" s="1"/>
  <c r="AT213" i="84"/>
  <c r="AS213" i="84"/>
  <c r="G213" i="84" s="1"/>
  <c r="I213" i="84" s="1"/>
  <c r="AT214" i="83" l="1"/>
  <c r="AS214" i="83"/>
  <c r="G214" i="83" s="1"/>
  <c r="I214" i="83" s="1"/>
  <c r="J213" i="85"/>
  <c r="T213" i="85"/>
  <c r="S213" i="85"/>
  <c r="G213" i="85" s="1"/>
  <c r="O213" i="84"/>
  <c r="Q213" i="84"/>
  <c r="F214" i="84" s="1"/>
  <c r="T213" i="84"/>
  <c r="U213" i="84" s="1"/>
  <c r="J214" i="84" l="1"/>
  <c r="H214" i="84"/>
  <c r="AQ214" i="84"/>
  <c r="AP214" i="84"/>
  <c r="E214" i="28"/>
  <c r="K213" i="85"/>
  <c r="F214" i="28" s="1"/>
  <c r="O214" i="83"/>
  <c r="T214" i="83"/>
  <c r="Q214" i="83"/>
  <c r="F215" i="83" s="1"/>
  <c r="D214" i="28"/>
  <c r="N213" i="85"/>
  <c r="L213" i="85" l="1"/>
  <c r="G214" i="28" s="1"/>
  <c r="J215" i="83"/>
  <c r="H215" i="83"/>
  <c r="AQ215" i="83"/>
  <c r="AP215" i="83"/>
  <c r="P214" i="85"/>
  <c r="F214" i="85" s="1"/>
  <c r="I214" i="28"/>
  <c r="AA214" i="85"/>
  <c r="AD214" i="85" s="1"/>
  <c r="P214" i="84" s="1"/>
  <c r="AR215" i="84" s="1"/>
  <c r="U214" i="83"/>
  <c r="M214" i="84"/>
  <c r="N214" i="84" s="1"/>
  <c r="K214" i="84"/>
  <c r="C215" i="28" l="1"/>
  <c r="H214" i="85"/>
  <c r="K215" i="83"/>
  <c r="M215" i="83"/>
  <c r="N215" i="83" s="1"/>
  <c r="AT214" i="84"/>
  <c r="AS214" i="84"/>
  <c r="G214" i="84" s="1"/>
  <c r="I214" i="84" s="1"/>
  <c r="T214" i="85" l="1"/>
  <c r="J214" i="85"/>
  <c r="S214" i="85"/>
  <c r="G214" i="85" s="1"/>
  <c r="O214" i="84"/>
  <c r="T214" i="84"/>
  <c r="U214" i="84" s="1"/>
  <c r="Q214" i="84"/>
  <c r="F215" i="84" s="1"/>
  <c r="AT215" i="83"/>
  <c r="AS215" i="83"/>
  <c r="G215" i="83" s="1"/>
  <c r="I215" i="83" s="1"/>
  <c r="D215" i="28" l="1"/>
  <c r="N214" i="85"/>
  <c r="O215" i="83"/>
  <c r="Q215" i="83"/>
  <c r="F216" i="83" s="1"/>
  <c r="T215" i="83"/>
  <c r="J215" i="84"/>
  <c r="H215" i="84"/>
  <c r="AP215" i="84"/>
  <c r="AQ215" i="84"/>
  <c r="K214" i="85"/>
  <c r="F215" i="28" s="1"/>
  <c r="E215" i="28"/>
  <c r="L214" i="85" l="1"/>
  <c r="G215" i="28" s="1"/>
  <c r="K215" i="84"/>
  <c r="M215" i="84"/>
  <c r="N215" i="84" s="1"/>
  <c r="P215" i="85"/>
  <c r="F215" i="85" s="1"/>
  <c r="I215" i="28"/>
  <c r="U215" i="83"/>
  <c r="AA215" i="85"/>
  <c r="AD215" i="85" s="1"/>
  <c r="P215" i="84" s="1"/>
  <c r="AR216" i="84" s="1"/>
  <c r="J216" i="83"/>
  <c r="H216" i="83"/>
  <c r="AP216" i="83"/>
  <c r="AQ216" i="83"/>
  <c r="H215" i="85" l="1"/>
  <c r="C216" i="28"/>
  <c r="M216" i="83"/>
  <c r="N216" i="83" s="1"/>
  <c r="K216" i="83"/>
  <c r="AT215" i="84"/>
  <c r="AS215" i="84"/>
  <c r="G215" i="84" s="1"/>
  <c r="I215" i="84" s="1"/>
  <c r="J215" i="85" l="1"/>
  <c r="T215" i="85"/>
  <c r="S215" i="85"/>
  <c r="G215" i="85" s="1"/>
  <c r="O215" i="84"/>
  <c r="Q215" i="84"/>
  <c r="F216" i="84" s="1"/>
  <c r="T215" i="84"/>
  <c r="U215" i="84" s="1"/>
  <c r="AT216" i="83"/>
  <c r="AS216" i="83"/>
  <c r="G216" i="83" s="1"/>
  <c r="I216" i="83" s="1"/>
  <c r="D216" i="28" l="1"/>
  <c r="N215" i="85"/>
  <c r="O216" i="83"/>
  <c r="T216" i="83"/>
  <c r="Q216" i="83"/>
  <c r="F217" i="83" s="1"/>
  <c r="J216" i="84"/>
  <c r="H216" i="84"/>
  <c r="AQ216" i="84"/>
  <c r="AP216" i="84"/>
  <c r="E216" i="28"/>
  <c r="K215" i="85"/>
  <c r="F216" i="28" s="1"/>
  <c r="P216" i="85" l="1"/>
  <c r="F216" i="85" s="1"/>
  <c r="I216" i="28"/>
  <c r="J217" i="83"/>
  <c r="H217" i="83"/>
  <c r="AP217" i="83"/>
  <c r="AQ217" i="83"/>
  <c r="L215" i="85"/>
  <c r="G216" i="28" s="1"/>
  <c r="K216" i="84"/>
  <c r="M216" i="84"/>
  <c r="N216" i="84" s="1"/>
  <c r="AA216" i="85"/>
  <c r="AD216" i="85" s="1"/>
  <c r="P216" i="84" s="1"/>
  <c r="AR217" i="84" s="1"/>
  <c r="U216" i="83"/>
  <c r="AT216" i="84" l="1"/>
  <c r="AS216" i="84"/>
  <c r="G216" i="84" s="1"/>
  <c r="I216" i="84" s="1"/>
  <c r="C217" i="28"/>
  <c r="H216" i="85"/>
  <c r="K217" i="83"/>
  <c r="M217" i="83"/>
  <c r="N217" i="83" s="1"/>
  <c r="AT217" i="83" l="1"/>
  <c r="AS217" i="83"/>
  <c r="G217" i="83" s="1"/>
  <c r="I217" i="83" s="1"/>
  <c r="S216" i="85"/>
  <c r="G216" i="85" s="1"/>
  <c r="O216" i="84"/>
  <c r="T216" i="84"/>
  <c r="U216" i="84" s="1"/>
  <c r="Q216" i="84"/>
  <c r="F217" i="84" s="1"/>
  <c r="J216" i="85"/>
  <c r="T216" i="85"/>
  <c r="K216" i="85" l="1"/>
  <c r="F217" i="28" s="1"/>
  <c r="E217" i="28"/>
  <c r="D217" i="28"/>
  <c r="N216" i="85"/>
  <c r="J217" i="84"/>
  <c r="H217" i="84"/>
  <c r="AP217" i="84"/>
  <c r="AQ217" i="84"/>
  <c r="O217" i="83"/>
  <c r="Q217" i="83"/>
  <c r="F218" i="83" s="1"/>
  <c r="T217" i="83"/>
  <c r="L216" i="85" l="1"/>
  <c r="G217" i="28" s="1"/>
  <c r="M217" i="84"/>
  <c r="N217" i="84" s="1"/>
  <c r="K217" i="84"/>
  <c r="AA217" i="85"/>
  <c r="AD217" i="85" s="1"/>
  <c r="P217" i="84" s="1"/>
  <c r="AR218" i="84" s="1"/>
  <c r="U217" i="83"/>
  <c r="J218" i="83"/>
  <c r="H218" i="83"/>
  <c r="AQ218" i="83"/>
  <c r="AP218" i="83"/>
  <c r="P217" i="85"/>
  <c r="F217" i="85" s="1"/>
  <c r="I217" i="28"/>
  <c r="H217" i="85" l="1"/>
  <c r="C218" i="28"/>
  <c r="AT217" i="84"/>
  <c r="AS217" i="84"/>
  <c r="G217" i="84" s="1"/>
  <c r="I217" i="84" s="1"/>
  <c r="K218" i="83"/>
  <c r="M218" i="83"/>
  <c r="N218" i="83" s="1"/>
  <c r="AT218" i="83" l="1"/>
  <c r="AS218" i="83"/>
  <c r="G218" i="83" s="1"/>
  <c r="I218" i="83" s="1"/>
  <c r="S217" i="85"/>
  <c r="G217" i="85" s="1"/>
  <c r="O217" i="84"/>
  <c r="T217" i="84"/>
  <c r="U217" i="84" s="1"/>
  <c r="Q217" i="84"/>
  <c r="F218" i="84" s="1"/>
  <c r="T217" i="85"/>
  <c r="J217" i="85"/>
  <c r="E218" i="28" l="1"/>
  <c r="K217" i="85"/>
  <c r="F218" i="28" s="1"/>
  <c r="D218" i="28"/>
  <c r="N217" i="85"/>
  <c r="AP218" i="84"/>
  <c r="J218" i="84"/>
  <c r="H218" i="84"/>
  <c r="AQ218" i="84"/>
  <c r="O218" i="83"/>
  <c r="Q218" i="83"/>
  <c r="F219" i="83" s="1"/>
  <c r="T218" i="83"/>
  <c r="L217" i="85" l="1"/>
  <c r="G218" i="28" s="1"/>
  <c r="AA218" i="85"/>
  <c r="AD218" i="85" s="1"/>
  <c r="P218" i="84" s="1"/>
  <c r="AR219" i="84" s="1"/>
  <c r="U218" i="83"/>
  <c r="K218" i="84"/>
  <c r="M218" i="84"/>
  <c r="N218" i="84" s="1"/>
  <c r="J219" i="83"/>
  <c r="H219" i="83"/>
  <c r="AQ219" i="83"/>
  <c r="AP219" i="83"/>
  <c r="P218" i="85"/>
  <c r="F218" i="85" s="1"/>
  <c r="I218" i="28"/>
  <c r="K219" i="83" l="1"/>
  <c r="M219" i="83"/>
  <c r="N219" i="83" s="1"/>
  <c r="C219" i="28"/>
  <c r="H218" i="85"/>
  <c r="AT218" i="84"/>
  <c r="AS218" i="84"/>
  <c r="G218" i="84" s="1"/>
  <c r="I218" i="84" s="1"/>
  <c r="S218" i="85" l="1"/>
  <c r="G218" i="85" s="1"/>
  <c r="O218" i="84"/>
  <c r="T218" i="84"/>
  <c r="U218" i="84" s="1"/>
  <c r="Q218" i="84"/>
  <c r="F219" i="84" s="1"/>
  <c r="J218" i="85"/>
  <c r="T218" i="85"/>
  <c r="AT219" i="83"/>
  <c r="AS219" i="83"/>
  <c r="G219" i="83" s="1"/>
  <c r="I219" i="83" s="1"/>
  <c r="O219" i="83" l="1"/>
  <c r="Q219" i="83"/>
  <c r="F220" i="83" s="1"/>
  <c r="T219" i="83"/>
  <c r="J219" i="84"/>
  <c r="H219" i="84"/>
  <c r="AQ219" i="84"/>
  <c r="AP219" i="84"/>
  <c r="K218" i="85"/>
  <c r="F219" i="28" s="1"/>
  <c r="E219" i="28"/>
  <c r="D219" i="28"/>
  <c r="N218" i="85"/>
  <c r="K219" i="84" l="1"/>
  <c r="M219" i="84"/>
  <c r="N219" i="84" s="1"/>
  <c r="AA219" i="85"/>
  <c r="AD219" i="85" s="1"/>
  <c r="P219" i="84" s="1"/>
  <c r="AR220" i="84" s="1"/>
  <c r="U219" i="83"/>
  <c r="P219" i="85"/>
  <c r="F219" i="85" s="1"/>
  <c r="I219" i="28"/>
  <c r="J220" i="83"/>
  <c r="H220" i="83"/>
  <c r="AP220" i="83"/>
  <c r="AQ220" i="83"/>
  <c r="L218" i="85"/>
  <c r="G219" i="28" s="1"/>
  <c r="H219" i="85" l="1"/>
  <c r="C220" i="28"/>
  <c r="K220" i="83"/>
  <c r="M220" i="83"/>
  <c r="N220" i="83" s="1"/>
  <c r="AT219" i="84"/>
  <c r="AS219" i="84"/>
  <c r="G219" i="84" s="1"/>
  <c r="I219" i="84" s="1"/>
  <c r="S219" i="85" l="1"/>
  <c r="G219" i="85" s="1"/>
  <c r="O219" i="84"/>
  <c r="Q219" i="84"/>
  <c r="F220" i="84" s="1"/>
  <c r="T219" i="84"/>
  <c r="U219" i="84" s="1"/>
  <c r="J219" i="85"/>
  <c r="T219" i="85"/>
  <c r="AT220" i="83"/>
  <c r="AS220" i="83"/>
  <c r="G220" i="83" s="1"/>
  <c r="I220" i="83" s="1"/>
  <c r="J220" i="84" l="1"/>
  <c r="H220" i="84"/>
  <c r="AP220" i="84"/>
  <c r="AQ220" i="84"/>
  <c r="O220" i="83"/>
  <c r="Q220" i="83"/>
  <c r="F221" i="83" s="1"/>
  <c r="T220" i="83"/>
  <c r="E220" i="28"/>
  <c r="K219" i="85"/>
  <c r="F220" i="28" s="1"/>
  <c r="D220" i="28"/>
  <c r="N219" i="85"/>
  <c r="L219" i="85" l="1"/>
  <c r="G220" i="28" s="1"/>
  <c r="P220" i="85"/>
  <c r="I220" i="28"/>
  <c r="F220" i="85"/>
  <c r="K220" i="84"/>
  <c r="M220" i="84"/>
  <c r="N220" i="84" s="1"/>
  <c r="AQ221" i="83"/>
  <c r="J221" i="83"/>
  <c r="H221" i="83"/>
  <c r="AP221" i="83"/>
  <c r="AA220" i="85"/>
  <c r="AD220" i="85" s="1"/>
  <c r="P220" i="84" s="1"/>
  <c r="AR221" i="84" s="1"/>
  <c r="U220" i="83"/>
  <c r="C221" i="28" l="1"/>
  <c r="H220" i="85"/>
  <c r="AT220" i="84"/>
  <c r="AS220" i="84"/>
  <c r="G220" i="84" s="1"/>
  <c r="I220" i="84" s="1"/>
  <c r="K221" i="83"/>
  <c r="M221" i="83"/>
  <c r="N221" i="83" s="1"/>
  <c r="J220" i="85" l="1"/>
  <c r="T220" i="85"/>
  <c r="AT221" i="83"/>
  <c r="AS221" i="83"/>
  <c r="G221" i="83" s="1"/>
  <c r="I221" i="83" s="1"/>
  <c r="S220" i="85"/>
  <c r="G220" i="85" s="1"/>
  <c r="O220" i="84"/>
  <c r="Q220" i="84"/>
  <c r="F221" i="84" s="1"/>
  <c r="T220" i="84"/>
  <c r="U220" i="84" s="1"/>
  <c r="O221" i="83" l="1"/>
  <c r="T221" i="83"/>
  <c r="Q221" i="83"/>
  <c r="F222" i="83" s="1"/>
  <c r="J221" i="84"/>
  <c r="H221" i="84"/>
  <c r="AP221" i="84"/>
  <c r="AQ221" i="84"/>
  <c r="D221" i="28"/>
  <c r="N220" i="85"/>
  <c r="E221" i="28"/>
  <c r="K220" i="85"/>
  <c r="F221" i="28" s="1"/>
  <c r="L220" i="85" l="1"/>
  <c r="G221" i="28" s="1"/>
  <c r="J222" i="83"/>
  <c r="H222" i="83"/>
  <c r="AP222" i="83"/>
  <c r="AQ222" i="83"/>
  <c r="AA221" i="85"/>
  <c r="AD221" i="85" s="1"/>
  <c r="P221" i="84" s="1"/>
  <c r="AR222" i="84" s="1"/>
  <c r="U221" i="83"/>
  <c r="I221" i="28"/>
  <c r="P221" i="85"/>
  <c r="F221" i="85" s="1"/>
  <c r="M221" i="84"/>
  <c r="N221" i="84" s="1"/>
  <c r="K221" i="84"/>
  <c r="C222" i="28" l="1"/>
  <c r="H221" i="85"/>
  <c r="AT221" i="84"/>
  <c r="AS221" i="84"/>
  <c r="G221" i="84" s="1"/>
  <c r="I221" i="84" s="1"/>
  <c r="K222" i="83"/>
  <c r="M222" i="83"/>
  <c r="N222" i="83" s="1"/>
  <c r="AT222" i="83" l="1"/>
  <c r="AS222" i="83"/>
  <c r="G222" i="83" s="1"/>
  <c r="I222" i="83" s="1"/>
  <c r="S221" i="85"/>
  <c r="G221" i="85" s="1"/>
  <c r="O221" i="84"/>
  <c r="T221" i="84"/>
  <c r="U221" i="84" s="1"/>
  <c r="Q221" i="84"/>
  <c r="F222" i="84" s="1"/>
  <c r="T221" i="85"/>
  <c r="J221" i="85"/>
  <c r="E222" i="28" l="1"/>
  <c r="K221" i="85"/>
  <c r="F222" i="28" s="1"/>
  <c r="D222" i="28"/>
  <c r="N221" i="85"/>
  <c r="H222" i="84"/>
  <c r="AQ222" i="84"/>
  <c r="AP222" i="84"/>
  <c r="J222" i="84"/>
  <c r="O222" i="83"/>
  <c r="Q222" i="83"/>
  <c r="F223" i="83" s="1"/>
  <c r="T222" i="83"/>
  <c r="L221" i="85" l="1"/>
  <c r="G222" i="28" s="1"/>
  <c r="AA222" i="85"/>
  <c r="AD222" i="85" s="1"/>
  <c r="P222" i="84" s="1"/>
  <c r="U222" i="83"/>
  <c r="V223" i="83" s="1"/>
  <c r="K222" i="84"/>
  <c r="M222" i="84"/>
  <c r="N222" i="84" s="1"/>
  <c r="J223" i="83"/>
  <c r="H223" i="83"/>
  <c r="AP223" i="83"/>
  <c r="AQ223" i="83"/>
  <c r="P222" i="85"/>
  <c r="F222" i="85" s="1"/>
  <c r="I222" i="28"/>
  <c r="H222" i="85" l="1"/>
  <c r="C223" i="28"/>
  <c r="AT222" i="84"/>
  <c r="AS222" i="84"/>
  <c r="G222" i="84" s="1"/>
  <c r="I222" i="84" s="1"/>
  <c r="K223" i="83"/>
  <c r="AT223" i="83" s="1"/>
  <c r="M223" i="83"/>
  <c r="N223" i="83" s="1"/>
  <c r="AR223" i="83"/>
  <c r="J222" i="85" l="1"/>
  <c r="T222" i="85"/>
  <c r="AR224" i="83"/>
  <c r="AS223" i="83"/>
  <c r="G223" i="83" s="1"/>
  <c r="I223" i="83" s="1"/>
  <c r="S222" i="85"/>
  <c r="G222" i="85" s="1"/>
  <c r="O222" i="84"/>
  <c r="Q222" i="84"/>
  <c r="F223" i="84" s="1"/>
  <c r="T222" i="84"/>
  <c r="U222" i="84" s="1"/>
  <c r="V223" i="84" s="1"/>
  <c r="AQ223" i="84" l="1"/>
  <c r="J223" i="84"/>
  <c r="H223" i="84"/>
  <c r="AP223" i="84"/>
  <c r="AR225" i="83"/>
  <c r="O223" i="83"/>
  <c r="Q223" i="83"/>
  <c r="F224" i="83" s="1"/>
  <c r="T223" i="83"/>
  <c r="D223" i="28"/>
  <c r="N222" i="85"/>
  <c r="E223" i="28"/>
  <c r="K222" i="85"/>
  <c r="F223" i="28" s="1"/>
  <c r="AR223" i="84" l="1"/>
  <c r="L222" i="85"/>
  <c r="G223" i="28" s="1"/>
  <c r="AR226" i="83"/>
  <c r="AA223" i="85"/>
  <c r="AD223" i="85" s="1"/>
  <c r="P223" i="84" s="1"/>
  <c r="U223" i="83"/>
  <c r="P223" i="85"/>
  <c r="F223" i="85" s="1"/>
  <c r="I223" i="28"/>
  <c r="J224" i="83"/>
  <c r="H224" i="83"/>
  <c r="AQ224" i="83"/>
  <c r="AP224" i="83"/>
  <c r="M223" i="84"/>
  <c r="N223" i="84" s="1"/>
  <c r="K223" i="84"/>
  <c r="AT223" i="84" s="1"/>
  <c r="AS223" i="84" l="1"/>
  <c r="G223" i="84" s="1"/>
  <c r="I223" i="84" s="1"/>
  <c r="S223" i="85" s="1"/>
  <c r="G223" i="85" s="1"/>
  <c r="AR224" i="84"/>
  <c r="H223" i="85"/>
  <c r="C224" i="28"/>
  <c r="AR227" i="83"/>
  <c r="K224" i="83"/>
  <c r="M224" i="83"/>
  <c r="N224" i="83" s="1"/>
  <c r="O223" i="84" l="1"/>
  <c r="T223" i="84"/>
  <c r="U223" i="84" s="1"/>
  <c r="Q223" i="84"/>
  <c r="F224" i="84" s="1"/>
  <c r="AQ224" i="84" s="1"/>
  <c r="D224" i="28"/>
  <c r="AT224" i="83"/>
  <c r="AS224" i="83"/>
  <c r="G224" i="83" s="1"/>
  <c r="I224" i="83" s="1"/>
  <c r="AR228" i="83"/>
  <c r="T223" i="85"/>
  <c r="J223" i="85"/>
  <c r="N223" i="85"/>
  <c r="H224" i="84" l="1"/>
  <c r="J224" i="84"/>
  <c r="AP224" i="84"/>
  <c r="O224" i="83"/>
  <c r="T224" i="83"/>
  <c r="Q224" i="83"/>
  <c r="F225" i="83" s="1"/>
  <c r="P224" i="85"/>
  <c r="F224" i="85" s="1"/>
  <c r="I224" i="28"/>
  <c r="E224" i="28"/>
  <c r="K223" i="85"/>
  <c r="F224" i="28" s="1"/>
  <c r="K224" i="84"/>
  <c r="M224" i="84"/>
  <c r="N224" i="84" s="1"/>
  <c r="AR229" i="83"/>
  <c r="C225" i="28" l="1"/>
  <c r="H224" i="85"/>
  <c r="H225" i="83"/>
  <c r="AQ225" i="83"/>
  <c r="AP225" i="83"/>
  <c r="J225" i="83"/>
  <c r="L223" i="85"/>
  <c r="G224" i="28" s="1"/>
  <c r="AA224" i="85"/>
  <c r="AD224" i="85" s="1"/>
  <c r="P224" i="84" s="1"/>
  <c r="AR225" i="84" s="1"/>
  <c r="U224" i="83"/>
  <c r="AR230" i="83"/>
  <c r="AT224" i="84"/>
  <c r="AS224" i="84"/>
  <c r="G224" i="84" s="1"/>
  <c r="I224" i="84" s="1"/>
  <c r="J224" i="85" l="1"/>
  <c r="T224" i="85"/>
  <c r="S224" i="85"/>
  <c r="G224" i="85" s="1"/>
  <c r="O224" i="84"/>
  <c r="Q224" i="84"/>
  <c r="F225" i="84" s="1"/>
  <c r="T224" i="84"/>
  <c r="U224" i="84" s="1"/>
  <c r="AR231" i="83"/>
  <c r="K225" i="83"/>
  <c r="M225" i="83"/>
  <c r="N225" i="83" s="1"/>
  <c r="D225" i="28" l="1"/>
  <c r="N224" i="85"/>
  <c r="AT225" i="83"/>
  <c r="AS225" i="83"/>
  <c r="G225" i="83" s="1"/>
  <c r="I225" i="83" s="1"/>
  <c r="J225" i="84"/>
  <c r="H225" i="84"/>
  <c r="AQ225" i="84"/>
  <c r="AP225" i="84"/>
  <c r="K224" i="85"/>
  <c r="F225" i="28" s="1"/>
  <c r="E225" i="28"/>
  <c r="AR232" i="83"/>
  <c r="AR233" i="83" l="1"/>
  <c r="M225" i="84"/>
  <c r="N225" i="84" s="1"/>
  <c r="K225" i="84"/>
  <c r="P225" i="85"/>
  <c r="F225" i="85" s="1"/>
  <c r="I225" i="28"/>
  <c r="O225" i="83"/>
  <c r="Q225" i="83"/>
  <c r="F226" i="83" s="1"/>
  <c r="T225" i="83"/>
  <c r="L224" i="85"/>
  <c r="G225" i="28" s="1"/>
  <c r="C226" i="28" l="1"/>
  <c r="H225" i="85"/>
  <c r="AA225" i="85"/>
  <c r="AD225" i="85" s="1"/>
  <c r="P225" i="84" s="1"/>
  <c r="AR226" i="84" s="1"/>
  <c r="U225" i="83"/>
  <c r="AT225" i="84"/>
  <c r="AS225" i="84"/>
  <c r="G225" i="84" s="1"/>
  <c r="I225" i="84" s="1"/>
  <c r="AR234" i="83"/>
  <c r="J226" i="83"/>
  <c r="H226" i="83"/>
  <c r="AQ226" i="83"/>
  <c r="AP226" i="83"/>
  <c r="S225" i="85" l="1"/>
  <c r="G225" i="85" s="1"/>
  <c r="O225" i="84"/>
  <c r="Q225" i="84"/>
  <c r="F226" i="84" s="1"/>
  <c r="T225" i="84"/>
  <c r="U225" i="84" s="1"/>
  <c r="J225" i="85"/>
  <c r="T225" i="85"/>
  <c r="K226" i="83"/>
  <c r="M226" i="83"/>
  <c r="N226" i="83" s="1"/>
  <c r="AT226" i="83" l="1"/>
  <c r="AS226" i="83"/>
  <c r="G226" i="83" s="1"/>
  <c r="I226" i="83" s="1"/>
  <c r="J226" i="84"/>
  <c r="AQ226" i="84"/>
  <c r="H226" i="84"/>
  <c r="AP226" i="84"/>
  <c r="E226" i="28"/>
  <c r="K225" i="85"/>
  <c r="F226" i="28" s="1"/>
  <c r="D226" i="28"/>
  <c r="N225" i="85"/>
  <c r="L225" i="85" l="1"/>
  <c r="G226" i="28" s="1"/>
  <c r="K226" i="84"/>
  <c r="M226" i="84"/>
  <c r="N226" i="84" s="1"/>
  <c r="O226" i="83"/>
  <c r="Q226" i="83"/>
  <c r="F227" i="83" s="1"/>
  <c r="T226" i="83"/>
  <c r="P226" i="85"/>
  <c r="F226" i="85"/>
  <c r="I226" i="28"/>
  <c r="H226" i="85" l="1"/>
  <c r="C227" i="28"/>
  <c r="AA226" i="85"/>
  <c r="AD226" i="85" s="1"/>
  <c r="P226" i="84" s="1"/>
  <c r="AR227" i="84" s="1"/>
  <c r="U226" i="83"/>
  <c r="AT226" i="84"/>
  <c r="AS226" i="84"/>
  <c r="G226" i="84" s="1"/>
  <c r="I226" i="84" s="1"/>
  <c r="J227" i="83"/>
  <c r="H227" i="83"/>
  <c r="AP227" i="83"/>
  <c r="AQ227" i="83"/>
  <c r="S226" i="85" l="1"/>
  <c r="G226" i="85" s="1"/>
  <c r="O226" i="84"/>
  <c r="Q226" i="84"/>
  <c r="F227" i="84" s="1"/>
  <c r="T226" i="84"/>
  <c r="U226" i="84" s="1"/>
  <c r="J226" i="85"/>
  <c r="T226" i="85"/>
  <c r="K227" i="83"/>
  <c r="M227" i="83"/>
  <c r="N227" i="83" s="1"/>
  <c r="J227" i="84" l="1"/>
  <c r="H227" i="84"/>
  <c r="AQ227" i="84"/>
  <c r="AP227" i="84"/>
  <c r="AT227" i="83"/>
  <c r="AS227" i="83"/>
  <c r="G227" i="83" s="1"/>
  <c r="I227" i="83" s="1"/>
  <c r="E227" i="28"/>
  <c r="K226" i="85"/>
  <c r="F227" i="28" s="1"/>
  <c r="D227" i="28"/>
  <c r="N226" i="85"/>
  <c r="L226" i="85" l="1"/>
  <c r="G227" i="28" s="1"/>
  <c r="O227" i="83"/>
  <c r="Q227" i="83"/>
  <c r="F228" i="83" s="1"/>
  <c r="T227" i="83"/>
  <c r="P227" i="85"/>
  <c r="F227" i="85" s="1"/>
  <c r="I227" i="28"/>
  <c r="K227" i="84"/>
  <c r="M227" i="84"/>
  <c r="N227" i="84" s="1"/>
  <c r="H227" i="85" l="1"/>
  <c r="C228" i="28"/>
  <c r="AT227" i="84"/>
  <c r="AS227" i="84"/>
  <c r="G227" i="84" s="1"/>
  <c r="I227" i="84" s="1"/>
  <c r="AA227" i="85"/>
  <c r="AD227" i="85" s="1"/>
  <c r="P227" i="84" s="1"/>
  <c r="AR228" i="84" s="1"/>
  <c r="U227" i="83"/>
  <c r="J228" i="83"/>
  <c r="H228" i="83"/>
  <c r="AP228" i="83"/>
  <c r="AQ228" i="83"/>
  <c r="J227" i="85" l="1"/>
  <c r="T227" i="85"/>
  <c r="K228" i="83"/>
  <c r="M228" i="83"/>
  <c r="N228" i="83" s="1"/>
  <c r="S227" i="85"/>
  <c r="G227" i="85" s="1"/>
  <c r="O227" i="84"/>
  <c r="Q227" i="84"/>
  <c r="F228" i="84" s="1"/>
  <c r="T227" i="84"/>
  <c r="U227" i="84" s="1"/>
  <c r="J228" i="84" l="1"/>
  <c r="H228" i="84"/>
  <c r="AQ228" i="84"/>
  <c r="AP228" i="84"/>
  <c r="AT228" i="83"/>
  <c r="AS228" i="83"/>
  <c r="G228" i="83" s="1"/>
  <c r="I228" i="83" s="1"/>
  <c r="D228" i="28"/>
  <c r="N227" i="85"/>
  <c r="K227" i="85"/>
  <c r="F228" i="28" s="1"/>
  <c r="E228" i="28"/>
  <c r="O228" i="83" l="1"/>
  <c r="T228" i="83"/>
  <c r="Q228" i="83"/>
  <c r="F229" i="83" s="1"/>
  <c r="P228" i="85"/>
  <c r="F228" i="85" s="1"/>
  <c r="I228" i="28"/>
  <c r="K228" i="84"/>
  <c r="M228" i="84"/>
  <c r="N228" i="84" s="1"/>
  <c r="L227" i="85"/>
  <c r="G228" i="28" s="1"/>
  <c r="C229" i="28" l="1"/>
  <c r="H228" i="85"/>
  <c r="AT228" i="84"/>
  <c r="AS228" i="84"/>
  <c r="G228" i="84" s="1"/>
  <c r="I228" i="84" s="1"/>
  <c r="J229" i="83"/>
  <c r="H229" i="83"/>
  <c r="AP229" i="83"/>
  <c r="AQ229" i="83"/>
  <c r="AA228" i="85"/>
  <c r="AD228" i="85" s="1"/>
  <c r="P228" i="84" s="1"/>
  <c r="AR229" i="84" s="1"/>
  <c r="U228" i="83"/>
  <c r="K229" i="83" l="1"/>
  <c r="M229" i="83"/>
  <c r="N229" i="83" s="1"/>
  <c r="T228" i="85"/>
  <c r="J228" i="85"/>
  <c r="S228" i="85"/>
  <c r="G228" i="85" s="1"/>
  <c r="O228" i="84"/>
  <c r="Q228" i="84"/>
  <c r="F229" i="84" s="1"/>
  <c r="T228" i="84"/>
  <c r="U228" i="84" s="1"/>
  <c r="J229" i="84" l="1"/>
  <c r="H229" i="84"/>
  <c r="AP229" i="84"/>
  <c r="AQ229" i="84"/>
  <c r="D229" i="28"/>
  <c r="N228" i="85"/>
  <c r="AT229" i="83"/>
  <c r="AS229" i="83"/>
  <c r="G229" i="83" s="1"/>
  <c r="I229" i="83" s="1"/>
  <c r="K228" i="85"/>
  <c r="F229" i="28" s="1"/>
  <c r="E229" i="28"/>
  <c r="O229" i="83" l="1"/>
  <c r="T229" i="83"/>
  <c r="Q229" i="83"/>
  <c r="F230" i="83" s="1"/>
  <c r="L228" i="85"/>
  <c r="G229" i="28" s="1"/>
  <c r="M229" i="84"/>
  <c r="N229" i="84" s="1"/>
  <c r="K229" i="84"/>
  <c r="P229" i="85"/>
  <c r="F229" i="85" s="1"/>
  <c r="I229" i="28"/>
  <c r="C230" i="28" l="1"/>
  <c r="H229" i="85"/>
  <c r="J230" i="83"/>
  <c r="H230" i="83"/>
  <c r="AQ230" i="83"/>
  <c r="AP230" i="83"/>
  <c r="AT229" i="84"/>
  <c r="AS229" i="84"/>
  <c r="G229" i="84" s="1"/>
  <c r="I229" i="84" s="1"/>
  <c r="AA229" i="85"/>
  <c r="AD229" i="85" s="1"/>
  <c r="P229" i="84" s="1"/>
  <c r="AR230" i="84" s="1"/>
  <c r="U229" i="83"/>
  <c r="S229" i="85" l="1"/>
  <c r="G229" i="85" s="1"/>
  <c r="O229" i="84"/>
  <c r="Q229" i="84"/>
  <c r="F230" i="84" s="1"/>
  <c r="T229" i="84"/>
  <c r="U229" i="84" s="1"/>
  <c r="K230" i="83"/>
  <c r="M230" i="83"/>
  <c r="N230" i="83" s="1"/>
  <c r="J229" i="85"/>
  <c r="T229" i="85"/>
  <c r="E230" i="28" l="1"/>
  <c r="K229" i="85"/>
  <c r="F230" i="28" s="1"/>
  <c r="AQ230" i="84"/>
  <c r="J230" i="84"/>
  <c r="H230" i="84"/>
  <c r="AP230" i="84"/>
  <c r="AT230" i="83"/>
  <c r="AS230" i="83"/>
  <c r="G230" i="83" s="1"/>
  <c r="I230" i="83" s="1"/>
  <c r="D230" i="28"/>
  <c r="N229" i="85"/>
  <c r="L229" i="85" l="1"/>
  <c r="G230" i="28" s="1"/>
  <c r="O230" i="83"/>
  <c r="T230" i="83"/>
  <c r="Q230" i="83"/>
  <c r="F231" i="83" s="1"/>
  <c r="P230" i="85"/>
  <c r="F230" i="85" s="1"/>
  <c r="I230" i="28"/>
  <c r="K230" i="84"/>
  <c r="M230" i="84"/>
  <c r="N230" i="84" s="1"/>
  <c r="H230" i="85" l="1"/>
  <c r="C231" i="28"/>
  <c r="J231" i="83"/>
  <c r="H231" i="83"/>
  <c r="AP231" i="83"/>
  <c r="AQ231" i="83"/>
  <c r="AT230" i="84"/>
  <c r="AS230" i="84"/>
  <c r="G230" i="84" s="1"/>
  <c r="I230" i="84" s="1"/>
  <c r="AA230" i="85"/>
  <c r="AD230" i="85" s="1"/>
  <c r="P230" i="84" s="1"/>
  <c r="AR231" i="84" s="1"/>
  <c r="U230" i="83"/>
  <c r="S230" i="85" l="1"/>
  <c r="G230" i="85" s="1"/>
  <c r="O230" i="84"/>
  <c r="T230" i="84"/>
  <c r="U230" i="84" s="1"/>
  <c r="Q230" i="84"/>
  <c r="F231" i="84" s="1"/>
  <c r="J230" i="85"/>
  <c r="T230" i="85"/>
  <c r="K231" i="83"/>
  <c r="M231" i="83"/>
  <c r="N231" i="83" s="1"/>
  <c r="AT231" i="83" l="1"/>
  <c r="AS231" i="83"/>
  <c r="G231" i="83" s="1"/>
  <c r="I231" i="83" s="1"/>
  <c r="J231" i="84"/>
  <c r="H231" i="84"/>
  <c r="AP231" i="84"/>
  <c r="AQ231" i="84"/>
  <c r="E231" i="28"/>
  <c r="K230" i="85"/>
  <c r="F231" i="28" s="1"/>
  <c r="D231" i="28"/>
  <c r="N230" i="85"/>
  <c r="L230" i="85" l="1"/>
  <c r="G231" i="28" s="1"/>
  <c r="K231" i="84"/>
  <c r="M231" i="84"/>
  <c r="N231" i="84" s="1"/>
  <c r="O231" i="83"/>
  <c r="Q231" i="83"/>
  <c r="F232" i="83" s="1"/>
  <c r="T231" i="83"/>
  <c r="P231" i="85"/>
  <c r="F231" i="85" s="1"/>
  <c r="I231" i="28"/>
  <c r="C232" i="28" l="1"/>
  <c r="H231" i="85"/>
  <c r="J232" i="83"/>
  <c r="H232" i="83"/>
  <c r="AP232" i="83"/>
  <c r="AQ232" i="83"/>
  <c r="AA231" i="85"/>
  <c r="AD231" i="85" s="1"/>
  <c r="P231" i="84" s="1"/>
  <c r="AR232" i="84" s="1"/>
  <c r="U231" i="83"/>
  <c r="AT231" i="84"/>
  <c r="AS231" i="84"/>
  <c r="G231" i="84" s="1"/>
  <c r="I231" i="84" s="1"/>
  <c r="J231" i="85" l="1"/>
  <c r="T231" i="85"/>
  <c r="S231" i="85"/>
  <c r="G231" i="85" s="1"/>
  <c r="O231" i="84"/>
  <c r="Q231" i="84"/>
  <c r="F232" i="84" s="1"/>
  <c r="T231" i="84"/>
  <c r="U231" i="84" s="1"/>
  <c r="K232" i="83"/>
  <c r="M232" i="83"/>
  <c r="N232" i="83" s="1"/>
  <c r="AT232" i="83" l="1"/>
  <c r="AS232" i="83"/>
  <c r="G232" i="83" s="1"/>
  <c r="I232" i="83" s="1"/>
  <c r="J232" i="84"/>
  <c r="H232" i="84"/>
  <c r="AQ232" i="84"/>
  <c r="AP232" i="84"/>
  <c r="D232" i="28"/>
  <c r="N231" i="85"/>
  <c r="E232" i="28"/>
  <c r="K231" i="85"/>
  <c r="F232" i="28" s="1"/>
  <c r="K232" i="84" l="1"/>
  <c r="M232" i="84"/>
  <c r="N232" i="84" s="1"/>
  <c r="P232" i="85"/>
  <c r="F232" i="85" s="1"/>
  <c r="I232" i="28"/>
  <c r="L231" i="85"/>
  <c r="G232" i="28" s="1"/>
  <c r="O232" i="83"/>
  <c r="T232" i="83"/>
  <c r="Q232" i="83"/>
  <c r="F233" i="83" s="1"/>
  <c r="AA232" i="85" l="1"/>
  <c r="AD232" i="85" s="1"/>
  <c r="P232" i="84" s="1"/>
  <c r="AR233" i="84" s="1"/>
  <c r="U232" i="83"/>
  <c r="C233" i="28"/>
  <c r="H232" i="85"/>
  <c r="J233" i="83"/>
  <c r="AQ233" i="83"/>
  <c r="H233" i="83"/>
  <c r="AP233" i="83"/>
  <c r="AT232" i="84"/>
  <c r="AS232" i="84"/>
  <c r="G232" i="84" s="1"/>
  <c r="I232" i="84" s="1"/>
  <c r="K233" i="83" l="1"/>
  <c r="M233" i="83"/>
  <c r="N233" i="83" s="1"/>
  <c r="S232" i="85"/>
  <c r="G232" i="85" s="1"/>
  <c r="O232" i="84"/>
  <c r="T232" i="84"/>
  <c r="U232" i="84" s="1"/>
  <c r="Q232" i="84"/>
  <c r="F233" i="84" s="1"/>
  <c r="J232" i="85"/>
  <c r="T232" i="85"/>
  <c r="E233" i="28" l="1"/>
  <c r="K232" i="85"/>
  <c r="F233" i="28" s="1"/>
  <c r="D233" i="28"/>
  <c r="N232" i="85"/>
  <c r="J233" i="84"/>
  <c r="H233" i="84"/>
  <c r="AQ233" i="84"/>
  <c r="AP233" i="84"/>
  <c r="AT233" i="83"/>
  <c r="AS233" i="83"/>
  <c r="G233" i="83" s="1"/>
  <c r="I233" i="83" s="1"/>
  <c r="L232" i="85" l="1"/>
  <c r="G233" i="28" s="1"/>
  <c r="K233" i="84"/>
  <c r="M233" i="84"/>
  <c r="N233" i="84" s="1"/>
  <c r="O233" i="83"/>
  <c r="T233" i="83"/>
  <c r="Q233" i="83"/>
  <c r="F234" i="83" s="1"/>
  <c r="P233" i="85"/>
  <c r="F233" i="85" s="1"/>
  <c r="I233" i="28"/>
  <c r="C234" i="28" l="1"/>
  <c r="H233" i="85"/>
  <c r="J234" i="83"/>
  <c r="H234" i="83"/>
  <c r="AQ234" i="83"/>
  <c r="AP234" i="83"/>
  <c r="AT233" i="84"/>
  <c r="AS233" i="84"/>
  <c r="G233" i="84" s="1"/>
  <c r="I233" i="84" s="1"/>
  <c r="AA233" i="85"/>
  <c r="AD233" i="85" s="1"/>
  <c r="P233" i="84" s="1"/>
  <c r="AR234" i="84" s="1"/>
  <c r="U233" i="83"/>
  <c r="S233" i="85" l="1"/>
  <c r="G233" i="85" s="1"/>
  <c r="O233" i="84"/>
  <c r="Q233" i="84"/>
  <c r="F234" i="84" s="1"/>
  <c r="T233" i="84"/>
  <c r="U233" i="84" s="1"/>
  <c r="K234" i="83"/>
  <c r="M234" i="83"/>
  <c r="N234" i="83" s="1"/>
  <c r="J233" i="85"/>
  <c r="T233" i="85"/>
  <c r="E234" i="28" l="1"/>
  <c r="K233" i="85"/>
  <c r="F234" i="28" s="1"/>
  <c r="H234" i="84"/>
  <c r="AP234" i="84"/>
  <c r="J234" i="84"/>
  <c r="AQ234" i="84"/>
  <c r="AT234" i="83"/>
  <c r="AS234" i="83"/>
  <c r="G234" i="83" s="1"/>
  <c r="I234" i="83" s="1"/>
  <c r="D234" i="28"/>
  <c r="N233" i="85"/>
  <c r="L233" i="85" l="1"/>
  <c r="G234" i="28" s="1"/>
  <c r="K234" i="84"/>
  <c r="M234" i="84"/>
  <c r="N234" i="84" s="1"/>
  <c r="O234" i="83"/>
  <c r="Q234" i="83"/>
  <c r="F235" i="83" s="1"/>
  <c r="T234" i="83"/>
  <c r="P234" i="85"/>
  <c r="F234" i="85" s="1"/>
  <c r="I234" i="28"/>
  <c r="C235" i="28" l="1"/>
  <c r="H234" i="85"/>
  <c r="AA234" i="85"/>
  <c r="AD234" i="85" s="1"/>
  <c r="P234" i="84" s="1"/>
  <c r="U234" i="83"/>
  <c r="V235" i="83" s="1"/>
  <c r="AT234" i="84"/>
  <c r="AS234" i="84"/>
  <c r="G234" i="84" s="1"/>
  <c r="I234" i="84" s="1"/>
  <c r="J235" i="83"/>
  <c r="H235" i="83"/>
  <c r="AP235" i="83"/>
  <c r="AQ235" i="83"/>
  <c r="AR235" i="83" l="1"/>
  <c r="AR236" i="83" s="1"/>
  <c r="S234" i="85"/>
  <c r="G234" i="85" s="1"/>
  <c r="O234" i="84"/>
  <c r="T234" i="84"/>
  <c r="U234" i="84" s="1"/>
  <c r="V235" i="84" s="1"/>
  <c r="Q234" i="84"/>
  <c r="F235" i="84" s="1"/>
  <c r="J234" i="85"/>
  <c r="T234" i="85"/>
  <c r="K235" i="83"/>
  <c r="AT235" i="83" s="1"/>
  <c r="M235" i="83"/>
  <c r="N235" i="83" s="1"/>
  <c r="AR237" i="83" l="1"/>
  <c r="K234" i="85"/>
  <c r="F235" i="28" s="1"/>
  <c r="E235" i="28"/>
  <c r="D235" i="28"/>
  <c r="N234" i="85"/>
  <c r="AS235" i="83"/>
  <c r="G235" i="83" s="1"/>
  <c r="I235" i="83" s="1"/>
  <c r="AQ235" i="84"/>
  <c r="J235" i="84"/>
  <c r="H235" i="84"/>
  <c r="AP235" i="84"/>
  <c r="AR235" i="84" l="1"/>
  <c r="O235" i="83"/>
  <c r="Q235" i="83"/>
  <c r="F236" i="83" s="1"/>
  <c r="T235" i="83"/>
  <c r="P235" i="85"/>
  <c r="F235" i="85" s="1"/>
  <c r="I235" i="28"/>
  <c r="M235" i="84"/>
  <c r="N235" i="84" s="1"/>
  <c r="K235" i="84"/>
  <c r="AT235" i="84" s="1"/>
  <c r="L234" i="85"/>
  <c r="G235" i="28" s="1"/>
  <c r="AR238" i="83"/>
  <c r="H235" i="85" l="1"/>
  <c r="C236" i="28"/>
  <c r="AS235" i="84"/>
  <c r="G235" i="84" s="1"/>
  <c r="I235" i="84" s="1"/>
  <c r="AR239" i="83"/>
  <c r="U235" i="83"/>
  <c r="AA235" i="85"/>
  <c r="AD235" i="85" s="1"/>
  <c r="P235" i="84" s="1"/>
  <c r="AR236" i="84" s="1"/>
  <c r="J236" i="83"/>
  <c r="H236" i="83"/>
  <c r="AQ236" i="83"/>
  <c r="AP236" i="83"/>
  <c r="O235" i="84" l="1"/>
  <c r="S235" i="85"/>
  <c r="G235" i="85" s="1"/>
  <c r="T235" i="84"/>
  <c r="U235" i="84" s="1"/>
  <c r="Q235" i="84"/>
  <c r="F236" i="84" s="1"/>
  <c r="M236" i="83"/>
  <c r="N236" i="83" s="1"/>
  <c r="K236" i="83"/>
  <c r="AR240" i="83"/>
  <c r="J235" i="85"/>
  <c r="T235" i="85"/>
  <c r="AR241" i="83" l="1"/>
  <c r="E236" i="28"/>
  <c r="K235" i="85"/>
  <c r="F236" i="28" s="1"/>
  <c r="D236" i="28"/>
  <c r="N235" i="85"/>
  <c r="J236" i="84"/>
  <c r="H236" i="84"/>
  <c r="AP236" i="84"/>
  <c r="AQ236" i="84"/>
  <c r="AT236" i="83"/>
  <c r="AS236" i="83"/>
  <c r="G236" i="83" s="1"/>
  <c r="I236" i="83" s="1"/>
  <c r="O236" i="83" l="1"/>
  <c r="Q236" i="83"/>
  <c r="F237" i="83" s="1"/>
  <c r="T236" i="83"/>
  <c r="P236" i="85"/>
  <c r="F236" i="85" s="1"/>
  <c r="I236" i="28"/>
  <c r="AR242" i="83"/>
  <c r="K236" i="84"/>
  <c r="M236" i="84"/>
  <c r="N236" i="84" s="1"/>
  <c r="L235" i="85"/>
  <c r="G236" i="28" s="1"/>
  <c r="C237" i="28" l="1"/>
  <c r="H236" i="85"/>
  <c r="AR243" i="83"/>
  <c r="AA236" i="85"/>
  <c r="AD236" i="85" s="1"/>
  <c r="P236" i="84" s="1"/>
  <c r="AR237" i="84" s="1"/>
  <c r="U236" i="83"/>
  <c r="H237" i="83"/>
  <c r="AQ237" i="83"/>
  <c r="AP237" i="83"/>
  <c r="J237" i="83"/>
  <c r="AT236" i="84"/>
  <c r="AS236" i="84"/>
  <c r="G236" i="84" s="1"/>
  <c r="I236" i="84" s="1"/>
  <c r="S236" i="85" l="1"/>
  <c r="G236" i="85" s="1"/>
  <c r="O236" i="84"/>
  <c r="Q236" i="84"/>
  <c r="F237" i="84" s="1"/>
  <c r="T236" i="84"/>
  <c r="U236" i="84" s="1"/>
  <c r="J236" i="85"/>
  <c r="T236" i="85"/>
  <c r="K237" i="83"/>
  <c r="M237" i="83"/>
  <c r="N237" i="83" s="1"/>
  <c r="AR244" i="83"/>
  <c r="AR245" i="83" l="1"/>
  <c r="J237" i="84"/>
  <c r="H237" i="84"/>
  <c r="AQ237" i="84"/>
  <c r="AP237" i="84"/>
  <c r="AT237" i="83"/>
  <c r="AS237" i="83"/>
  <c r="G237" i="83" s="1"/>
  <c r="I237" i="83" s="1"/>
  <c r="K236" i="85"/>
  <c r="F237" i="28" s="1"/>
  <c r="E237" i="28"/>
  <c r="D237" i="28"/>
  <c r="N236" i="85"/>
  <c r="K237" i="84" l="1"/>
  <c r="M237" i="84"/>
  <c r="N237" i="84" s="1"/>
  <c r="P237" i="85"/>
  <c r="F237" i="85" s="1"/>
  <c r="I237" i="28"/>
  <c r="O237" i="83"/>
  <c r="Q237" i="83"/>
  <c r="F238" i="83" s="1"/>
  <c r="T237" i="83"/>
  <c r="AR246" i="83"/>
  <c r="L236" i="85"/>
  <c r="G237" i="28" s="1"/>
  <c r="C238" i="28" l="1"/>
  <c r="H237" i="85"/>
  <c r="AA237" i="85"/>
  <c r="AD237" i="85" s="1"/>
  <c r="P237" i="84" s="1"/>
  <c r="AR238" i="84" s="1"/>
  <c r="U237" i="83"/>
  <c r="J238" i="83"/>
  <c r="H238" i="83"/>
  <c r="AP238" i="83"/>
  <c r="AQ238" i="83"/>
  <c r="AT237" i="84"/>
  <c r="AS237" i="84"/>
  <c r="G237" i="84" s="1"/>
  <c r="I237" i="84" s="1"/>
  <c r="T237" i="85" l="1"/>
  <c r="J237" i="85"/>
  <c r="S237" i="85"/>
  <c r="G237" i="85" s="1"/>
  <c r="O237" i="84"/>
  <c r="T237" i="84"/>
  <c r="U237" i="84" s="1"/>
  <c r="Q237" i="84"/>
  <c r="F238" i="84" s="1"/>
  <c r="K238" i="83"/>
  <c r="M238" i="83"/>
  <c r="N238" i="83" s="1"/>
  <c r="AT238" i="83" l="1"/>
  <c r="AS238" i="83"/>
  <c r="G238" i="83" s="1"/>
  <c r="I238" i="83" s="1"/>
  <c r="AP238" i="84"/>
  <c r="J238" i="84"/>
  <c r="AQ238" i="84"/>
  <c r="H238" i="84"/>
  <c r="K237" i="85"/>
  <c r="F238" i="28" s="1"/>
  <c r="E238" i="28"/>
  <c r="D238" i="28"/>
  <c r="N237" i="85"/>
  <c r="L237" i="85" l="1"/>
  <c r="G238" i="28" s="1"/>
  <c r="O238" i="83"/>
  <c r="Q238" i="83"/>
  <c r="F239" i="83" s="1"/>
  <c r="T238" i="83"/>
  <c r="P238" i="85"/>
  <c r="F238" i="85" s="1"/>
  <c r="I238" i="28"/>
  <c r="K238" i="84"/>
  <c r="M238" i="84"/>
  <c r="N238" i="84" s="1"/>
  <c r="C239" i="28" l="1"/>
  <c r="H238" i="85"/>
  <c r="AT238" i="84"/>
  <c r="AS238" i="84"/>
  <c r="G238" i="84" s="1"/>
  <c r="I238" i="84" s="1"/>
  <c r="AA238" i="85"/>
  <c r="AD238" i="85" s="1"/>
  <c r="P238" i="84" s="1"/>
  <c r="AR239" i="84" s="1"/>
  <c r="U238" i="83"/>
  <c r="J239" i="83"/>
  <c r="H239" i="83"/>
  <c r="AP239" i="83"/>
  <c r="AQ239" i="83"/>
  <c r="T238" i="85" l="1"/>
  <c r="J238" i="85"/>
  <c r="K239" i="83"/>
  <c r="M239" i="83"/>
  <c r="N239" i="83" s="1"/>
  <c r="S238" i="85"/>
  <c r="G238" i="85" s="1"/>
  <c r="O238" i="84"/>
  <c r="Q238" i="84"/>
  <c r="F239" i="84" s="1"/>
  <c r="T238" i="84"/>
  <c r="U238" i="84" s="1"/>
  <c r="J239" i="84" l="1"/>
  <c r="H239" i="84"/>
  <c r="AP239" i="84"/>
  <c r="AQ239" i="84"/>
  <c r="AT239" i="83"/>
  <c r="AS239" i="83"/>
  <c r="G239" i="83" s="1"/>
  <c r="I239" i="83" s="1"/>
  <c r="D239" i="28"/>
  <c r="N238" i="85"/>
  <c r="K238" i="85"/>
  <c r="F239" i="28" s="1"/>
  <c r="E239" i="28"/>
  <c r="O239" i="83" l="1"/>
  <c r="T239" i="83"/>
  <c r="Q239" i="83"/>
  <c r="F240" i="83" s="1"/>
  <c r="P239" i="85"/>
  <c r="F239" i="85" s="1"/>
  <c r="I239" i="28"/>
  <c r="L238" i="85"/>
  <c r="G239" i="28" s="1"/>
  <c r="K239" i="84"/>
  <c r="M239" i="84"/>
  <c r="N239" i="84" s="1"/>
  <c r="H239" i="85" l="1"/>
  <c r="C240" i="28"/>
  <c r="J240" i="83"/>
  <c r="H240" i="83"/>
  <c r="AQ240" i="83"/>
  <c r="AP240" i="83"/>
  <c r="AT239" i="84"/>
  <c r="AS239" i="84"/>
  <c r="G239" i="84" s="1"/>
  <c r="I239" i="84" s="1"/>
  <c r="U239" i="83"/>
  <c r="AA239" i="85"/>
  <c r="AD239" i="85" s="1"/>
  <c r="P239" i="84" s="1"/>
  <c r="AR240" i="84" s="1"/>
  <c r="S239" i="85" l="1"/>
  <c r="G239" i="85" s="1"/>
  <c r="O239" i="84"/>
  <c r="Q239" i="84"/>
  <c r="F240" i="84" s="1"/>
  <c r="T239" i="84"/>
  <c r="U239" i="84" s="1"/>
  <c r="J239" i="85"/>
  <c r="T239" i="85"/>
  <c r="M240" i="83"/>
  <c r="N240" i="83" s="1"/>
  <c r="K240" i="83"/>
  <c r="J240" i="84" l="1"/>
  <c r="H240" i="84"/>
  <c r="AP240" i="84"/>
  <c r="AQ240" i="84"/>
  <c r="AT240" i="83"/>
  <c r="AS240" i="83"/>
  <c r="G240" i="83" s="1"/>
  <c r="I240" i="83" s="1"/>
  <c r="K239" i="85"/>
  <c r="F240" i="28" s="1"/>
  <c r="E240" i="28"/>
  <c r="D240" i="28"/>
  <c r="N239" i="85"/>
  <c r="L239" i="85" l="1"/>
  <c r="G240" i="28" s="1"/>
  <c r="O240" i="83"/>
  <c r="T240" i="83"/>
  <c r="Q240" i="83"/>
  <c r="F241" i="83" s="1"/>
  <c r="K240" i="84"/>
  <c r="M240" i="84"/>
  <c r="N240" i="84" s="1"/>
  <c r="P240" i="85"/>
  <c r="F240" i="85" s="1"/>
  <c r="I240" i="28"/>
  <c r="C241" i="28" l="1"/>
  <c r="H240" i="85"/>
  <c r="J241" i="83"/>
  <c r="H241" i="83"/>
  <c r="AP241" i="83"/>
  <c r="AQ241" i="83"/>
  <c r="AT240" i="84"/>
  <c r="AS240" i="84"/>
  <c r="G240" i="84" s="1"/>
  <c r="I240" i="84" s="1"/>
  <c r="AA240" i="85"/>
  <c r="AD240" i="85" s="1"/>
  <c r="P240" i="84" s="1"/>
  <c r="AR241" i="84" s="1"/>
  <c r="U240" i="83"/>
  <c r="S240" i="85" l="1"/>
  <c r="G240" i="85" s="1"/>
  <c r="O240" i="84"/>
  <c r="Q240" i="84"/>
  <c r="F241" i="84" s="1"/>
  <c r="T240" i="84"/>
  <c r="U240" i="84" s="1"/>
  <c r="J240" i="85"/>
  <c r="T240" i="85"/>
  <c r="K241" i="83"/>
  <c r="M241" i="83"/>
  <c r="N241" i="83" s="1"/>
  <c r="AT241" i="83" l="1"/>
  <c r="AS241" i="83"/>
  <c r="G241" i="83" s="1"/>
  <c r="I241" i="83" s="1"/>
  <c r="J241" i="84"/>
  <c r="H241" i="84"/>
  <c r="AQ241" i="84"/>
  <c r="AP241" i="84"/>
  <c r="E241" i="28"/>
  <c r="K240" i="85"/>
  <c r="F241" i="28" s="1"/>
  <c r="D241" i="28"/>
  <c r="N240" i="85"/>
  <c r="M241" i="84" l="1"/>
  <c r="N241" i="84" s="1"/>
  <c r="K241" i="84"/>
  <c r="L240" i="85"/>
  <c r="G241" i="28" s="1"/>
  <c r="O241" i="83"/>
  <c r="Q241" i="83"/>
  <c r="F242" i="83" s="1"/>
  <c r="T241" i="83"/>
  <c r="I241" i="28"/>
  <c r="P241" i="85"/>
  <c r="F241" i="85" s="1"/>
  <c r="C242" i="28" l="1"/>
  <c r="H241" i="85"/>
  <c r="AA241" i="85"/>
  <c r="AD241" i="85" s="1"/>
  <c r="P241" i="84" s="1"/>
  <c r="AR242" i="84" s="1"/>
  <c r="U241" i="83"/>
  <c r="AT241" i="84"/>
  <c r="AS241" i="84"/>
  <c r="G241" i="84" s="1"/>
  <c r="I241" i="84" s="1"/>
  <c r="J242" i="83"/>
  <c r="H242" i="83"/>
  <c r="AQ242" i="83"/>
  <c r="AP242" i="83"/>
  <c r="S241" i="85" l="1"/>
  <c r="G241" i="85" s="1"/>
  <c r="O241" i="84"/>
  <c r="T241" i="84"/>
  <c r="U241" i="84" s="1"/>
  <c r="Q241" i="84"/>
  <c r="F242" i="84" s="1"/>
  <c r="J241" i="85"/>
  <c r="T241" i="85"/>
  <c r="K242" i="83"/>
  <c r="M242" i="83"/>
  <c r="N242" i="83" s="1"/>
  <c r="AT242" i="83" l="1"/>
  <c r="AS242" i="83"/>
  <c r="G242" i="83" s="1"/>
  <c r="I242" i="83" s="1"/>
  <c r="K241" i="85"/>
  <c r="F242" i="28" s="1"/>
  <c r="E242" i="28"/>
  <c r="D242" i="28"/>
  <c r="N241" i="85"/>
  <c r="AP242" i="84"/>
  <c r="J242" i="84"/>
  <c r="H242" i="84"/>
  <c r="AQ242" i="84"/>
  <c r="K242" i="84" l="1"/>
  <c r="M242" i="84"/>
  <c r="N242" i="84" s="1"/>
  <c r="L241" i="85"/>
  <c r="G242" i="28" s="1"/>
  <c r="O242" i="83"/>
  <c r="Q242" i="83"/>
  <c r="F243" i="83" s="1"/>
  <c r="T242" i="83"/>
  <c r="P242" i="85"/>
  <c r="F242" i="85" s="1"/>
  <c r="I242" i="28"/>
  <c r="C243" i="28" l="1"/>
  <c r="H242" i="85"/>
  <c r="AA242" i="85"/>
  <c r="AD242" i="85" s="1"/>
  <c r="P242" i="84" s="1"/>
  <c r="AR243" i="84" s="1"/>
  <c r="U242" i="83"/>
  <c r="J243" i="83"/>
  <c r="H243" i="83"/>
  <c r="AP243" i="83"/>
  <c r="AQ243" i="83"/>
  <c r="AT242" i="84"/>
  <c r="AS242" i="84"/>
  <c r="G242" i="84" s="1"/>
  <c r="I242" i="84" s="1"/>
  <c r="K243" i="83" l="1"/>
  <c r="M243" i="83"/>
  <c r="N243" i="83" s="1"/>
  <c r="T242" i="85"/>
  <c r="J242" i="85"/>
  <c r="S242" i="85"/>
  <c r="G242" i="85" s="1"/>
  <c r="O242" i="84"/>
  <c r="T242" i="84"/>
  <c r="U242" i="84" s="1"/>
  <c r="Q242" i="84"/>
  <c r="F243" i="84" s="1"/>
  <c r="D243" i="28" l="1"/>
  <c r="N242" i="85"/>
  <c r="AT243" i="83"/>
  <c r="AS243" i="83"/>
  <c r="G243" i="83" s="1"/>
  <c r="I243" i="83" s="1"/>
  <c r="J243" i="84"/>
  <c r="H243" i="84"/>
  <c r="AQ243" i="84"/>
  <c r="AP243" i="84"/>
  <c r="K242" i="85"/>
  <c r="F243" i="28" s="1"/>
  <c r="E243" i="28"/>
  <c r="P243" i="85" l="1"/>
  <c r="F243" i="85" s="1"/>
  <c r="I243" i="28"/>
  <c r="K243" i="84"/>
  <c r="M243" i="84"/>
  <c r="N243" i="84" s="1"/>
  <c r="L242" i="85"/>
  <c r="G243" i="28" s="1"/>
  <c r="O243" i="83"/>
  <c r="T243" i="83"/>
  <c r="Q243" i="83"/>
  <c r="F244" i="83" s="1"/>
  <c r="H243" i="85" l="1"/>
  <c r="C244" i="28"/>
  <c r="AA243" i="85"/>
  <c r="AD243" i="85" s="1"/>
  <c r="P243" i="84" s="1"/>
  <c r="AR244" i="84" s="1"/>
  <c r="U243" i="83"/>
  <c r="AT243" i="84"/>
  <c r="AS243" i="84"/>
  <c r="G243" i="84" s="1"/>
  <c r="I243" i="84" s="1"/>
  <c r="J244" i="83"/>
  <c r="H244" i="83"/>
  <c r="AP244" i="83"/>
  <c r="AQ244" i="83"/>
  <c r="S243" i="85" l="1"/>
  <c r="G243" i="85" s="1"/>
  <c r="O243" i="84"/>
  <c r="T243" i="84"/>
  <c r="U243" i="84" s="1"/>
  <c r="Q243" i="84"/>
  <c r="F244" i="84" s="1"/>
  <c r="J243" i="85"/>
  <c r="T243" i="85"/>
  <c r="K244" i="83"/>
  <c r="M244" i="83"/>
  <c r="N244" i="83" s="1"/>
  <c r="AT244" i="83" l="1"/>
  <c r="AS244" i="83"/>
  <c r="G244" i="83" s="1"/>
  <c r="I244" i="83" s="1"/>
  <c r="K243" i="85"/>
  <c r="F244" i="28" s="1"/>
  <c r="E244" i="28"/>
  <c r="D244" i="28"/>
  <c r="N243" i="85"/>
  <c r="J244" i="84"/>
  <c r="H244" i="84"/>
  <c r="AQ244" i="84"/>
  <c r="AP244" i="84"/>
  <c r="L243" i="85" l="1"/>
  <c r="G244" i="28" s="1"/>
  <c r="O244" i="83"/>
  <c r="Q244" i="83"/>
  <c r="F245" i="83" s="1"/>
  <c r="T244" i="83"/>
  <c r="P244" i="85"/>
  <c r="F244" i="85" s="1"/>
  <c r="I244" i="28"/>
  <c r="K244" i="84"/>
  <c r="M244" i="84"/>
  <c r="N244" i="84" s="1"/>
  <c r="AT244" i="84" l="1"/>
  <c r="AS244" i="84"/>
  <c r="G244" i="84" s="1"/>
  <c r="I244" i="84" s="1"/>
  <c r="AA244" i="85"/>
  <c r="AD244" i="85" s="1"/>
  <c r="P244" i="84" s="1"/>
  <c r="AR245" i="84" s="1"/>
  <c r="U244" i="83"/>
  <c r="C245" i="28"/>
  <c r="H244" i="85"/>
  <c r="AQ245" i="83"/>
  <c r="J245" i="83"/>
  <c r="H245" i="83"/>
  <c r="AP245" i="83"/>
  <c r="S244" i="85" l="1"/>
  <c r="G244" i="85" s="1"/>
  <c r="O244" i="84"/>
  <c r="Q244" i="84"/>
  <c r="F245" i="84" s="1"/>
  <c r="T244" i="84"/>
  <c r="U244" i="84" s="1"/>
  <c r="K245" i="83"/>
  <c r="M245" i="83"/>
  <c r="N245" i="83" s="1"/>
  <c r="J244" i="85"/>
  <c r="T244" i="85"/>
  <c r="J245" i="84" l="1"/>
  <c r="H245" i="84"/>
  <c r="AQ245" i="84"/>
  <c r="AP245" i="84"/>
  <c r="AT245" i="83"/>
  <c r="AS245" i="83"/>
  <c r="G245" i="83" s="1"/>
  <c r="I245" i="83" s="1"/>
  <c r="D245" i="28"/>
  <c r="L244" i="85"/>
  <c r="G245" i="28" s="1"/>
  <c r="N244" i="85"/>
  <c r="E245" i="28"/>
  <c r="K244" i="85"/>
  <c r="F245" i="28" s="1"/>
  <c r="O245" i="83" l="1"/>
  <c r="Q245" i="83"/>
  <c r="F246" i="83" s="1"/>
  <c r="T245" i="83"/>
  <c r="I245" i="28"/>
  <c r="P245" i="85"/>
  <c r="F245" i="85" s="1"/>
  <c r="M245" i="84"/>
  <c r="N245" i="84" s="1"/>
  <c r="K245" i="84"/>
  <c r="C246" i="28" l="1"/>
  <c r="H245" i="85"/>
  <c r="AA245" i="85"/>
  <c r="AD245" i="85" s="1"/>
  <c r="P245" i="84" s="1"/>
  <c r="AR246" i="84" s="1"/>
  <c r="U245" i="83"/>
  <c r="AT245" i="84"/>
  <c r="AS245" i="84"/>
  <c r="G245" i="84" s="1"/>
  <c r="I245" i="84" s="1"/>
  <c r="J246" i="83"/>
  <c r="H246" i="83"/>
  <c r="AP246" i="83"/>
  <c r="AQ246" i="83"/>
  <c r="K246" i="83" l="1"/>
  <c r="M246" i="83"/>
  <c r="N246" i="83" s="1"/>
  <c r="S245" i="85"/>
  <c r="G245" i="85" s="1"/>
  <c r="O245" i="84"/>
  <c r="Q245" i="84"/>
  <c r="F246" i="84" s="1"/>
  <c r="T245" i="84"/>
  <c r="U245" i="84" s="1"/>
  <c r="T245" i="85"/>
  <c r="J245" i="85"/>
  <c r="D246" i="28" l="1"/>
  <c r="N245" i="85"/>
  <c r="K245" i="85"/>
  <c r="F246" i="28" s="1"/>
  <c r="E246" i="28"/>
  <c r="H246" i="84"/>
  <c r="AP246" i="84"/>
  <c r="AQ246" i="84"/>
  <c r="J246" i="84"/>
  <c r="AT246" i="83"/>
  <c r="AS246" i="83"/>
  <c r="G246" i="83" s="1"/>
  <c r="I246" i="83" s="1"/>
  <c r="K246" i="84" l="1"/>
  <c r="M246" i="84"/>
  <c r="N246" i="84" s="1"/>
  <c r="P246" i="85"/>
  <c r="F246" i="85" s="1"/>
  <c r="I246" i="28"/>
  <c r="O246" i="83"/>
  <c r="Q246" i="83"/>
  <c r="F247" i="83" s="1"/>
  <c r="T246" i="83"/>
  <c r="L245" i="85"/>
  <c r="G246" i="28" s="1"/>
  <c r="AA246" i="85" l="1"/>
  <c r="AD246" i="85" s="1"/>
  <c r="P246" i="84" s="1"/>
  <c r="U246" i="83"/>
  <c r="V247" i="83" s="1"/>
  <c r="H246" i="85"/>
  <c r="C247" i="28"/>
  <c r="J247" i="83"/>
  <c r="H247" i="83"/>
  <c r="AP247" i="83"/>
  <c r="AQ247" i="83"/>
  <c r="AT246" i="84"/>
  <c r="AS246" i="84"/>
  <c r="G246" i="84" s="1"/>
  <c r="I246" i="84" s="1"/>
  <c r="AR247" i="83" l="1"/>
  <c r="AR248" i="83" s="1"/>
  <c r="S246" i="85"/>
  <c r="G246" i="85" s="1"/>
  <c r="O246" i="84"/>
  <c r="Q246" i="84"/>
  <c r="F247" i="84" s="1"/>
  <c r="T246" i="84"/>
  <c r="U246" i="84" s="1"/>
  <c r="V247" i="84" s="1"/>
  <c r="J246" i="85"/>
  <c r="T246" i="85"/>
  <c r="K247" i="83"/>
  <c r="AT247" i="83" s="1"/>
  <c r="M247" i="83"/>
  <c r="N247" i="83" s="1"/>
  <c r="AS247" i="83" l="1"/>
  <c r="G247" i="83" s="1"/>
  <c r="I247" i="83" s="1"/>
  <c r="O247" i="83" s="1"/>
  <c r="AQ247" i="84"/>
  <c r="J247" i="84"/>
  <c r="H247" i="84"/>
  <c r="AP247" i="84"/>
  <c r="AR249" i="83"/>
  <c r="E247" i="28"/>
  <c r="K246" i="85"/>
  <c r="F247" i="28" s="1"/>
  <c r="D247" i="28"/>
  <c r="N246" i="85"/>
  <c r="T247" i="83" l="1"/>
  <c r="U247" i="83" s="1"/>
  <c r="Q247" i="83"/>
  <c r="F248" i="83" s="1"/>
  <c r="H248" i="83" s="1"/>
  <c r="AR247" i="84"/>
  <c r="L246" i="85"/>
  <c r="G247" i="28" s="1"/>
  <c r="AR250" i="83"/>
  <c r="P247" i="85"/>
  <c r="F247" i="85" s="1"/>
  <c r="I247" i="28"/>
  <c r="M247" i="84"/>
  <c r="N247" i="84" s="1"/>
  <c r="K247" i="84"/>
  <c r="AT247" i="84" s="1"/>
  <c r="AA247" i="85"/>
  <c r="AD247" i="85" s="1"/>
  <c r="P247" i="84" s="1"/>
  <c r="AR248" i="84" l="1"/>
  <c r="J248" i="83"/>
  <c r="M248" i="83" s="1"/>
  <c r="N248" i="83" s="1"/>
  <c r="AP248" i="83"/>
  <c r="AQ248" i="83"/>
  <c r="AS247" i="84"/>
  <c r="G247" i="84" s="1"/>
  <c r="I247" i="84" s="1"/>
  <c r="S247" i="85" s="1"/>
  <c r="G247" i="85" s="1"/>
  <c r="C248" i="28"/>
  <c r="H247" i="85"/>
  <c r="AR251" i="83"/>
  <c r="T247" i="84" l="1"/>
  <c r="U247" i="84" s="1"/>
  <c r="O247" i="84"/>
  <c r="K248" i="83"/>
  <c r="AT248" i="83" s="1"/>
  <c r="Q247" i="84"/>
  <c r="F248" i="84" s="1"/>
  <c r="H248" i="84" s="1"/>
  <c r="D248" i="28"/>
  <c r="J247" i="85"/>
  <c r="T247" i="85"/>
  <c r="AR252" i="83"/>
  <c r="N247" i="85"/>
  <c r="AP248" i="84" l="1"/>
  <c r="J248" i="84"/>
  <c r="AQ248" i="84"/>
  <c r="AS248" i="83"/>
  <c r="G248" i="83" s="1"/>
  <c r="I248" i="83" s="1"/>
  <c r="O248" i="83" s="1"/>
  <c r="K248" i="84"/>
  <c r="M248" i="84"/>
  <c r="N248" i="84" s="1"/>
  <c r="E248" i="28"/>
  <c r="K247" i="85"/>
  <c r="P248" i="85"/>
  <c r="F248" i="85" s="1"/>
  <c r="I248" i="28"/>
  <c r="AR253" i="83"/>
  <c r="T248" i="83" l="1"/>
  <c r="U248" i="83" s="1"/>
  <c r="Q248" i="83"/>
  <c r="F249" i="83" s="1"/>
  <c r="H249" i="83" s="1"/>
  <c r="C249" i="28"/>
  <c r="H248" i="85"/>
  <c r="AT248" i="84"/>
  <c r="AS248" i="84"/>
  <c r="G248" i="84" s="1"/>
  <c r="I248" i="84" s="1"/>
  <c r="F248" i="28"/>
  <c r="L247" i="85"/>
  <c r="G248" i="28" s="1"/>
  <c r="AA248" i="85"/>
  <c r="AD248" i="85" s="1"/>
  <c r="P248" i="84" s="1"/>
  <c r="AR249" i="84" s="1"/>
  <c r="AR254" i="83"/>
  <c r="J249" i="83" l="1"/>
  <c r="K249" i="83" s="1"/>
  <c r="AQ249" i="83"/>
  <c r="AP249" i="83"/>
  <c r="AR255" i="83"/>
  <c r="J248" i="85"/>
  <c r="T248" i="85"/>
  <c r="M249" i="83"/>
  <c r="N249" i="83" s="1"/>
  <c r="S248" i="85"/>
  <c r="G248" i="85" s="1"/>
  <c r="O248" i="84"/>
  <c r="Q248" i="84"/>
  <c r="F249" i="84" s="1"/>
  <c r="T248" i="84"/>
  <c r="U248" i="84" s="1"/>
  <c r="D249" i="28" l="1"/>
  <c r="N248" i="85"/>
  <c r="K248" i="85"/>
  <c r="F249" i="28" s="1"/>
  <c r="E249" i="28"/>
  <c r="J249" i="84"/>
  <c r="H249" i="84"/>
  <c r="AQ249" i="84"/>
  <c r="AP249" i="84"/>
  <c r="AT249" i="83"/>
  <c r="AS249" i="83"/>
  <c r="G249" i="83" s="1"/>
  <c r="I249" i="83" s="1"/>
  <c r="AR256" i="83"/>
  <c r="AR257" i="83" l="1"/>
  <c r="M249" i="84"/>
  <c r="N249" i="84" s="1"/>
  <c r="K249" i="84"/>
  <c r="P249" i="85"/>
  <c r="F249" i="85" s="1"/>
  <c r="I249" i="28"/>
  <c r="L248" i="85"/>
  <c r="G249" i="28" s="1"/>
  <c r="O249" i="83"/>
  <c r="Q249" i="83"/>
  <c r="F250" i="83" s="1"/>
  <c r="T249" i="83"/>
  <c r="AT249" i="84" l="1"/>
  <c r="AS249" i="84"/>
  <c r="G249" i="84" s="1"/>
  <c r="I249" i="84" s="1"/>
  <c r="AA249" i="85"/>
  <c r="AD249" i="85" s="1"/>
  <c r="P249" i="84" s="1"/>
  <c r="AR250" i="84" s="1"/>
  <c r="U249" i="83"/>
  <c r="J250" i="83"/>
  <c r="H250" i="83"/>
  <c r="AP250" i="83"/>
  <c r="AQ250" i="83"/>
  <c r="AR258" i="83"/>
  <c r="C250" i="28"/>
  <c r="H249" i="85"/>
  <c r="J249" i="85" l="1"/>
  <c r="T249" i="85"/>
  <c r="S249" i="85"/>
  <c r="G249" i="85" s="1"/>
  <c r="O249" i="84"/>
  <c r="Q249" i="84"/>
  <c r="F250" i="84" s="1"/>
  <c r="T249" i="84"/>
  <c r="U249" i="84" s="1"/>
  <c r="K250" i="83"/>
  <c r="M250" i="83"/>
  <c r="N250" i="83" s="1"/>
  <c r="AT250" i="83" l="1"/>
  <c r="AS250" i="83"/>
  <c r="G250" i="83" s="1"/>
  <c r="I250" i="83" s="1"/>
  <c r="J250" i="84"/>
  <c r="H250" i="84"/>
  <c r="AP250" i="84"/>
  <c r="AQ250" i="84"/>
  <c r="E250" i="28"/>
  <c r="K249" i="85"/>
  <c r="F250" i="28" s="1"/>
  <c r="D250" i="28"/>
  <c r="N249" i="85"/>
  <c r="L249" i="85" l="1"/>
  <c r="G250" i="28" s="1"/>
  <c r="O250" i="83"/>
  <c r="Q250" i="83"/>
  <c r="F251" i="83" s="1"/>
  <c r="T250" i="83"/>
  <c r="K250" i="84"/>
  <c r="M250" i="84"/>
  <c r="N250" i="84" s="1"/>
  <c r="P250" i="85"/>
  <c r="F250" i="85" s="1"/>
  <c r="I250" i="28"/>
  <c r="J251" i="83" l="1"/>
  <c r="H251" i="83"/>
  <c r="AP251" i="83"/>
  <c r="AQ251" i="83"/>
  <c r="AA250" i="85"/>
  <c r="AD250" i="85" s="1"/>
  <c r="P250" i="84" s="1"/>
  <c r="AR251" i="84" s="1"/>
  <c r="U250" i="83"/>
  <c r="H250" i="85"/>
  <c r="C251" i="28"/>
  <c r="AT250" i="84"/>
  <c r="AS250" i="84"/>
  <c r="G250" i="84" s="1"/>
  <c r="I250" i="84" s="1"/>
  <c r="J250" i="85" l="1"/>
  <c r="T250" i="85"/>
  <c r="K251" i="83"/>
  <c r="M251" i="83"/>
  <c r="N251" i="83" s="1"/>
  <c r="S250" i="85"/>
  <c r="G250" i="85" s="1"/>
  <c r="O250" i="84"/>
  <c r="T250" i="84"/>
  <c r="U250" i="84" s="1"/>
  <c r="Q250" i="84"/>
  <c r="F251" i="84" s="1"/>
  <c r="AT251" i="83" l="1"/>
  <c r="AS251" i="83"/>
  <c r="G251" i="83" s="1"/>
  <c r="I251" i="83" s="1"/>
  <c r="D251" i="28"/>
  <c r="L250" i="85"/>
  <c r="G251" i="28" s="1"/>
  <c r="N250" i="85"/>
  <c r="E251" i="28"/>
  <c r="K250" i="85"/>
  <c r="F251" i="28" s="1"/>
  <c r="J251" i="84"/>
  <c r="H251" i="84"/>
  <c r="AP251" i="84"/>
  <c r="AQ251" i="84"/>
  <c r="K251" i="84" l="1"/>
  <c r="M251" i="84"/>
  <c r="N251" i="84" s="1"/>
  <c r="O251" i="83"/>
  <c r="Q251" i="83"/>
  <c r="F252" i="83" s="1"/>
  <c r="T251" i="83"/>
  <c r="P251" i="85"/>
  <c r="F251" i="85" s="1"/>
  <c r="I251" i="28"/>
  <c r="C252" i="28" l="1"/>
  <c r="H251" i="85"/>
  <c r="J252" i="83"/>
  <c r="H252" i="83"/>
  <c r="AQ252" i="83"/>
  <c r="AP252" i="83"/>
  <c r="U251" i="83"/>
  <c r="AA251" i="85"/>
  <c r="AD251" i="85" s="1"/>
  <c r="P251" i="84" s="1"/>
  <c r="AR252" i="84" s="1"/>
  <c r="AT251" i="84"/>
  <c r="AS251" i="84"/>
  <c r="G251" i="84" s="1"/>
  <c r="I251" i="84" s="1"/>
  <c r="J251" i="85" l="1"/>
  <c r="T251" i="85"/>
  <c r="S251" i="85"/>
  <c r="G251" i="85" s="1"/>
  <c r="O251" i="84"/>
  <c r="Q251" i="84"/>
  <c r="F252" i="84" s="1"/>
  <c r="T251" i="84"/>
  <c r="U251" i="84" s="1"/>
  <c r="M252" i="83"/>
  <c r="N252" i="83" s="1"/>
  <c r="K252" i="83"/>
  <c r="D252" i="28" l="1"/>
  <c r="N251" i="85"/>
  <c r="K251" i="85"/>
  <c r="F252" i="28" s="1"/>
  <c r="E252" i="28"/>
  <c r="J252" i="84"/>
  <c r="H252" i="84"/>
  <c r="AQ252" i="84"/>
  <c r="AP252" i="84"/>
  <c r="AT252" i="83"/>
  <c r="AS252" i="83"/>
  <c r="G252" i="83" s="1"/>
  <c r="I252" i="83" s="1"/>
  <c r="K252" i="84" l="1"/>
  <c r="M252" i="84"/>
  <c r="N252" i="84" s="1"/>
  <c r="P252" i="85"/>
  <c r="F252" i="85" s="1"/>
  <c r="I252" i="28"/>
  <c r="O252" i="83"/>
  <c r="Q252" i="83"/>
  <c r="F253" i="83" s="1"/>
  <c r="T252" i="83"/>
  <c r="L251" i="85"/>
  <c r="G252" i="28" s="1"/>
  <c r="J253" i="83" l="1"/>
  <c r="H253" i="83"/>
  <c r="AP253" i="83"/>
  <c r="AQ253" i="83"/>
  <c r="C253" i="28"/>
  <c r="H252" i="85"/>
  <c r="AA252" i="85"/>
  <c r="AD252" i="85" s="1"/>
  <c r="P252" i="84" s="1"/>
  <c r="AR253" i="84" s="1"/>
  <c r="U252" i="83"/>
  <c r="AT252" i="84"/>
  <c r="AS252" i="84"/>
  <c r="G252" i="84" s="1"/>
  <c r="I252" i="84" s="1"/>
  <c r="K253" i="83" l="1"/>
  <c r="M253" i="83"/>
  <c r="N253" i="83" s="1"/>
  <c r="S252" i="85"/>
  <c r="G252" i="85" s="1"/>
  <c r="O252" i="84"/>
  <c r="Q252" i="84"/>
  <c r="F253" i="84" s="1"/>
  <c r="T252" i="84"/>
  <c r="U252" i="84" s="1"/>
  <c r="J252" i="85"/>
  <c r="T252" i="85"/>
  <c r="E253" i="28" l="1"/>
  <c r="K252" i="85"/>
  <c r="F253" i="28" s="1"/>
  <c r="D253" i="28"/>
  <c r="N252" i="85"/>
  <c r="J253" i="84"/>
  <c r="H253" i="84"/>
  <c r="AP253" i="84"/>
  <c r="AQ253" i="84"/>
  <c r="AT253" i="83"/>
  <c r="AS253" i="83"/>
  <c r="G253" i="83" s="1"/>
  <c r="I253" i="83" s="1"/>
  <c r="L252" i="85" l="1"/>
  <c r="G253" i="28" s="1"/>
  <c r="M253" i="84"/>
  <c r="N253" i="84" s="1"/>
  <c r="K253" i="84"/>
  <c r="O253" i="83"/>
  <c r="T253" i="83"/>
  <c r="Q253" i="83"/>
  <c r="F254" i="83" s="1"/>
  <c r="P253" i="85"/>
  <c r="F253" i="85" s="1"/>
  <c r="I253" i="28"/>
  <c r="C254" i="28" l="1"/>
  <c r="H253" i="85"/>
  <c r="AA253" i="85"/>
  <c r="AD253" i="85" s="1"/>
  <c r="P253" i="84" s="1"/>
  <c r="AR254" i="84" s="1"/>
  <c r="U253" i="83"/>
  <c r="AT253" i="84"/>
  <c r="AS253" i="84"/>
  <c r="G253" i="84" s="1"/>
  <c r="I253" i="84" s="1"/>
  <c r="J254" i="83"/>
  <c r="H254" i="83"/>
  <c r="AQ254" i="83"/>
  <c r="AP254" i="83"/>
  <c r="S253" i="85" l="1"/>
  <c r="G253" i="85" s="1"/>
  <c r="O253" i="84"/>
  <c r="T253" i="84"/>
  <c r="U253" i="84" s="1"/>
  <c r="Q253" i="84"/>
  <c r="F254" i="84" s="1"/>
  <c r="K254" i="83"/>
  <c r="M254" i="83"/>
  <c r="N254" i="83" s="1"/>
  <c r="J253" i="85"/>
  <c r="T253" i="85"/>
  <c r="J254" i="84" l="1"/>
  <c r="AP254" i="84"/>
  <c r="AQ254" i="84"/>
  <c r="H254" i="84"/>
  <c r="E254" i="28"/>
  <c r="K253" i="85"/>
  <c r="F254" i="28" s="1"/>
  <c r="AT254" i="83"/>
  <c r="AS254" i="83"/>
  <c r="G254" i="83" s="1"/>
  <c r="I254" i="83" s="1"/>
  <c r="D254" i="28"/>
  <c r="N253" i="85"/>
  <c r="L253" i="85" l="1"/>
  <c r="G254" i="28" s="1"/>
  <c r="K254" i="84"/>
  <c r="M254" i="84"/>
  <c r="N254" i="84" s="1"/>
  <c r="O254" i="83"/>
  <c r="Q254" i="83"/>
  <c r="F255" i="83" s="1"/>
  <c r="T254" i="83"/>
  <c r="P254" i="85"/>
  <c r="F254" i="85" s="1"/>
  <c r="I254" i="28"/>
  <c r="H254" i="85" l="1"/>
  <c r="C255" i="28"/>
  <c r="AA254" i="85"/>
  <c r="AD254" i="85" s="1"/>
  <c r="P254" i="84" s="1"/>
  <c r="AR255" i="84" s="1"/>
  <c r="U254" i="83"/>
  <c r="AT254" i="84"/>
  <c r="AS254" i="84"/>
  <c r="G254" i="84" s="1"/>
  <c r="I254" i="84" s="1"/>
  <c r="J255" i="83"/>
  <c r="H255" i="83"/>
  <c r="AP255" i="83"/>
  <c r="AQ255" i="83"/>
  <c r="S254" i="85" l="1"/>
  <c r="G254" i="85" s="1"/>
  <c r="O254" i="84"/>
  <c r="Q254" i="84"/>
  <c r="F255" i="84" s="1"/>
  <c r="T254" i="84"/>
  <c r="U254" i="84" s="1"/>
  <c r="J254" i="85"/>
  <c r="T254" i="85"/>
  <c r="K255" i="83"/>
  <c r="M255" i="83"/>
  <c r="N255" i="83" s="1"/>
  <c r="J255" i="84" l="1"/>
  <c r="H255" i="84"/>
  <c r="AP255" i="84"/>
  <c r="AQ255" i="84"/>
  <c r="AT255" i="83"/>
  <c r="AS255" i="83"/>
  <c r="G255" i="83" s="1"/>
  <c r="I255" i="83" s="1"/>
  <c r="E255" i="28"/>
  <c r="K254" i="85"/>
  <c r="F255" i="28" s="1"/>
  <c r="D255" i="28"/>
  <c r="N254" i="85"/>
  <c r="L254" i="85" l="1"/>
  <c r="G255" i="28" s="1"/>
  <c r="O255" i="83"/>
  <c r="Q255" i="83"/>
  <c r="F256" i="83" s="1"/>
  <c r="T255" i="83"/>
  <c r="P255" i="85"/>
  <c r="F255" i="85" s="1"/>
  <c r="I255" i="28"/>
  <c r="K255" i="84"/>
  <c r="M255" i="84"/>
  <c r="N255" i="84" s="1"/>
  <c r="H255" i="85" l="1"/>
  <c r="C256" i="28"/>
  <c r="AT255" i="84"/>
  <c r="AS255" i="84"/>
  <c r="G255" i="84" s="1"/>
  <c r="I255" i="84" s="1"/>
  <c r="AA255" i="85"/>
  <c r="AD255" i="85" s="1"/>
  <c r="P255" i="84" s="1"/>
  <c r="AR256" i="84" s="1"/>
  <c r="U255" i="83"/>
  <c r="J256" i="83"/>
  <c r="H256" i="83"/>
  <c r="AQ256" i="83"/>
  <c r="AP256" i="83"/>
  <c r="J255" i="85" l="1"/>
  <c r="T255" i="85"/>
  <c r="K256" i="83"/>
  <c r="M256" i="83"/>
  <c r="N256" i="83" s="1"/>
  <c r="O255" i="84"/>
  <c r="S255" i="85"/>
  <c r="G255" i="85" s="1"/>
  <c r="T255" i="84"/>
  <c r="U255" i="84" s="1"/>
  <c r="Q255" i="84"/>
  <c r="F256" i="84" s="1"/>
  <c r="D256" i="28" l="1"/>
  <c r="N255" i="85"/>
  <c r="AT256" i="83"/>
  <c r="AS256" i="83"/>
  <c r="G256" i="83" s="1"/>
  <c r="I256" i="83" s="1"/>
  <c r="E256" i="28"/>
  <c r="K255" i="85"/>
  <c r="F256" i="28" s="1"/>
  <c r="J256" i="84"/>
  <c r="H256" i="84"/>
  <c r="AP256" i="84"/>
  <c r="AQ256" i="84"/>
  <c r="K256" i="84" l="1"/>
  <c r="M256" i="84"/>
  <c r="N256" i="84" s="1"/>
  <c r="P256" i="85"/>
  <c r="F256" i="85"/>
  <c r="I256" i="28"/>
  <c r="L255" i="85"/>
  <c r="G256" i="28" s="1"/>
  <c r="O256" i="83"/>
  <c r="T256" i="83"/>
  <c r="Q256" i="83"/>
  <c r="F257" i="83" s="1"/>
  <c r="C257" i="28" l="1"/>
  <c r="H256" i="85"/>
  <c r="AA256" i="85"/>
  <c r="AD256" i="85" s="1"/>
  <c r="P256" i="84" s="1"/>
  <c r="AR257" i="84" s="1"/>
  <c r="U256" i="83"/>
  <c r="J257" i="83"/>
  <c r="AP257" i="83"/>
  <c r="H257" i="83"/>
  <c r="AQ257" i="83"/>
  <c r="AT256" i="84"/>
  <c r="AS256" i="84"/>
  <c r="G256" i="84" s="1"/>
  <c r="I256" i="84" s="1"/>
  <c r="K257" i="83" l="1"/>
  <c r="M257" i="83"/>
  <c r="N257" i="83" s="1"/>
  <c r="T256" i="85"/>
  <c r="J256" i="85"/>
  <c r="S256" i="85"/>
  <c r="G256" i="85" s="1"/>
  <c r="O256" i="84"/>
  <c r="T256" i="84"/>
  <c r="U256" i="84" s="1"/>
  <c r="Q256" i="84"/>
  <c r="F257" i="84" s="1"/>
  <c r="K256" i="85" l="1"/>
  <c r="F257" i="28" s="1"/>
  <c r="E257" i="28"/>
  <c r="D257" i="28"/>
  <c r="N256" i="85"/>
  <c r="J257" i="84"/>
  <c r="H257" i="84"/>
  <c r="AP257" i="84"/>
  <c r="AQ257" i="84"/>
  <c r="AT257" i="83"/>
  <c r="AS257" i="83"/>
  <c r="G257" i="83" s="1"/>
  <c r="I257" i="83" s="1"/>
  <c r="M257" i="84" l="1"/>
  <c r="N257" i="84" s="1"/>
  <c r="K257" i="84"/>
  <c r="L256" i="85"/>
  <c r="G257" i="28" s="1"/>
  <c r="O257" i="83"/>
  <c r="T257" i="83"/>
  <c r="Q257" i="83"/>
  <c r="F258" i="83" s="1"/>
  <c r="P257" i="85"/>
  <c r="F257" i="85" s="1"/>
  <c r="I257" i="28"/>
  <c r="H257" i="85" l="1"/>
  <c r="C258" i="28"/>
  <c r="J258" i="83"/>
  <c r="H258" i="83"/>
  <c r="AP258" i="83"/>
  <c r="AQ258" i="83"/>
  <c r="AT257" i="84"/>
  <c r="AS257" i="84"/>
  <c r="G257" i="84" s="1"/>
  <c r="I257" i="84" s="1"/>
  <c r="AA257" i="85"/>
  <c r="AD257" i="85" s="1"/>
  <c r="P257" i="84" s="1"/>
  <c r="AR258" i="84" s="1"/>
  <c r="U257" i="83"/>
  <c r="S257" i="85" l="1"/>
  <c r="G257" i="85" s="1"/>
  <c r="O257" i="84"/>
  <c r="Q257" i="84"/>
  <c r="F258" i="84" s="1"/>
  <c r="T257" i="84"/>
  <c r="U257" i="84" s="1"/>
  <c r="K258" i="83"/>
  <c r="M258" i="83"/>
  <c r="N258" i="83" s="1"/>
  <c r="J257" i="85"/>
  <c r="T257" i="85"/>
  <c r="E258" i="28" l="1"/>
  <c r="K257" i="85"/>
  <c r="F258" i="28" s="1"/>
  <c r="H258" i="84"/>
  <c r="AP258" i="84"/>
  <c r="J258" i="84"/>
  <c r="AQ258" i="84"/>
  <c r="AT258" i="83"/>
  <c r="AS258" i="83"/>
  <c r="G258" i="83" s="1"/>
  <c r="I258" i="83" s="1"/>
  <c r="D258" i="28"/>
  <c r="L257" i="85"/>
  <c r="G258" i="28" s="1"/>
  <c r="N257" i="85"/>
  <c r="K258" i="84" l="1"/>
  <c r="M258" i="84"/>
  <c r="N258" i="84" s="1"/>
  <c r="O258" i="83"/>
  <c r="Q258" i="83"/>
  <c r="F259" i="83" s="1"/>
  <c r="T258" i="83"/>
  <c r="P258" i="85"/>
  <c r="F258" i="85" s="1"/>
  <c r="I258" i="28"/>
  <c r="C259" i="28" l="1"/>
  <c r="H258" i="85"/>
  <c r="J259" i="83"/>
  <c r="H259" i="83"/>
  <c r="AP259" i="83"/>
  <c r="AQ259" i="83"/>
  <c r="AA258" i="85"/>
  <c r="AD258" i="85" s="1"/>
  <c r="P258" i="84" s="1"/>
  <c r="U258" i="83"/>
  <c r="V259" i="83" s="1"/>
  <c r="AT258" i="84"/>
  <c r="AS258" i="84"/>
  <c r="G258" i="84" s="1"/>
  <c r="I258" i="84" s="1"/>
  <c r="AR259" i="83" l="1"/>
  <c r="AR260" i="83" s="1"/>
  <c r="T258" i="85"/>
  <c r="J258" i="85"/>
  <c r="S258" i="85"/>
  <c r="G258" i="85" s="1"/>
  <c r="O258" i="84"/>
  <c r="T258" i="84"/>
  <c r="U258" i="84" s="1"/>
  <c r="V259" i="84" s="1"/>
  <c r="Q258" i="84"/>
  <c r="F259" i="84" s="1"/>
  <c r="K259" i="83"/>
  <c r="AT259" i="83" s="1"/>
  <c r="M259" i="83"/>
  <c r="N259" i="83" s="1"/>
  <c r="K258" i="85" l="1"/>
  <c r="F259" i="28" s="1"/>
  <c r="E259" i="28"/>
  <c r="AQ259" i="84"/>
  <c r="J259" i="84"/>
  <c r="H259" i="84"/>
  <c r="AP259" i="84"/>
  <c r="D259" i="28"/>
  <c r="N258" i="85"/>
  <c r="AS259" i="83"/>
  <c r="G259" i="83" s="1"/>
  <c r="I259" i="83" s="1"/>
  <c r="AR261" i="83"/>
  <c r="AR259" i="84" l="1"/>
  <c r="L258" i="85"/>
  <c r="G259" i="28" s="1"/>
  <c r="O259" i="83"/>
  <c r="T259" i="83"/>
  <c r="Q259" i="83"/>
  <c r="F260" i="83" s="1"/>
  <c r="M259" i="84"/>
  <c r="N259" i="84" s="1"/>
  <c r="K259" i="84"/>
  <c r="AT259" i="84" s="1"/>
  <c r="AR262" i="83"/>
  <c r="P259" i="85"/>
  <c r="F259" i="85" s="1"/>
  <c r="I259" i="28"/>
  <c r="H259" i="85" l="1"/>
  <c r="C260" i="28"/>
  <c r="J260" i="83"/>
  <c r="H260" i="83"/>
  <c r="AQ260" i="83"/>
  <c r="AP260" i="83"/>
  <c r="U259" i="83"/>
  <c r="AA259" i="85"/>
  <c r="AD259" i="85" s="1"/>
  <c r="P259" i="84" s="1"/>
  <c r="AR260" i="84" s="1"/>
  <c r="AR263" i="83"/>
  <c r="AS259" i="84"/>
  <c r="G259" i="84" s="1"/>
  <c r="I259" i="84" s="1"/>
  <c r="O259" i="84" l="1"/>
  <c r="S259" i="85"/>
  <c r="G259" i="85" s="1"/>
  <c r="Q259" i="84"/>
  <c r="F260" i="84" s="1"/>
  <c r="T259" i="84"/>
  <c r="U259" i="84" s="1"/>
  <c r="J259" i="85"/>
  <c r="T259" i="85"/>
  <c r="AR264" i="83"/>
  <c r="M260" i="83"/>
  <c r="N260" i="83" s="1"/>
  <c r="K260" i="83"/>
  <c r="D260" i="28" l="1"/>
  <c r="N259" i="85"/>
  <c r="J260" i="84"/>
  <c r="H260" i="84"/>
  <c r="AP260" i="84"/>
  <c r="AQ260" i="84"/>
  <c r="AT260" i="83"/>
  <c r="AS260" i="83"/>
  <c r="G260" i="83" s="1"/>
  <c r="I260" i="83" s="1"/>
  <c r="K259" i="85"/>
  <c r="F260" i="28" s="1"/>
  <c r="E260" i="28"/>
  <c r="AR265" i="83"/>
  <c r="AR266" i="83" l="1"/>
  <c r="P260" i="85"/>
  <c r="F260" i="85" s="1"/>
  <c r="I260" i="28"/>
  <c r="O260" i="83"/>
  <c r="Q260" i="83"/>
  <c r="F261" i="83" s="1"/>
  <c r="T260" i="83"/>
  <c r="L259" i="85"/>
  <c r="G260" i="28" s="1"/>
  <c r="K260" i="84"/>
  <c r="M260" i="84"/>
  <c r="N260" i="84" s="1"/>
  <c r="H261" i="83" l="1"/>
  <c r="AQ261" i="83"/>
  <c r="AP261" i="83"/>
  <c r="J261" i="83"/>
  <c r="C261" i="28"/>
  <c r="H260" i="85"/>
  <c r="AT260" i="84"/>
  <c r="AS260" i="84"/>
  <c r="G260" i="84" s="1"/>
  <c r="I260" i="84" s="1"/>
  <c r="AR267" i="83"/>
  <c r="AA260" i="85"/>
  <c r="AD260" i="85" s="1"/>
  <c r="P260" i="84" s="1"/>
  <c r="AR261" i="84" s="1"/>
  <c r="U260" i="83"/>
  <c r="S260" i="85" l="1"/>
  <c r="G260" i="85" s="1"/>
  <c r="O260" i="84"/>
  <c r="Q260" i="84"/>
  <c r="F261" i="84" s="1"/>
  <c r="T260" i="84"/>
  <c r="U260" i="84" s="1"/>
  <c r="K261" i="83"/>
  <c r="M261" i="83"/>
  <c r="N261" i="83" s="1"/>
  <c r="AR268" i="83"/>
  <c r="T260" i="85"/>
  <c r="J260" i="85"/>
  <c r="J261" i="84" l="1"/>
  <c r="H261" i="84"/>
  <c r="AP261" i="84"/>
  <c r="AQ261" i="84"/>
  <c r="E261" i="28"/>
  <c r="K260" i="85"/>
  <c r="F261" i="28" s="1"/>
  <c r="AT261" i="83"/>
  <c r="AS261" i="83"/>
  <c r="G261" i="83" s="1"/>
  <c r="I261" i="83" s="1"/>
  <c r="AR269" i="83"/>
  <c r="D261" i="28"/>
  <c r="N260" i="85"/>
  <c r="P261" i="85" l="1"/>
  <c r="F261" i="85" s="1"/>
  <c r="I261" i="28"/>
  <c r="O261" i="83"/>
  <c r="T261" i="83"/>
  <c r="Q261" i="83"/>
  <c r="F262" i="83" s="1"/>
  <c r="K261" i="84"/>
  <c r="M261" i="84"/>
  <c r="N261" i="84" s="1"/>
  <c r="AR270" i="83"/>
  <c r="L260" i="85"/>
  <c r="G261" i="28" s="1"/>
  <c r="AT261" i="84" l="1"/>
  <c r="AS261" i="84"/>
  <c r="G261" i="84" s="1"/>
  <c r="I261" i="84" s="1"/>
  <c r="J262" i="83"/>
  <c r="H262" i="83"/>
  <c r="AQ262" i="83"/>
  <c r="AP262" i="83"/>
  <c r="AA261" i="85"/>
  <c r="AD261" i="85" s="1"/>
  <c r="P261" i="84" s="1"/>
  <c r="AR262" i="84" s="1"/>
  <c r="U261" i="83"/>
  <c r="H261" i="85"/>
  <c r="C262" i="28"/>
  <c r="T261" i="85" l="1"/>
  <c r="J261" i="85"/>
  <c r="K262" i="83"/>
  <c r="M262" i="83"/>
  <c r="N262" i="83" s="1"/>
  <c r="S261" i="85"/>
  <c r="G261" i="85" s="1"/>
  <c r="O261" i="84"/>
  <c r="Q261" i="84"/>
  <c r="F262" i="84" s="1"/>
  <c r="T261" i="84"/>
  <c r="U261" i="84" s="1"/>
  <c r="AQ262" i="84" l="1"/>
  <c r="J262" i="84"/>
  <c r="H262" i="84"/>
  <c r="AP262" i="84"/>
  <c r="AT262" i="83"/>
  <c r="AS262" i="83"/>
  <c r="G262" i="83" s="1"/>
  <c r="I262" i="83" s="1"/>
  <c r="D262" i="28"/>
  <c r="N261" i="85"/>
  <c r="K261" i="85"/>
  <c r="F262" i="28" s="1"/>
  <c r="E262" i="28"/>
  <c r="O262" i="83" l="1"/>
  <c r="T262" i="83"/>
  <c r="Q262" i="83"/>
  <c r="F263" i="83" s="1"/>
  <c r="P262" i="85"/>
  <c r="F262" i="85" s="1"/>
  <c r="I262" i="28"/>
  <c r="K262" i="84"/>
  <c r="M262" i="84"/>
  <c r="N262" i="84" s="1"/>
  <c r="L261" i="85"/>
  <c r="G262" i="28" s="1"/>
  <c r="C263" i="28" l="1"/>
  <c r="H262" i="85"/>
  <c r="J263" i="83"/>
  <c r="H263" i="83"/>
  <c r="AQ263" i="83"/>
  <c r="AP263" i="83"/>
  <c r="AT262" i="84"/>
  <c r="AS262" i="84"/>
  <c r="G262" i="84" s="1"/>
  <c r="I262" i="84" s="1"/>
  <c r="AA262" i="85"/>
  <c r="AD262" i="85" s="1"/>
  <c r="P262" i="84" s="1"/>
  <c r="AR263" i="84" s="1"/>
  <c r="U262" i="83"/>
  <c r="S262" i="85" l="1"/>
  <c r="G262" i="85" s="1"/>
  <c r="O262" i="84"/>
  <c r="Q262" i="84"/>
  <c r="F263" i="84" s="1"/>
  <c r="T262" i="84"/>
  <c r="U262" i="84" s="1"/>
  <c r="T262" i="85"/>
  <c r="J262" i="85"/>
  <c r="K263" i="83"/>
  <c r="M263" i="83"/>
  <c r="N263" i="83" s="1"/>
  <c r="AT263" i="83" l="1"/>
  <c r="AS263" i="83"/>
  <c r="G263" i="83" s="1"/>
  <c r="I263" i="83" s="1"/>
  <c r="J263" i="84"/>
  <c r="H263" i="84"/>
  <c r="AP263" i="84"/>
  <c r="AQ263" i="84"/>
  <c r="K262" i="85"/>
  <c r="F263" i="28" s="1"/>
  <c r="E263" i="28"/>
  <c r="D263" i="28"/>
  <c r="N262" i="85"/>
  <c r="P263" i="85" l="1"/>
  <c r="F263" i="85" s="1"/>
  <c r="I263" i="28"/>
  <c r="L262" i="85"/>
  <c r="G263" i="28" s="1"/>
  <c r="K263" i="84"/>
  <c r="M263" i="84"/>
  <c r="N263" i="84" s="1"/>
  <c r="O263" i="83"/>
  <c r="Q263" i="83"/>
  <c r="F264" i="83" s="1"/>
  <c r="T263" i="83"/>
  <c r="H263" i="85" l="1"/>
  <c r="C264" i="28"/>
  <c r="J264" i="83"/>
  <c r="H264" i="83"/>
  <c r="AQ264" i="83"/>
  <c r="AP264" i="83"/>
  <c r="U263" i="83"/>
  <c r="AA263" i="85"/>
  <c r="AD263" i="85" s="1"/>
  <c r="P263" i="84" s="1"/>
  <c r="AR264" i="84" s="1"/>
  <c r="AT263" i="84"/>
  <c r="AS263" i="84"/>
  <c r="G263" i="84" s="1"/>
  <c r="I263" i="84" s="1"/>
  <c r="T263" i="85" l="1"/>
  <c r="J263" i="85"/>
  <c r="S263" i="85"/>
  <c r="G263" i="85" s="1"/>
  <c r="O263" i="84"/>
  <c r="Q263" i="84"/>
  <c r="F264" i="84" s="1"/>
  <c r="T263" i="84"/>
  <c r="U263" i="84" s="1"/>
  <c r="M264" i="83"/>
  <c r="N264" i="83" s="1"/>
  <c r="K264" i="83"/>
  <c r="K263" i="85" l="1"/>
  <c r="F264" i="28" s="1"/>
  <c r="E264" i="28"/>
  <c r="J264" i="84"/>
  <c r="H264" i="84"/>
  <c r="AQ264" i="84"/>
  <c r="AP264" i="84"/>
  <c r="D264" i="28"/>
  <c r="N263" i="85"/>
  <c r="AT264" i="83"/>
  <c r="AS264" i="83"/>
  <c r="G264" i="83" s="1"/>
  <c r="I264" i="83" s="1"/>
  <c r="L263" i="85" l="1"/>
  <c r="G264" i="28" s="1"/>
  <c r="K264" i="84"/>
  <c r="M264" i="84"/>
  <c r="N264" i="84" s="1"/>
  <c r="P264" i="85"/>
  <c r="F264" i="85" s="1"/>
  <c r="I264" i="28"/>
  <c r="O264" i="83"/>
  <c r="T264" i="83"/>
  <c r="Q264" i="83"/>
  <c r="F265" i="83" s="1"/>
  <c r="J265" i="83" l="1"/>
  <c r="AQ265" i="83"/>
  <c r="H265" i="83"/>
  <c r="AP265" i="83"/>
  <c r="AA264" i="85"/>
  <c r="AD264" i="85" s="1"/>
  <c r="P264" i="84" s="1"/>
  <c r="AR265" i="84" s="1"/>
  <c r="U264" i="83"/>
  <c r="C265" i="28"/>
  <c r="H264" i="85"/>
  <c r="AT264" i="84"/>
  <c r="AS264" i="84"/>
  <c r="G264" i="84" s="1"/>
  <c r="I264" i="84" s="1"/>
  <c r="J264" i="85" l="1"/>
  <c r="T264" i="85"/>
  <c r="K265" i="83"/>
  <c r="M265" i="83"/>
  <c r="N265" i="83" s="1"/>
  <c r="S264" i="85"/>
  <c r="G264" i="85" s="1"/>
  <c r="O264" i="84"/>
  <c r="Q264" i="84"/>
  <c r="F265" i="84" s="1"/>
  <c r="T264" i="84"/>
  <c r="U264" i="84" s="1"/>
  <c r="J265" i="84" l="1"/>
  <c r="H265" i="84"/>
  <c r="AQ265" i="84"/>
  <c r="AP265" i="84"/>
  <c r="AT265" i="83"/>
  <c r="AS265" i="83"/>
  <c r="G265" i="83" s="1"/>
  <c r="I265" i="83" s="1"/>
  <c r="D265" i="28"/>
  <c r="N264" i="85"/>
  <c r="K264" i="85"/>
  <c r="F265" i="28" s="1"/>
  <c r="E265" i="28"/>
  <c r="P265" i="85" l="1"/>
  <c r="F265" i="85" s="1"/>
  <c r="I265" i="28"/>
  <c r="O265" i="83"/>
  <c r="T265" i="83"/>
  <c r="Q265" i="83"/>
  <c r="F266" i="83" s="1"/>
  <c r="L264" i="85"/>
  <c r="G265" i="28" s="1"/>
  <c r="K265" i="84"/>
  <c r="M265" i="84"/>
  <c r="N265" i="84" s="1"/>
  <c r="C266" i="28" l="1"/>
  <c r="H265" i="85"/>
  <c r="AT265" i="84"/>
  <c r="AS265" i="84"/>
  <c r="G265" i="84" s="1"/>
  <c r="I265" i="84" s="1"/>
  <c r="J266" i="83"/>
  <c r="H266" i="83"/>
  <c r="AP266" i="83"/>
  <c r="AQ266" i="83"/>
  <c r="AA265" i="85"/>
  <c r="AD265" i="85" s="1"/>
  <c r="P265" i="84" s="1"/>
  <c r="AR266" i="84" s="1"/>
  <c r="U265" i="83"/>
  <c r="J265" i="85" l="1"/>
  <c r="T265" i="85"/>
  <c r="K266" i="83"/>
  <c r="M266" i="83"/>
  <c r="N266" i="83" s="1"/>
  <c r="S265" i="85"/>
  <c r="G265" i="85" s="1"/>
  <c r="O265" i="84"/>
  <c r="Q265" i="84"/>
  <c r="F266" i="84" s="1"/>
  <c r="T265" i="84"/>
  <c r="U265" i="84" s="1"/>
  <c r="AT266" i="83" l="1"/>
  <c r="AS266" i="83"/>
  <c r="G266" i="83" s="1"/>
  <c r="I266" i="83" s="1"/>
  <c r="AP266" i="84"/>
  <c r="AQ266" i="84"/>
  <c r="J266" i="84"/>
  <c r="H266" i="84"/>
  <c r="D266" i="28"/>
  <c r="N265" i="85"/>
  <c r="K265" i="85"/>
  <c r="F266" i="28" s="1"/>
  <c r="E266" i="28"/>
  <c r="P266" i="85" l="1"/>
  <c r="F266" i="85" s="1"/>
  <c r="I266" i="28"/>
  <c r="K266" i="84"/>
  <c r="M266" i="84"/>
  <c r="N266" i="84" s="1"/>
  <c r="O266" i="83"/>
  <c r="Q266" i="83"/>
  <c r="F267" i="83" s="1"/>
  <c r="T266" i="83"/>
  <c r="L265" i="85"/>
  <c r="G266" i="28" s="1"/>
  <c r="C267" i="28" l="1"/>
  <c r="H266" i="85"/>
  <c r="J267" i="83"/>
  <c r="H267" i="83"/>
  <c r="AP267" i="83"/>
  <c r="AQ267" i="83"/>
  <c r="AA266" i="85"/>
  <c r="AD266" i="85" s="1"/>
  <c r="P266" i="84" s="1"/>
  <c r="AR267" i="84" s="1"/>
  <c r="U266" i="83"/>
  <c r="AT266" i="84"/>
  <c r="AS266" i="84"/>
  <c r="G266" i="84" s="1"/>
  <c r="I266" i="84" s="1"/>
  <c r="S266" i="85" l="1"/>
  <c r="G266" i="85" s="1"/>
  <c r="O266" i="84"/>
  <c r="T266" i="84"/>
  <c r="U266" i="84" s="1"/>
  <c r="Q266" i="84"/>
  <c r="F267" i="84" s="1"/>
  <c r="K267" i="83"/>
  <c r="M267" i="83"/>
  <c r="N267" i="83" s="1"/>
  <c r="J266" i="85"/>
  <c r="T266" i="85"/>
  <c r="D267" i="28" l="1"/>
  <c r="N266" i="85"/>
  <c r="AT267" i="83"/>
  <c r="AS267" i="83"/>
  <c r="G267" i="83" s="1"/>
  <c r="I267" i="83" s="1"/>
  <c r="J267" i="84"/>
  <c r="H267" i="84"/>
  <c r="AQ267" i="84"/>
  <c r="AP267" i="84"/>
  <c r="K266" i="85"/>
  <c r="F267" i="28" s="1"/>
  <c r="E267" i="28"/>
  <c r="P267" i="85" l="1"/>
  <c r="F267" i="85" s="1"/>
  <c r="I267" i="28"/>
  <c r="K267" i="84"/>
  <c r="M267" i="84"/>
  <c r="N267" i="84" s="1"/>
  <c r="L266" i="85"/>
  <c r="G267" i="28" s="1"/>
  <c r="O267" i="83"/>
  <c r="T267" i="83"/>
  <c r="Q267" i="83"/>
  <c r="F268" i="83" s="1"/>
  <c r="H267" i="85" l="1"/>
  <c r="C268" i="28"/>
  <c r="AA267" i="85"/>
  <c r="AD267" i="85" s="1"/>
  <c r="P267" i="84" s="1"/>
  <c r="AR268" i="84" s="1"/>
  <c r="U267" i="83"/>
  <c r="AT267" i="84"/>
  <c r="AS267" i="84"/>
  <c r="G267" i="84" s="1"/>
  <c r="I267" i="84" s="1"/>
  <c r="J268" i="83"/>
  <c r="H268" i="83"/>
  <c r="AP268" i="83"/>
  <c r="AQ268" i="83"/>
  <c r="S267" i="85" l="1"/>
  <c r="G267" i="85" s="1"/>
  <c r="O267" i="84"/>
  <c r="T267" i="84"/>
  <c r="U267" i="84" s="1"/>
  <c r="Q267" i="84"/>
  <c r="F268" i="84" s="1"/>
  <c r="J267" i="85"/>
  <c r="T267" i="85"/>
  <c r="K268" i="83"/>
  <c r="M268" i="83"/>
  <c r="N268" i="83" s="1"/>
  <c r="J268" i="84" l="1"/>
  <c r="H268" i="84"/>
  <c r="AQ268" i="84"/>
  <c r="AP268" i="84"/>
  <c r="AT268" i="83"/>
  <c r="AS268" i="83"/>
  <c r="G268" i="83" s="1"/>
  <c r="I268" i="83" s="1"/>
  <c r="K267" i="85"/>
  <c r="F268" i="28" s="1"/>
  <c r="E268" i="28"/>
  <c r="D268" i="28"/>
  <c r="N267" i="85"/>
  <c r="L267" i="85" l="1"/>
  <c r="G268" i="28" s="1"/>
  <c r="O268" i="83"/>
  <c r="Q268" i="83"/>
  <c r="F269" i="83" s="1"/>
  <c r="T268" i="83"/>
  <c r="K268" i="84"/>
  <c r="M268" i="84"/>
  <c r="N268" i="84" s="1"/>
  <c r="P268" i="85"/>
  <c r="F268" i="85" s="1"/>
  <c r="I268" i="28"/>
  <c r="C269" i="28" l="1"/>
  <c r="H268" i="85"/>
  <c r="AT268" i="84"/>
  <c r="AS268" i="84"/>
  <c r="G268" i="84" s="1"/>
  <c r="I268" i="84" s="1"/>
  <c r="AA268" i="85"/>
  <c r="AD268" i="85" s="1"/>
  <c r="P268" i="84" s="1"/>
  <c r="AR269" i="84" s="1"/>
  <c r="U268" i="83"/>
  <c r="AP269" i="83"/>
  <c r="J269" i="83"/>
  <c r="H269" i="83"/>
  <c r="AQ269" i="83"/>
  <c r="K269" i="83" l="1"/>
  <c r="M269" i="83"/>
  <c r="N269" i="83" s="1"/>
  <c r="T268" i="85"/>
  <c r="J268" i="85"/>
  <c r="S268" i="85"/>
  <c r="G268" i="85" s="1"/>
  <c r="O268" i="84"/>
  <c r="Q268" i="84"/>
  <c r="F269" i="84" s="1"/>
  <c r="T268" i="84"/>
  <c r="U268" i="84" s="1"/>
  <c r="J269" i="84" l="1"/>
  <c r="H269" i="84"/>
  <c r="AP269" i="84"/>
  <c r="AQ269" i="84"/>
  <c r="E269" i="28"/>
  <c r="K268" i="85"/>
  <c r="F269" i="28" s="1"/>
  <c r="D269" i="28"/>
  <c r="N268" i="85"/>
  <c r="AT269" i="83"/>
  <c r="AS269" i="83"/>
  <c r="G269" i="83" s="1"/>
  <c r="I269" i="83" s="1"/>
  <c r="P269" i="85" l="1"/>
  <c r="F269" i="85" s="1"/>
  <c r="I269" i="28"/>
  <c r="L268" i="85"/>
  <c r="G269" i="28" s="1"/>
  <c r="M269" i="84"/>
  <c r="N269" i="84" s="1"/>
  <c r="K269" i="84"/>
  <c r="O269" i="83"/>
  <c r="Q269" i="83"/>
  <c r="F270" i="83" s="1"/>
  <c r="T269" i="83"/>
  <c r="AA269" i="85" l="1"/>
  <c r="AD269" i="85" s="1"/>
  <c r="P269" i="84" s="1"/>
  <c r="AR270" i="84" s="1"/>
  <c r="U269" i="83"/>
  <c r="J270" i="83"/>
  <c r="H270" i="83"/>
  <c r="AQ270" i="83"/>
  <c r="AP270" i="83"/>
  <c r="AT269" i="84"/>
  <c r="AS269" i="84"/>
  <c r="G269" i="84" s="1"/>
  <c r="I269" i="84" s="1"/>
  <c r="C270" i="28"/>
  <c r="H269" i="85"/>
  <c r="K270" i="83" l="1"/>
  <c r="M270" i="83"/>
  <c r="N270" i="83" s="1"/>
  <c r="T269" i="85"/>
  <c r="J269" i="85"/>
  <c r="S269" i="85"/>
  <c r="G269" i="85" s="1"/>
  <c r="O269" i="84"/>
  <c r="Q269" i="84"/>
  <c r="F270" i="84" s="1"/>
  <c r="T269" i="84"/>
  <c r="U269" i="84" s="1"/>
  <c r="K269" i="85" l="1"/>
  <c r="F270" i="28" s="1"/>
  <c r="E270" i="28"/>
  <c r="H270" i="84"/>
  <c r="AQ270" i="84"/>
  <c r="AP270" i="84"/>
  <c r="J270" i="84"/>
  <c r="D270" i="28"/>
  <c r="L269" i="85"/>
  <c r="G270" i="28" s="1"/>
  <c r="N269" i="85"/>
  <c r="AT270" i="83"/>
  <c r="AS270" i="83"/>
  <c r="G270" i="83" s="1"/>
  <c r="I270" i="83" s="1"/>
  <c r="K270" i="84" l="1"/>
  <c r="M270" i="84"/>
  <c r="N270" i="84" s="1"/>
  <c r="P270" i="85"/>
  <c r="F270" i="85" s="1"/>
  <c r="I270" i="28"/>
  <c r="O270" i="83"/>
  <c r="Q270" i="83"/>
  <c r="F271" i="83" s="1"/>
  <c r="T270" i="83"/>
  <c r="H270" i="85" l="1"/>
  <c r="C271" i="28"/>
  <c r="AA270" i="85"/>
  <c r="AD270" i="85" s="1"/>
  <c r="P270" i="84" s="1"/>
  <c r="U270" i="83"/>
  <c r="V271" i="83" s="1"/>
  <c r="J271" i="83"/>
  <c r="H271" i="83"/>
  <c r="AP271" i="83"/>
  <c r="AQ271" i="83"/>
  <c r="AT270" i="84"/>
  <c r="AS270" i="84"/>
  <c r="G270" i="84" s="1"/>
  <c r="I270" i="84" s="1"/>
  <c r="AR271" i="83" l="1"/>
  <c r="AR272" i="83" s="1"/>
  <c r="J270" i="85"/>
  <c r="T270" i="85"/>
  <c r="K271" i="83"/>
  <c r="AT271" i="83" s="1"/>
  <c r="M271" i="83"/>
  <c r="N271" i="83" s="1"/>
  <c r="S270" i="85"/>
  <c r="G270" i="85" s="1"/>
  <c r="O270" i="84"/>
  <c r="T270" i="84"/>
  <c r="U270" i="84" s="1"/>
  <c r="V271" i="84" s="1"/>
  <c r="Q270" i="84"/>
  <c r="F271" i="84" s="1"/>
  <c r="AS271" i="83" l="1"/>
  <c r="G271" i="83" s="1"/>
  <c r="I271" i="83" s="1"/>
  <c r="AR273" i="83"/>
  <c r="D271" i="28"/>
  <c r="N270" i="85"/>
  <c r="AQ271" i="84"/>
  <c r="J271" i="84"/>
  <c r="H271" i="84"/>
  <c r="AP271" i="84"/>
  <c r="K270" i="85"/>
  <c r="F271" i="28" s="1"/>
  <c r="E271" i="28"/>
  <c r="M271" i="84" l="1"/>
  <c r="N271" i="84" s="1"/>
  <c r="K271" i="84"/>
  <c r="AT271" i="84" s="1"/>
  <c r="AR274" i="83"/>
  <c r="AR271" i="84"/>
  <c r="P271" i="85"/>
  <c r="F271" i="85" s="1"/>
  <c r="I271" i="28"/>
  <c r="L270" i="85"/>
  <c r="G271" i="28" s="1"/>
  <c r="O271" i="83"/>
  <c r="Q271" i="83"/>
  <c r="F272" i="83" s="1"/>
  <c r="T271" i="83"/>
  <c r="H271" i="85" l="1"/>
  <c r="C272" i="28"/>
  <c r="AR275" i="83"/>
  <c r="J272" i="83"/>
  <c r="H272" i="83"/>
  <c r="AQ272" i="83"/>
  <c r="AP272" i="83"/>
  <c r="U271" i="83"/>
  <c r="AA271" i="85"/>
  <c r="AD271" i="85" s="1"/>
  <c r="P271" i="84" s="1"/>
  <c r="AR272" i="84" s="1"/>
  <c r="AS271" i="84"/>
  <c r="G271" i="84" s="1"/>
  <c r="I271" i="84" s="1"/>
  <c r="O271" i="84" l="1"/>
  <c r="S271" i="85"/>
  <c r="G271" i="85" s="1"/>
  <c r="Q271" i="84"/>
  <c r="F272" i="84" s="1"/>
  <c r="T271" i="84"/>
  <c r="U271" i="84" s="1"/>
  <c r="T271" i="85"/>
  <c r="J271" i="85"/>
  <c r="K272" i="83"/>
  <c r="M272" i="83"/>
  <c r="N272" i="83" s="1"/>
  <c r="AR276" i="83"/>
  <c r="AT272" i="83" l="1"/>
  <c r="AS272" i="83"/>
  <c r="G272" i="83" s="1"/>
  <c r="I272" i="83" s="1"/>
  <c r="J272" i="84"/>
  <c r="H272" i="84"/>
  <c r="AQ272" i="84"/>
  <c r="AP272" i="84"/>
  <c r="AR277" i="83"/>
  <c r="K271" i="85"/>
  <c r="F272" i="28" s="1"/>
  <c r="E272" i="28"/>
  <c r="D272" i="28"/>
  <c r="N271" i="85"/>
  <c r="L271" i="85" l="1"/>
  <c r="G272" i="28" s="1"/>
  <c r="K272" i="84"/>
  <c r="M272" i="84"/>
  <c r="N272" i="84" s="1"/>
  <c r="P272" i="85"/>
  <c r="F272" i="85" s="1"/>
  <c r="I272" i="28"/>
  <c r="O272" i="83"/>
  <c r="T272" i="83"/>
  <c r="Q272" i="83"/>
  <c r="F273" i="83" s="1"/>
  <c r="AR278" i="83"/>
  <c r="C273" i="28" l="1"/>
  <c r="H272" i="85"/>
  <c r="AA272" i="85"/>
  <c r="AD272" i="85" s="1"/>
  <c r="P272" i="84" s="1"/>
  <c r="AR273" i="84" s="1"/>
  <c r="U272" i="83"/>
  <c r="H273" i="83"/>
  <c r="AQ273" i="83"/>
  <c r="J273" i="83"/>
  <c r="AP273" i="83"/>
  <c r="AT272" i="84"/>
  <c r="AS272" i="84"/>
  <c r="G272" i="84" s="1"/>
  <c r="I272" i="84" s="1"/>
  <c r="J272" i="85" l="1"/>
  <c r="T272" i="85"/>
  <c r="S272" i="85"/>
  <c r="G272" i="85" s="1"/>
  <c r="O272" i="84"/>
  <c r="Q272" i="84"/>
  <c r="F273" i="84" s="1"/>
  <c r="T272" i="84"/>
  <c r="U272" i="84" s="1"/>
  <c r="K273" i="83"/>
  <c r="M273" i="83"/>
  <c r="N273" i="83" s="1"/>
  <c r="AT273" i="83" l="1"/>
  <c r="AS273" i="83"/>
  <c r="G273" i="83" s="1"/>
  <c r="I273" i="83" s="1"/>
  <c r="J273" i="84"/>
  <c r="H273" i="84"/>
  <c r="AQ273" i="84"/>
  <c r="AP273" i="84"/>
  <c r="K272" i="85"/>
  <c r="F273" i="28" s="1"/>
  <c r="E273" i="28"/>
  <c r="D273" i="28"/>
  <c r="N272" i="85"/>
  <c r="L272" i="85" l="1"/>
  <c r="G273" i="28" s="1"/>
  <c r="O273" i="83"/>
  <c r="T273" i="83"/>
  <c r="Q273" i="83"/>
  <c r="F274" i="83" s="1"/>
  <c r="P273" i="85"/>
  <c r="F273" i="85" s="1"/>
  <c r="I273" i="28"/>
  <c r="M273" i="84"/>
  <c r="N273" i="84" s="1"/>
  <c r="K273" i="84"/>
  <c r="C274" i="28" l="1"/>
  <c r="H273" i="85"/>
  <c r="J274" i="83"/>
  <c r="H274" i="83"/>
  <c r="AP274" i="83"/>
  <c r="AQ274" i="83"/>
  <c r="AT273" i="84"/>
  <c r="AS273" i="84"/>
  <c r="G273" i="84" s="1"/>
  <c r="I273" i="84" s="1"/>
  <c r="AA273" i="85"/>
  <c r="AD273" i="85" s="1"/>
  <c r="P273" i="84" s="1"/>
  <c r="AR274" i="84" s="1"/>
  <c r="U273" i="83"/>
  <c r="S273" i="85" l="1"/>
  <c r="G273" i="85" s="1"/>
  <c r="O273" i="84"/>
  <c r="Q273" i="84"/>
  <c r="F274" i="84" s="1"/>
  <c r="T273" i="84"/>
  <c r="U273" i="84" s="1"/>
  <c r="J273" i="85"/>
  <c r="T273" i="85"/>
  <c r="K274" i="83"/>
  <c r="M274" i="83"/>
  <c r="N274" i="83" s="1"/>
  <c r="AT274" i="83" l="1"/>
  <c r="AS274" i="83"/>
  <c r="G274" i="83" s="1"/>
  <c r="I274" i="83" s="1"/>
  <c r="J274" i="84"/>
  <c r="AP274" i="84"/>
  <c r="H274" i="84"/>
  <c r="AQ274" i="84"/>
  <c r="K273" i="85"/>
  <c r="F274" i="28" s="1"/>
  <c r="E274" i="28"/>
  <c r="D274" i="28"/>
  <c r="N273" i="85"/>
  <c r="L273" i="85" l="1"/>
  <c r="G274" i="28" s="1"/>
  <c r="O274" i="83"/>
  <c r="Q274" i="83"/>
  <c r="F275" i="83" s="1"/>
  <c r="T274" i="83"/>
  <c r="P274" i="85"/>
  <c r="F274" i="85" s="1"/>
  <c r="I274" i="28"/>
  <c r="K274" i="84"/>
  <c r="M274" i="84"/>
  <c r="N274" i="84" s="1"/>
  <c r="H274" i="85" l="1"/>
  <c r="C275" i="28"/>
  <c r="AT274" i="84"/>
  <c r="AS274" i="84"/>
  <c r="G274" i="84" s="1"/>
  <c r="I274" i="84" s="1"/>
  <c r="AA274" i="85"/>
  <c r="AD274" i="85" s="1"/>
  <c r="P274" i="84" s="1"/>
  <c r="AR275" i="84" s="1"/>
  <c r="U274" i="83"/>
  <c r="J275" i="83"/>
  <c r="H275" i="83"/>
  <c r="AP275" i="83"/>
  <c r="AQ275" i="83"/>
  <c r="K275" i="83" l="1"/>
  <c r="M275" i="83"/>
  <c r="N275" i="83" s="1"/>
  <c r="J274" i="85"/>
  <c r="T274" i="85"/>
  <c r="S274" i="85"/>
  <c r="G274" i="85" s="1"/>
  <c r="O274" i="84"/>
  <c r="Q274" i="84"/>
  <c r="F275" i="84" s="1"/>
  <c r="T274" i="84"/>
  <c r="U274" i="84" s="1"/>
  <c r="J275" i="84" l="1"/>
  <c r="H275" i="84"/>
  <c r="AP275" i="84"/>
  <c r="AQ275" i="84"/>
  <c r="E275" i="28"/>
  <c r="K274" i="85"/>
  <c r="F275" i="28" s="1"/>
  <c r="D275" i="28"/>
  <c r="N274" i="85"/>
  <c r="AT275" i="83"/>
  <c r="AS275" i="83"/>
  <c r="G275" i="83" s="1"/>
  <c r="I275" i="83" s="1"/>
  <c r="P275" i="85" l="1"/>
  <c r="F275" i="85" s="1"/>
  <c r="I275" i="28"/>
  <c r="L274" i="85"/>
  <c r="G275" i="28" s="1"/>
  <c r="O275" i="83"/>
  <c r="Q275" i="83"/>
  <c r="F276" i="83" s="1"/>
  <c r="T275" i="83"/>
  <c r="K275" i="84"/>
  <c r="M275" i="84"/>
  <c r="N275" i="84" s="1"/>
  <c r="U275" i="83" l="1"/>
  <c r="AA275" i="85"/>
  <c r="AD275" i="85" s="1"/>
  <c r="P275" i="84" s="1"/>
  <c r="AR276" i="84" s="1"/>
  <c r="AT275" i="84"/>
  <c r="AS275" i="84"/>
  <c r="G275" i="84" s="1"/>
  <c r="I275" i="84" s="1"/>
  <c r="J276" i="83"/>
  <c r="H276" i="83"/>
  <c r="AP276" i="83"/>
  <c r="AQ276" i="83"/>
  <c r="H275" i="85"/>
  <c r="C276" i="28"/>
  <c r="K276" i="83" l="1"/>
  <c r="M276" i="83"/>
  <c r="N276" i="83" s="1"/>
  <c r="T275" i="85"/>
  <c r="J275" i="85"/>
  <c r="S275" i="85"/>
  <c r="G275" i="85" s="1"/>
  <c r="O275" i="84"/>
  <c r="T275" i="84"/>
  <c r="U275" i="84" s="1"/>
  <c r="Q275" i="84"/>
  <c r="F276" i="84" s="1"/>
  <c r="J276" i="84" l="1"/>
  <c r="H276" i="84"/>
  <c r="AQ276" i="84"/>
  <c r="AP276" i="84"/>
  <c r="K275" i="85"/>
  <c r="F276" i="28" s="1"/>
  <c r="E276" i="28"/>
  <c r="D276" i="28"/>
  <c r="N275" i="85"/>
  <c r="AT276" i="83"/>
  <c r="AS276" i="83"/>
  <c r="G276" i="83" s="1"/>
  <c r="I276" i="83" s="1"/>
  <c r="P276" i="85" l="1"/>
  <c r="F276" i="85" s="1"/>
  <c r="I276" i="28"/>
  <c r="L275" i="85"/>
  <c r="G276" i="28" s="1"/>
  <c r="O276" i="83"/>
  <c r="Q276" i="83"/>
  <c r="F277" i="83" s="1"/>
  <c r="T276" i="83"/>
  <c r="K276" i="84"/>
  <c r="M276" i="84"/>
  <c r="N276" i="84" s="1"/>
  <c r="AT276" i="84" l="1"/>
  <c r="AS276" i="84"/>
  <c r="G276" i="84" s="1"/>
  <c r="I276" i="84" s="1"/>
  <c r="AA276" i="85"/>
  <c r="AD276" i="85" s="1"/>
  <c r="P276" i="84" s="1"/>
  <c r="AR277" i="84" s="1"/>
  <c r="U276" i="83"/>
  <c r="AQ277" i="83"/>
  <c r="J277" i="83"/>
  <c r="AP277" i="83"/>
  <c r="H277" i="83"/>
  <c r="C277" i="28"/>
  <c r="H276" i="85"/>
  <c r="K277" i="83" l="1"/>
  <c r="M277" i="83"/>
  <c r="N277" i="83" s="1"/>
  <c r="S276" i="85"/>
  <c r="G276" i="85" s="1"/>
  <c r="O276" i="84"/>
  <c r="T276" i="84"/>
  <c r="U276" i="84" s="1"/>
  <c r="Q276" i="84"/>
  <c r="F277" i="84" s="1"/>
  <c r="J276" i="85"/>
  <c r="T276" i="85"/>
  <c r="K276" i="85" l="1"/>
  <c r="F277" i="28" s="1"/>
  <c r="E277" i="28"/>
  <c r="J277" i="84"/>
  <c r="H277" i="84"/>
  <c r="AQ277" i="84"/>
  <c r="AP277" i="84"/>
  <c r="D277" i="28"/>
  <c r="N276" i="85"/>
  <c r="AT277" i="83"/>
  <c r="AS277" i="83"/>
  <c r="G277" i="83" s="1"/>
  <c r="I277" i="83" s="1"/>
  <c r="L276" i="85" l="1"/>
  <c r="G277" i="28" s="1"/>
  <c r="K277" i="84"/>
  <c r="M277" i="84"/>
  <c r="N277" i="84" s="1"/>
  <c r="P277" i="85"/>
  <c r="F277" i="85" s="1"/>
  <c r="I277" i="28"/>
  <c r="O277" i="83"/>
  <c r="T277" i="83"/>
  <c r="Q277" i="83"/>
  <c r="F278" i="83" s="1"/>
  <c r="J278" i="83" l="1"/>
  <c r="H278" i="83"/>
  <c r="AP278" i="83"/>
  <c r="AQ278" i="83"/>
  <c r="AA277" i="85"/>
  <c r="AD277" i="85" s="1"/>
  <c r="P277" i="84" s="1"/>
  <c r="AR278" i="84" s="1"/>
  <c r="U277" i="83"/>
  <c r="C278" i="28"/>
  <c r="H277" i="85"/>
  <c r="AT277" i="84"/>
  <c r="AS277" i="84"/>
  <c r="G277" i="84" s="1"/>
  <c r="I277" i="84" s="1"/>
  <c r="T277" i="85" l="1"/>
  <c r="J277" i="85"/>
  <c r="S277" i="85"/>
  <c r="G277" i="85" s="1"/>
  <c r="O277" i="84"/>
  <c r="Q277" i="84"/>
  <c r="F278" i="84" s="1"/>
  <c r="T277" i="84"/>
  <c r="U277" i="84" s="1"/>
  <c r="M278" i="83"/>
  <c r="K278" i="83"/>
  <c r="N278" i="83" l="1"/>
  <c r="N17" i="83" s="1"/>
  <c r="M17" i="83"/>
  <c r="AQ278" i="84"/>
  <c r="H278" i="84"/>
  <c r="AP278" i="84"/>
  <c r="J278" i="84"/>
  <c r="K277" i="85"/>
  <c r="F278" i="28" s="1"/>
  <c r="E278" i="28"/>
  <c r="D278" i="28"/>
  <c r="N277" i="85"/>
  <c r="AT278" i="83"/>
  <c r="AS278" i="83"/>
  <c r="G278" i="83" s="1"/>
  <c r="I278" i="83" s="1"/>
  <c r="P278" i="85" l="1"/>
  <c r="F278" i="85" s="1"/>
  <c r="I278" i="28"/>
  <c r="L277" i="85"/>
  <c r="G278" i="28" s="1"/>
  <c r="O278" i="83"/>
  <c r="I17" i="83"/>
  <c r="T278" i="83"/>
  <c r="Q278" i="83"/>
  <c r="B54" i="83" s="1"/>
  <c r="K278" i="84"/>
  <c r="M278" i="84"/>
  <c r="AA278" i="85" l="1"/>
  <c r="AD278" i="85" s="1"/>
  <c r="P278" i="84" s="1"/>
  <c r="P17" i="84" s="1"/>
  <c r="U278" i="83"/>
  <c r="T17" i="83"/>
  <c r="N278" i="84"/>
  <c r="N17" i="84" s="1"/>
  <c r="M17" i="84"/>
  <c r="AT278" i="84"/>
  <c r="AS278" i="84"/>
  <c r="G278" i="84" s="1"/>
  <c r="I278" i="84" s="1"/>
  <c r="H278" i="85"/>
  <c r="C279" i="28"/>
  <c r="H16" i="28" s="1"/>
  <c r="H15" i="28" s="1"/>
  <c r="S278" i="85" l="1"/>
  <c r="G278" i="85" s="1"/>
  <c r="O278" i="84"/>
  <c r="I17" i="84"/>
  <c r="Q278" i="84"/>
  <c r="B54" i="84" s="1"/>
  <c r="T278" i="84"/>
  <c r="J278" i="85"/>
  <c r="T278" i="85"/>
  <c r="E279" i="28" l="1"/>
  <c r="E280" i="28" s="1"/>
  <c r="K278" i="85"/>
  <c r="L278" i="85" s="1"/>
  <c r="G279" i="28" s="1"/>
  <c r="G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<sst xmlns="http://schemas.openxmlformats.org/spreadsheetml/2006/main" count="18090" uniqueCount="11187">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</sst>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abSelected="1" workbookViewId="0">
      <selection activeCell="D5" sqref="D5:K5"/>
    </sheetView>
  </sheetViews>
  <sheetFormatPr baseColWidth="10" defaultColWidth="0" defaultRowHeight="15" customHeight="1" zeroHeight="1" x14ac:dyDescent="0.25"/>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x14ac:dyDescent="0.25">
      <c r="A1" s="627" t="s">
        <v>506</v>
      </c>
    </row>
    <row r="2" spans="1:13" x14ac:dyDescent="0.25">
      <c r="B2" s="629" t="s">
        <v>5200</v>
      </c>
      <c r="C2" s="630"/>
      <c r="D2" s="630"/>
      <c r="E2" s="630"/>
      <c r="F2" s="630"/>
      <c r="G2" s="630"/>
      <c r="H2" s="630"/>
      <c r="I2" s="630"/>
      <c r="J2" s="631" t="s">
        <v>5201</v>
      </c>
      <c r="K2" s="632" t="s">
        <v>5202</v>
      </c>
      <c r="L2" s="633" t="s">
        <v>5203</v>
      </c>
      <c r="M2" s="634"/>
    </row>
    <row r="3" spans="1:13" x14ac:dyDescent="0.25"/>
    <row r="4" spans="1:13" x14ac:dyDescent="0.25">
      <c r="B4" s="635" t="str">
        <f>"Hojas interactivas: " &amp;CA.NumHojasIntValidas</f>
        <v>Hojas interactivas: 2</v>
      </c>
      <c r="C4" s="636">
        <v>2</v>
      </c>
      <c r="D4" s="637" t="s">
        <v>5204</v>
      </c>
      <c r="E4" s="638"/>
      <c r="F4" s="638"/>
      <c r="G4" s="638"/>
      <c r="H4" s="638"/>
      <c r="I4" s="638"/>
      <c r="J4" s="638"/>
      <c r="K4" s="639"/>
      <c r="M4" s="627"/>
    </row>
    <row r="5" spans="1:13" ht="17.25" customHeight="1" x14ac:dyDescent="0.25">
      <c r="A5" s="627"/>
      <c r="B5" s="640" t="s">
        <v>3388</v>
      </c>
      <c r="C5" s="563"/>
      <c r="D5" s="869"/>
      <c r="E5" s="870"/>
      <c r="F5" s="870"/>
      <c r="G5" s="870"/>
      <c r="H5" s="870"/>
      <c r="I5" s="870"/>
      <c r="J5" s="870"/>
      <c r="K5" s="871"/>
      <c r="M5" s="627"/>
    </row>
    <row r="6" spans="1:13" ht="17.25" customHeight="1" x14ac:dyDescent="0.25">
      <c r="B6" s="640" t="s">
        <v>3387</v>
      </c>
      <c r="C6" s="563"/>
      <c r="M6" s="627"/>
    </row>
    <row r="7" spans="1:13" ht="17.25" customHeight="1" x14ac:dyDescent="0.25">
      <c r="B7" s="640"/>
      <c r="C7" s="563"/>
      <c r="D7" s="641"/>
      <c r="E7" s="641"/>
      <c r="F7" s="642" t="s">
        <v>5205</v>
      </c>
      <c r="G7" s="643"/>
      <c r="H7" s="643"/>
      <c r="I7" s="643"/>
      <c r="J7" s="643"/>
      <c r="K7" s="643"/>
    </row>
    <row r="8" spans="1:13" ht="17.25" customHeight="1" x14ac:dyDescent="0.25">
      <c r="B8" s="640"/>
      <c r="D8" s="641"/>
      <c r="E8" s="641"/>
      <c r="F8" s="641"/>
      <c r="G8" s="643"/>
      <c r="H8" s="643"/>
      <c r="I8" s="643"/>
      <c r="J8" s="643"/>
      <c r="K8" s="643"/>
    </row>
    <row r="9" spans="1:13" ht="17.25" customHeight="1" x14ac:dyDescent="0.25">
      <c r="B9" s="640"/>
    </row>
    <row r="10" spans="1:13" ht="17.25" customHeight="1" x14ac:dyDescent="0.25">
      <c r="B10" s="640"/>
      <c r="D10" s="644"/>
      <c r="E10" s="644"/>
      <c r="F10" s="645" t="s">
        <v>5206</v>
      </c>
      <c r="G10" s="646"/>
      <c r="H10" s="646"/>
      <c r="I10" s="646"/>
      <c r="J10" s="646"/>
      <c r="K10" s="646"/>
    </row>
    <row r="11" spans="1:13" ht="17.25" customHeight="1" x14ac:dyDescent="0.25">
      <c r="B11" s="647"/>
      <c r="D11" s="644"/>
      <c r="E11" s="644"/>
      <c r="F11" s="644"/>
      <c r="G11" s="646"/>
      <c r="H11" s="646"/>
      <c r="I11" s="646"/>
      <c r="J11" s="648" t="s">
        <v>5207</v>
      </c>
      <c r="K11" s="649" t="s">
        <v>5208</v>
      </c>
      <c r="L11" s="563"/>
    </row>
    <row r="12" spans="1:13" ht="17.25" customHeight="1" x14ac:dyDescent="0.25">
      <c r="B12" s="647"/>
    </row>
    <row r="13" spans="1:13" ht="17.25" customHeight="1" x14ac:dyDescent="0.25">
      <c r="B13" s="647"/>
      <c r="D13" s="650"/>
      <c r="E13" s="650"/>
      <c r="F13" s="651" t="s">
        <v>5209</v>
      </c>
      <c r="G13" s="652"/>
      <c r="H13" s="652"/>
      <c r="I13" s="652"/>
      <c r="J13" s="652"/>
      <c r="K13" s="652"/>
    </row>
    <row r="14" spans="1:13" ht="17.25" customHeight="1" x14ac:dyDescent="0.25">
      <c r="B14" s="647"/>
      <c r="D14" s="650"/>
      <c r="E14" s="650"/>
      <c r="F14" s="650"/>
      <c r="G14" s="652"/>
      <c r="H14" s="652"/>
      <c r="I14" s="652"/>
      <c r="J14" s="652"/>
      <c r="K14" s="652"/>
    </row>
    <row r="15" spans="1:13" ht="17.25" customHeight="1" x14ac:dyDescent="0.25">
      <c r="B15" s="647"/>
      <c r="M15" s="627"/>
    </row>
    <row r="16" spans="1:13" ht="17.25" customHeight="1" x14ac:dyDescent="0.25">
      <c r="B16" s="647"/>
      <c r="D16" s="653" t="s">
        <v>5210</v>
      </c>
      <c r="E16" s="654"/>
      <c r="F16" s="654"/>
      <c r="G16" s="654"/>
      <c r="H16" s="654"/>
      <c r="I16" s="654"/>
      <c r="J16" s="654"/>
      <c r="K16" s="654"/>
    </row>
    <row r="17" spans="2:11" ht="17.25" customHeight="1" x14ac:dyDescent="0.25">
      <c r="B17" s="647"/>
      <c r="D17" s="655" t="b">
        <v>1</v>
      </c>
      <c r="E17" s="655" t="s">
        <v>5166</v>
      </c>
      <c r="F17" s="655"/>
      <c r="G17" s="655" t="b">
        <v>0</v>
      </c>
      <c r="H17" s="655" t="s">
        <v>5167</v>
      </c>
      <c r="I17" s="655"/>
    </row>
    <row r="18" spans="2:11" ht="17.25" customHeight="1" x14ac:dyDescent="0.25">
      <c r="B18" s="647"/>
      <c r="D18" s="655" t="b">
        <v>0</v>
      </c>
      <c r="E18" s="655" t="s">
        <v>5168</v>
      </c>
      <c r="F18" s="655"/>
      <c r="J18" s="656"/>
      <c r="K18" s="656"/>
    </row>
    <row r="19" spans="2:11" ht="17.25" customHeight="1" x14ac:dyDescent="0.25">
      <c r="B19" s="647"/>
      <c r="D19" s="655" t="b">
        <v>1</v>
      </c>
      <c r="E19" s="655" t="s">
        <v>5169</v>
      </c>
      <c r="F19" s="655"/>
      <c r="G19" s="657" t="s">
        <v>506</v>
      </c>
      <c r="H19" s="658"/>
      <c r="I19" s="659" t="s">
        <v>5211</v>
      </c>
      <c r="J19" s="660"/>
      <c r="K19" s="661"/>
    </row>
    <row r="20" spans="2:11" ht="17.25" customHeight="1" x14ac:dyDescent="0.25">
      <c r="B20" s="647"/>
      <c r="D20" s="655" t="b">
        <v>0</v>
      </c>
      <c r="E20" s="655" t="s">
        <v>5170</v>
      </c>
      <c r="F20" s="655"/>
      <c r="G20" s="872" t="s">
        <v>5445</v>
      </c>
      <c r="H20" s="873"/>
      <c r="I20" s="873"/>
      <c r="J20" s="873"/>
      <c r="K20" s="874"/>
    </row>
    <row r="21" spans="2:11" ht="17.25" customHeight="1" x14ac:dyDescent="0.25">
      <c r="B21" s="647"/>
      <c r="D21" s="655" t="b">
        <v>1</v>
      </c>
      <c r="E21" s="655" t="s">
        <v>5212</v>
      </c>
      <c r="F21" s="655"/>
      <c r="G21" s="563"/>
      <c r="H21" s="563"/>
      <c r="I21" s="563"/>
      <c r="J21" s="563"/>
      <c r="K21" s="563"/>
    </row>
    <row r="22" spans="2:11" ht="17.25" customHeight="1" x14ac:dyDescent="0.25">
      <c r="B22" s="647"/>
      <c r="D22" s="662" t="s">
        <v>5213</v>
      </c>
      <c r="E22" s="663"/>
      <c r="F22" s="663"/>
      <c r="G22" s="875" t="s">
        <v>5214</v>
      </c>
      <c r="H22" s="876"/>
      <c r="I22" s="876"/>
      <c r="J22" s="876"/>
      <c r="K22" s="877"/>
    </row>
    <row r="23" spans="2:11" x14ac:dyDescent="0.25"/>
    <row r="24" spans="2:11" x14ac:dyDescent="0.25">
      <c r="B24" s="664"/>
      <c r="C24" s="563"/>
      <c r="D24" s="563"/>
      <c r="E24" s="563"/>
      <c r="F24" s="563"/>
      <c r="G24" s="563"/>
      <c r="H24" s="563"/>
      <c r="I24" s="563"/>
      <c r="J24" s="563"/>
      <c r="K24" s="563"/>
    </row>
    <row r="25" spans="2:11" x14ac:dyDescent="0.25">
      <c r="B25" s="665"/>
      <c r="C25" s="563"/>
      <c r="D25" s="563"/>
      <c r="E25" s="563"/>
      <c r="F25" s="563"/>
      <c r="G25" s="563"/>
      <c r="H25" s="563"/>
      <c r="I25" s="563"/>
      <c r="J25" s="563"/>
      <c r="K25" s="563"/>
    </row>
    <row r="26" spans="2:11" x14ac:dyDescent="0.25">
      <c r="B26" s="666" t="s">
        <v>5215</v>
      </c>
    </row>
    <row r="27" spans="2:11" x14ac:dyDescent="0.25"/>
    <row r="28" spans="2:11" x14ac:dyDescent="0.25">
      <c r="B28" s="629" t="s">
        <v>5216</v>
      </c>
      <c r="C28" s="630"/>
      <c r="D28" s="630"/>
      <c r="E28" s="630"/>
      <c r="F28" s="630"/>
      <c r="G28" s="630"/>
      <c r="H28" s="630"/>
      <c r="I28" s="630"/>
      <c r="J28" s="630"/>
      <c r="K28" s="630"/>
    </row>
    <row r="29" spans="2:11" x14ac:dyDescent="0.25"/>
    <row r="30" spans="2:11" ht="19.5" customHeight="1" x14ac:dyDescent="0.25">
      <c r="B30" s="667"/>
      <c r="C30" s="641"/>
      <c r="D30" s="668" t="s">
        <v>5217</v>
      </c>
      <c r="E30" s="641"/>
      <c r="F30" s="641"/>
      <c r="G30" s="641"/>
      <c r="H30" s="641"/>
      <c r="I30" s="641"/>
      <c r="J30" s="641"/>
      <c r="K30" s="641"/>
    </row>
    <row r="31" spans="2:11" x14ac:dyDescent="0.25"/>
    <row r="32" spans="2:11" ht="19.5" customHeight="1" x14ac:dyDescent="0.25">
      <c r="B32" s="650"/>
      <c r="C32" s="650"/>
      <c r="D32" s="669" t="s">
        <v>5218</v>
      </c>
      <c r="E32" s="650"/>
      <c r="F32" s="650"/>
      <c r="G32" s="650"/>
      <c r="H32" s="650"/>
      <c r="I32" s="650"/>
      <c r="J32" s="650"/>
      <c r="K32" s="650"/>
    </row>
    <row r="33" spans="5:6" x14ac:dyDescent="0.25">
      <c r="E33" s="563"/>
      <c r="F33" s="563"/>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x14ac:dyDescent="0.25">
      <c r="B2" s="309" t="s">
        <v>5185</v>
      </c>
      <c r="C2" s="296"/>
    </row>
    <row r="4" spans="2:3" x14ac:dyDescent="0.25">
      <c r="B4" s="621" t="s">
        <v>5186</v>
      </c>
      <c r="C4" s="622" t="b">
        <v>1</v>
      </c>
    </row>
    <row r="5" spans="2:3" x14ac:dyDescent="0.25">
      <c r="B5" s="623" t="s">
        <v>2140</v>
      </c>
      <c r="C5" s="622" t="s">
        <v>5187</v>
      </c>
    </row>
    <row r="6" spans="2:3" x14ac:dyDescent="0.25">
      <c r="B6" s="623" t="s">
        <v>5188</v>
      </c>
      <c r="C6" s="624" t="s">
        <v>5189</v>
      </c>
    </row>
    <row r="8" spans="2:3" x14ac:dyDescent="0.25">
      <c r="B8" s="309" t="s">
        <v>5190</v>
      </c>
      <c r="C8" s="296"/>
    </row>
    <row r="10" spans="2:3" x14ac:dyDescent="0.25">
      <c r="B10" s="625" t="s">
        <v>506</v>
      </c>
      <c r="C10" s="626" t="s">
        <v>506</v>
      </c>
    </row>
    <row r="11" spans="2:3" ht="45" customHeight="1" x14ac:dyDescent="0.25">
      <c r="B11" s="878" t="s">
        <v>506</v>
      </c>
      <c r="C11" s="879"/>
    </row>
    <row r="13" spans="2:3" x14ac:dyDescent="0.25">
      <c r="B13" s="309" t="s">
        <v>5191</v>
      </c>
      <c r="C13" s="296"/>
    </row>
    <row r="14" spans="2:3" x14ac:dyDescent="0.25">
      <c r="B14" s="563" t="s">
        <v>506</v>
      </c>
    </row>
    <row r="15" spans="2:3" x14ac:dyDescent="0.25">
      <c r="B15" s="620" t="s">
        <v>5192</v>
      </c>
      <c r="C15" s="620" t="s">
        <v>5193</v>
      </c>
    </row>
    <row r="16" spans="2:3" x14ac:dyDescent="0.25">
      <c r="B16" s="618" t="s">
        <v>5194</v>
      </c>
      <c r="C16" s="563" t="s">
        <v>5195</v>
      </c>
    </row>
    <row r="17" spans="2:4" x14ac:dyDescent="0.25">
      <c r="B17" s="618" t="s">
        <v>5196</v>
      </c>
      <c r="C17" s="563" t="s">
        <v>5197</v>
      </c>
      <c r="D17" s="619"/>
    </row>
    <row r="18" spans="2:4" x14ac:dyDescent="0.25">
      <c r="B18" s="563" t="s">
        <v>506</v>
      </c>
    </row>
    <row r="19" spans="2:4" x14ac:dyDescent="0.25">
      <c r="B19" s="350" t="s">
        <v>5198</v>
      </c>
      <c r="C19" s="350" t="s">
        <v>5199</v>
      </c>
    </row>
    <row r="20" spans="2:4" x14ac:dyDescent="0.25">
      <c r="B20" s="810" t="s">
        <v>5444</v>
      </c>
      <c r="C20" s="822" t="s">
        <v>5456</v>
      </c>
    </row>
    <row r="21" spans="2:4" x14ac:dyDescent="0.25">
      <c r="B21" s="809" t="s">
        <v>5437</v>
      </c>
      <c r="C21" s="822" t="s">
        <v>5457</v>
      </c>
    </row>
    <row r="22" spans="2:4" x14ac:dyDescent="0.25">
      <c r="B22" s="809" t="s">
        <v>5436</v>
      </c>
      <c r="C22" s="822" t="s">
        <v>5458</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6" sqref="D6"/>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3740</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str">
        <f>Nombre_Producto</f>
        <v>AutoEstrene Banorte</v>
      </c>
      <c r="C4" s="511" t="s">
        <v>3176</v>
      </c>
      <c r="D4" s="512"/>
      <c r="F4" s="356"/>
      <c r="G4" s="356"/>
      <c r="H4" s="356"/>
      <c r="I4" s="356"/>
      <c r="J4" s="356"/>
      <c r="K4" s="356"/>
      <c r="L4" s="356"/>
    </row>
    <row r="5" spans="1:19" s="357" customFormat="1" ht="15" customHeight="1" x14ac:dyDescent="0.3">
      <c r="B5" s="914" t="s">
        <v>3177</v>
      </c>
      <c r="C5" s="915"/>
      <c r="D5" s="400">
        <v>42387</v>
      </c>
      <c r="E5" s="451"/>
      <c r="F5" s="358"/>
      <c r="J5" s="520" t="s">
        <v>3213</v>
      </c>
      <c r="K5" s="520" t="s">
        <v>3211</v>
      </c>
      <c r="L5" s="520" t="s">
        <v>3212</v>
      </c>
      <c r="M5" s="355"/>
      <c r="N5" s="355"/>
      <c r="O5" s="355"/>
      <c r="P5" s="355"/>
      <c r="Q5" s="355"/>
      <c r="R5" s="355"/>
      <c r="S5" s="355"/>
    </row>
    <row r="6" spans="1:19" s="357" customFormat="1" ht="15" customHeight="1" x14ac:dyDescent="0.3">
      <c r="B6" s="891" t="s">
        <v>3178</v>
      </c>
      <c r="C6" s="916"/>
      <c r="D6" s="401">
        <v>150000</v>
      </c>
      <c r="E6" s="451"/>
      <c r="G6" s="563" t="s">
        <v>5247</v>
      </c>
      <c r="H6" s="351" t="s">
        <v>5242</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17" t="s">
        <v>1592</v>
      </c>
      <c r="C7" s="916"/>
      <c r="D7" s="402" t="s">
        <v>1594</v>
      </c>
      <c r="E7" s="451"/>
      <c r="G7" s="563" t="s">
        <v>5254</v>
      </c>
      <c r="H7" s="351" t="s">
        <v>3190</v>
      </c>
      <c r="M7" s="355"/>
      <c r="N7" s="355"/>
      <c r="O7" s="355"/>
      <c r="P7" s="355"/>
      <c r="Q7" s="355"/>
      <c r="R7" s="355"/>
      <c r="S7" s="355"/>
    </row>
    <row r="8" spans="1:19" s="357" customFormat="1" ht="15" customHeight="1" x14ac:dyDescent="0.3">
      <c r="B8" s="891" t="s">
        <v>457</v>
      </c>
      <c r="C8" s="916"/>
      <c r="D8" s="403" t="s">
        <v>460</v>
      </c>
      <c r="E8" s="451"/>
      <c r="F8" s="559"/>
      <c r="G8"/>
      <c r="H8" s="348"/>
      <c r="M8" s="355"/>
      <c r="N8" s="355"/>
      <c r="O8" s="355"/>
      <c r="P8" s="355"/>
      <c r="Q8" s="355"/>
      <c r="R8" s="355"/>
      <c r="S8" s="355"/>
    </row>
    <row r="9" spans="1:19" s="357" customFormat="1" ht="15" customHeight="1" x14ac:dyDescent="0.3">
      <c r="B9" s="918" t="s">
        <v>3180</v>
      </c>
      <c r="C9" s="916"/>
      <c r="D9" s="404" t="s">
        <v>1645</v>
      </c>
      <c r="E9" s="569"/>
      <c r="G9" t="s">
        <v>1627</v>
      </c>
      <c r="H9" s="359" t="s">
        <v>1619</v>
      </c>
      <c r="M9" s="355"/>
      <c r="N9" s="355"/>
      <c r="O9" s="355"/>
      <c r="P9" s="355"/>
      <c r="Q9" s="355"/>
      <c r="R9" s="355"/>
      <c r="S9" s="355"/>
    </row>
    <row r="10" spans="1:19" s="357" customFormat="1" ht="15" customHeight="1" x14ac:dyDescent="0.3">
      <c r="B10" s="891" t="s">
        <v>3181</v>
      </c>
      <c r="C10" s="916"/>
      <c r="D10" s="403">
        <v>2015</v>
      </c>
      <c r="E10" s="451"/>
      <c r="G10" t="s">
        <v>442</v>
      </c>
      <c r="H10" s="360">
        <v>0</v>
      </c>
      <c r="M10" s="355"/>
      <c r="N10" s="355"/>
      <c r="O10" s="355"/>
      <c r="P10" s="355"/>
      <c r="Q10" s="355"/>
      <c r="R10" s="355"/>
      <c r="S10" s="355"/>
    </row>
    <row r="11" spans="1:19" s="357" customFormat="1" ht="15" customHeight="1" x14ac:dyDescent="0.3">
      <c r="B11" s="919" t="s">
        <v>2177</v>
      </c>
      <c r="C11" s="916"/>
      <c r="D11" s="404" t="s">
        <v>2207</v>
      </c>
      <c r="E11" s="451"/>
      <c r="M11" s="355"/>
      <c r="N11" s="355"/>
      <c r="O11" s="355"/>
      <c r="P11" s="355"/>
      <c r="Q11" s="355"/>
      <c r="R11" s="355"/>
      <c r="S11" s="355"/>
    </row>
    <row r="12" spans="1:19" s="357" customFormat="1" ht="15" customHeight="1" x14ac:dyDescent="0.3">
      <c r="B12" s="891" t="s">
        <v>3182</v>
      </c>
      <c r="C12" s="916"/>
      <c r="D12" s="405" t="s">
        <v>2377</v>
      </c>
      <c r="E12" s="451"/>
      <c r="G12"/>
      <c r="H12"/>
      <c r="L12" s="357" t="s">
        <v>4969</v>
      </c>
      <c r="M12" s="355"/>
      <c r="N12" s="355"/>
      <c r="O12" s="355"/>
      <c r="P12" s="355"/>
      <c r="Q12" s="355"/>
      <c r="R12" s="355"/>
      <c r="S12" s="355"/>
    </row>
    <row r="13" spans="1:19" ht="15" customHeight="1" x14ac:dyDescent="0.3">
      <c r="B13" s="919" t="s">
        <v>12</v>
      </c>
      <c r="C13" s="916"/>
      <c r="D13" s="406">
        <v>0.1</v>
      </c>
      <c r="J13" s="362">
        <f>+PorcentajeMaximoEnganche</f>
        <v>0.83333333333333337</v>
      </c>
      <c r="L13" s="355">
        <f>CapturaValorFactura</f>
        <v>150000</v>
      </c>
    </row>
    <row r="14" spans="1:19" ht="15" customHeight="1" x14ac:dyDescent="0.3">
      <c r="B14" s="905" t="s">
        <v>13</v>
      </c>
      <c r="C14" s="916"/>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19" t="s">
        <v>3184</v>
      </c>
      <c r="C15" s="922"/>
      <c r="D15" s="408">
        <v>2.5000000000000001E-2</v>
      </c>
    </row>
    <row r="16" spans="1:19" s="357" customFormat="1" ht="15" customHeight="1" x14ac:dyDescent="0.3">
      <c r="B16" s="891" t="s">
        <v>3700</v>
      </c>
      <c r="C16" s="892"/>
      <c r="D16" s="403" t="s">
        <v>1602</v>
      </c>
      <c r="E16" s="451"/>
      <c r="G16" s="361"/>
      <c r="M16" s="355"/>
      <c r="N16" s="355"/>
      <c r="O16" s="355"/>
      <c r="P16" s="355"/>
      <c r="Q16" s="355"/>
      <c r="R16" s="355"/>
      <c r="S16" s="355"/>
    </row>
    <row r="17" spans="1:19" s="357" customFormat="1" ht="15" customHeight="1" x14ac:dyDescent="0.3">
      <c r="B17" s="928" t="s">
        <v>4961</v>
      </c>
      <c r="C17" s="929"/>
      <c r="D17" s="536" t="s">
        <v>4967</v>
      </c>
      <c r="E17" s="451"/>
      <c r="G17" s="361"/>
      <c r="M17" s="355"/>
      <c r="N17" s="355"/>
      <c r="O17" s="355"/>
      <c r="P17" s="355"/>
      <c r="Q17" s="355"/>
      <c r="R17" s="355"/>
      <c r="S17" s="355"/>
    </row>
    <row r="18" spans="1:19" s="357" customFormat="1" ht="15" customHeight="1" x14ac:dyDescent="0.3">
      <c r="B18" s="920" t="s">
        <v>4960</v>
      </c>
      <c r="C18" s="921"/>
      <c r="D18" s="537">
        <v>6000</v>
      </c>
      <c r="E18" s="451"/>
      <c r="G18" s="361"/>
      <c r="K18" s="357">
        <f>CapturaPorcentajeEnganche * CapturaValorFactura</f>
        <v>15000</v>
      </c>
      <c r="M18" s="355"/>
      <c r="N18" s="355"/>
      <c r="O18" s="355"/>
      <c r="P18" s="355"/>
      <c r="Q18" s="355"/>
      <c r="R18" s="355"/>
      <c r="S18" s="355"/>
    </row>
    <row r="19" spans="1:19" s="357" customFormat="1" ht="15" customHeight="1" x14ac:dyDescent="0.3">
      <c r="B19" s="925" t="s">
        <v>3716</v>
      </c>
      <c r="C19" s="926"/>
      <c r="D19" s="927"/>
      <c r="E19" s="451"/>
      <c r="G19" s="361"/>
      <c r="M19" s="355"/>
      <c r="N19" s="355"/>
      <c r="O19" s="355"/>
      <c r="P19" s="355"/>
      <c r="Q19" s="355"/>
      <c r="R19" s="355"/>
      <c r="S19" s="355"/>
    </row>
    <row r="20" spans="1:19" s="357" customFormat="1" ht="15" hidden="1" customHeight="1" x14ac:dyDescent="0.3">
      <c r="B20" s="932" t="s">
        <v>4179</v>
      </c>
      <c r="C20" s="933"/>
      <c r="D20" s="409" t="s">
        <v>1587</v>
      </c>
      <c r="E20" s="451"/>
      <c r="M20" s="355"/>
      <c r="N20" s="355"/>
      <c r="O20" s="355"/>
      <c r="P20" s="355"/>
      <c r="Q20" s="355"/>
      <c r="R20" s="355"/>
      <c r="S20" s="355"/>
    </row>
    <row r="21" spans="1:19" s="357" customFormat="1" ht="15" customHeight="1" x14ac:dyDescent="0.3">
      <c r="B21" s="905" t="s">
        <v>4985</v>
      </c>
      <c r="C21" s="906"/>
      <c r="D21" s="410" t="s">
        <v>1586</v>
      </c>
      <c r="E21" s="451"/>
      <c r="M21" s="355"/>
      <c r="N21" s="355"/>
      <c r="O21" s="355"/>
      <c r="P21" s="355"/>
      <c r="Q21" s="355"/>
      <c r="R21" s="355"/>
      <c r="S21" s="355"/>
    </row>
    <row r="22" spans="1:19" s="357" customFormat="1" ht="15" customHeight="1" thickBot="1" x14ac:dyDescent="0.35">
      <c r="B22" s="907" t="s">
        <v>4988</v>
      </c>
      <c r="C22" s="908"/>
      <c r="D22" s="409" t="s">
        <v>1586</v>
      </c>
      <c r="E22" s="451"/>
      <c r="G22" s="365"/>
      <c r="M22" s="355"/>
      <c r="N22" s="355"/>
      <c r="O22" s="355"/>
      <c r="P22" s="355"/>
      <c r="Q22" s="355"/>
      <c r="R22" s="355"/>
      <c r="S22" s="355"/>
    </row>
    <row r="23" spans="1:19" s="357" customFormat="1" ht="17.25" hidden="1" thickBot="1" x14ac:dyDescent="0.35">
      <c r="A23" s="355"/>
      <c r="B23" s="923" t="s">
        <v>4986</v>
      </c>
      <c r="C23" s="924"/>
      <c r="D23" s="411" t="s">
        <v>1587</v>
      </c>
      <c r="E23" s="451"/>
      <c r="F23" s="355"/>
      <c r="G23" s="355"/>
      <c r="L23" s="355"/>
      <c r="M23" s="355"/>
      <c r="N23" s="355"/>
      <c r="O23" s="355"/>
      <c r="P23" s="355"/>
      <c r="Q23" s="355"/>
      <c r="R23" s="355"/>
      <c r="S23" s="355"/>
    </row>
    <row r="24" spans="1:19" ht="20.100000000000001" customHeight="1" thickBot="1" x14ac:dyDescent="0.35">
      <c r="B24" s="889" t="s">
        <v>4405</v>
      </c>
      <c r="C24" s="890"/>
      <c r="D24" s="890"/>
    </row>
    <row r="25" spans="1:19" ht="15" customHeight="1" x14ac:dyDescent="0.3">
      <c r="B25" s="909" t="s">
        <v>1638</v>
      </c>
      <c r="C25" s="910"/>
      <c r="D25" s="366">
        <f ca="1">MontoEnganche</f>
        <v>15000</v>
      </c>
      <c r="J25" s="357">
        <v>37500</v>
      </c>
    </row>
    <row r="26" spans="1:19" ht="15" customHeight="1" x14ac:dyDescent="0.3">
      <c r="B26" s="891" t="s">
        <v>3701</v>
      </c>
      <c r="C26" s="892"/>
      <c r="D26" s="367" t="str">
        <f ca="1">MontoSeguroDeContado</f>
        <v>$0.00</v>
      </c>
      <c r="J26" s="357" t="s">
        <v>4942</v>
      </c>
    </row>
    <row r="27" spans="1:19" x14ac:dyDescent="0.3">
      <c r="B27" s="891" t="s">
        <v>3183</v>
      </c>
      <c r="C27" s="892"/>
      <c r="D27" s="367">
        <f ca="1">MontoComisionPorAperturaConIva</f>
        <v>4322.21094894</v>
      </c>
      <c r="J27" s="357">
        <v>3810.836725108371</v>
      </c>
    </row>
    <row r="28" spans="1:19" x14ac:dyDescent="0.3">
      <c r="B28" s="930" t="s">
        <v>3185</v>
      </c>
      <c r="C28" s="931"/>
      <c r="D28" s="368">
        <f ca="1">+D27+D26+D25</f>
        <v>19322.210948939999</v>
      </c>
      <c r="J28" s="357">
        <v>41310.836725108369</v>
      </c>
    </row>
    <row r="29" spans="1:19" ht="5.0999999999999996" customHeight="1" x14ac:dyDescent="0.3">
      <c r="B29" s="369"/>
      <c r="C29" s="370"/>
      <c r="D29" s="371"/>
    </row>
    <row r="30" spans="1:19" ht="15" customHeight="1" x14ac:dyDescent="0.3">
      <c r="B30" s="891" t="s">
        <v>3187</v>
      </c>
      <c r="C30" s="892"/>
      <c r="D30" s="367">
        <f ca="1">MontoFinanciarAuto</f>
        <v>135000</v>
      </c>
      <c r="J30" s="357">
        <v>112500</v>
      </c>
    </row>
    <row r="31" spans="1:19" ht="15" customHeight="1" x14ac:dyDescent="0.3">
      <c r="B31" s="904" t="s">
        <v>3702</v>
      </c>
      <c r="C31" s="892"/>
      <c r="D31" s="367">
        <f ca="1">MontoFinanciarSeguros</f>
        <v>8041.7568599999995</v>
      </c>
      <c r="G31" s="372"/>
      <c r="J31" s="357">
        <v>18908.162934771415</v>
      </c>
    </row>
    <row r="32" spans="1:19" ht="15" customHeight="1" x14ac:dyDescent="0.3">
      <c r="B32" s="907" t="s">
        <v>4962</v>
      </c>
      <c r="C32" s="892"/>
      <c r="D32" s="367">
        <f>MontoGtiaExt</f>
        <v>6000</v>
      </c>
      <c r="G32" s="372"/>
    </row>
    <row r="33" spans="2:11" ht="15" customHeight="1" thickBot="1" x14ac:dyDescent="0.35">
      <c r="B33" s="893" t="s">
        <v>3188</v>
      </c>
      <c r="C33" s="894"/>
      <c r="D33" s="373">
        <f ca="1">MontoFinanciarTotal</f>
        <v>149041.75685999999</v>
      </c>
    </row>
    <row r="34" spans="2:11" ht="19.5" customHeight="1" thickBot="1" x14ac:dyDescent="0.35">
      <c r="B34" s="889" t="str">
        <f>"Pago " &amp; SELECCION_FRECUENCIA &amp; " Estimado con I.V.A. Incluido"</f>
        <v>Pago Mensual Estimado con I.V.A. Incluido</v>
      </c>
      <c r="C34" s="890"/>
      <c r="D34" s="890"/>
    </row>
    <row r="35" spans="2:11" ht="15" customHeight="1" x14ac:dyDescent="0.3">
      <c r="B35" s="374" t="s">
        <v>454</v>
      </c>
      <c r="C35" s="375" t="s">
        <v>1632</v>
      </c>
      <c r="D35" s="376" t="s">
        <v>3186</v>
      </c>
    </row>
    <row r="36" spans="2:11" ht="15" customHeight="1" x14ac:dyDescent="0.3">
      <c r="B36" s="377">
        <f>IF(Calculos!K17="","",Calculos!K17)</f>
        <v>12</v>
      </c>
      <c r="C36" s="378">
        <f>IF(Calculos!L17="","",Calculos!L17)</f>
        <v>0.129</v>
      </c>
      <c r="D36" s="379">
        <f>IF(Calculos!M17="","",Calculos!M17)</f>
        <v>13413.47</v>
      </c>
    </row>
    <row r="37" spans="2:11" ht="15" customHeight="1" x14ac:dyDescent="0.3">
      <c r="B37" s="380">
        <f>IF(Calculos!K18="","",Calculos!K18)</f>
        <v>24</v>
      </c>
      <c r="C37" s="381">
        <f>IF(Calculos!L18="","",Calculos!L18)</f>
        <v>0.129</v>
      </c>
      <c r="D37" s="382">
        <f>IF(Calculos!M18="","",Calculos!M18)</f>
        <v>7523.44</v>
      </c>
    </row>
    <row r="38" spans="2:11" ht="15" customHeight="1" x14ac:dyDescent="0.3">
      <c r="B38" s="377">
        <f>IF(Calculos!K19="","",Calculos!K19)</f>
        <v>36</v>
      </c>
      <c r="C38" s="378">
        <f>IF(Calculos!L19="","",Calculos!L19)</f>
        <v>0.129</v>
      </c>
      <c r="D38" s="379">
        <f>IF(Calculos!M19="","",Calculos!M19)</f>
        <v>5573.53</v>
      </c>
    </row>
    <row r="39" spans="2:11" ht="15" customHeight="1" x14ac:dyDescent="0.3">
      <c r="B39" s="380">
        <f>IF(Calculos!K20="","",Calculos!K20)</f>
        <v>48</v>
      </c>
      <c r="C39" s="381">
        <f>IF(Calculos!L20="","",Calculos!L20)</f>
        <v>0.129</v>
      </c>
      <c r="D39" s="382">
        <f>IF(Calculos!M20="","",Calculos!M20)</f>
        <v>4608.54</v>
      </c>
    </row>
    <row r="40" spans="2:11" ht="15" customHeight="1" thickBot="1" x14ac:dyDescent="0.35">
      <c r="B40" s="383">
        <f>IF(Calculos!K21="","",Calculos!K21)</f>
        <v>60</v>
      </c>
      <c r="C40" s="384">
        <f>IF(Calculos!L21="","",Calculos!L21)</f>
        <v>0.13200000000000001</v>
      </c>
      <c r="D40" s="385">
        <f>IF(Calculos!M21="","",Calculos!M21)</f>
        <v>4063.43</v>
      </c>
    </row>
    <row r="41" spans="2:11" s="386" customFormat="1" ht="15" customHeight="1" thickBot="1" x14ac:dyDescent="0.35">
      <c r="E41" s="451"/>
      <c r="H41" s="387"/>
      <c r="I41" s="387"/>
      <c r="J41" s="387"/>
      <c r="K41" s="387"/>
    </row>
    <row r="42" spans="2:11" ht="12" customHeight="1" x14ac:dyDescent="0.3">
      <c r="B42" s="895" t="str">
        <f>LEYENDA_DIAS_INTERESES_PRIMER_PAGO</f>
        <v/>
      </c>
      <c r="C42" s="896"/>
      <c r="D42" s="897"/>
    </row>
    <row r="43" spans="2:11" ht="30" customHeight="1" x14ac:dyDescent="0.3">
      <c r="B43" s="898" t="str">
        <f ca="1">+Leyenda.Seguro.1</f>
        <v>* Costo del Seguro Banorte por el primer año por $8,041.76, incluye Indeminización Valor Factura Primer Año, Reparación en Agencia y Auto Sustituto.</v>
      </c>
      <c r="C43" s="899"/>
      <c r="D43" s="900"/>
    </row>
    <row r="44" spans="2:11" ht="30" customHeight="1" x14ac:dyDescent="0.3">
      <c r="B44" s="886" t="str">
        <f ca="1">+Leyenda_coberturas_adicionales_cotizacion</f>
        <v>Incluye la(s) siguiente(s) cobertura(s) adicional(es):</v>
      </c>
      <c r="C44" s="887"/>
      <c r="D44" s="888"/>
    </row>
    <row r="45" spans="2:11" ht="24.95" customHeight="1" x14ac:dyDescent="0.3">
      <c r="B45" s="901"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2"/>
      <c r="D45" s="903"/>
    </row>
    <row r="46" spans="2:11" ht="24.95" customHeight="1" x14ac:dyDescent="0.3">
      <c r="B46" s="901"/>
      <c r="C46" s="902"/>
      <c r="D46" s="903"/>
    </row>
    <row r="47" spans="2:11" ht="24.95" customHeight="1" x14ac:dyDescent="0.3">
      <c r="B47" s="901"/>
      <c r="C47" s="902"/>
      <c r="D47" s="903"/>
    </row>
    <row r="48" spans="2:11" ht="24.95" customHeight="1" x14ac:dyDescent="0.3">
      <c r="B48" s="901"/>
      <c r="C48" s="902"/>
      <c r="D48" s="903"/>
    </row>
    <row r="49" spans="2:18" ht="24.95" customHeight="1" x14ac:dyDescent="0.3">
      <c r="B49" s="901"/>
      <c r="C49" s="902"/>
      <c r="D49" s="903"/>
    </row>
    <row r="50" spans="2:18" x14ac:dyDescent="0.3">
      <c r="B50" s="911" t="s">
        <v>4365</v>
      </c>
      <c r="C50" s="912"/>
      <c r="D50" s="913"/>
      <c r="G50" s="355" t="s">
        <v>3741</v>
      </c>
    </row>
    <row r="51" spans="2:18" x14ac:dyDescent="0.3">
      <c r="B51" s="431" t="s">
        <v>4366</v>
      </c>
      <c r="C51" s="388"/>
      <c r="D51" s="389"/>
    </row>
    <row r="52" spans="2:18" ht="15" customHeight="1" x14ac:dyDescent="0.3">
      <c r="B52" s="880" t="s">
        <v>3743</v>
      </c>
      <c r="C52" s="881"/>
      <c r="D52" s="882"/>
    </row>
    <row r="53" spans="2:18" x14ac:dyDescent="0.3">
      <c r="B53" s="880"/>
      <c r="C53" s="881"/>
      <c r="D53" s="882"/>
    </row>
    <row r="54" spans="2:18" ht="17.25" thickBot="1" x14ac:dyDescent="0.35">
      <c r="B54" s="883"/>
      <c r="C54" s="884"/>
      <c r="D54" s="885"/>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3388</v>
      </c>
    </row>
    <row r="206" spans="10:13" x14ac:dyDescent="0.3">
      <c r="J206" s="357" t="s">
        <v>3387</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9" workbookViewId="0">
      <selection activeCell="A283" sqref="A283:I28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35" t="s">
        <v>3192</v>
      </c>
      <c r="E6" s="935"/>
      <c r="F6" s="935"/>
      <c r="G6" s="935"/>
      <c r="H6" s="514"/>
      <c r="I6" s="515"/>
    </row>
    <row r="7" spans="1:12" s="357" customFormat="1" ht="17.25" thickBot="1" x14ac:dyDescent="0.3">
      <c r="A7" s="516"/>
      <c r="B7" s="517"/>
      <c r="C7" s="517"/>
      <c r="D7" s="936" t="str">
        <f ca="1">IF(ID_CONDICION_AUTO=1,"Autos Nuevos",IF(ID_CONDICION_AUTO=2,"Autos Seminuevos",""))</f>
        <v>Autos Nuevos</v>
      </c>
      <c r="E7" s="936"/>
      <c r="F7" s="936"/>
      <c r="G7" s="936"/>
      <c r="H7" s="517"/>
      <c r="I7" s="518"/>
    </row>
    <row r="8" spans="1:12" s="357" customFormat="1" ht="17.25" thickBot="1" x14ac:dyDescent="0.3"/>
    <row r="9" spans="1:12" s="357" customFormat="1" ht="15" customHeight="1" x14ac:dyDescent="0.25">
      <c r="A9" s="589" t="s">
        <v>3193</v>
      </c>
      <c r="B9" s="590"/>
      <c r="C9" s="591">
        <f ca="1">ValorFactura</f>
        <v>150000</v>
      </c>
      <c r="D9" s="592"/>
      <c r="E9" s="590"/>
      <c r="F9" s="590"/>
      <c r="G9" s="593" t="s">
        <v>1709</v>
      </c>
      <c r="H9" s="594">
        <f>CapturaFechaCotizacion</f>
        <v>42387</v>
      </c>
      <c r="I9" s="595"/>
    </row>
    <row r="10" spans="1:12" s="357" customFormat="1" ht="15" customHeight="1" x14ac:dyDescent="0.25">
      <c r="A10" s="596" t="s">
        <v>1638</v>
      </c>
      <c r="B10" s="597"/>
      <c r="C10" s="598">
        <f ca="1">MontoEnganche</f>
        <v>15000</v>
      </c>
      <c r="D10" s="597"/>
      <c r="E10" s="597" t="str">
        <f ca="1">LeyendaAportacionAdicional</f>
        <v/>
      </c>
      <c r="F10" s="597"/>
      <c r="G10" s="597"/>
      <c r="H10" s="597"/>
      <c r="I10" s="599"/>
    </row>
    <row r="11" spans="1:12" s="357" customFormat="1" ht="15" customHeight="1" x14ac:dyDescent="0.2">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x14ac:dyDescent="0.25">
      <c r="A12" s="596" t="s">
        <v>4973</v>
      </c>
      <c r="B12" s="597"/>
      <c r="C12" s="598">
        <f>MontoGtiaExt</f>
        <v>6000</v>
      </c>
      <c r="D12" s="601">
        <v>11243.62</v>
      </c>
      <c r="E12" s="597"/>
      <c r="F12" s="597"/>
      <c r="G12" s="597"/>
      <c r="H12" s="597"/>
      <c r="I12" s="599"/>
    </row>
    <row r="13" spans="1:12" ht="15" customHeight="1" x14ac:dyDescent="0.3">
      <c r="A13" s="596" t="s">
        <v>5324</v>
      </c>
      <c r="B13" s="597"/>
      <c r="C13" s="733" t="s">
        <v>1619</v>
      </c>
      <c r="D13" s="733" t="s">
        <v>1570</v>
      </c>
      <c r="E13" s="597"/>
      <c r="F13" s="597"/>
      <c r="G13" s="602" t="s">
        <v>3189</v>
      </c>
      <c r="H13" s="603">
        <f ca="1">TasaInteres</f>
        <v>0.129</v>
      </c>
      <c r="I13" s="599"/>
    </row>
    <row r="14" spans="1:12" ht="27.95" customHeight="1" x14ac:dyDescent="0.3">
      <c r="A14" s="937" t="s">
        <v>3197</v>
      </c>
      <c r="B14" s="938"/>
      <c r="C14" s="942" t="s">
        <v>1658</v>
      </c>
      <c r="D14" s="942"/>
      <c r="E14" s="604"/>
      <c r="F14" s="597"/>
      <c r="G14" s="605" t="s">
        <v>1710</v>
      </c>
      <c r="H14" s="606">
        <f ca="1">CAT!CAT</f>
        <v>0.32942108186708241</v>
      </c>
      <c r="I14" s="607" t="s">
        <v>1711</v>
      </c>
    </row>
    <row r="15" spans="1:12" ht="15" customHeight="1" x14ac:dyDescent="0.3">
      <c r="A15" s="688" t="s">
        <v>3195</v>
      </c>
      <c r="B15" s="689"/>
      <c r="C15" s="597" t="str">
        <f>SELECCION_TIPO_PERSONA</f>
        <v>Física</v>
      </c>
      <c r="D15" s="604"/>
      <c r="E15" s="604"/>
      <c r="F15" s="597"/>
      <c r="G15" s="602" t="s">
        <v>1713</v>
      </c>
      <c r="H15" s="608">
        <f ca="1">NumeroDePagos-H16</f>
        <v>0</v>
      </c>
      <c r="I15" s="599"/>
    </row>
    <row r="16" spans="1:12" ht="15" customHeight="1" thickBot="1" x14ac:dyDescent="0.35">
      <c r="A16" s="797" t="s">
        <v>3196</v>
      </c>
      <c r="B16" s="609"/>
      <c r="C16" s="430" t="s">
        <v>3190</v>
      </c>
      <c r="D16" s="610" t="str">
        <f ca="1">Leyenda.Seguro.2</f>
        <v>Con Seguro Anual Financiado.</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43" t="s">
        <v>3191</v>
      </c>
      <c r="B18" s="944"/>
      <c r="C18" s="944"/>
      <c r="D18" s="944"/>
      <c r="E18" s="945"/>
      <c r="F18" s="944"/>
      <c r="G18" s="944"/>
      <c r="H18" s="944"/>
      <c r="I18" s="946"/>
    </row>
    <row r="19" spans="1:9" ht="27" x14ac:dyDescent="0.3">
      <c r="A19" s="412" t="s">
        <v>1705</v>
      </c>
      <c r="B19" s="412" t="s">
        <v>1706</v>
      </c>
      <c r="C19" s="412" t="s">
        <v>1650</v>
      </c>
      <c r="D19" s="412" t="s">
        <v>1707</v>
      </c>
      <c r="E19" s="412" t="s">
        <v>1652</v>
      </c>
      <c r="F19" s="412" t="s">
        <v>1708</v>
      </c>
      <c r="G19" s="412" t="s">
        <v>1653</v>
      </c>
      <c r="H19" s="412" t="s">
        <v>5176</v>
      </c>
      <c r="I19" s="412" t="s">
        <v>1654</v>
      </c>
    </row>
    <row r="20" spans="1:9" ht="15" customHeight="1" x14ac:dyDescent="0.3">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11619.004092347395</v>
      </c>
      <c r="E20" s="420">
        <f ca="1">INDEX(T_Merger!__Interes,_AmortizacionesTablaCliente)</f>
        <v>1548.7922567034998</v>
      </c>
      <c r="F20" s="420">
        <f ca="1">INDEX(T_Merger!__IVA,_AmortizacionesTablaCliente)</f>
        <v>185.85507080441997</v>
      </c>
      <c r="G20" s="420">
        <f ca="1">INDEX(T_Merger!__Pago,_AmortizacionesTablaCliente)</f>
        <v>13353.651419855316</v>
      </c>
      <c r="H20" s="555">
        <v>0</v>
      </c>
      <c r="I20" s="421">
        <f ca="1">INDEX(T_Merger!__Saldo_Final,_AmortizacionesTablaCliente)</f>
        <v>137422.75276765259</v>
      </c>
    </row>
    <row r="21" spans="1:9" ht="15" customHeight="1" x14ac:dyDescent="0.3">
      <c r="A21" s="422">
        <v>2</v>
      </c>
      <c r="B21" s="423">
        <f t="shared" si="0"/>
        <v>42445</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6">
        <v>0</v>
      </c>
      <c r="I21" s="425">
        <f ca="1">INDEX(T_Merger!__Saldo_Final,_AmortizacionesTablaCliente)</f>
        <v>125663.85586603334</v>
      </c>
    </row>
    <row r="22" spans="1:9" ht="15" customHeight="1" x14ac:dyDescent="0.3">
      <c r="A22" s="422">
        <v>3</v>
      </c>
      <c r="B22" s="423">
        <f t="shared" si="0"/>
        <v>42476</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6">
        <v>0</v>
      </c>
      <c r="I22" s="425">
        <f ca="1">INDEX(T_Merger!__Saldo_Final,_AmortizacionesTablaCliente)</f>
        <v>113763.38184571858</v>
      </c>
    </row>
    <row r="23" spans="1:9" ht="15" customHeight="1" x14ac:dyDescent="0.3">
      <c r="A23" s="422">
        <v>4</v>
      </c>
      <c r="B23" s="423">
        <f t="shared" si="0"/>
        <v>42506</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6">
        <v>0</v>
      </c>
      <c r="I23" s="425">
        <f ca="1">INDEX(T_Merger!__Saldo_Final,_AmortizacionesTablaCliente)</f>
        <v>101719.62611819924</v>
      </c>
    </row>
    <row r="24" spans="1:9" x14ac:dyDescent="0.3">
      <c r="A24" s="422">
        <v>5</v>
      </c>
      <c r="B24" s="423">
        <f t="shared" si="0"/>
        <v>42537</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6">
        <v>0</v>
      </c>
      <c r="I24" s="425">
        <f ca="1">INDEX(T_Merger!__Saldo_Final,_AmortizacionesTablaCliente)</f>
        <v>89530.863571720576</v>
      </c>
    </row>
    <row r="25" spans="1:9" x14ac:dyDescent="0.3">
      <c r="A25" s="422">
        <v>6</v>
      </c>
      <c r="B25" s="423">
        <f t="shared" si="0"/>
        <v>42567</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6">
        <v>0</v>
      </c>
      <c r="I25" s="425">
        <f ca="1">INDEX(T_Merger!__Saldo_Final,_AmortizacionesTablaCliente)</f>
        <v>77195.348324182298</v>
      </c>
    </row>
    <row r="26" spans="1:9" x14ac:dyDescent="0.3">
      <c r="A26" s="422">
        <v>7</v>
      </c>
      <c r="B26" s="423">
        <f t="shared" si="0"/>
        <v>42598</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6">
        <v>0</v>
      </c>
      <c r="I26" s="425">
        <f ca="1">INDEX(T_Merger!__Saldo_Final,_AmortizacionesTablaCliente)</f>
        <v>64711.313473063659</v>
      </c>
    </row>
    <row r="27" spans="1:9" x14ac:dyDescent="0.3">
      <c r="A27" s="422">
        <v>8</v>
      </c>
      <c r="B27" s="423">
        <f t="shared" si="0"/>
        <v>42629</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6">
        <v>0</v>
      </c>
      <c r="I27" s="425">
        <f ca="1">INDEX(T_Merger!__Saldo_Final,_AmortizacionesTablaCliente)</f>
        <v>52076.970842337549</v>
      </c>
    </row>
    <row r="28" spans="1:9" x14ac:dyDescent="0.3">
      <c r="A28" s="422">
        <v>9</v>
      </c>
      <c r="B28" s="423">
        <f t="shared" si="0"/>
        <v>42659</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6">
        <v>0</v>
      </c>
      <c r="I28" s="425">
        <f ca="1">INDEX(T_Merger!__Saldo_Final,_AmortizacionesTablaCliente)</f>
        <v>39290.510726337496</v>
      </c>
    </row>
    <row r="29" spans="1:9" x14ac:dyDescent="0.3">
      <c r="A29" s="422">
        <v>10</v>
      </c>
      <c r="B29" s="423">
        <f t="shared" si="0"/>
        <v>42690</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6">
        <v>0</v>
      </c>
      <c r="I29" s="425">
        <f ca="1">INDEX(T_Merger!__Saldo_Final,_AmortizacionesTablaCliente)</f>
        <v>26350.101630540805</v>
      </c>
    </row>
    <row r="30" spans="1:9" x14ac:dyDescent="0.3">
      <c r="A30" s="422">
        <v>11</v>
      </c>
      <c r="B30" s="423">
        <f t="shared" si="0"/>
        <v>42720</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6">
        <v>0</v>
      </c>
      <c r="I30" s="425">
        <f ca="1">INDEX(T_Merger!__Saldo_Final,_AmortizacionesTablaCliente)</f>
        <v>13253.890009230721</v>
      </c>
    </row>
    <row r="31" spans="1:9" x14ac:dyDescent="0.3">
      <c r="A31" s="422">
        <v>12</v>
      </c>
      <c r="B31" s="423">
        <f t="shared" si="0"/>
        <v>42751</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6">
        <v>0</v>
      </c>
      <c r="I31" s="425">
        <f ca="1">INDEX(T_Merger!__Saldo_Final,_AmortizacionesTablaCliente)</f>
        <v>7.2759576141834259E-12</v>
      </c>
    </row>
    <row r="32" spans="1:9" hidden="1" x14ac:dyDescent="0.3">
      <c r="A32" s="422">
        <v>13</v>
      </c>
      <c r="B32" s="423">
        <f t="shared" si="0"/>
        <v>42782</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6">
        <v>0</v>
      </c>
      <c r="I32" s="425">
        <f ca="1">INDEX(T_Merger!__Saldo_Final,_AmortizacionesTablaCliente)</f>
        <v>7.2759576141834259E-12</v>
      </c>
    </row>
    <row r="33" spans="1:9" hidden="1" x14ac:dyDescent="0.3">
      <c r="A33" s="422">
        <v>14</v>
      </c>
      <c r="B33" s="423">
        <f t="shared" si="0"/>
        <v>42810</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6">
        <v>0</v>
      </c>
      <c r="I33" s="425">
        <f ca="1">INDEX(T_Merger!__Saldo_Final,_AmortizacionesTablaCliente)</f>
        <v>7.2759576141834259E-12</v>
      </c>
    </row>
    <row r="34" spans="1:9" hidden="1" x14ac:dyDescent="0.3">
      <c r="A34" s="422">
        <v>15</v>
      </c>
      <c r="B34" s="423">
        <f t="shared" si="0"/>
        <v>42841</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6">
        <v>0</v>
      </c>
      <c r="I34" s="425">
        <f ca="1">INDEX(T_Merger!__Saldo_Final,_AmortizacionesTablaCliente)</f>
        <v>7.2759576141834259E-12</v>
      </c>
    </row>
    <row r="35" spans="1:9" hidden="1" x14ac:dyDescent="0.3">
      <c r="A35" s="422">
        <v>16</v>
      </c>
      <c r="B35" s="423">
        <f t="shared" si="0"/>
        <v>42871</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6">
        <v>0</v>
      </c>
      <c r="I35" s="425">
        <f ca="1">INDEX(T_Merger!__Saldo_Final,_AmortizacionesTablaCliente)</f>
        <v>7.2759576141834259E-12</v>
      </c>
    </row>
    <row r="36" spans="1:9" hidden="1" x14ac:dyDescent="0.3">
      <c r="A36" s="422">
        <v>17</v>
      </c>
      <c r="B36" s="423">
        <f t="shared" si="0"/>
        <v>42902</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6">
        <v>0</v>
      </c>
      <c r="I36" s="425">
        <f ca="1">INDEX(T_Merger!__Saldo_Final,_AmortizacionesTablaCliente)</f>
        <v>7.2759576141834259E-12</v>
      </c>
    </row>
    <row r="37" spans="1:9" hidden="1" x14ac:dyDescent="0.3">
      <c r="A37" s="422">
        <v>18</v>
      </c>
      <c r="B37" s="423">
        <f t="shared" si="0"/>
        <v>42932</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6">
        <v>0</v>
      </c>
      <c r="I37" s="425">
        <f ca="1">INDEX(T_Merger!__Saldo_Final,_AmortizacionesTablaCliente)</f>
        <v>7.2759576141834259E-12</v>
      </c>
    </row>
    <row r="38" spans="1:9" hidden="1" x14ac:dyDescent="0.3">
      <c r="A38" s="422">
        <v>19</v>
      </c>
      <c r="B38" s="423">
        <f t="shared" si="0"/>
        <v>42963</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6">
        <v>0</v>
      </c>
      <c r="I38" s="425">
        <f ca="1">INDEX(T_Merger!__Saldo_Final,_AmortizacionesTablaCliente)</f>
        <v>7.2759576141834259E-12</v>
      </c>
    </row>
    <row r="39" spans="1:9" hidden="1" x14ac:dyDescent="0.3">
      <c r="A39" s="422">
        <v>20</v>
      </c>
      <c r="B39" s="423">
        <f t="shared" si="0"/>
        <v>42994</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6">
        <v>0</v>
      </c>
      <c r="I39" s="425">
        <f ca="1">INDEX(T_Merger!__Saldo_Final,_AmortizacionesTablaCliente)</f>
        <v>7.2759576141834259E-12</v>
      </c>
    </row>
    <row r="40" spans="1:9" hidden="1" x14ac:dyDescent="0.3">
      <c r="A40" s="422">
        <v>21</v>
      </c>
      <c r="B40" s="423">
        <f t="shared" si="0"/>
        <v>43024</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6">
        <v>0</v>
      </c>
      <c r="I40" s="425">
        <f ca="1">INDEX(T_Merger!__Saldo_Final,_AmortizacionesTablaCliente)</f>
        <v>7.2759576141834259E-12</v>
      </c>
    </row>
    <row r="41" spans="1:9" hidden="1" x14ac:dyDescent="0.3">
      <c r="A41" s="422">
        <v>22</v>
      </c>
      <c r="B41" s="423">
        <f t="shared" si="0"/>
        <v>43055</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6">
        <v>0</v>
      </c>
      <c r="I41" s="425">
        <f ca="1">INDEX(T_Merger!__Saldo_Final,_AmortizacionesTablaCliente)</f>
        <v>7.2759576141834259E-12</v>
      </c>
    </row>
    <row r="42" spans="1:9" hidden="1" x14ac:dyDescent="0.3">
      <c r="A42" s="422">
        <v>23</v>
      </c>
      <c r="B42" s="423">
        <f t="shared" si="0"/>
        <v>43085</v>
      </c>
      <c r="C42" s="424">
        <f ca="1">INDEX(T_Merger!__Saldo_Inicial,_AmortizacionesTablaCliente)</f>
        <v>7.2759576141834259E-12</v>
      </c>
      <c r="D42" s="424">
        <f ca="1">INDEX(T_Merger!__Capital,_AmortizacionesTablaCliente)</f>
        <v>0</v>
      </c>
      <c r="E42" s="582">
        <f ca="1">INDEX(T_Merger!__Interes,_AmortizacionesTablaCliente)</f>
        <v>7.8216544352471822E-14</v>
      </c>
      <c r="F42" s="424">
        <f ca="1">INDEX(T_Merger!__IVA,_AmortizacionesTablaCliente)</f>
        <v>9.3859853222966188E-15</v>
      </c>
      <c r="G42" s="424">
        <f ca="1">INDEX(T_Merger!__Pago,_AmortizacionesTablaCliente)</f>
        <v>8.7602529674768438E-14</v>
      </c>
      <c r="H42" s="556">
        <v>0</v>
      </c>
      <c r="I42" s="425">
        <f ca="1">INDEX(T_Merger!__Saldo_Final,_AmortizacionesTablaCliente)</f>
        <v>7.2759576141834259E-12</v>
      </c>
    </row>
    <row r="43" spans="1:9" hidden="1" x14ac:dyDescent="0.3">
      <c r="A43" s="422">
        <v>24</v>
      </c>
      <c r="B43" s="423">
        <f t="shared" si="0"/>
        <v>43116</v>
      </c>
      <c r="C43" s="424">
        <f ca="1">INDEX(T_Merger!__Saldo_Inicial,_AmortizacionesTablaCliente)</f>
        <v>7.2759576141834259E-12</v>
      </c>
      <c r="D43" s="424">
        <f ca="1">INDEX(T_Merger!__Capital,_AmortizacionesTablaCliente)</f>
        <v>0</v>
      </c>
      <c r="E43" s="584">
        <f ca="1">INDEX(T_Merger!__Interes,_AmortizacionesTablaCliente)</f>
        <v>7.8216544352471822E-14</v>
      </c>
      <c r="F43" s="424">
        <f ca="1">INDEX(T_Merger!__IVA,_AmortizacionesTablaCliente)</f>
        <v>9.3859853222966188E-15</v>
      </c>
      <c r="G43" s="424">
        <f ca="1">INDEX(T_Merger!__Pago,_AmortizacionesTablaCliente)</f>
        <v>8.7602529674768438E-14</v>
      </c>
      <c r="H43" s="556">
        <v>0</v>
      </c>
      <c r="I43" s="425">
        <f ca="1">INDEX(T_Merger!__Saldo_Final,_AmortizacionesTablaCliente)</f>
        <v>7.2759576141834259E-12</v>
      </c>
    </row>
    <row r="44" spans="1:9" hidden="1" x14ac:dyDescent="0.3">
      <c r="A44" s="422">
        <v>25</v>
      </c>
      <c r="B44" s="423">
        <f t="shared" si="0"/>
        <v>43147</v>
      </c>
      <c r="C44" s="424">
        <f ca="1">INDEX(T_Merger!__Saldo_Inicial,_AmortizacionesTablaCliente)</f>
        <v>7.2759576141834259E-12</v>
      </c>
      <c r="D44" s="424">
        <f ca="1">INDEX(T_Merger!__Capital,_AmortizacionesTablaCliente)</f>
        <v>0</v>
      </c>
      <c r="E44" s="584">
        <f ca="1">INDEX(T_Merger!__Interes,_AmortizacionesTablaCliente)</f>
        <v>7.8216544352471822E-14</v>
      </c>
      <c r="F44" s="424">
        <f ca="1">INDEX(T_Merger!__IVA,_AmortizacionesTablaCliente)</f>
        <v>9.3859853222966188E-15</v>
      </c>
      <c r="G44" s="424">
        <f ca="1">INDEX(T_Merger!__Pago,_AmortizacionesTablaCliente)</f>
        <v>8.7602529674768438E-14</v>
      </c>
      <c r="H44" s="556">
        <v>0</v>
      </c>
      <c r="I44" s="425">
        <f ca="1">INDEX(T_Merger!__Saldo_Final,_AmortizacionesTablaCliente)</f>
        <v>7.2759576141834259E-12</v>
      </c>
    </row>
    <row r="45" spans="1:9" hidden="1" x14ac:dyDescent="0.3">
      <c r="A45" s="422">
        <v>26</v>
      </c>
      <c r="B45" s="423">
        <f t="shared" si="0"/>
        <v>43175</v>
      </c>
      <c r="C45" s="424">
        <f ca="1">INDEX(T_Merger!__Saldo_Inicial,_AmortizacionesTablaCliente)</f>
        <v>7.2759576141834259E-12</v>
      </c>
      <c r="D45" s="424">
        <f ca="1">INDEX(T_Merger!__Capital,_AmortizacionesTablaCliente)</f>
        <v>0</v>
      </c>
      <c r="E45" s="584">
        <f ca="1">INDEX(T_Merger!__Interes,_AmortizacionesTablaCliente)</f>
        <v>7.8216544352471822E-14</v>
      </c>
      <c r="F45" s="424">
        <f ca="1">INDEX(T_Merger!__IVA,_AmortizacionesTablaCliente)</f>
        <v>9.3859853222966188E-15</v>
      </c>
      <c r="G45" s="424">
        <f ca="1">INDEX(T_Merger!__Pago,_AmortizacionesTablaCliente)</f>
        <v>8.7602529674768438E-14</v>
      </c>
      <c r="H45" s="556">
        <v>0</v>
      </c>
      <c r="I45" s="425">
        <f ca="1">INDEX(T_Merger!__Saldo_Final,_AmortizacionesTablaCliente)</f>
        <v>7.2759576141834259E-12</v>
      </c>
    </row>
    <row r="46" spans="1:9" hidden="1" x14ac:dyDescent="0.3">
      <c r="A46" s="422">
        <v>27</v>
      </c>
      <c r="B46" s="423">
        <f t="shared" si="0"/>
        <v>43206</v>
      </c>
      <c r="C46" s="424">
        <f ca="1">INDEX(T_Merger!__Saldo_Inicial,_AmortizacionesTablaCliente)</f>
        <v>7.2759576141834259E-12</v>
      </c>
      <c r="D46" s="424">
        <f ca="1">INDEX(T_Merger!__Capital,_AmortizacionesTablaCliente)</f>
        <v>0</v>
      </c>
      <c r="E46" s="584">
        <f ca="1">INDEX(T_Merger!__Interes,_AmortizacionesTablaCliente)</f>
        <v>7.8216544352471822E-14</v>
      </c>
      <c r="F46" s="424">
        <f ca="1">INDEX(T_Merger!__IVA,_AmortizacionesTablaCliente)</f>
        <v>9.3859853222966188E-15</v>
      </c>
      <c r="G46" s="424">
        <f ca="1">INDEX(T_Merger!__Pago,_AmortizacionesTablaCliente)</f>
        <v>8.7602529674768438E-14</v>
      </c>
      <c r="H46" s="556">
        <v>0</v>
      </c>
      <c r="I46" s="425">
        <f ca="1">INDEX(T_Merger!__Saldo_Final,_AmortizacionesTablaCliente)</f>
        <v>7.2759576141834259E-12</v>
      </c>
    </row>
    <row r="47" spans="1:9" hidden="1" x14ac:dyDescent="0.3">
      <c r="A47" s="422">
        <v>28</v>
      </c>
      <c r="B47" s="423">
        <f t="shared" si="0"/>
        <v>43236</v>
      </c>
      <c r="C47" s="424">
        <f ca="1">INDEX(T_Merger!__Saldo_Inicial,_AmortizacionesTablaCliente)</f>
        <v>7.2759576141834259E-12</v>
      </c>
      <c r="D47" s="424">
        <f ca="1">INDEX(T_Merger!__Capital,_AmortizacionesTablaCliente)</f>
        <v>0</v>
      </c>
      <c r="E47" s="584">
        <f ca="1">INDEX(T_Merger!__Interes,_AmortizacionesTablaCliente)</f>
        <v>7.8216544352471822E-14</v>
      </c>
      <c r="F47" s="424">
        <f ca="1">INDEX(T_Merger!__IVA,_AmortizacionesTablaCliente)</f>
        <v>9.3859853222966188E-15</v>
      </c>
      <c r="G47" s="424">
        <f ca="1">INDEX(T_Merger!__Pago,_AmortizacionesTablaCliente)</f>
        <v>8.7602529674768438E-14</v>
      </c>
      <c r="H47" s="556">
        <v>0</v>
      </c>
      <c r="I47" s="425">
        <f ca="1">INDEX(T_Merger!__Saldo_Final,_AmortizacionesTablaCliente)</f>
        <v>7.2759576141834259E-12</v>
      </c>
    </row>
    <row r="48" spans="1:9" hidden="1" x14ac:dyDescent="0.3">
      <c r="A48" s="422">
        <v>29</v>
      </c>
      <c r="B48" s="423">
        <f t="shared" si="0"/>
        <v>43267</v>
      </c>
      <c r="C48" s="424">
        <f ca="1">INDEX(T_Merger!__Saldo_Inicial,_AmortizacionesTablaCliente)</f>
        <v>7.2759576141834259E-12</v>
      </c>
      <c r="D48" s="424">
        <f ca="1">INDEX(T_Merger!__Capital,_AmortizacionesTablaCliente)</f>
        <v>0</v>
      </c>
      <c r="E48" s="584">
        <f ca="1">INDEX(T_Merger!__Interes,_AmortizacionesTablaCliente)</f>
        <v>7.8216544352471822E-14</v>
      </c>
      <c r="F48" s="424">
        <f ca="1">INDEX(T_Merger!__IVA,_AmortizacionesTablaCliente)</f>
        <v>9.3859853222966188E-15</v>
      </c>
      <c r="G48" s="424">
        <f ca="1">INDEX(T_Merger!__Pago,_AmortizacionesTablaCliente)</f>
        <v>8.7602529674768438E-14</v>
      </c>
      <c r="H48" s="556">
        <v>0</v>
      </c>
      <c r="I48" s="425">
        <f ca="1">INDEX(T_Merger!__Saldo_Final,_AmortizacionesTablaCliente)</f>
        <v>7.2759576141834259E-12</v>
      </c>
    </row>
    <row r="49" spans="1:9" hidden="1" x14ac:dyDescent="0.3">
      <c r="A49" s="422">
        <v>30</v>
      </c>
      <c r="B49" s="423">
        <f t="shared" si="0"/>
        <v>43297</v>
      </c>
      <c r="C49" s="424">
        <f ca="1">INDEX(T_Merger!__Saldo_Inicial,_AmortizacionesTablaCliente)</f>
        <v>7.2759576141834259E-12</v>
      </c>
      <c r="D49" s="424">
        <f ca="1">INDEX(T_Merger!__Capital,_AmortizacionesTablaCliente)</f>
        <v>0</v>
      </c>
      <c r="E49" s="584">
        <f ca="1">INDEX(T_Merger!__Interes,_AmortizacionesTablaCliente)</f>
        <v>7.8216544352471822E-14</v>
      </c>
      <c r="F49" s="424">
        <f ca="1">INDEX(T_Merger!__IVA,_AmortizacionesTablaCliente)</f>
        <v>9.3859853222966188E-15</v>
      </c>
      <c r="G49" s="424">
        <f ca="1">INDEX(T_Merger!__Pago,_AmortizacionesTablaCliente)</f>
        <v>8.7602529674768438E-14</v>
      </c>
      <c r="H49" s="556">
        <v>0</v>
      </c>
      <c r="I49" s="425">
        <f ca="1">INDEX(T_Merger!__Saldo_Final,_AmortizacionesTablaCliente)</f>
        <v>7.2759576141834259E-12</v>
      </c>
    </row>
    <row r="50" spans="1:9" hidden="1" x14ac:dyDescent="0.3">
      <c r="A50" s="422">
        <v>31</v>
      </c>
      <c r="B50" s="423">
        <f t="shared" si="0"/>
        <v>43328</v>
      </c>
      <c r="C50" s="424">
        <f ca="1">INDEX(T_Merger!__Saldo_Inicial,_AmortizacionesTablaCliente)</f>
        <v>7.2759576141834259E-12</v>
      </c>
      <c r="D50" s="424">
        <f ca="1">INDEX(T_Merger!__Capital,_AmortizacionesTablaCliente)</f>
        <v>0</v>
      </c>
      <c r="E50" s="584">
        <f ca="1">INDEX(T_Merger!__Interes,_AmortizacionesTablaCliente)</f>
        <v>7.8216544352471822E-14</v>
      </c>
      <c r="F50" s="424">
        <f ca="1">INDEX(T_Merger!__IVA,_AmortizacionesTablaCliente)</f>
        <v>9.3859853222966188E-15</v>
      </c>
      <c r="G50" s="424">
        <f ca="1">INDEX(T_Merger!__Pago,_AmortizacionesTablaCliente)</f>
        <v>8.7602529674768438E-14</v>
      </c>
      <c r="H50" s="556">
        <v>0</v>
      </c>
      <c r="I50" s="425">
        <f ca="1">INDEX(T_Merger!__Saldo_Final,_AmortizacionesTablaCliente)</f>
        <v>7.2759576141834259E-12</v>
      </c>
    </row>
    <row r="51" spans="1:9" hidden="1" x14ac:dyDescent="0.3">
      <c r="A51" s="422">
        <v>32</v>
      </c>
      <c r="B51" s="423">
        <f t="shared" si="0"/>
        <v>43359</v>
      </c>
      <c r="C51" s="424">
        <f ca="1">INDEX(T_Merger!__Saldo_Inicial,_AmortizacionesTablaCliente)</f>
        <v>7.2759576141834259E-12</v>
      </c>
      <c r="D51" s="424">
        <f ca="1">INDEX(T_Merger!__Capital,_AmortizacionesTablaCliente)</f>
        <v>0</v>
      </c>
      <c r="E51" s="584">
        <f ca="1">INDEX(T_Merger!__Interes,_AmortizacionesTablaCliente)</f>
        <v>7.8216544352471822E-14</v>
      </c>
      <c r="F51" s="424">
        <f ca="1">INDEX(T_Merger!__IVA,_AmortizacionesTablaCliente)</f>
        <v>9.3859853222966188E-15</v>
      </c>
      <c r="G51" s="424">
        <f ca="1">INDEX(T_Merger!__Pago,_AmortizacionesTablaCliente)</f>
        <v>8.7602529674768438E-14</v>
      </c>
      <c r="H51" s="556">
        <v>0</v>
      </c>
      <c r="I51" s="425">
        <f ca="1">INDEX(T_Merger!__Saldo_Final,_AmortizacionesTablaCliente)</f>
        <v>7.2759576141834259E-12</v>
      </c>
    </row>
    <row r="52" spans="1:9" hidden="1" x14ac:dyDescent="0.3">
      <c r="A52" s="422">
        <v>33</v>
      </c>
      <c r="B52" s="423">
        <f t="shared" si="0"/>
        <v>43389</v>
      </c>
      <c r="C52" s="424">
        <f ca="1">INDEX(T_Merger!__Saldo_Inicial,_AmortizacionesTablaCliente)</f>
        <v>7.2759576141834259E-12</v>
      </c>
      <c r="D52" s="424">
        <f ca="1">INDEX(T_Merger!__Capital,_AmortizacionesTablaCliente)</f>
        <v>0</v>
      </c>
      <c r="E52" s="584">
        <f ca="1">INDEX(T_Merger!__Interes,_AmortizacionesTablaCliente)</f>
        <v>7.8216544352471822E-14</v>
      </c>
      <c r="F52" s="424">
        <f ca="1">INDEX(T_Merger!__IVA,_AmortizacionesTablaCliente)</f>
        <v>9.3859853222966188E-15</v>
      </c>
      <c r="G52" s="424">
        <f ca="1">INDEX(T_Merger!__Pago,_AmortizacionesTablaCliente)</f>
        <v>8.7602529674768438E-14</v>
      </c>
      <c r="H52" s="556">
        <v>0</v>
      </c>
      <c r="I52" s="425">
        <f ca="1">INDEX(T_Merger!__Saldo_Final,_AmortizacionesTablaCliente)</f>
        <v>7.2759576141834259E-12</v>
      </c>
    </row>
    <row r="53" spans="1:9" hidden="1" x14ac:dyDescent="0.3">
      <c r="A53" s="422">
        <v>34</v>
      </c>
      <c r="B53" s="423">
        <f t="shared" si="0"/>
        <v>43420</v>
      </c>
      <c r="C53" s="424">
        <f ca="1">INDEX(T_Merger!__Saldo_Inicial,_AmortizacionesTablaCliente)</f>
        <v>7.2759576141834259E-12</v>
      </c>
      <c r="D53" s="424">
        <f ca="1">INDEX(T_Merger!__Capital,_AmortizacionesTablaCliente)</f>
        <v>0</v>
      </c>
      <c r="E53" s="584">
        <f ca="1">INDEX(T_Merger!__Interes,_AmortizacionesTablaCliente)</f>
        <v>7.8216544352471822E-14</v>
      </c>
      <c r="F53" s="424">
        <f ca="1">INDEX(T_Merger!__IVA,_AmortizacionesTablaCliente)</f>
        <v>9.3859853222966188E-15</v>
      </c>
      <c r="G53" s="424">
        <f ca="1">INDEX(T_Merger!__Pago,_AmortizacionesTablaCliente)</f>
        <v>8.7602529674768438E-14</v>
      </c>
      <c r="H53" s="556">
        <v>0</v>
      </c>
      <c r="I53" s="425">
        <f ca="1">INDEX(T_Merger!__Saldo_Final,_AmortizacionesTablaCliente)</f>
        <v>7.2759576141834259E-12</v>
      </c>
    </row>
    <row r="54" spans="1:9" hidden="1" x14ac:dyDescent="0.3">
      <c r="A54" s="422">
        <v>35</v>
      </c>
      <c r="B54" s="423">
        <f t="shared" si="0"/>
        <v>43450</v>
      </c>
      <c r="C54" s="424">
        <f ca="1">INDEX(T_Merger!__Saldo_Inicial,_AmortizacionesTablaCliente)</f>
        <v>7.2759576141834259E-12</v>
      </c>
      <c r="D54" s="424">
        <f ca="1">INDEX(T_Merger!__Capital,_AmortizacionesTablaCliente)</f>
        <v>0</v>
      </c>
      <c r="E54" s="584">
        <f ca="1">INDEX(T_Merger!__Interes,_AmortizacionesTablaCliente)</f>
        <v>7.8216544352471822E-14</v>
      </c>
      <c r="F54" s="424">
        <f ca="1">INDEX(T_Merger!__IVA,_AmortizacionesTablaCliente)</f>
        <v>9.3859853222966188E-15</v>
      </c>
      <c r="G54" s="424">
        <f ca="1">INDEX(T_Merger!__Pago,_AmortizacionesTablaCliente)</f>
        <v>8.7602529674768438E-14</v>
      </c>
      <c r="H54" s="556">
        <v>0</v>
      </c>
      <c r="I54" s="425">
        <f ca="1">INDEX(T_Merger!__Saldo_Final,_AmortizacionesTablaCliente)</f>
        <v>7.2759576141834259E-12</v>
      </c>
    </row>
    <row r="55" spans="1:9" hidden="1" x14ac:dyDescent="0.3">
      <c r="A55" s="422">
        <v>36</v>
      </c>
      <c r="B55" s="423">
        <f t="shared" si="0"/>
        <v>43481</v>
      </c>
      <c r="C55" s="424">
        <f ca="1">INDEX(T_Merger!__Saldo_Inicial,_AmortizacionesTablaCliente)</f>
        <v>7.2759576141834259E-12</v>
      </c>
      <c r="D55" s="424">
        <f ca="1">INDEX(T_Merger!__Capital,_AmortizacionesTablaCliente)</f>
        <v>0</v>
      </c>
      <c r="E55" s="584">
        <f ca="1">INDEX(T_Merger!__Interes,_AmortizacionesTablaCliente)</f>
        <v>7.8216544352471822E-14</v>
      </c>
      <c r="F55" s="424">
        <f ca="1">INDEX(T_Merger!__IVA,_AmortizacionesTablaCliente)</f>
        <v>9.3859853222966188E-15</v>
      </c>
      <c r="G55" s="424">
        <f ca="1">INDEX(T_Merger!__Pago,_AmortizacionesTablaCliente)</f>
        <v>8.7602529674768438E-14</v>
      </c>
      <c r="H55" s="556">
        <v>0</v>
      </c>
      <c r="I55" s="425">
        <f ca="1">INDEX(T_Merger!__Saldo_Final,_AmortizacionesTablaCliente)</f>
        <v>7.2759576141834259E-12</v>
      </c>
    </row>
    <row r="56" spans="1:9" hidden="1" x14ac:dyDescent="0.3">
      <c r="A56" s="422">
        <v>37</v>
      </c>
      <c r="B56" s="423">
        <f t="shared" si="0"/>
        <v>43512</v>
      </c>
      <c r="C56" s="424">
        <f ca="1">INDEX(T_Merger!__Saldo_Inicial,_AmortizacionesTablaCliente)</f>
        <v>7.2759576141834259E-12</v>
      </c>
      <c r="D56" s="424">
        <f ca="1">INDEX(T_Merger!__Capital,_AmortizacionesTablaCliente)</f>
        <v>0</v>
      </c>
      <c r="E56" s="584">
        <f ca="1">INDEX(T_Merger!__Interes,_AmortizacionesTablaCliente)</f>
        <v>7.8216544352471822E-14</v>
      </c>
      <c r="F56" s="424">
        <f ca="1">INDEX(T_Merger!__IVA,_AmortizacionesTablaCliente)</f>
        <v>9.3859853222966188E-15</v>
      </c>
      <c r="G56" s="424">
        <f ca="1">INDEX(T_Merger!__Pago,_AmortizacionesTablaCliente)</f>
        <v>8.7602529674768438E-14</v>
      </c>
      <c r="H56" s="556">
        <v>0</v>
      </c>
      <c r="I56" s="425">
        <f ca="1">INDEX(T_Merger!__Saldo_Final,_AmortizacionesTablaCliente)</f>
        <v>7.2759576141834259E-12</v>
      </c>
    </row>
    <row r="57" spans="1:9" hidden="1" x14ac:dyDescent="0.3">
      <c r="A57" s="422">
        <v>38</v>
      </c>
      <c r="B57" s="423">
        <f t="shared" si="0"/>
        <v>43540</v>
      </c>
      <c r="C57" s="424">
        <f ca="1">INDEX(T_Merger!__Saldo_Inicial,_AmortizacionesTablaCliente)</f>
        <v>7.2759576141834259E-12</v>
      </c>
      <c r="D57" s="424">
        <f ca="1">INDEX(T_Merger!__Capital,_AmortizacionesTablaCliente)</f>
        <v>0</v>
      </c>
      <c r="E57" s="584">
        <f ca="1">INDEX(T_Merger!__Interes,_AmortizacionesTablaCliente)</f>
        <v>7.8216544352471822E-14</v>
      </c>
      <c r="F57" s="424">
        <f ca="1">INDEX(T_Merger!__IVA,_AmortizacionesTablaCliente)</f>
        <v>9.3859853222966188E-15</v>
      </c>
      <c r="G57" s="424">
        <f ca="1">INDEX(T_Merger!__Pago,_AmortizacionesTablaCliente)</f>
        <v>8.7602529674768438E-14</v>
      </c>
      <c r="H57" s="556">
        <v>0</v>
      </c>
      <c r="I57" s="425">
        <f ca="1">INDEX(T_Merger!__Saldo_Final,_AmortizacionesTablaCliente)</f>
        <v>7.2759576141834259E-12</v>
      </c>
    </row>
    <row r="58" spans="1:9" hidden="1" x14ac:dyDescent="0.3">
      <c r="A58" s="422">
        <v>39</v>
      </c>
      <c r="B58" s="423">
        <f t="shared" si="0"/>
        <v>43571</v>
      </c>
      <c r="C58" s="424">
        <f ca="1">INDEX(T_Merger!__Saldo_Inicial,_AmortizacionesTablaCliente)</f>
        <v>7.2759576141834259E-12</v>
      </c>
      <c r="D58" s="424">
        <f ca="1">INDEX(T_Merger!__Capital,_AmortizacionesTablaCliente)</f>
        <v>0</v>
      </c>
      <c r="E58" s="584">
        <f ca="1">INDEX(T_Merger!__Interes,_AmortizacionesTablaCliente)</f>
        <v>7.8216544352471822E-14</v>
      </c>
      <c r="F58" s="424">
        <f ca="1">INDEX(T_Merger!__IVA,_AmortizacionesTablaCliente)</f>
        <v>9.3859853222966188E-15</v>
      </c>
      <c r="G58" s="424">
        <f ca="1">INDEX(T_Merger!__Pago,_AmortizacionesTablaCliente)</f>
        <v>8.7602529674768438E-14</v>
      </c>
      <c r="H58" s="556">
        <v>0</v>
      </c>
      <c r="I58" s="425">
        <f ca="1">INDEX(T_Merger!__Saldo_Final,_AmortizacionesTablaCliente)</f>
        <v>7.2759576141834259E-12</v>
      </c>
    </row>
    <row r="59" spans="1:9" hidden="1" x14ac:dyDescent="0.3">
      <c r="A59" s="422">
        <v>40</v>
      </c>
      <c r="B59" s="423">
        <f t="shared" si="0"/>
        <v>43601</v>
      </c>
      <c r="C59" s="424">
        <f ca="1">INDEX(T_Merger!__Saldo_Inicial,_AmortizacionesTablaCliente)</f>
        <v>7.2759576141834259E-12</v>
      </c>
      <c r="D59" s="424">
        <f ca="1">INDEX(T_Merger!__Capital,_AmortizacionesTablaCliente)</f>
        <v>0</v>
      </c>
      <c r="E59" s="584">
        <f ca="1">INDEX(T_Merger!__Interes,_AmortizacionesTablaCliente)</f>
        <v>7.8216544352471822E-14</v>
      </c>
      <c r="F59" s="424">
        <f ca="1">INDEX(T_Merger!__IVA,_AmortizacionesTablaCliente)</f>
        <v>9.3859853222966188E-15</v>
      </c>
      <c r="G59" s="424">
        <f ca="1">INDEX(T_Merger!__Pago,_AmortizacionesTablaCliente)</f>
        <v>8.7602529674768438E-14</v>
      </c>
      <c r="H59" s="556">
        <v>0</v>
      </c>
      <c r="I59" s="425">
        <f ca="1">INDEX(T_Merger!__Saldo_Final,_AmortizacionesTablaCliente)</f>
        <v>7.2759576141834259E-12</v>
      </c>
    </row>
    <row r="60" spans="1:9" hidden="1" x14ac:dyDescent="0.3">
      <c r="A60" s="422">
        <v>41</v>
      </c>
      <c r="B60" s="423">
        <f t="shared" si="0"/>
        <v>43632</v>
      </c>
      <c r="C60" s="424">
        <f ca="1">INDEX(T_Merger!__Saldo_Inicial,_AmortizacionesTablaCliente)</f>
        <v>7.2759576141834259E-12</v>
      </c>
      <c r="D60" s="424">
        <f ca="1">INDEX(T_Merger!__Capital,_AmortizacionesTablaCliente)</f>
        <v>0</v>
      </c>
      <c r="E60" s="584">
        <f ca="1">INDEX(T_Merger!__Interes,_AmortizacionesTablaCliente)</f>
        <v>7.8216544352471822E-14</v>
      </c>
      <c r="F60" s="424">
        <f ca="1">INDEX(T_Merger!__IVA,_AmortizacionesTablaCliente)</f>
        <v>9.3859853222966188E-15</v>
      </c>
      <c r="G60" s="424">
        <f ca="1">INDEX(T_Merger!__Pago,_AmortizacionesTablaCliente)</f>
        <v>8.7602529674768438E-14</v>
      </c>
      <c r="H60" s="556">
        <v>0</v>
      </c>
      <c r="I60" s="425">
        <f ca="1">INDEX(T_Merger!__Saldo_Final,_AmortizacionesTablaCliente)</f>
        <v>7.2759576141834259E-12</v>
      </c>
    </row>
    <row r="61" spans="1:9" hidden="1" x14ac:dyDescent="0.3">
      <c r="A61" s="422">
        <v>42</v>
      </c>
      <c r="B61" s="423">
        <f t="shared" si="0"/>
        <v>43662</v>
      </c>
      <c r="C61" s="424">
        <f ca="1">INDEX(T_Merger!__Saldo_Inicial,_AmortizacionesTablaCliente)</f>
        <v>7.2759576141834259E-12</v>
      </c>
      <c r="D61" s="424">
        <f ca="1">INDEX(T_Merger!__Capital,_AmortizacionesTablaCliente)</f>
        <v>0</v>
      </c>
      <c r="E61" s="584">
        <f ca="1">INDEX(T_Merger!__Interes,_AmortizacionesTablaCliente)</f>
        <v>7.8216544352471822E-14</v>
      </c>
      <c r="F61" s="424">
        <f ca="1">INDEX(T_Merger!__IVA,_AmortizacionesTablaCliente)</f>
        <v>9.3859853222966188E-15</v>
      </c>
      <c r="G61" s="424">
        <f ca="1">INDEX(T_Merger!__Pago,_AmortizacionesTablaCliente)</f>
        <v>8.7602529674768438E-14</v>
      </c>
      <c r="H61" s="556">
        <v>0</v>
      </c>
      <c r="I61" s="425">
        <f ca="1">INDEX(T_Merger!__Saldo_Final,_AmortizacionesTablaCliente)</f>
        <v>7.2759576141834259E-12</v>
      </c>
    </row>
    <row r="62" spans="1:9" hidden="1" x14ac:dyDescent="0.3">
      <c r="A62" s="422">
        <v>43</v>
      </c>
      <c r="B62" s="423">
        <f t="shared" si="0"/>
        <v>43693</v>
      </c>
      <c r="C62" s="424">
        <f ca="1">INDEX(T_Merger!__Saldo_Inicial,_AmortizacionesTablaCliente)</f>
        <v>7.2759576141834259E-12</v>
      </c>
      <c r="D62" s="424">
        <f ca="1">INDEX(T_Merger!__Capital,_AmortizacionesTablaCliente)</f>
        <v>0</v>
      </c>
      <c r="E62" s="584">
        <f ca="1">INDEX(T_Merger!__Interes,_AmortizacionesTablaCliente)</f>
        <v>7.8216544352471822E-14</v>
      </c>
      <c r="F62" s="424">
        <f ca="1">INDEX(T_Merger!__IVA,_AmortizacionesTablaCliente)</f>
        <v>9.3859853222966188E-15</v>
      </c>
      <c r="G62" s="424">
        <f ca="1">INDEX(T_Merger!__Pago,_AmortizacionesTablaCliente)</f>
        <v>8.7602529674768438E-14</v>
      </c>
      <c r="H62" s="556">
        <v>0</v>
      </c>
      <c r="I62" s="425">
        <f ca="1">INDEX(T_Merger!__Saldo_Final,_AmortizacionesTablaCliente)</f>
        <v>7.2759576141834259E-12</v>
      </c>
    </row>
    <row r="63" spans="1:9" hidden="1" x14ac:dyDescent="0.3">
      <c r="A63" s="422">
        <v>44</v>
      </c>
      <c r="B63" s="423">
        <f t="shared" si="0"/>
        <v>43724</v>
      </c>
      <c r="C63" s="424">
        <f ca="1">INDEX(T_Merger!__Saldo_Inicial,_AmortizacionesTablaCliente)</f>
        <v>7.2759576141834259E-12</v>
      </c>
      <c r="D63" s="424">
        <f ca="1">INDEX(T_Merger!__Capital,_AmortizacionesTablaCliente)</f>
        <v>0</v>
      </c>
      <c r="E63" s="584">
        <f ca="1">INDEX(T_Merger!__Interes,_AmortizacionesTablaCliente)</f>
        <v>7.8216544352471822E-14</v>
      </c>
      <c r="F63" s="424">
        <f ca="1">INDEX(T_Merger!__IVA,_AmortizacionesTablaCliente)</f>
        <v>9.3859853222966188E-15</v>
      </c>
      <c r="G63" s="424">
        <f ca="1">INDEX(T_Merger!__Pago,_AmortizacionesTablaCliente)</f>
        <v>8.7602529674768438E-14</v>
      </c>
      <c r="H63" s="556">
        <v>0</v>
      </c>
      <c r="I63" s="425">
        <f ca="1">INDEX(T_Merger!__Saldo_Final,_AmortizacionesTablaCliente)</f>
        <v>7.2759576141834259E-12</v>
      </c>
    </row>
    <row r="64" spans="1:9" hidden="1" x14ac:dyDescent="0.3">
      <c r="A64" s="422">
        <v>45</v>
      </c>
      <c r="B64" s="423">
        <f t="shared" si="0"/>
        <v>43754</v>
      </c>
      <c r="C64" s="424">
        <f ca="1">INDEX(T_Merger!__Saldo_Inicial,_AmortizacionesTablaCliente)</f>
        <v>7.2759576141834259E-12</v>
      </c>
      <c r="D64" s="424">
        <f ca="1">INDEX(T_Merger!__Capital,_AmortizacionesTablaCliente)</f>
        <v>0</v>
      </c>
      <c r="E64" s="584">
        <f ca="1">INDEX(T_Merger!__Interes,_AmortizacionesTablaCliente)</f>
        <v>7.8216544352471822E-14</v>
      </c>
      <c r="F64" s="424">
        <f ca="1">INDEX(T_Merger!__IVA,_AmortizacionesTablaCliente)</f>
        <v>9.3859853222966188E-15</v>
      </c>
      <c r="G64" s="424">
        <f ca="1">INDEX(T_Merger!__Pago,_AmortizacionesTablaCliente)</f>
        <v>8.7602529674768438E-14</v>
      </c>
      <c r="H64" s="556">
        <v>0</v>
      </c>
      <c r="I64" s="425">
        <f ca="1">INDEX(T_Merger!__Saldo_Final,_AmortizacionesTablaCliente)</f>
        <v>7.2759576141834259E-12</v>
      </c>
    </row>
    <row r="65" spans="1:10" hidden="1" x14ac:dyDescent="0.3">
      <c r="A65" s="422">
        <v>46</v>
      </c>
      <c r="B65" s="423">
        <f t="shared" si="0"/>
        <v>43785</v>
      </c>
      <c r="C65" s="424">
        <f ca="1">INDEX(T_Merger!__Saldo_Inicial,_AmortizacionesTablaCliente)</f>
        <v>7.2759576141834259E-12</v>
      </c>
      <c r="D65" s="424">
        <f ca="1">INDEX(T_Merger!__Capital,_AmortizacionesTablaCliente)</f>
        <v>0</v>
      </c>
      <c r="E65" s="584">
        <f ca="1">INDEX(T_Merger!__Interes,_AmortizacionesTablaCliente)</f>
        <v>7.8216544352471822E-14</v>
      </c>
      <c r="F65" s="424">
        <f ca="1">INDEX(T_Merger!__IVA,_AmortizacionesTablaCliente)</f>
        <v>9.3859853222966188E-15</v>
      </c>
      <c r="G65" s="424">
        <f ca="1">INDEX(T_Merger!__Pago,_AmortizacionesTablaCliente)</f>
        <v>8.7602529674768438E-14</v>
      </c>
      <c r="H65" s="556">
        <v>0</v>
      </c>
      <c r="I65" s="425">
        <f ca="1">INDEX(T_Merger!__Saldo_Final,_AmortizacionesTablaCliente)</f>
        <v>7.2759576141834259E-12</v>
      </c>
    </row>
    <row r="66" spans="1:10" hidden="1" x14ac:dyDescent="0.3">
      <c r="A66" s="422">
        <v>47</v>
      </c>
      <c r="B66" s="423">
        <f t="shared" si="0"/>
        <v>43815</v>
      </c>
      <c r="C66" s="424">
        <f ca="1">INDEX(T_Merger!__Saldo_Inicial,_AmortizacionesTablaCliente)</f>
        <v>7.2759576141834259E-12</v>
      </c>
      <c r="D66" s="424">
        <f ca="1">INDEX(T_Merger!__Capital,_AmortizacionesTablaCliente)</f>
        <v>0</v>
      </c>
      <c r="E66" s="584">
        <f ca="1">INDEX(T_Merger!__Interes,_AmortizacionesTablaCliente)</f>
        <v>7.8216544352471822E-14</v>
      </c>
      <c r="F66" s="424">
        <f ca="1">INDEX(T_Merger!__IVA,_AmortizacionesTablaCliente)</f>
        <v>9.3859853222966188E-15</v>
      </c>
      <c r="G66" s="424">
        <f ca="1">INDEX(T_Merger!__Pago,_AmortizacionesTablaCliente)</f>
        <v>8.7602529674768438E-14</v>
      </c>
      <c r="H66" s="556">
        <v>0</v>
      </c>
      <c r="I66" s="425">
        <f ca="1">INDEX(T_Merger!__Saldo_Final,_AmortizacionesTablaCliente)</f>
        <v>7.2759576141834259E-12</v>
      </c>
    </row>
    <row r="67" spans="1:10" hidden="1" x14ac:dyDescent="0.3">
      <c r="A67" s="422">
        <v>48</v>
      </c>
      <c r="B67" s="423">
        <f t="shared" si="0"/>
        <v>43846</v>
      </c>
      <c r="C67" s="424">
        <f ca="1">INDEX(T_Merger!__Saldo_Inicial,_AmortizacionesTablaCliente)</f>
        <v>7.2759576141834259E-12</v>
      </c>
      <c r="D67" s="424">
        <f ca="1">INDEX(T_Merger!__Capital,_AmortizacionesTablaCliente)</f>
        <v>0</v>
      </c>
      <c r="E67" s="584">
        <f ca="1">INDEX(T_Merger!__Interes,_AmortizacionesTablaCliente)</f>
        <v>7.8216544352471822E-14</v>
      </c>
      <c r="F67" s="424">
        <f ca="1">INDEX(T_Merger!__IVA,_AmortizacionesTablaCliente)</f>
        <v>9.3859853222966188E-15</v>
      </c>
      <c r="G67" s="424">
        <f ca="1">INDEX(T_Merger!__Pago,_AmortizacionesTablaCliente)</f>
        <v>8.7602529674768438E-14</v>
      </c>
      <c r="H67" s="556">
        <v>0</v>
      </c>
      <c r="I67" s="425">
        <f ca="1">INDEX(T_Merger!__Saldo_Final,_AmortizacionesTablaCliente)</f>
        <v>7.2759576141834259E-12</v>
      </c>
    </row>
    <row r="68" spans="1:10" hidden="1" x14ac:dyDescent="0.3">
      <c r="A68" s="422">
        <v>49</v>
      </c>
      <c r="B68" s="423">
        <f t="shared" si="0"/>
        <v>43877</v>
      </c>
      <c r="C68" s="424">
        <f ca="1">INDEX(T_Merger!__Saldo_Inicial,_AmortizacionesTablaCliente)</f>
        <v>7.2759576141834259E-12</v>
      </c>
      <c r="D68" s="424">
        <f ca="1">INDEX(T_Merger!__Capital,_AmortizacionesTablaCliente)</f>
        <v>0</v>
      </c>
      <c r="E68" s="584">
        <f ca="1">INDEX(T_Merger!__Interes,_AmortizacionesTablaCliente)</f>
        <v>7.8216544352471822E-14</v>
      </c>
      <c r="F68" s="424">
        <f ca="1">INDEX(T_Merger!__IVA,_AmortizacionesTablaCliente)</f>
        <v>9.3859853222966188E-15</v>
      </c>
      <c r="G68" s="424">
        <f ca="1">INDEX(T_Merger!__Pago,_AmortizacionesTablaCliente)</f>
        <v>8.7602529674768438E-14</v>
      </c>
      <c r="H68" s="556">
        <v>0</v>
      </c>
      <c r="I68" s="425">
        <f ca="1">INDEX(T_Merger!__Saldo_Final,_AmortizacionesTablaCliente)</f>
        <v>7.2759576141834259E-12</v>
      </c>
    </row>
    <row r="69" spans="1:10" hidden="1" x14ac:dyDescent="0.3">
      <c r="A69" s="422">
        <v>50</v>
      </c>
      <c r="B69" s="423">
        <f t="shared" si="0"/>
        <v>43906</v>
      </c>
      <c r="C69" s="424">
        <f ca="1">INDEX(T_Merger!__Saldo_Inicial,_AmortizacionesTablaCliente)</f>
        <v>7.2759576141834259E-12</v>
      </c>
      <c r="D69" s="424">
        <f ca="1">INDEX(T_Merger!__Capital,_AmortizacionesTablaCliente)</f>
        <v>0</v>
      </c>
      <c r="E69" s="584">
        <f ca="1">INDEX(T_Merger!__Interes,_AmortizacionesTablaCliente)</f>
        <v>7.8216544352471822E-14</v>
      </c>
      <c r="F69" s="424">
        <f ca="1">INDEX(T_Merger!__IVA,_AmortizacionesTablaCliente)</f>
        <v>9.3859853222966188E-15</v>
      </c>
      <c r="G69" s="424">
        <f ca="1">INDEX(T_Merger!__Pago,_AmortizacionesTablaCliente)</f>
        <v>8.7602529674768438E-14</v>
      </c>
      <c r="H69" s="556">
        <v>0</v>
      </c>
      <c r="I69" s="425">
        <f ca="1">INDEX(T_Merger!__Saldo_Final,_AmortizacionesTablaCliente)</f>
        <v>7.2759576141834259E-12</v>
      </c>
    </row>
    <row r="70" spans="1:10" hidden="1" x14ac:dyDescent="0.3">
      <c r="A70" s="422">
        <v>51</v>
      </c>
      <c r="B70" s="423">
        <f t="shared" si="0"/>
        <v>43937</v>
      </c>
      <c r="C70" s="424">
        <f ca="1">INDEX(T_Merger!__Saldo_Inicial,_AmortizacionesTablaCliente)</f>
        <v>7.2759576141834259E-12</v>
      </c>
      <c r="D70" s="424">
        <f ca="1">INDEX(T_Merger!__Capital,_AmortizacionesTablaCliente)</f>
        <v>0</v>
      </c>
      <c r="E70" s="584">
        <f ca="1">INDEX(T_Merger!__Interes,_AmortizacionesTablaCliente)</f>
        <v>7.8216544352471822E-14</v>
      </c>
      <c r="F70" s="424">
        <f ca="1">INDEX(T_Merger!__IVA,_AmortizacionesTablaCliente)</f>
        <v>9.3859853222966188E-15</v>
      </c>
      <c r="G70" s="424">
        <f ca="1">INDEX(T_Merger!__Pago,_AmortizacionesTablaCliente)</f>
        <v>8.7602529674768438E-14</v>
      </c>
      <c r="H70" s="556">
        <v>0</v>
      </c>
      <c r="I70" s="425">
        <f ca="1">INDEX(T_Merger!__Saldo_Final,_AmortizacionesTablaCliente)</f>
        <v>7.2759576141834259E-12</v>
      </c>
    </row>
    <row r="71" spans="1:10" hidden="1" x14ac:dyDescent="0.3">
      <c r="A71" s="422">
        <v>52</v>
      </c>
      <c r="B71" s="423">
        <f t="shared" si="0"/>
        <v>43967</v>
      </c>
      <c r="C71" s="424">
        <f ca="1">INDEX(T_Merger!__Saldo_Inicial,_AmortizacionesTablaCliente)</f>
        <v>7.2759576141834259E-12</v>
      </c>
      <c r="D71" s="424">
        <f ca="1">INDEX(T_Merger!__Capital,_AmortizacionesTablaCliente)</f>
        <v>0</v>
      </c>
      <c r="E71" s="584">
        <f ca="1">INDEX(T_Merger!__Interes,_AmortizacionesTablaCliente)</f>
        <v>7.8216544352471822E-14</v>
      </c>
      <c r="F71" s="424">
        <f ca="1">INDEX(T_Merger!__IVA,_AmortizacionesTablaCliente)</f>
        <v>9.3859853222966188E-15</v>
      </c>
      <c r="G71" s="424">
        <f ca="1">INDEX(T_Merger!__Pago,_AmortizacionesTablaCliente)</f>
        <v>8.7602529674768438E-14</v>
      </c>
      <c r="H71" s="556">
        <v>0</v>
      </c>
      <c r="I71" s="425">
        <f ca="1">INDEX(T_Merger!__Saldo_Final,_AmortizacionesTablaCliente)</f>
        <v>7.2759576141834259E-12</v>
      </c>
    </row>
    <row r="72" spans="1:10" hidden="1" x14ac:dyDescent="0.3">
      <c r="A72" s="422">
        <v>53</v>
      </c>
      <c r="B72" s="423">
        <f t="shared" si="0"/>
        <v>43998</v>
      </c>
      <c r="C72" s="424">
        <f ca="1">INDEX(T_Merger!__Saldo_Inicial,_AmortizacionesTablaCliente)</f>
        <v>7.2759576141834259E-12</v>
      </c>
      <c r="D72" s="424">
        <f ca="1">INDEX(T_Merger!__Capital,_AmortizacionesTablaCliente)</f>
        <v>0</v>
      </c>
      <c r="E72" s="584">
        <f ca="1">INDEX(T_Merger!__Interes,_AmortizacionesTablaCliente)</f>
        <v>7.8216544352471822E-14</v>
      </c>
      <c r="F72" s="424">
        <f ca="1">INDEX(T_Merger!__IVA,_AmortizacionesTablaCliente)</f>
        <v>9.3859853222966188E-15</v>
      </c>
      <c r="G72" s="424">
        <f ca="1">INDEX(T_Merger!__Pago,_AmortizacionesTablaCliente)</f>
        <v>8.7602529674768438E-14</v>
      </c>
      <c r="H72" s="556">
        <v>0</v>
      </c>
      <c r="I72" s="425">
        <f ca="1">INDEX(T_Merger!__Saldo_Final,_AmortizacionesTablaCliente)</f>
        <v>7.2759576141834259E-12</v>
      </c>
    </row>
    <row r="73" spans="1:10" hidden="1" x14ac:dyDescent="0.3">
      <c r="A73" s="422">
        <v>54</v>
      </c>
      <c r="B73" s="423">
        <f t="shared" si="0"/>
        <v>44028</v>
      </c>
      <c r="C73" s="424">
        <f ca="1">INDEX(T_Merger!__Saldo_Inicial,_AmortizacionesTablaCliente)</f>
        <v>7.2759576141834259E-12</v>
      </c>
      <c r="D73" s="424">
        <f ca="1">INDEX(T_Merger!__Capital,_AmortizacionesTablaCliente)</f>
        <v>0</v>
      </c>
      <c r="E73" s="584">
        <f ca="1">INDEX(T_Merger!__Interes,_AmortizacionesTablaCliente)</f>
        <v>7.8216544352471822E-14</v>
      </c>
      <c r="F73" s="424">
        <f ca="1">INDEX(T_Merger!__IVA,_AmortizacionesTablaCliente)</f>
        <v>9.3859853222966188E-15</v>
      </c>
      <c r="G73" s="424">
        <f ca="1">INDEX(T_Merger!__Pago,_AmortizacionesTablaCliente)</f>
        <v>8.7602529674768438E-14</v>
      </c>
      <c r="H73" s="556">
        <v>0</v>
      </c>
      <c r="I73" s="425">
        <f ca="1">INDEX(T_Merger!__Saldo_Final,_AmortizacionesTablaCliente)</f>
        <v>7.2759576141834259E-12</v>
      </c>
    </row>
    <row r="74" spans="1:10" hidden="1" x14ac:dyDescent="0.3">
      <c r="A74" s="422">
        <v>55</v>
      </c>
      <c r="B74" s="423">
        <f t="shared" si="0"/>
        <v>44059</v>
      </c>
      <c r="C74" s="424">
        <f ca="1">INDEX(T_Merger!__Saldo_Inicial,_AmortizacionesTablaCliente)</f>
        <v>7.2759576141834259E-12</v>
      </c>
      <c r="D74" s="424">
        <f ca="1">INDEX(T_Merger!__Capital,_AmortizacionesTablaCliente)</f>
        <v>0</v>
      </c>
      <c r="E74" s="584">
        <f ca="1">INDEX(T_Merger!__Interes,_AmortizacionesTablaCliente)</f>
        <v>7.8216544352471822E-14</v>
      </c>
      <c r="F74" s="424">
        <f ca="1">INDEX(T_Merger!__IVA,_AmortizacionesTablaCliente)</f>
        <v>9.3859853222966188E-15</v>
      </c>
      <c r="G74" s="424">
        <f ca="1">INDEX(T_Merger!__Pago,_AmortizacionesTablaCliente)</f>
        <v>8.7602529674768438E-14</v>
      </c>
      <c r="H74" s="556">
        <v>0</v>
      </c>
      <c r="I74" s="425">
        <f ca="1">INDEX(T_Merger!__Saldo_Final,_AmortizacionesTablaCliente)</f>
        <v>7.2759576141834259E-12</v>
      </c>
    </row>
    <row r="75" spans="1:10" hidden="1" x14ac:dyDescent="0.3">
      <c r="A75" s="422">
        <v>56</v>
      </c>
      <c r="B75" s="423">
        <f t="shared" si="0"/>
        <v>44090</v>
      </c>
      <c r="C75" s="424">
        <f ca="1">INDEX(T_Merger!__Saldo_Inicial,_AmortizacionesTablaCliente)</f>
        <v>7.2759576141834259E-12</v>
      </c>
      <c r="D75" s="424">
        <f ca="1">INDEX(T_Merger!__Capital,_AmortizacionesTablaCliente)</f>
        <v>0</v>
      </c>
      <c r="E75" s="584">
        <f ca="1">INDEX(T_Merger!__Interes,_AmortizacionesTablaCliente)</f>
        <v>7.8216544352471822E-14</v>
      </c>
      <c r="F75" s="424">
        <f ca="1">INDEX(T_Merger!__IVA,_AmortizacionesTablaCliente)</f>
        <v>9.3859853222966188E-15</v>
      </c>
      <c r="G75" s="424">
        <f ca="1">INDEX(T_Merger!__Pago,_AmortizacionesTablaCliente)</f>
        <v>8.7602529674768438E-14</v>
      </c>
      <c r="H75" s="556">
        <v>0</v>
      </c>
      <c r="I75" s="425">
        <f ca="1">INDEX(T_Merger!__Saldo_Final,_AmortizacionesTablaCliente)</f>
        <v>7.2759576141834259E-12</v>
      </c>
    </row>
    <row r="76" spans="1:10" hidden="1" x14ac:dyDescent="0.3">
      <c r="A76" s="422">
        <v>57</v>
      </c>
      <c r="B76" s="423">
        <f t="shared" si="0"/>
        <v>44120</v>
      </c>
      <c r="C76" s="424">
        <f ca="1">INDEX(T_Merger!__Saldo_Inicial,_AmortizacionesTablaCliente)</f>
        <v>7.2759576141834259E-12</v>
      </c>
      <c r="D76" s="424">
        <f ca="1">INDEX(T_Merger!__Capital,_AmortizacionesTablaCliente)</f>
        <v>0</v>
      </c>
      <c r="E76" s="584">
        <f ca="1">INDEX(T_Merger!__Interes,_AmortizacionesTablaCliente)</f>
        <v>7.8216544352471822E-14</v>
      </c>
      <c r="F76" s="424">
        <f ca="1">INDEX(T_Merger!__IVA,_AmortizacionesTablaCliente)</f>
        <v>9.3859853222966188E-15</v>
      </c>
      <c r="G76" s="424">
        <f ca="1">INDEX(T_Merger!__Pago,_AmortizacionesTablaCliente)</f>
        <v>8.7602529674768438E-14</v>
      </c>
      <c r="H76" s="556">
        <v>0</v>
      </c>
      <c r="I76" s="425">
        <f ca="1">INDEX(T_Merger!__Saldo_Final,_AmortizacionesTablaCliente)</f>
        <v>7.2759576141834259E-12</v>
      </c>
    </row>
    <row r="77" spans="1:10" hidden="1" x14ac:dyDescent="0.3">
      <c r="A77" s="422">
        <v>58</v>
      </c>
      <c r="B77" s="423">
        <f t="shared" si="0"/>
        <v>44151</v>
      </c>
      <c r="C77" s="424">
        <f ca="1">INDEX(T_Merger!__Saldo_Inicial,_AmortizacionesTablaCliente)</f>
        <v>7.2759576141834259E-12</v>
      </c>
      <c r="D77" s="424">
        <f ca="1">INDEX(T_Merger!__Capital,_AmortizacionesTablaCliente)</f>
        <v>0</v>
      </c>
      <c r="E77" s="584">
        <f ca="1">INDEX(T_Merger!__Interes,_AmortizacionesTablaCliente)</f>
        <v>7.8216544352471822E-14</v>
      </c>
      <c r="F77" s="424">
        <f ca="1">INDEX(T_Merger!__IVA,_AmortizacionesTablaCliente)</f>
        <v>9.3859853222966188E-15</v>
      </c>
      <c r="G77" s="424">
        <f ca="1">INDEX(T_Merger!__Pago,_AmortizacionesTablaCliente)</f>
        <v>8.7602529674768438E-14</v>
      </c>
      <c r="H77" s="556">
        <v>0</v>
      </c>
      <c r="I77" s="425">
        <f ca="1">INDEX(T_Merger!__Saldo_Final,_AmortizacionesTablaCliente)</f>
        <v>7.2759576141834259E-12</v>
      </c>
      <c r="J77" s="585"/>
    </row>
    <row r="78" spans="1:10" hidden="1" x14ac:dyDescent="0.3">
      <c r="A78" s="422">
        <v>59</v>
      </c>
      <c r="B78" s="423">
        <f t="shared" si="0"/>
        <v>44181</v>
      </c>
      <c r="C78" s="424">
        <f ca="1">INDEX(T_Merger!__Saldo_Inicial,_AmortizacionesTablaCliente)</f>
        <v>7.2759576141834259E-12</v>
      </c>
      <c r="D78" s="424">
        <f ca="1">INDEX(T_Merger!__Capital,_AmortizacionesTablaCliente)</f>
        <v>0</v>
      </c>
      <c r="E78" s="584">
        <f ca="1">INDEX(T_Merger!__Interes,_AmortizacionesTablaCliente)</f>
        <v>7.8216544352471822E-14</v>
      </c>
      <c r="F78" s="424">
        <f ca="1">INDEX(T_Merger!__IVA,_AmortizacionesTablaCliente)</f>
        <v>9.3859853222966188E-15</v>
      </c>
      <c r="G78" s="424">
        <f ca="1">INDEX(T_Merger!__Pago,_AmortizacionesTablaCliente)</f>
        <v>8.7602529674768438E-14</v>
      </c>
      <c r="H78" s="556">
        <v>0</v>
      </c>
      <c r="I78" s="425">
        <f ca="1">INDEX(T_Merger!__Saldo_Final,_AmortizacionesTablaCliente)</f>
        <v>7.2759576141834259E-12</v>
      </c>
    </row>
    <row r="79" spans="1:10" hidden="1" x14ac:dyDescent="0.3">
      <c r="A79" s="422">
        <v>60</v>
      </c>
      <c r="B79" s="423">
        <f t="shared" si="0"/>
        <v>44212</v>
      </c>
      <c r="C79" s="424">
        <f ca="1">INDEX(T_Merger!__Saldo_Inicial,_AmortizacionesTablaCliente)</f>
        <v>7.2759576141834259E-12</v>
      </c>
      <c r="D79" s="424">
        <f ca="1">INDEX(T_Merger!__Capital,_AmortizacionesTablaCliente)</f>
        <v>0</v>
      </c>
      <c r="E79" s="584">
        <f ca="1">INDEX(T_Merger!__Interes,_AmortizacionesTablaCliente)</f>
        <v>7.8216544352471822E-14</v>
      </c>
      <c r="F79" s="424">
        <f ca="1">INDEX(T_Merger!__IVA,_AmortizacionesTablaCliente)</f>
        <v>9.3859853222966188E-15</v>
      </c>
      <c r="G79" s="424">
        <f ca="1">INDEX(T_Merger!__Pago,_AmortizacionesTablaCliente)</f>
        <v>8.7602529674768438E-14</v>
      </c>
      <c r="H79" s="556">
        <v>0</v>
      </c>
      <c r="I79" s="425">
        <f ca="1">INDEX(T_Merger!__Saldo_Final,_AmortizacionesTablaCliente)</f>
        <v>7.2759576141834259E-12</v>
      </c>
    </row>
    <row r="80" spans="1:10" hidden="1" x14ac:dyDescent="0.3">
      <c r="A80" s="422">
        <v>61</v>
      </c>
      <c r="B80" s="423">
        <f t="shared" si="0"/>
        <v>44243</v>
      </c>
      <c r="C80" s="424">
        <f ca="1">INDEX(T_Merger!__Saldo_Inicial,_AmortizacionesTablaCliente)</f>
        <v>7.2759576141834259E-12</v>
      </c>
      <c r="D80" s="424">
        <f ca="1">INDEX(T_Merger!__Capital,_AmortizacionesTablaCliente)</f>
        <v>0</v>
      </c>
      <c r="E80" s="584">
        <f ca="1">INDEX(T_Merger!__Interes,_AmortizacionesTablaCliente)</f>
        <v>7.8216544352471822E-14</v>
      </c>
      <c r="F80" s="424">
        <f ca="1">INDEX(T_Merger!__IVA,_AmortizacionesTablaCliente)</f>
        <v>9.3859853222966188E-15</v>
      </c>
      <c r="G80" s="424">
        <f ca="1">INDEX(T_Merger!__Pago,_AmortizacionesTablaCliente)</f>
        <v>8.7602529674768438E-14</v>
      </c>
      <c r="H80" s="556">
        <v>0</v>
      </c>
      <c r="I80" s="425">
        <f ca="1">INDEX(T_Merger!__Saldo_Final,_AmortizacionesTablaCliente)</f>
        <v>7.2759576141834259E-12</v>
      </c>
    </row>
    <row r="81" spans="1:9" hidden="1" x14ac:dyDescent="0.3">
      <c r="A81" s="422">
        <v>62</v>
      </c>
      <c r="B81" s="423">
        <f t="shared" si="0"/>
        <v>44271</v>
      </c>
      <c r="C81" s="424">
        <f ca="1">INDEX(T_Merger!__Saldo_Inicial,_AmortizacionesTablaCliente)</f>
        <v>7.2759576141834259E-12</v>
      </c>
      <c r="D81" s="424">
        <f ca="1">INDEX(T_Merger!__Capital,_AmortizacionesTablaCliente)</f>
        <v>0</v>
      </c>
      <c r="E81" s="584">
        <f ca="1">INDEX(T_Merger!__Interes,_AmortizacionesTablaCliente)</f>
        <v>7.8216544352471822E-14</v>
      </c>
      <c r="F81" s="424">
        <f ca="1">INDEX(T_Merger!__IVA,_AmortizacionesTablaCliente)</f>
        <v>9.3859853222966188E-15</v>
      </c>
      <c r="G81" s="424">
        <f ca="1">INDEX(T_Merger!__Pago,_AmortizacionesTablaCliente)</f>
        <v>8.7602529674768438E-14</v>
      </c>
      <c r="H81" s="556">
        <v>0</v>
      </c>
      <c r="I81" s="425">
        <f ca="1">INDEX(T_Merger!__Saldo_Final,_AmortizacionesTablaCliente)</f>
        <v>7.2759576141834259E-12</v>
      </c>
    </row>
    <row r="82" spans="1:9" hidden="1" x14ac:dyDescent="0.3">
      <c r="A82" s="422">
        <v>63</v>
      </c>
      <c r="B82" s="423">
        <f t="shared" si="0"/>
        <v>44302</v>
      </c>
      <c r="C82" s="424">
        <f ca="1">INDEX(T_Merger!__Saldo_Inicial,_AmortizacionesTablaCliente)</f>
        <v>7.2759576141834259E-12</v>
      </c>
      <c r="D82" s="424">
        <f ca="1">INDEX(T_Merger!__Capital,_AmortizacionesTablaCliente)</f>
        <v>0</v>
      </c>
      <c r="E82" s="584">
        <f ca="1">INDEX(T_Merger!__Interes,_AmortizacionesTablaCliente)</f>
        <v>7.8216544352471822E-14</v>
      </c>
      <c r="F82" s="424">
        <f ca="1">INDEX(T_Merger!__IVA,_AmortizacionesTablaCliente)</f>
        <v>9.3859853222966188E-15</v>
      </c>
      <c r="G82" s="424">
        <f ca="1">INDEX(T_Merger!__Pago,_AmortizacionesTablaCliente)</f>
        <v>8.7602529674768438E-14</v>
      </c>
      <c r="H82" s="556">
        <v>0</v>
      </c>
      <c r="I82" s="425">
        <f ca="1">INDEX(T_Merger!__Saldo_Final,_AmortizacionesTablaCliente)</f>
        <v>7.2759576141834259E-12</v>
      </c>
    </row>
    <row r="83" spans="1:9" hidden="1" x14ac:dyDescent="0.3">
      <c r="A83" s="422">
        <v>64</v>
      </c>
      <c r="B83" s="423">
        <f t="shared" si="0"/>
        <v>44332</v>
      </c>
      <c r="C83" s="424">
        <f ca="1">INDEX(T_Merger!__Saldo_Inicial,_AmortizacionesTablaCliente)</f>
        <v>7.2759576141834259E-12</v>
      </c>
      <c r="D83" s="424">
        <f ca="1">INDEX(T_Merger!__Capital,_AmortizacionesTablaCliente)</f>
        <v>0</v>
      </c>
      <c r="E83" s="584">
        <f ca="1">INDEX(T_Merger!__Interes,_AmortizacionesTablaCliente)</f>
        <v>7.8216544352471822E-14</v>
      </c>
      <c r="F83" s="424">
        <f ca="1">INDEX(T_Merger!__IVA,_AmortizacionesTablaCliente)</f>
        <v>9.3859853222966188E-15</v>
      </c>
      <c r="G83" s="424">
        <f ca="1">INDEX(T_Merger!__Pago,_AmortizacionesTablaCliente)</f>
        <v>8.7602529674768438E-14</v>
      </c>
      <c r="H83" s="556">
        <v>0</v>
      </c>
      <c r="I83" s="425">
        <f ca="1">INDEX(T_Merger!__Saldo_Final,_AmortizacionesTablaCliente)</f>
        <v>7.2759576141834259E-12</v>
      </c>
    </row>
    <row r="84" spans="1:9" hidden="1" x14ac:dyDescent="0.3">
      <c r="A84" s="422">
        <v>65</v>
      </c>
      <c r="B84" s="423">
        <f t="shared" ref="B84:B147" si="1">INDEX(Fechas_Pago,_AmortizacionesTablaCliente)</f>
        <v>44363</v>
      </c>
      <c r="C84" s="424">
        <f ca="1">INDEX(T_Merger!__Saldo_Inicial,_AmortizacionesTablaCliente)</f>
        <v>7.2759576141834259E-12</v>
      </c>
      <c r="D84" s="424">
        <f ca="1">INDEX(T_Merger!__Capital,_AmortizacionesTablaCliente)</f>
        <v>0</v>
      </c>
      <c r="E84" s="584">
        <f ca="1">INDEX(T_Merger!__Interes,_AmortizacionesTablaCliente)</f>
        <v>7.8216544352471822E-14</v>
      </c>
      <c r="F84" s="424">
        <f ca="1">INDEX(T_Merger!__IVA,_AmortizacionesTablaCliente)</f>
        <v>9.3859853222966188E-15</v>
      </c>
      <c r="G84" s="424">
        <f ca="1">INDEX(T_Merger!__Pago,_AmortizacionesTablaCliente)</f>
        <v>8.7602529674768438E-14</v>
      </c>
      <c r="H84" s="556">
        <v>0</v>
      </c>
      <c r="I84" s="425">
        <f ca="1">INDEX(T_Merger!__Saldo_Final,_AmortizacionesTablaCliente)</f>
        <v>7.2759576141834259E-12</v>
      </c>
    </row>
    <row r="85" spans="1:9" hidden="1" x14ac:dyDescent="0.3">
      <c r="A85" s="422">
        <v>66</v>
      </c>
      <c r="B85" s="423">
        <f t="shared" si="1"/>
        <v>44393</v>
      </c>
      <c r="C85" s="424">
        <f ca="1">INDEX(T_Merger!__Saldo_Inicial,_AmortizacionesTablaCliente)</f>
        <v>7.2759576141834259E-12</v>
      </c>
      <c r="D85" s="424">
        <f ca="1">INDEX(T_Merger!__Capital,_AmortizacionesTablaCliente)</f>
        <v>0</v>
      </c>
      <c r="E85" s="584">
        <f ca="1">INDEX(T_Merger!__Interes,_AmortizacionesTablaCliente)</f>
        <v>7.8216544352471822E-14</v>
      </c>
      <c r="F85" s="424">
        <f ca="1">INDEX(T_Merger!__IVA,_AmortizacionesTablaCliente)</f>
        <v>9.3859853222966188E-15</v>
      </c>
      <c r="G85" s="424">
        <f ca="1">INDEX(T_Merger!__Pago,_AmortizacionesTablaCliente)</f>
        <v>8.7602529674768438E-14</v>
      </c>
      <c r="H85" s="556">
        <v>0</v>
      </c>
      <c r="I85" s="425">
        <f ca="1">INDEX(T_Merger!__Saldo_Final,_AmortizacionesTablaCliente)</f>
        <v>7.2759576141834259E-12</v>
      </c>
    </row>
    <row r="86" spans="1:9" hidden="1" x14ac:dyDescent="0.3">
      <c r="A86" s="422">
        <v>67</v>
      </c>
      <c r="B86" s="423">
        <f t="shared" si="1"/>
        <v>44424</v>
      </c>
      <c r="C86" s="424">
        <f ca="1">INDEX(T_Merger!__Saldo_Inicial,_AmortizacionesTablaCliente)</f>
        <v>7.2759576141834259E-12</v>
      </c>
      <c r="D86" s="424">
        <f ca="1">INDEX(T_Merger!__Capital,_AmortizacionesTablaCliente)</f>
        <v>0</v>
      </c>
      <c r="E86" s="584">
        <f ca="1">INDEX(T_Merger!__Interes,_AmortizacionesTablaCliente)</f>
        <v>7.8216544352471822E-14</v>
      </c>
      <c r="F86" s="424">
        <f ca="1">INDEX(T_Merger!__IVA,_AmortizacionesTablaCliente)</f>
        <v>9.3859853222966188E-15</v>
      </c>
      <c r="G86" s="424">
        <f ca="1">INDEX(T_Merger!__Pago,_AmortizacionesTablaCliente)</f>
        <v>8.7602529674768438E-14</v>
      </c>
      <c r="H86" s="556">
        <v>0</v>
      </c>
      <c r="I86" s="425">
        <f ca="1">INDEX(T_Merger!__Saldo_Final,_AmortizacionesTablaCliente)</f>
        <v>7.2759576141834259E-12</v>
      </c>
    </row>
    <row r="87" spans="1:9" hidden="1" x14ac:dyDescent="0.3">
      <c r="A87" s="422">
        <v>68</v>
      </c>
      <c r="B87" s="423">
        <f t="shared" si="1"/>
        <v>44455</v>
      </c>
      <c r="C87" s="424">
        <f ca="1">INDEX(T_Merger!__Saldo_Inicial,_AmortizacionesTablaCliente)</f>
        <v>7.2759576141834259E-12</v>
      </c>
      <c r="D87" s="424">
        <f ca="1">INDEX(T_Merger!__Capital,_AmortizacionesTablaCliente)</f>
        <v>0</v>
      </c>
      <c r="E87" s="584">
        <f ca="1">INDEX(T_Merger!__Interes,_AmortizacionesTablaCliente)</f>
        <v>7.8216544352471822E-14</v>
      </c>
      <c r="F87" s="424">
        <f ca="1">INDEX(T_Merger!__IVA,_AmortizacionesTablaCliente)</f>
        <v>9.3859853222966188E-15</v>
      </c>
      <c r="G87" s="424">
        <f ca="1">INDEX(T_Merger!__Pago,_AmortizacionesTablaCliente)</f>
        <v>8.7602529674768438E-14</v>
      </c>
      <c r="H87" s="556">
        <v>0</v>
      </c>
      <c r="I87" s="425">
        <f ca="1">INDEX(T_Merger!__Saldo_Final,_AmortizacionesTablaCliente)</f>
        <v>7.2759576141834259E-12</v>
      </c>
    </row>
    <row r="88" spans="1:9" hidden="1" x14ac:dyDescent="0.3">
      <c r="A88" s="422">
        <v>69</v>
      </c>
      <c r="B88" s="423">
        <f t="shared" si="1"/>
        <v>44485</v>
      </c>
      <c r="C88" s="424">
        <f ca="1">INDEX(T_Merger!__Saldo_Inicial,_AmortizacionesTablaCliente)</f>
        <v>7.2759576141834259E-12</v>
      </c>
      <c r="D88" s="424">
        <f ca="1">INDEX(T_Merger!__Capital,_AmortizacionesTablaCliente)</f>
        <v>0</v>
      </c>
      <c r="E88" s="584">
        <f ca="1">INDEX(T_Merger!__Interes,_AmortizacionesTablaCliente)</f>
        <v>7.8216544352471822E-14</v>
      </c>
      <c r="F88" s="424">
        <f ca="1">INDEX(T_Merger!__IVA,_AmortizacionesTablaCliente)</f>
        <v>9.3859853222966188E-15</v>
      </c>
      <c r="G88" s="424">
        <f ca="1">INDEX(T_Merger!__Pago,_AmortizacionesTablaCliente)</f>
        <v>8.7602529674768438E-14</v>
      </c>
      <c r="H88" s="556">
        <v>0</v>
      </c>
      <c r="I88" s="425">
        <f ca="1">INDEX(T_Merger!__Saldo_Final,_AmortizacionesTablaCliente)</f>
        <v>7.2759576141834259E-12</v>
      </c>
    </row>
    <row r="89" spans="1:9" hidden="1" x14ac:dyDescent="0.3">
      <c r="A89" s="422">
        <v>70</v>
      </c>
      <c r="B89" s="423">
        <f t="shared" si="1"/>
        <v>44516</v>
      </c>
      <c r="C89" s="424">
        <f ca="1">INDEX(T_Merger!__Saldo_Inicial,_AmortizacionesTablaCliente)</f>
        <v>7.2759576141834259E-12</v>
      </c>
      <c r="D89" s="424">
        <f ca="1">INDEX(T_Merger!__Capital,_AmortizacionesTablaCliente)</f>
        <v>0</v>
      </c>
      <c r="E89" s="584">
        <f ca="1">INDEX(T_Merger!__Interes,_AmortizacionesTablaCliente)</f>
        <v>7.8216544352471822E-14</v>
      </c>
      <c r="F89" s="424">
        <f ca="1">INDEX(T_Merger!__IVA,_AmortizacionesTablaCliente)</f>
        <v>9.3859853222966188E-15</v>
      </c>
      <c r="G89" s="424">
        <f ca="1">INDEX(T_Merger!__Pago,_AmortizacionesTablaCliente)</f>
        <v>8.7602529674768438E-14</v>
      </c>
      <c r="H89" s="556">
        <v>0</v>
      </c>
      <c r="I89" s="425">
        <f ca="1">INDEX(T_Merger!__Saldo_Final,_AmortizacionesTablaCliente)</f>
        <v>7.2759576141834259E-12</v>
      </c>
    </row>
    <row r="90" spans="1:9" hidden="1" x14ac:dyDescent="0.3">
      <c r="A90" s="422">
        <v>71</v>
      </c>
      <c r="B90" s="423">
        <f t="shared" si="1"/>
        <v>44546</v>
      </c>
      <c r="C90" s="424">
        <f ca="1">INDEX(T_Merger!__Saldo_Inicial,_AmortizacionesTablaCliente)</f>
        <v>7.2759576141834259E-12</v>
      </c>
      <c r="D90" s="424">
        <f ca="1">INDEX(T_Merger!__Capital,_AmortizacionesTablaCliente)</f>
        <v>0</v>
      </c>
      <c r="E90" s="584">
        <f ca="1">INDEX(T_Merger!__Interes,_AmortizacionesTablaCliente)</f>
        <v>7.8216544352471822E-14</v>
      </c>
      <c r="F90" s="424">
        <f ca="1">INDEX(T_Merger!__IVA,_AmortizacionesTablaCliente)</f>
        <v>9.3859853222966188E-15</v>
      </c>
      <c r="G90" s="424">
        <f ca="1">INDEX(T_Merger!__Pago,_AmortizacionesTablaCliente)</f>
        <v>8.7602529674768438E-14</v>
      </c>
      <c r="H90" s="556">
        <v>0</v>
      </c>
      <c r="I90" s="425">
        <f ca="1">INDEX(T_Merger!__Saldo_Final,_AmortizacionesTablaCliente)</f>
        <v>7.2759576141834259E-12</v>
      </c>
    </row>
    <row r="91" spans="1:9" hidden="1" x14ac:dyDescent="0.3">
      <c r="A91" s="422">
        <v>72</v>
      </c>
      <c r="B91" s="423">
        <f t="shared" si="1"/>
        <v>44577</v>
      </c>
      <c r="C91" s="424">
        <f ca="1">INDEX(T_Merger!__Saldo_Inicial,_AmortizacionesTablaCliente)</f>
        <v>7.2759576141834259E-12</v>
      </c>
      <c r="D91" s="424">
        <f ca="1">INDEX(T_Merger!__Capital,_AmortizacionesTablaCliente)</f>
        <v>0</v>
      </c>
      <c r="E91" s="584">
        <f ca="1">INDEX(T_Merger!__Interes,_AmortizacionesTablaCliente)</f>
        <v>7.8216544352471822E-14</v>
      </c>
      <c r="F91" s="424">
        <f ca="1">INDEX(T_Merger!__IVA,_AmortizacionesTablaCliente)</f>
        <v>9.3859853222966188E-15</v>
      </c>
      <c r="G91" s="424">
        <f ca="1">INDEX(T_Merger!__Pago,_AmortizacionesTablaCliente)</f>
        <v>8.7602529674768438E-14</v>
      </c>
      <c r="H91" s="556">
        <v>0</v>
      </c>
      <c r="I91" s="425">
        <f ca="1">INDEX(T_Merger!__Saldo_Final,_AmortizacionesTablaCliente)</f>
        <v>7.2759576141834259E-12</v>
      </c>
    </row>
    <row r="92" spans="1:9" hidden="1" x14ac:dyDescent="0.3">
      <c r="A92" s="422">
        <v>73</v>
      </c>
      <c r="B92" s="423">
        <f t="shared" si="1"/>
        <v>44608</v>
      </c>
      <c r="C92" s="424">
        <f ca="1">INDEX(T_Merger!__Saldo_Inicial,_AmortizacionesTablaCliente)</f>
        <v>7.2759576141834259E-12</v>
      </c>
      <c r="D92" s="424">
        <f ca="1">INDEX(T_Merger!__Capital,_AmortizacionesTablaCliente)</f>
        <v>0</v>
      </c>
      <c r="E92" s="584">
        <f ca="1">INDEX(T_Merger!__Interes,_AmortizacionesTablaCliente)</f>
        <v>7.8216544352471822E-14</v>
      </c>
      <c r="F92" s="424">
        <f ca="1">INDEX(T_Merger!__IVA,_AmortizacionesTablaCliente)</f>
        <v>9.3859853222966188E-15</v>
      </c>
      <c r="G92" s="424">
        <f ca="1">INDEX(T_Merger!__Pago,_AmortizacionesTablaCliente)</f>
        <v>8.7602529674768438E-14</v>
      </c>
      <c r="H92" s="556">
        <v>0</v>
      </c>
      <c r="I92" s="425">
        <f ca="1">INDEX(T_Merger!__Saldo_Final,_AmortizacionesTablaCliente)</f>
        <v>7.2759576141834259E-12</v>
      </c>
    </row>
    <row r="93" spans="1:9" hidden="1" x14ac:dyDescent="0.3">
      <c r="A93" s="422">
        <v>74</v>
      </c>
      <c r="B93" s="423">
        <f t="shared" si="1"/>
        <v>44636</v>
      </c>
      <c r="C93" s="424">
        <f ca="1">INDEX(T_Merger!__Saldo_Inicial,_AmortizacionesTablaCliente)</f>
        <v>7.2759576141834259E-12</v>
      </c>
      <c r="D93" s="424">
        <f ca="1">INDEX(T_Merger!__Capital,_AmortizacionesTablaCliente)</f>
        <v>0</v>
      </c>
      <c r="E93" s="584">
        <f ca="1">INDEX(T_Merger!__Interes,_AmortizacionesTablaCliente)</f>
        <v>7.8216544352471822E-14</v>
      </c>
      <c r="F93" s="424">
        <f ca="1">INDEX(T_Merger!__IVA,_AmortizacionesTablaCliente)</f>
        <v>9.3859853222966188E-15</v>
      </c>
      <c r="G93" s="424">
        <f ca="1">INDEX(T_Merger!__Pago,_AmortizacionesTablaCliente)</f>
        <v>8.7602529674768438E-14</v>
      </c>
      <c r="H93" s="556">
        <v>0</v>
      </c>
      <c r="I93" s="425">
        <f ca="1">INDEX(T_Merger!__Saldo_Final,_AmortizacionesTablaCliente)</f>
        <v>7.2759576141834259E-12</v>
      </c>
    </row>
    <row r="94" spans="1:9" hidden="1" x14ac:dyDescent="0.3">
      <c r="A94" s="422">
        <v>75</v>
      </c>
      <c r="B94" s="423">
        <f t="shared" si="1"/>
        <v>44667</v>
      </c>
      <c r="C94" s="424">
        <f ca="1">INDEX(T_Merger!__Saldo_Inicial,_AmortizacionesTablaCliente)</f>
        <v>7.2759576141834259E-12</v>
      </c>
      <c r="D94" s="424">
        <f ca="1">INDEX(T_Merger!__Capital,_AmortizacionesTablaCliente)</f>
        <v>0</v>
      </c>
      <c r="E94" s="584">
        <f ca="1">INDEX(T_Merger!__Interes,_AmortizacionesTablaCliente)</f>
        <v>7.8216544352471822E-14</v>
      </c>
      <c r="F94" s="424">
        <f ca="1">INDEX(T_Merger!__IVA,_AmortizacionesTablaCliente)</f>
        <v>9.3859853222966188E-15</v>
      </c>
      <c r="G94" s="424">
        <f ca="1">INDEX(T_Merger!__Pago,_AmortizacionesTablaCliente)</f>
        <v>8.7602529674768438E-14</v>
      </c>
      <c r="H94" s="556">
        <v>0</v>
      </c>
      <c r="I94" s="425">
        <f ca="1">INDEX(T_Merger!__Saldo_Final,_AmortizacionesTablaCliente)</f>
        <v>7.2759576141834259E-12</v>
      </c>
    </row>
    <row r="95" spans="1:9" hidden="1" x14ac:dyDescent="0.3">
      <c r="A95" s="422">
        <v>76</v>
      </c>
      <c r="B95" s="423">
        <f t="shared" si="1"/>
        <v>44697</v>
      </c>
      <c r="C95" s="424">
        <f ca="1">INDEX(T_Merger!__Saldo_Inicial,_AmortizacionesTablaCliente)</f>
        <v>7.2759576141834259E-12</v>
      </c>
      <c r="D95" s="424">
        <f ca="1">INDEX(T_Merger!__Capital,_AmortizacionesTablaCliente)</f>
        <v>0</v>
      </c>
      <c r="E95" s="584">
        <f ca="1">INDEX(T_Merger!__Interes,_AmortizacionesTablaCliente)</f>
        <v>7.8216544352471822E-14</v>
      </c>
      <c r="F95" s="424">
        <f ca="1">INDEX(T_Merger!__IVA,_AmortizacionesTablaCliente)</f>
        <v>9.3859853222966188E-15</v>
      </c>
      <c r="G95" s="424">
        <f ca="1">INDEX(T_Merger!__Pago,_AmortizacionesTablaCliente)</f>
        <v>8.7602529674768438E-14</v>
      </c>
      <c r="H95" s="556">
        <v>0</v>
      </c>
      <c r="I95" s="425">
        <f ca="1">INDEX(T_Merger!__Saldo_Final,_AmortizacionesTablaCliente)</f>
        <v>7.2759576141834259E-12</v>
      </c>
    </row>
    <row r="96" spans="1:9" hidden="1" x14ac:dyDescent="0.3">
      <c r="A96" s="422">
        <v>77</v>
      </c>
      <c r="B96" s="423">
        <f t="shared" si="1"/>
        <v>44728</v>
      </c>
      <c r="C96" s="424">
        <f ca="1">INDEX(T_Merger!__Saldo_Inicial,_AmortizacionesTablaCliente)</f>
        <v>7.2759576141834259E-12</v>
      </c>
      <c r="D96" s="424">
        <f ca="1">INDEX(T_Merger!__Capital,_AmortizacionesTablaCliente)</f>
        <v>0</v>
      </c>
      <c r="E96" s="584">
        <f ca="1">INDEX(T_Merger!__Interes,_AmortizacionesTablaCliente)</f>
        <v>7.8216544352471822E-14</v>
      </c>
      <c r="F96" s="424">
        <f ca="1">INDEX(T_Merger!__IVA,_AmortizacionesTablaCliente)</f>
        <v>9.3859853222966188E-15</v>
      </c>
      <c r="G96" s="424">
        <f ca="1">INDEX(T_Merger!__Pago,_AmortizacionesTablaCliente)</f>
        <v>8.7602529674768438E-14</v>
      </c>
      <c r="H96" s="556">
        <v>0</v>
      </c>
      <c r="I96" s="425">
        <f ca="1">INDEX(T_Merger!__Saldo_Final,_AmortizacionesTablaCliente)</f>
        <v>7.2759576141834259E-12</v>
      </c>
    </row>
    <row r="97" spans="1:9" hidden="1" x14ac:dyDescent="0.3">
      <c r="A97" s="422">
        <v>78</v>
      </c>
      <c r="B97" s="423">
        <f t="shared" si="1"/>
        <v>44758</v>
      </c>
      <c r="C97" s="424">
        <f ca="1">INDEX(T_Merger!__Saldo_Inicial,_AmortizacionesTablaCliente)</f>
        <v>7.2759576141834259E-12</v>
      </c>
      <c r="D97" s="424">
        <f ca="1">INDEX(T_Merger!__Capital,_AmortizacionesTablaCliente)</f>
        <v>0</v>
      </c>
      <c r="E97" s="584">
        <f ca="1">INDEX(T_Merger!__Interes,_AmortizacionesTablaCliente)</f>
        <v>7.8216544352471822E-14</v>
      </c>
      <c r="F97" s="424">
        <f ca="1">INDEX(T_Merger!__IVA,_AmortizacionesTablaCliente)</f>
        <v>9.3859853222966188E-15</v>
      </c>
      <c r="G97" s="424">
        <f ca="1">INDEX(T_Merger!__Pago,_AmortizacionesTablaCliente)</f>
        <v>8.7602529674768438E-14</v>
      </c>
      <c r="H97" s="556">
        <v>0</v>
      </c>
      <c r="I97" s="425">
        <f ca="1">INDEX(T_Merger!__Saldo_Final,_AmortizacionesTablaCliente)</f>
        <v>7.2759576141834259E-12</v>
      </c>
    </row>
    <row r="98" spans="1:9" hidden="1" x14ac:dyDescent="0.3">
      <c r="A98" s="422">
        <v>79</v>
      </c>
      <c r="B98" s="423">
        <f t="shared" si="1"/>
        <v>44789</v>
      </c>
      <c r="C98" s="424">
        <f ca="1">INDEX(T_Merger!__Saldo_Inicial,_AmortizacionesTablaCliente)</f>
        <v>7.2759576141834259E-12</v>
      </c>
      <c r="D98" s="424">
        <f ca="1">INDEX(T_Merger!__Capital,_AmortizacionesTablaCliente)</f>
        <v>0</v>
      </c>
      <c r="E98" s="584">
        <f ca="1">INDEX(T_Merger!__Interes,_AmortizacionesTablaCliente)</f>
        <v>7.8216544352471822E-14</v>
      </c>
      <c r="F98" s="424">
        <f ca="1">INDEX(T_Merger!__IVA,_AmortizacionesTablaCliente)</f>
        <v>9.3859853222966188E-15</v>
      </c>
      <c r="G98" s="424">
        <f ca="1">INDEX(T_Merger!__Pago,_AmortizacionesTablaCliente)</f>
        <v>8.7602529674768438E-14</v>
      </c>
      <c r="H98" s="556">
        <v>0</v>
      </c>
      <c r="I98" s="425">
        <f ca="1">INDEX(T_Merger!__Saldo_Final,_AmortizacionesTablaCliente)</f>
        <v>7.2759576141834259E-12</v>
      </c>
    </row>
    <row r="99" spans="1:9" hidden="1" x14ac:dyDescent="0.3">
      <c r="A99" s="422">
        <v>80</v>
      </c>
      <c r="B99" s="423">
        <f t="shared" si="1"/>
        <v>44820</v>
      </c>
      <c r="C99" s="424">
        <f ca="1">INDEX(T_Merger!__Saldo_Inicial,_AmortizacionesTablaCliente)</f>
        <v>7.2759576141834259E-12</v>
      </c>
      <c r="D99" s="424">
        <f ca="1">INDEX(T_Merger!__Capital,_AmortizacionesTablaCliente)</f>
        <v>0</v>
      </c>
      <c r="E99" s="584">
        <f ca="1">INDEX(T_Merger!__Interes,_AmortizacionesTablaCliente)</f>
        <v>7.8216544352471822E-14</v>
      </c>
      <c r="F99" s="424">
        <f ca="1">INDEX(T_Merger!__IVA,_AmortizacionesTablaCliente)</f>
        <v>9.3859853222966188E-15</v>
      </c>
      <c r="G99" s="424">
        <f ca="1">INDEX(T_Merger!__Pago,_AmortizacionesTablaCliente)</f>
        <v>8.7602529674768438E-14</v>
      </c>
      <c r="H99" s="556">
        <v>0</v>
      </c>
      <c r="I99" s="425">
        <f ca="1">INDEX(T_Merger!__Saldo_Final,_AmortizacionesTablaCliente)</f>
        <v>7.2759576141834259E-12</v>
      </c>
    </row>
    <row r="100" spans="1:9" hidden="1" x14ac:dyDescent="0.3">
      <c r="A100" s="422">
        <v>81</v>
      </c>
      <c r="B100" s="423">
        <f t="shared" si="1"/>
        <v>44850</v>
      </c>
      <c r="C100" s="424">
        <f ca="1">INDEX(T_Merger!__Saldo_Inicial,_AmortizacionesTablaCliente)</f>
        <v>7.2759576141834259E-12</v>
      </c>
      <c r="D100" s="424">
        <f ca="1">INDEX(T_Merger!__Capital,_AmortizacionesTablaCliente)</f>
        <v>0</v>
      </c>
      <c r="E100" s="584">
        <f ca="1">INDEX(T_Merger!__Interes,_AmortizacionesTablaCliente)</f>
        <v>7.8216544352471822E-14</v>
      </c>
      <c r="F100" s="424">
        <f ca="1">INDEX(T_Merger!__IVA,_AmortizacionesTablaCliente)</f>
        <v>9.3859853222966188E-15</v>
      </c>
      <c r="G100" s="424">
        <f ca="1">INDEX(T_Merger!__Pago,_AmortizacionesTablaCliente)</f>
        <v>8.7602529674768438E-14</v>
      </c>
      <c r="H100" s="556">
        <v>0</v>
      </c>
      <c r="I100" s="425">
        <f ca="1">INDEX(T_Merger!__Saldo_Final,_AmortizacionesTablaCliente)</f>
        <v>7.2759576141834259E-12</v>
      </c>
    </row>
    <row r="101" spans="1:9" hidden="1" x14ac:dyDescent="0.3">
      <c r="A101" s="422">
        <v>82</v>
      </c>
      <c r="B101" s="423">
        <f t="shared" si="1"/>
        <v>44881</v>
      </c>
      <c r="C101" s="424">
        <f ca="1">INDEX(T_Merger!__Saldo_Inicial,_AmortizacionesTablaCliente)</f>
        <v>7.2759576141834259E-12</v>
      </c>
      <c r="D101" s="424">
        <f ca="1">INDEX(T_Merger!__Capital,_AmortizacionesTablaCliente)</f>
        <v>0</v>
      </c>
      <c r="E101" s="584">
        <f ca="1">INDEX(T_Merger!__Interes,_AmortizacionesTablaCliente)</f>
        <v>7.8216544352471822E-14</v>
      </c>
      <c r="F101" s="424">
        <f ca="1">INDEX(T_Merger!__IVA,_AmortizacionesTablaCliente)</f>
        <v>9.3859853222966188E-15</v>
      </c>
      <c r="G101" s="424">
        <f ca="1">INDEX(T_Merger!__Pago,_AmortizacionesTablaCliente)</f>
        <v>8.7602529674768438E-14</v>
      </c>
      <c r="H101" s="556">
        <v>0</v>
      </c>
      <c r="I101" s="425">
        <f ca="1">INDEX(T_Merger!__Saldo_Final,_AmortizacionesTablaCliente)</f>
        <v>7.2759576141834259E-12</v>
      </c>
    </row>
    <row r="102" spans="1:9" hidden="1" x14ac:dyDescent="0.3">
      <c r="A102" s="422">
        <v>83</v>
      </c>
      <c r="B102" s="423">
        <f t="shared" si="1"/>
        <v>44911</v>
      </c>
      <c r="C102" s="424">
        <f ca="1">INDEX(T_Merger!__Saldo_Inicial,_AmortizacionesTablaCliente)</f>
        <v>7.2759576141834259E-12</v>
      </c>
      <c r="D102" s="424">
        <f ca="1">INDEX(T_Merger!__Capital,_AmortizacionesTablaCliente)</f>
        <v>0</v>
      </c>
      <c r="E102" s="584">
        <f ca="1">INDEX(T_Merger!__Interes,_AmortizacionesTablaCliente)</f>
        <v>7.8216544352471822E-14</v>
      </c>
      <c r="F102" s="424">
        <f ca="1">INDEX(T_Merger!__IVA,_AmortizacionesTablaCliente)</f>
        <v>9.3859853222966188E-15</v>
      </c>
      <c r="G102" s="424">
        <f ca="1">INDEX(T_Merger!__Pago,_AmortizacionesTablaCliente)</f>
        <v>8.7602529674768438E-14</v>
      </c>
      <c r="H102" s="556">
        <v>0</v>
      </c>
      <c r="I102" s="425">
        <f ca="1">INDEX(T_Merger!__Saldo_Final,_AmortizacionesTablaCliente)</f>
        <v>7.2759576141834259E-12</v>
      </c>
    </row>
    <row r="103" spans="1:9" hidden="1" x14ac:dyDescent="0.3">
      <c r="A103" s="422">
        <v>84</v>
      </c>
      <c r="B103" s="423">
        <f t="shared" si="1"/>
        <v>44942</v>
      </c>
      <c r="C103" s="424">
        <f ca="1">INDEX(T_Merger!__Saldo_Inicial,_AmortizacionesTablaCliente)</f>
        <v>7.2759576141834259E-12</v>
      </c>
      <c r="D103" s="424">
        <f ca="1">INDEX(T_Merger!__Capital,_AmortizacionesTablaCliente)</f>
        <v>0</v>
      </c>
      <c r="E103" s="584">
        <f ca="1">INDEX(T_Merger!__Interes,_AmortizacionesTablaCliente)</f>
        <v>7.8216544352471822E-14</v>
      </c>
      <c r="F103" s="424">
        <f ca="1">INDEX(T_Merger!__IVA,_AmortizacionesTablaCliente)</f>
        <v>9.3859853222966188E-15</v>
      </c>
      <c r="G103" s="424">
        <f ca="1">INDEX(T_Merger!__Pago,_AmortizacionesTablaCliente)</f>
        <v>8.7602529674768438E-14</v>
      </c>
      <c r="H103" s="556">
        <v>0</v>
      </c>
      <c r="I103" s="425">
        <f ca="1">INDEX(T_Merger!__Saldo_Final,_AmortizacionesTablaCliente)</f>
        <v>7.2759576141834259E-12</v>
      </c>
    </row>
    <row r="104" spans="1:9" hidden="1" x14ac:dyDescent="0.3">
      <c r="A104" s="422">
        <v>85</v>
      </c>
      <c r="B104" s="423">
        <f t="shared" si="1"/>
        <v>44973</v>
      </c>
      <c r="C104" s="424">
        <f ca="1">INDEX(T_Merger!__Saldo_Inicial,_AmortizacionesTablaCliente)</f>
        <v>7.2759576141834259E-12</v>
      </c>
      <c r="D104" s="424">
        <f ca="1">INDEX(T_Merger!__Capital,_AmortizacionesTablaCliente)</f>
        <v>0</v>
      </c>
      <c r="E104" s="584">
        <f ca="1">INDEX(T_Merger!__Interes,_AmortizacionesTablaCliente)</f>
        <v>7.8216544352471822E-14</v>
      </c>
      <c r="F104" s="424">
        <f ca="1">INDEX(T_Merger!__IVA,_AmortizacionesTablaCliente)</f>
        <v>9.3859853222966188E-15</v>
      </c>
      <c r="G104" s="424">
        <f ca="1">INDEX(T_Merger!__Pago,_AmortizacionesTablaCliente)</f>
        <v>8.7602529674768438E-14</v>
      </c>
      <c r="H104" s="556">
        <v>0</v>
      </c>
      <c r="I104" s="425">
        <f ca="1">INDEX(T_Merger!__Saldo_Final,_AmortizacionesTablaCliente)</f>
        <v>7.2759576141834259E-12</v>
      </c>
    </row>
    <row r="105" spans="1:9" hidden="1" x14ac:dyDescent="0.3">
      <c r="A105" s="422">
        <v>86</v>
      </c>
      <c r="B105" s="423">
        <f t="shared" si="1"/>
        <v>45001</v>
      </c>
      <c r="C105" s="424">
        <f ca="1">INDEX(T_Merger!__Saldo_Inicial,_AmortizacionesTablaCliente)</f>
        <v>7.2759576141834259E-12</v>
      </c>
      <c r="D105" s="424">
        <f ca="1">INDEX(T_Merger!__Capital,_AmortizacionesTablaCliente)</f>
        <v>0</v>
      </c>
      <c r="E105" s="584">
        <f ca="1">INDEX(T_Merger!__Interes,_AmortizacionesTablaCliente)</f>
        <v>7.8216544352471822E-14</v>
      </c>
      <c r="F105" s="424">
        <f ca="1">INDEX(T_Merger!__IVA,_AmortizacionesTablaCliente)</f>
        <v>9.3859853222966188E-15</v>
      </c>
      <c r="G105" s="424">
        <f ca="1">INDEX(T_Merger!__Pago,_AmortizacionesTablaCliente)</f>
        <v>8.7602529674768438E-14</v>
      </c>
      <c r="H105" s="556">
        <v>0</v>
      </c>
      <c r="I105" s="425">
        <f ca="1">INDEX(T_Merger!__Saldo_Final,_AmortizacionesTablaCliente)</f>
        <v>7.2759576141834259E-12</v>
      </c>
    </row>
    <row r="106" spans="1:9" hidden="1" x14ac:dyDescent="0.3">
      <c r="A106" s="422">
        <v>87</v>
      </c>
      <c r="B106" s="423">
        <f t="shared" si="1"/>
        <v>45032</v>
      </c>
      <c r="C106" s="424">
        <f ca="1">INDEX(T_Merger!__Saldo_Inicial,_AmortizacionesTablaCliente)</f>
        <v>7.2759576141834259E-12</v>
      </c>
      <c r="D106" s="424">
        <f ca="1">INDEX(T_Merger!__Capital,_AmortizacionesTablaCliente)</f>
        <v>0</v>
      </c>
      <c r="E106" s="584">
        <f ca="1">INDEX(T_Merger!__Interes,_AmortizacionesTablaCliente)</f>
        <v>7.8216544352471822E-14</v>
      </c>
      <c r="F106" s="424">
        <f ca="1">INDEX(T_Merger!__IVA,_AmortizacionesTablaCliente)</f>
        <v>9.3859853222966188E-15</v>
      </c>
      <c r="G106" s="424">
        <f ca="1">INDEX(T_Merger!__Pago,_AmortizacionesTablaCliente)</f>
        <v>8.7602529674768438E-14</v>
      </c>
      <c r="H106" s="556">
        <v>0</v>
      </c>
      <c r="I106" s="425">
        <f ca="1">INDEX(T_Merger!__Saldo_Final,_AmortizacionesTablaCliente)</f>
        <v>7.2759576141834259E-12</v>
      </c>
    </row>
    <row r="107" spans="1:9" hidden="1" x14ac:dyDescent="0.3">
      <c r="A107" s="422">
        <v>88</v>
      </c>
      <c r="B107" s="423">
        <f t="shared" si="1"/>
        <v>45062</v>
      </c>
      <c r="C107" s="424">
        <f ca="1">INDEX(T_Merger!__Saldo_Inicial,_AmortizacionesTablaCliente)</f>
        <v>7.2759576141834259E-12</v>
      </c>
      <c r="D107" s="424">
        <f ca="1">INDEX(T_Merger!__Capital,_AmortizacionesTablaCliente)</f>
        <v>0</v>
      </c>
      <c r="E107" s="584">
        <f ca="1">INDEX(T_Merger!__Interes,_AmortizacionesTablaCliente)</f>
        <v>7.8216544352471822E-14</v>
      </c>
      <c r="F107" s="424">
        <f ca="1">INDEX(T_Merger!__IVA,_AmortizacionesTablaCliente)</f>
        <v>9.3859853222966188E-15</v>
      </c>
      <c r="G107" s="424">
        <f ca="1">INDEX(T_Merger!__Pago,_AmortizacionesTablaCliente)</f>
        <v>8.7602529674768438E-14</v>
      </c>
      <c r="H107" s="556">
        <v>0</v>
      </c>
      <c r="I107" s="425">
        <f ca="1">INDEX(T_Merger!__Saldo_Final,_AmortizacionesTablaCliente)</f>
        <v>7.2759576141834259E-12</v>
      </c>
    </row>
    <row r="108" spans="1:9" hidden="1" x14ac:dyDescent="0.3">
      <c r="A108" s="422">
        <v>89</v>
      </c>
      <c r="B108" s="423">
        <f t="shared" si="1"/>
        <v>45093</v>
      </c>
      <c r="C108" s="424">
        <f ca="1">INDEX(T_Merger!__Saldo_Inicial,_AmortizacionesTablaCliente)</f>
        <v>7.2759576141834259E-12</v>
      </c>
      <c r="D108" s="424">
        <f ca="1">INDEX(T_Merger!__Capital,_AmortizacionesTablaCliente)</f>
        <v>0</v>
      </c>
      <c r="E108" s="584">
        <f ca="1">INDEX(T_Merger!__Interes,_AmortizacionesTablaCliente)</f>
        <v>7.8216544352471822E-14</v>
      </c>
      <c r="F108" s="424">
        <f ca="1">INDEX(T_Merger!__IVA,_AmortizacionesTablaCliente)</f>
        <v>9.3859853222966188E-15</v>
      </c>
      <c r="G108" s="424">
        <f ca="1">INDEX(T_Merger!__Pago,_AmortizacionesTablaCliente)</f>
        <v>8.7602529674768438E-14</v>
      </c>
      <c r="H108" s="556">
        <v>0</v>
      </c>
      <c r="I108" s="425">
        <f ca="1">INDEX(T_Merger!__Saldo_Final,_AmortizacionesTablaCliente)</f>
        <v>7.2759576141834259E-12</v>
      </c>
    </row>
    <row r="109" spans="1:9" hidden="1" x14ac:dyDescent="0.3">
      <c r="A109" s="422">
        <v>90</v>
      </c>
      <c r="B109" s="423">
        <f t="shared" si="1"/>
        <v>45123</v>
      </c>
      <c r="C109" s="424">
        <f ca="1">INDEX(T_Merger!__Saldo_Inicial,_AmortizacionesTablaCliente)</f>
        <v>7.2759576141834259E-12</v>
      </c>
      <c r="D109" s="424">
        <f ca="1">INDEX(T_Merger!__Capital,_AmortizacionesTablaCliente)</f>
        <v>0</v>
      </c>
      <c r="E109" s="584">
        <f ca="1">INDEX(T_Merger!__Interes,_AmortizacionesTablaCliente)</f>
        <v>7.8216544352471822E-14</v>
      </c>
      <c r="F109" s="424">
        <f ca="1">INDEX(T_Merger!__IVA,_AmortizacionesTablaCliente)</f>
        <v>9.3859853222966188E-15</v>
      </c>
      <c r="G109" s="424">
        <f ca="1">INDEX(T_Merger!__Pago,_AmortizacionesTablaCliente)</f>
        <v>8.7602529674768438E-14</v>
      </c>
      <c r="H109" s="556">
        <v>0</v>
      </c>
      <c r="I109" s="425">
        <f ca="1">INDEX(T_Merger!__Saldo_Final,_AmortizacionesTablaCliente)</f>
        <v>7.2759576141834259E-12</v>
      </c>
    </row>
    <row r="110" spans="1:9" hidden="1" x14ac:dyDescent="0.3">
      <c r="A110" s="422">
        <v>91</v>
      </c>
      <c r="B110" s="423">
        <f t="shared" si="1"/>
        <v>45154</v>
      </c>
      <c r="C110" s="424">
        <f ca="1">INDEX(T_Merger!__Saldo_Inicial,_AmortizacionesTablaCliente)</f>
        <v>7.2759576141834259E-12</v>
      </c>
      <c r="D110" s="424">
        <f ca="1">INDEX(T_Merger!__Capital,_AmortizacionesTablaCliente)</f>
        <v>0</v>
      </c>
      <c r="E110" s="584">
        <f ca="1">INDEX(T_Merger!__Interes,_AmortizacionesTablaCliente)</f>
        <v>7.8216544352471822E-14</v>
      </c>
      <c r="F110" s="424">
        <f ca="1">INDEX(T_Merger!__IVA,_AmortizacionesTablaCliente)</f>
        <v>9.3859853222966188E-15</v>
      </c>
      <c r="G110" s="424">
        <f ca="1">INDEX(T_Merger!__Pago,_AmortizacionesTablaCliente)</f>
        <v>8.7602529674768438E-14</v>
      </c>
      <c r="H110" s="556">
        <v>0</v>
      </c>
      <c r="I110" s="425">
        <f ca="1">INDEX(T_Merger!__Saldo_Final,_AmortizacionesTablaCliente)</f>
        <v>7.2759576141834259E-12</v>
      </c>
    </row>
    <row r="111" spans="1:9" hidden="1" x14ac:dyDescent="0.3">
      <c r="A111" s="422">
        <v>92</v>
      </c>
      <c r="B111" s="423">
        <f t="shared" si="1"/>
        <v>45185</v>
      </c>
      <c r="C111" s="424">
        <f ca="1">INDEX(T_Merger!__Saldo_Inicial,_AmortizacionesTablaCliente)</f>
        <v>7.2759576141834259E-12</v>
      </c>
      <c r="D111" s="424">
        <f ca="1">INDEX(T_Merger!__Capital,_AmortizacionesTablaCliente)</f>
        <v>0</v>
      </c>
      <c r="E111" s="584">
        <f ca="1">INDEX(T_Merger!__Interes,_AmortizacionesTablaCliente)</f>
        <v>7.8216544352471822E-14</v>
      </c>
      <c r="F111" s="424">
        <f ca="1">INDEX(T_Merger!__IVA,_AmortizacionesTablaCliente)</f>
        <v>9.3859853222966188E-15</v>
      </c>
      <c r="G111" s="424">
        <f ca="1">INDEX(T_Merger!__Pago,_AmortizacionesTablaCliente)</f>
        <v>8.7602529674768438E-14</v>
      </c>
      <c r="H111" s="556">
        <v>0</v>
      </c>
      <c r="I111" s="425">
        <f ca="1">INDEX(T_Merger!__Saldo_Final,_AmortizacionesTablaCliente)</f>
        <v>7.2759576141834259E-12</v>
      </c>
    </row>
    <row r="112" spans="1:9" hidden="1" x14ac:dyDescent="0.3">
      <c r="A112" s="422">
        <v>93</v>
      </c>
      <c r="B112" s="423">
        <f t="shared" si="1"/>
        <v>45215</v>
      </c>
      <c r="C112" s="424">
        <f ca="1">INDEX(T_Merger!__Saldo_Inicial,_AmortizacionesTablaCliente)</f>
        <v>7.2759576141834259E-12</v>
      </c>
      <c r="D112" s="424">
        <f ca="1">INDEX(T_Merger!__Capital,_AmortizacionesTablaCliente)</f>
        <v>0</v>
      </c>
      <c r="E112" s="584">
        <f ca="1">INDEX(T_Merger!__Interes,_AmortizacionesTablaCliente)</f>
        <v>7.8216544352471822E-14</v>
      </c>
      <c r="F112" s="424">
        <f ca="1">INDEX(T_Merger!__IVA,_AmortizacionesTablaCliente)</f>
        <v>9.3859853222966188E-15</v>
      </c>
      <c r="G112" s="424">
        <f ca="1">INDEX(T_Merger!__Pago,_AmortizacionesTablaCliente)</f>
        <v>8.7602529674768438E-14</v>
      </c>
      <c r="H112" s="556">
        <v>0</v>
      </c>
      <c r="I112" s="425">
        <f ca="1">INDEX(T_Merger!__Saldo_Final,_AmortizacionesTablaCliente)</f>
        <v>7.2759576141834259E-12</v>
      </c>
    </row>
    <row r="113" spans="1:9" hidden="1" x14ac:dyDescent="0.3">
      <c r="A113" s="422">
        <v>94</v>
      </c>
      <c r="B113" s="423">
        <f t="shared" si="1"/>
        <v>45246</v>
      </c>
      <c r="C113" s="424">
        <f ca="1">INDEX(T_Merger!__Saldo_Inicial,_AmortizacionesTablaCliente)</f>
        <v>7.2759576141834259E-12</v>
      </c>
      <c r="D113" s="424">
        <f ca="1">INDEX(T_Merger!__Capital,_AmortizacionesTablaCliente)</f>
        <v>0</v>
      </c>
      <c r="E113" s="584">
        <f ca="1">INDEX(T_Merger!__Interes,_AmortizacionesTablaCliente)</f>
        <v>7.8216544352471822E-14</v>
      </c>
      <c r="F113" s="424">
        <f ca="1">INDEX(T_Merger!__IVA,_AmortizacionesTablaCliente)</f>
        <v>9.3859853222966188E-15</v>
      </c>
      <c r="G113" s="424">
        <f ca="1">INDEX(T_Merger!__Pago,_AmortizacionesTablaCliente)</f>
        <v>8.7602529674768438E-14</v>
      </c>
      <c r="H113" s="556">
        <v>0</v>
      </c>
      <c r="I113" s="425">
        <f ca="1">INDEX(T_Merger!__Saldo_Final,_AmortizacionesTablaCliente)</f>
        <v>7.2759576141834259E-12</v>
      </c>
    </row>
    <row r="114" spans="1:9" hidden="1" x14ac:dyDescent="0.3">
      <c r="A114" s="422">
        <v>95</v>
      </c>
      <c r="B114" s="423">
        <f t="shared" si="1"/>
        <v>45276</v>
      </c>
      <c r="C114" s="424">
        <f ca="1">INDEX(T_Merger!__Saldo_Inicial,_AmortizacionesTablaCliente)</f>
        <v>7.2759576141834259E-12</v>
      </c>
      <c r="D114" s="424">
        <f ca="1">INDEX(T_Merger!__Capital,_AmortizacionesTablaCliente)</f>
        <v>0</v>
      </c>
      <c r="E114" s="584">
        <f ca="1">INDEX(T_Merger!__Interes,_AmortizacionesTablaCliente)</f>
        <v>7.8216544352471822E-14</v>
      </c>
      <c r="F114" s="424">
        <f ca="1">INDEX(T_Merger!__IVA,_AmortizacionesTablaCliente)</f>
        <v>9.3859853222966188E-15</v>
      </c>
      <c r="G114" s="424">
        <f ca="1">INDEX(T_Merger!__Pago,_AmortizacionesTablaCliente)</f>
        <v>8.7602529674768438E-14</v>
      </c>
      <c r="H114" s="556">
        <v>0</v>
      </c>
      <c r="I114" s="425">
        <f ca="1">INDEX(T_Merger!__Saldo_Final,_AmortizacionesTablaCliente)</f>
        <v>7.2759576141834259E-12</v>
      </c>
    </row>
    <row r="115" spans="1:9" hidden="1" x14ac:dyDescent="0.3">
      <c r="A115" s="422">
        <v>96</v>
      </c>
      <c r="B115" s="423">
        <f t="shared" si="1"/>
        <v>45307</v>
      </c>
      <c r="C115" s="424">
        <f ca="1">INDEX(T_Merger!__Saldo_Inicial,_AmortizacionesTablaCliente)</f>
        <v>7.2759576141834259E-12</v>
      </c>
      <c r="D115" s="424">
        <f ca="1">INDEX(T_Merger!__Capital,_AmortizacionesTablaCliente)</f>
        <v>0</v>
      </c>
      <c r="E115" s="584">
        <f ca="1">INDEX(T_Merger!__Interes,_AmortizacionesTablaCliente)</f>
        <v>7.8216544352471822E-14</v>
      </c>
      <c r="F115" s="424">
        <f ca="1">INDEX(T_Merger!__IVA,_AmortizacionesTablaCliente)</f>
        <v>9.3859853222966188E-15</v>
      </c>
      <c r="G115" s="424">
        <f ca="1">INDEX(T_Merger!__Pago,_AmortizacionesTablaCliente)</f>
        <v>8.7602529674768438E-14</v>
      </c>
      <c r="H115" s="556">
        <v>0</v>
      </c>
      <c r="I115" s="425">
        <f ca="1">INDEX(T_Merger!__Saldo_Final,_AmortizacionesTablaCliente)</f>
        <v>7.2759576141834259E-12</v>
      </c>
    </row>
    <row r="116" spans="1:9" hidden="1" x14ac:dyDescent="0.3">
      <c r="A116" s="422">
        <v>97</v>
      </c>
      <c r="B116" s="423">
        <f t="shared" si="1"/>
        <v>45338</v>
      </c>
      <c r="C116" s="424">
        <f ca="1">INDEX(T_Merger!__Saldo_Inicial,_AmortizacionesTablaCliente)</f>
        <v>7.2759576141834259E-12</v>
      </c>
      <c r="D116" s="424">
        <f ca="1">INDEX(T_Merger!__Capital,_AmortizacionesTablaCliente)</f>
        <v>0</v>
      </c>
      <c r="E116" s="584">
        <f ca="1">INDEX(T_Merger!__Interes,_AmortizacionesTablaCliente)</f>
        <v>7.8216544352471822E-14</v>
      </c>
      <c r="F116" s="424">
        <f ca="1">INDEX(T_Merger!__IVA,_AmortizacionesTablaCliente)</f>
        <v>9.3859853222966188E-15</v>
      </c>
      <c r="G116" s="424">
        <f ca="1">INDEX(T_Merger!__Pago,_AmortizacionesTablaCliente)</f>
        <v>8.7602529674768438E-14</v>
      </c>
      <c r="H116" s="556">
        <v>0</v>
      </c>
      <c r="I116" s="425">
        <f ca="1">INDEX(T_Merger!__Saldo_Final,_AmortizacionesTablaCliente)</f>
        <v>7.2759576141834259E-12</v>
      </c>
    </row>
    <row r="117" spans="1:9" hidden="1" x14ac:dyDescent="0.3">
      <c r="A117" s="422">
        <v>98</v>
      </c>
      <c r="B117" s="423">
        <f t="shared" si="1"/>
        <v>45367</v>
      </c>
      <c r="C117" s="424">
        <f ca="1">INDEX(T_Merger!__Saldo_Inicial,_AmortizacionesTablaCliente)</f>
        <v>7.2759576141834259E-12</v>
      </c>
      <c r="D117" s="424">
        <f ca="1">INDEX(T_Merger!__Capital,_AmortizacionesTablaCliente)</f>
        <v>0</v>
      </c>
      <c r="E117" s="584">
        <f ca="1">INDEX(T_Merger!__Interes,_AmortizacionesTablaCliente)</f>
        <v>7.8216544352471822E-14</v>
      </c>
      <c r="F117" s="424">
        <f ca="1">INDEX(T_Merger!__IVA,_AmortizacionesTablaCliente)</f>
        <v>9.3859853222966188E-15</v>
      </c>
      <c r="G117" s="424">
        <f ca="1">INDEX(T_Merger!__Pago,_AmortizacionesTablaCliente)</f>
        <v>8.7602529674768438E-14</v>
      </c>
      <c r="H117" s="556">
        <v>0</v>
      </c>
      <c r="I117" s="425">
        <f ca="1">INDEX(T_Merger!__Saldo_Final,_AmortizacionesTablaCliente)</f>
        <v>7.2759576141834259E-12</v>
      </c>
    </row>
    <row r="118" spans="1:9" hidden="1" x14ac:dyDescent="0.3">
      <c r="A118" s="422">
        <v>99</v>
      </c>
      <c r="B118" s="423">
        <f t="shared" si="1"/>
        <v>45398</v>
      </c>
      <c r="C118" s="424">
        <f ca="1">INDEX(T_Merger!__Saldo_Inicial,_AmortizacionesTablaCliente)</f>
        <v>7.2759576141834259E-12</v>
      </c>
      <c r="D118" s="424">
        <f ca="1">INDEX(T_Merger!__Capital,_AmortizacionesTablaCliente)</f>
        <v>0</v>
      </c>
      <c r="E118" s="584">
        <f ca="1">INDEX(T_Merger!__Interes,_AmortizacionesTablaCliente)</f>
        <v>7.8216544352471822E-14</v>
      </c>
      <c r="F118" s="424">
        <f ca="1">INDEX(T_Merger!__IVA,_AmortizacionesTablaCliente)</f>
        <v>9.3859853222966188E-15</v>
      </c>
      <c r="G118" s="424">
        <f ca="1">INDEX(T_Merger!__Pago,_AmortizacionesTablaCliente)</f>
        <v>8.7602529674768438E-14</v>
      </c>
      <c r="H118" s="556">
        <v>0</v>
      </c>
      <c r="I118" s="425">
        <f ca="1">INDEX(T_Merger!__Saldo_Final,_AmortizacionesTablaCliente)</f>
        <v>7.2759576141834259E-12</v>
      </c>
    </row>
    <row r="119" spans="1:9" hidden="1" x14ac:dyDescent="0.3">
      <c r="A119" s="422">
        <v>100</v>
      </c>
      <c r="B119" s="423">
        <f t="shared" si="1"/>
        <v>45428</v>
      </c>
      <c r="C119" s="424">
        <f ca="1">INDEX(T_Merger!__Saldo_Inicial,_AmortizacionesTablaCliente)</f>
        <v>7.2759576141834259E-12</v>
      </c>
      <c r="D119" s="424">
        <f ca="1">INDEX(T_Merger!__Capital,_AmortizacionesTablaCliente)</f>
        <v>0</v>
      </c>
      <c r="E119" s="584">
        <f ca="1">INDEX(T_Merger!__Interes,_AmortizacionesTablaCliente)</f>
        <v>7.8216544352471822E-14</v>
      </c>
      <c r="F119" s="424">
        <f ca="1">INDEX(T_Merger!__IVA,_AmortizacionesTablaCliente)</f>
        <v>9.3859853222966188E-15</v>
      </c>
      <c r="G119" s="424">
        <f ca="1">INDEX(T_Merger!__Pago,_AmortizacionesTablaCliente)</f>
        <v>8.7602529674768438E-14</v>
      </c>
      <c r="H119" s="556">
        <v>0</v>
      </c>
      <c r="I119" s="425">
        <f ca="1">INDEX(T_Merger!__Saldo_Final,_AmortizacionesTablaCliente)</f>
        <v>7.2759576141834259E-12</v>
      </c>
    </row>
    <row r="120" spans="1:9" hidden="1" x14ac:dyDescent="0.3">
      <c r="A120" s="422">
        <v>101</v>
      </c>
      <c r="B120" s="423">
        <f t="shared" si="1"/>
        <v>45459</v>
      </c>
      <c r="C120" s="424">
        <f ca="1">INDEX(T_Merger!__Saldo_Inicial,_AmortizacionesTablaCliente)</f>
        <v>7.2759576141834259E-12</v>
      </c>
      <c r="D120" s="424">
        <f ca="1">INDEX(T_Merger!__Capital,_AmortizacionesTablaCliente)</f>
        <v>0</v>
      </c>
      <c r="E120" s="584">
        <f ca="1">INDEX(T_Merger!__Interes,_AmortizacionesTablaCliente)</f>
        <v>7.8216544352471822E-14</v>
      </c>
      <c r="F120" s="424">
        <f ca="1">INDEX(T_Merger!__IVA,_AmortizacionesTablaCliente)</f>
        <v>9.3859853222966188E-15</v>
      </c>
      <c r="G120" s="424">
        <f ca="1">INDEX(T_Merger!__Pago,_AmortizacionesTablaCliente)</f>
        <v>8.7602529674768438E-14</v>
      </c>
      <c r="H120" s="556">
        <v>0</v>
      </c>
      <c r="I120" s="425">
        <f ca="1">INDEX(T_Merger!__Saldo_Final,_AmortizacionesTablaCliente)</f>
        <v>7.2759576141834259E-12</v>
      </c>
    </row>
    <row r="121" spans="1:9" hidden="1" x14ac:dyDescent="0.3">
      <c r="A121" s="422">
        <v>102</v>
      </c>
      <c r="B121" s="423">
        <f t="shared" si="1"/>
        <v>45489</v>
      </c>
      <c r="C121" s="424">
        <f ca="1">INDEX(T_Merger!__Saldo_Inicial,_AmortizacionesTablaCliente)</f>
        <v>7.2759576141834259E-12</v>
      </c>
      <c r="D121" s="424">
        <f ca="1">INDEX(T_Merger!__Capital,_AmortizacionesTablaCliente)</f>
        <v>0</v>
      </c>
      <c r="E121" s="584">
        <f ca="1">INDEX(T_Merger!__Interes,_AmortizacionesTablaCliente)</f>
        <v>7.8216544352471822E-14</v>
      </c>
      <c r="F121" s="424">
        <f ca="1">INDEX(T_Merger!__IVA,_AmortizacionesTablaCliente)</f>
        <v>9.3859853222966188E-15</v>
      </c>
      <c r="G121" s="424">
        <f ca="1">INDEX(T_Merger!__Pago,_AmortizacionesTablaCliente)</f>
        <v>8.7602529674768438E-14</v>
      </c>
      <c r="H121" s="556">
        <v>0</v>
      </c>
      <c r="I121" s="425">
        <f ca="1">INDEX(T_Merger!__Saldo_Final,_AmortizacionesTablaCliente)</f>
        <v>7.2759576141834259E-12</v>
      </c>
    </row>
    <row r="122" spans="1:9" hidden="1" x14ac:dyDescent="0.3">
      <c r="A122" s="422">
        <v>103</v>
      </c>
      <c r="B122" s="423">
        <f t="shared" si="1"/>
        <v>45520</v>
      </c>
      <c r="C122" s="424">
        <f ca="1">INDEX(T_Merger!__Saldo_Inicial,_AmortizacionesTablaCliente)</f>
        <v>7.2759576141834259E-12</v>
      </c>
      <c r="D122" s="424">
        <f ca="1">INDEX(T_Merger!__Capital,_AmortizacionesTablaCliente)</f>
        <v>0</v>
      </c>
      <c r="E122" s="584">
        <f ca="1">INDEX(T_Merger!__Interes,_AmortizacionesTablaCliente)</f>
        <v>7.8216544352471822E-14</v>
      </c>
      <c r="F122" s="424">
        <f ca="1">INDEX(T_Merger!__IVA,_AmortizacionesTablaCliente)</f>
        <v>9.3859853222966188E-15</v>
      </c>
      <c r="G122" s="424">
        <f ca="1">INDEX(T_Merger!__Pago,_AmortizacionesTablaCliente)</f>
        <v>8.7602529674768438E-14</v>
      </c>
      <c r="H122" s="556">
        <v>0</v>
      </c>
      <c r="I122" s="425">
        <f ca="1">INDEX(T_Merger!__Saldo_Final,_AmortizacionesTablaCliente)</f>
        <v>7.2759576141834259E-12</v>
      </c>
    </row>
    <row r="123" spans="1:9" hidden="1" x14ac:dyDescent="0.3">
      <c r="A123" s="422">
        <v>104</v>
      </c>
      <c r="B123" s="423">
        <f t="shared" si="1"/>
        <v>45551</v>
      </c>
      <c r="C123" s="424">
        <f ca="1">INDEX(T_Merger!__Saldo_Inicial,_AmortizacionesTablaCliente)</f>
        <v>7.2759576141834259E-12</v>
      </c>
      <c r="D123" s="424">
        <f ca="1">INDEX(T_Merger!__Capital,_AmortizacionesTablaCliente)</f>
        <v>0</v>
      </c>
      <c r="E123" s="584">
        <f ca="1">INDEX(T_Merger!__Interes,_AmortizacionesTablaCliente)</f>
        <v>7.8216544352471822E-14</v>
      </c>
      <c r="F123" s="424">
        <f ca="1">INDEX(T_Merger!__IVA,_AmortizacionesTablaCliente)</f>
        <v>9.3859853222966188E-15</v>
      </c>
      <c r="G123" s="424">
        <f ca="1">INDEX(T_Merger!__Pago,_AmortizacionesTablaCliente)</f>
        <v>8.7602529674768438E-14</v>
      </c>
      <c r="H123" s="556">
        <v>0</v>
      </c>
      <c r="I123" s="425">
        <f ca="1">INDEX(T_Merger!__Saldo_Final,_AmortizacionesTablaCliente)</f>
        <v>7.2759576141834259E-12</v>
      </c>
    </row>
    <row r="124" spans="1:9" hidden="1" x14ac:dyDescent="0.3">
      <c r="A124" s="422">
        <v>105</v>
      </c>
      <c r="B124" s="423">
        <f t="shared" si="1"/>
        <v>45581</v>
      </c>
      <c r="C124" s="424">
        <f ca="1">INDEX(T_Merger!__Saldo_Inicial,_AmortizacionesTablaCliente)</f>
        <v>7.2759576141834259E-12</v>
      </c>
      <c r="D124" s="424">
        <f ca="1">INDEX(T_Merger!__Capital,_AmortizacionesTablaCliente)</f>
        <v>0</v>
      </c>
      <c r="E124" s="584">
        <f ca="1">INDEX(T_Merger!__Interes,_AmortizacionesTablaCliente)</f>
        <v>7.8216544352471822E-14</v>
      </c>
      <c r="F124" s="424">
        <f ca="1">INDEX(T_Merger!__IVA,_AmortizacionesTablaCliente)</f>
        <v>9.3859853222966188E-15</v>
      </c>
      <c r="G124" s="424">
        <f ca="1">INDEX(T_Merger!__Pago,_AmortizacionesTablaCliente)</f>
        <v>8.7602529674768438E-14</v>
      </c>
      <c r="H124" s="556">
        <v>0</v>
      </c>
      <c r="I124" s="425">
        <f ca="1">INDEX(T_Merger!__Saldo_Final,_AmortizacionesTablaCliente)</f>
        <v>7.2759576141834259E-12</v>
      </c>
    </row>
    <row r="125" spans="1:9" hidden="1" x14ac:dyDescent="0.3">
      <c r="A125" s="422">
        <v>106</v>
      </c>
      <c r="B125" s="423">
        <f t="shared" si="1"/>
        <v>45612</v>
      </c>
      <c r="C125" s="424">
        <f ca="1">INDEX(T_Merger!__Saldo_Inicial,_AmortizacionesTablaCliente)</f>
        <v>7.2759576141834259E-12</v>
      </c>
      <c r="D125" s="424">
        <f ca="1">INDEX(T_Merger!__Capital,_AmortizacionesTablaCliente)</f>
        <v>0</v>
      </c>
      <c r="E125" s="584">
        <f ca="1">INDEX(T_Merger!__Interes,_AmortizacionesTablaCliente)</f>
        <v>7.8216544352471822E-14</v>
      </c>
      <c r="F125" s="424">
        <f ca="1">INDEX(T_Merger!__IVA,_AmortizacionesTablaCliente)</f>
        <v>9.3859853222966188E-15</v>
      </c>
      <c r="G125" s="424">
        <f ca="1">INDEX(T_Merger!__Pago,_AmortizacionesTablaCliente)</f>
        <v>8.7602529674768438E-14</v>
      </c>
      <c r="H125" s="556">
        <v>0</v>
      </c>
      <c r="I125" s="425">
        <f ca="1">INDEX(T_Merger!__Saldo_Final,_AmortizacionesTablaCliente)</f>
        <v>7.2759576141834259E-12</v>
      </c>
    </row>
    <row r="126" spans="1:9" hidden="1" x14ac:dyDescent="0.3">
      <c r="A126" s="422">
        <v>107</v>
      </c>
      <c r="B126" s="423">
        <f t="shared" si="1"/>
        <v>45642</v>
      </c>
      <c r="C126" s="424">
        <f ca="1">INDEX(T_Merger!__Saldo_Inicial,_AmortizacionesTablaCliente)</f>
        <v>7.2759576141834259E-12</v>
      </c>
      <c r="D126" s="424">
        <f ca="1">INDEX(T_Merger!__Capital,_AmortizacionesTablaCliente)</f>
        <v>0</v>
      </c>
      <c r="E126" s="584">
        <f ca="1">INDEX(T_Merger!__Interes,_AmortizacionesTablaCliente)</f>
        <v>7.8216544352471822E-14</v>
      </c>
      <c r="F126" s="424">
        <f ca="1">INDEX(T_Merger!__IVA,_AmortizacionesTablaCliente)</f>
        <v>9.3859853222966188E-15</v>
      </c>
      <c r="G126" s="424">
        <f ca="1">INDEX(T_Merger!__Pago,_AmortizacionesTablaCliente)</f>
        <v>8.7602529674768438E-14</v>
      </c>
      <c r="H126" s="556">
        <v>0</v>
      </c>
      <c r="I126" s="425">
        <f ca="1">INDEX(T_Merger!__Saldo_Final,_AmortizacionesTablaCliente)</f>
        <v>7.2759576141834259E-12</v>
      </c>
    </row>
    <row r="127" spans="1:9" hidden="1" x14ac:dyDescent="0.3">
      <c r="A127" s="422">
        <v>108</v>
      </c>
      <c r="B127" s="423">
        <f t="shared" si="1"/>
        <v>45673</v>
      </c>
      <c r="C127" s="424">
        <f ca="1">INDEX(T_Merger!__Saldo_Inicial,_AmortizacionesTablaCliente)</f>
        <v>7.2759576141834259E-12</v>
      </c>
      <c r="D127" s="424">
        <f ca="1">INDEX(T_Merger!__Capital,_AmortizacionesTablaCliente)</f>
        <v>0</v>
      </c>
      <c r="E127" s="584">
        <f ca="1">INDEX(T_Merger!__Interes,_AmortizacionesTablaCliente)</f>
        <v>7.8216544352471822E-14</v>
      </c>
      <c r="F127" s="424">
        <f ca="1">INDEX(T_Merger!__IVA,_AmortizacionesTablaCliente)</f>
        <v>9.3859853222966188E-15</v>
      </c>
      <c r="G127" s="424">
        <f ca="1">INDEX(T_Merger!__Pago,_AmortizacionesTablaCliente)</f>
        <v>8.7602529674768438E-14</v>
      </c>
      <c r="H127" s="556">
        <v>0</v>
      </c>
      <c r="I127" s="425">
        <f ca="1">INDEX(T_Merger!__Saldo_Final,_AmortizacionesTablaCliente)</f>
        <v>7.2759576141834259E-12</v>
      </c>
    </row>
    <row r="128" spans="1:9" hidden="1" x14ac:dyDescent="0.3">
      <c r="A128" s="422">
        <v>109</v>
      </c>
      <c r="B128" s="423">
        <f t="shared" si="1"/>
        <v>45704</v>
      </c>
      <c r="C128" s="424">
        <f ca="1">INDEX(T_Merger!__Saldo_Inicial,_AmortizacionesTablaCliente)</f>
        <v>7.2759576141834259E-12</v>
      </c>
      <c r="D128" s="424">
        <f ca="1">INDEX(T_Merger!__Capital,_AmortizacionesTablaCliente)</f>
        <v>0</v>
      </c>
      <c r="E128" s="584">
        <f ca="1">INDEX(T_Merger!__Interes,_AmortizacionesTablaCliente)</f>
        <v>7.8216544352471822E-14</v>
      </c>
      <c r="F128" s="424">
        <f ca="1">INDEX(T_Merger!__IVA,_AmortizacionesTablaCliente)</f>
        <v>9.3859853222966188E-15</v>
      </c>
      <c r="G128" s="424">
        <f ca="1">INDEX(T_Merger!__Pago,_AmortizacionesTablaCliente)</f>
        <v>8.7602529674768438E-14</v>
      </c>
      <c r="H128" s="556">
        <v>0</v>
      </c>
      <c r="I128" s="425">
        <f ca="1">INDEX(T_Merger!__Saldo_Final,_AmortizacionesTablaCliente)</f>
        <v>7.2759576141834259E-12</v>
      </c>
    </row>
    <row r="129" spans="1:9" hidden="1" x14ac:dyDescent="0.3">
      <c r="A129" s="422">
        <v>110</v>
      </c>
      <c r="B129" s="423">
        <f t="shared" si="1"/>
        <v>45732</v>
      </c>
      <c r="C129" s="424">
        <f ca="1">INDEX(T_Merger!__Saldo_Inicial,_AmortizacionesTablaCliente)</f>
        <v>7.2759576141834259E-12</v>
      </c>
      <c r="D129" s="424">
        <f ca="1">INDEX(T_Merger!__Capital,_AmortizacionesTablaCliente)</f>
        <v>0</v>
      </c>
      <c r="E129" s="584">
        <f ca="1">INDEX(T_Merger!__Interes,_AmortizacionesTablaCliente)</f>
        <v>7.8216544352471822E-14</v>
      </c>
      <c r="F129" s="424">
        <f ca="1">INDEX(T_Merger!__IVA,_AmortizacionesTablaCliente)</f>
        <v>9.3859853222966188E-15</v>
      </c>
      <c r="G129" s="424">
        <f ca="1">INDEX(T_Merger!__Pago,_AmortizacionesTablaCliente)</f>
        <v>8.7602529674768438E-14</v>
      </c>
      <c r="H129" s="556">
        <v>0</v>
      </c>
      <c r="I129" s="425">
        <f ca="1">INDEX(T_Merger!__Saldo_Final,_AmortizacionesTablaCliente)</f>
        <v>7.2759576141834259E-12</v>
      </c>
    </row>
    <row r="130" spans="1:9" hidden="1" x14ac:dyDescent="0.3">
      <c r="A130" s="422">
        <v>111</v>
      </c>
      <c r="B130" s="423">
        <f t="shared" si="1"/>
        <v>45763</v>
      </c>
      <c r="C130" s="424">
        <f ca="1">INDEX(T_Merger!__Saldo_Inicial,_AmortizacionesTablaCliente)</f>
        <v>7.2759576141834259E-12</v>
      </c>
      <c r="D130" s="424">
        <f ca="1">INDEX(T_Merger!__Capital,_AmortizacionesTablaCliente)</f>
        <v>0</v>
      </c>
      <c r="E130" s="584">
        <f ca="1">INDEX(T_Merger!__Interes,_AmortizacionesTablaCliente)</f>
        <v>7.8216544352471822E-14</v>
      </c>
      <c r="F130" s="424">
        <f ca="1">INDEX(T_Merger!__IVA,_AmortizacionesTablaCliente)</f>
        <v>9.3859853222966188E-15</v>
      </c>
      <c r="G130" s="424">
        <f ca="1">INDEX(T_Merger!__Pago,_AmortizacionesTablaCliente)</f>
        <v>8.7602529674768438E-14</v>
      </c>
      <c r="H130" s="556">
        <v>0</v>
      </c>
      <c r="I130" s="425">
        <f ca="1">INDEX(T_Merger!__Saldo_Final,_AmortizacionesTablaCliente)</f>
        <v>7.2759576141834259E-12</v>
      </c>
    </row>
    <row r="131" spans="1:9" hidden="1" x14ac:dyDescent="0.3">
      <c r="A131" s="422">
        <v>112</v>
      </c>
      <c r="B131" s="423">
        <f t="shared" si="1"/>
        <v>45793</v>
      </c>
      <c r="C131" s="424">
        <f ca="1">INDEX(T_Merger!__Saldo_Inicial,_AmortizacionesTablaCliente)</f>
        <v>7.2759576141834259E-12</v>
      </c>
      <c r="D131" s="424">
        <f ca="1">INDEX(T_Merger!__Capital,_AmortizacionesTablaCliente)</f>
        <v>0</v>
      </c>
      <c r="E131" s="584">
        <f ca="1">INDEX(T_Merger!__Interes,_AmortizacionesTablaCliente)</f>
        <v>7.8216544352471822E-14</v>
      </c>
      <c r="F131" s="424">
        <f ca="1">INDEX(T_Merger!__IVA,_AmortizacionesTablaCliente)</f>
        <v>9.3859853222966188E-15</v>
      </c>
      <c r="G131" s="424">
        <f ca="1">INDEX(T_Merger!__Pago,_AmortizacionesTablaCliente)</f>
        <v>8.7602529674768438E-14</v>
      </c>
      <c r="H131" s="556">
        <v>0</v>
      </c>
      <c r="I131" s="425">
        <f ca="1">INDEX(T_Merger!__Saldo_Final,_AmortizacionesTablaCliente)</f>
        <v>7.2759576141834259E-12</v>
      </c>
    </row>
    <row r="132" spans="1:9" hidden="1" x14ac:dyDescent="0.3">
      <c r="A132" s="422">
        <v>113</v>
      </c>
      <c r="B132" s="423">
        <f t="shared" si="1"/>
        <v>45824</v>
      </c>
      <c r="C132" s="424">
        <f ca="1">INDEX(T_Merger!__Saldo_Inicial,_AmortizacionesTablaCliente)</f>
        <v>7.2759576141834259E-12</v>
      </c>
      <c r="D132" s="424">
        <f ca="1">INDEX(T_Merger!__Capital,_AmortizacionesTablaCliente)</f>
        <v>0</v>
      </c>
      <c r="E132" s="584">
        <f ca="1">INDEX(T_Merger!__Interes,_AmortizacionesTablaCliente)</f>
        <v>7.8216544352471822E-14</v>
      </c>
      <c r="F132" s="424">
        <f ca="1">INDEX(T_Merger!__IVA,_AmortizacionesTablaCliente)</f>
        <v>9.3859853222966188E-15</v>
      </c>
      <c r="G132" s="424">
        <f ca="1">INDEX(T_Merger!__Pago,_AmortizacionesTablaCliente)</f>
        <v>8.7602529674768438E-14</v>
      </c>
      <c r="H132" s="556">
        <v>0</v>
      </c>
      <c r="I132" s="425">
        <f ca="1">INDEX(T_Merger!__Saldo_Final,_AmortizacionesTablaCliente)</f>
        <v>7.2759576141834259E-12</v>
      </c>
    </row>
    <row r="133" spans="1:9" hidden="1" x14ac:dyDescent="0.3">
      <c r="A133" s="422">
        <v>114</v>
      </c>
      <c r="B133" s="423">
        <f t="shared" si="1"/>
        <v>45854</v>
      </c>
      <c r="C133" s="424">
        <f ca="1">INDEX(T_Merger!__Saldo_Inicial,_AmortizacionesTablaCliente)</f>
        <v>7.2759576141834259E-12</v>
      </c>
      <c r="D133" s="424">
        <f ca="1">INDEX(T_Merger!__Capital,_AmortizacionesTablaCliente)</f>
        <v>0</v>
      </c>
      <c r="E133" s="584">
        <f ca="1">INDEX(T_Merger!__Interes,_AmortizacionesTablaCliente)</f>
        <v>7.8216544352471822E-14</v>
      </c>
      <c r="F133" s="424">
        <f ca="1">INDEX(T_Merger!__IVA,_AmortizacionesTablaCliente)</f>
        <v>9.3859853222966188E-15</v>
      </c>
      <c r="G133" s="424">
        <f ca="1">INDEX(T_Merger!__Pago,_AmortizacionesTablaCliente)</f>
        <v>8.7602529674768438E-14</v>
      </c>
      <c r="H133" s="556">
        <v>0</v>
      </c>
      <c r="I133" s="425">
        <f ca="1">INDEX(T_Merger!__Saldo_Final,_AmortizacionesTablaCliente)</f>
        <v>7.2759576141834259E-12</v>
      </c>
    </row>
    <row r="134" spans="1:9" hidden="1" x14ac:dyDescent="0.3">
      <c r="A134" s="422">
        <v>115</v>
      </c>
      <c r="B134" s="423">
        <f t="shared" si="1"/>
        <v>45885</v>
      </c>
      <c r="C134" s="424">
        <f ca="1">INDEX(T_Merger!__Saldo_Inicial,_AmortizacionesTablaCliente)</f>
        <v>7.2759576141834259E-12</v>
      </c>
      <c r="D134" s="424">
        <f ca="1">INDEX(T_Merger!__Capital,_AmortizacionesTablaCliente)</f>
        <v>0</v>
      </c>
      <c r="E134" s="584">
        <f ca="1">INDEX(T_Merger!__Interes,_AmortizacionesTablaCliente)</f>
        <v>7.8216544352471822E-14</v>
      </c>
      <c r="F134" s="424">
        <f ca="1">INDEX(T_Merger!__IVA,_AmortizacionesTablaCliente)</f>
        <v>9.3859853222966188E-15</v>
      </c>
      <c r="G134" s="424">
        <f ca="1">INDEX(T_Merger!__Pago,_AmortizacionesTablaCliente)</f>
        <v>8.7602529674768438E-14</v>
      </c>
      <c r="H134" s="556">
        <v>0</v>
      </c>
      <c r="I134" s="425">
        <f ca="1">INDEX(T_Merger!__Saldo_Final,_AmortizacionesTablaCliente)</f>
        <v>7.2759576141834259E-12</v>
      </c>
    </row>
    <row r="135" spans="1:9" hidden="1" x14ac:dyDescent="0.3">
      <c r="A135" s="422">
        <v>116</v>
      </c>
      <c r="B135" s="423">
        <f t="shared" si="1"/>
        <v>45916</v>
      </c>
      <c r="C135" s="424">
        <f ca="1">INDEX(T_Merger!__Saldo_Inicial,_AmortizacionesTablaCliente)</f>
        <v>7.2759576141834259E-12</v>
      </c>
      <c r="D135" s="424">
        <f ca="1">INDEX(T_Merger!__Capital,_AmortizacionesTablaCliente)</f>
        <v>0</v>
      </c>
      <c r="E135" s="584">
        <f ca="1">INDEX(T_Merger!__Interes,_AmortizacionesTablaCliente)</f>
        <v>7.8216544352471822E-14</v>
      </c>
      <c r="F135" s="424">
        <f ca="1">INDEX(T_Merger!__IVA,_AmortizacionesTablaCliente)</f>
        <v>9.3859853222966188E-15</v>
      </c>
      <c r="G135" s="424">
        <f ca="1">INDEX(T_Merger!__Pago,_AmortizacionesTablaCliente)</f>
        <v>8.7602529674768438E-14</v>
      </c>
      <c r="H135" s="556">
        <v>0</v>
      </c>
      <c r="I135" s="425">
        <f ca="1">INDEX(T_Merger!__Saldo_Final,_AmortizacionesTablaCliente)</f>
        <v>7.2759576141834259E-12</v>
      </c>
    </row>
    <row r="136" spans="1:9" hidden="1" x14ac:dyDescent="0.3">
      <c r="A136" s="422">
        <v>117</v>
      </c>
      <c r="B136" s="423">
        <f t="shared" si="1"/>
        <v>45946</v>
      </c>
      <c r="C136" s="424">
        <f ca="1">INDEX(T_Merger!__Saldo_Inicial,_AmortizacionesTablaCliente)</f>
        <v>7.2759576141834259E-12</v>
      </c>
      <c r="D136" s="424">
        <f ca="1">INDEX(T_Merger!__Capital,_AmortizacionesTablaCliente)</f>
        <v>0</v>
      </c>
      <c r="E136" s="584">
        <f ca="1">INDEX(T_Merger!__Interes,_AmortizacionesTablaCliente)</f>
        <v>7.8216544352471822E-14</v>
      </c>
      <c r="F136" s="424">
        <f ca="1">INDEX(T_Merger!__IVA,_AmortizacionesTablaCliente)</f>
        <v>9.3859853222966188E-15</v>
      </c>
      <c r="G136" s="424">
        <f ca="1">INDEX(T_Merger!__Pago,_AmortizacionesTablaCliente)</f>
        <v>8.7602529674768438E-14</v>
      </c>
      <c r="H136" s="556">
        <v>0</v>
      </c>
      <c r="I136" s="425">
        <f ca="1">INDEX(T_Merger!__Saldo_Final,_AmortizacionesTablaCliente)</f>
        <v>7.2759576141834259E-12</v>
      </c>
    </row>
    <row r="137" spans="1:9" hidden="1" x14ac:dyDescent="0.3">
      <c r="A137" s="422">
        <v>118</v>
      </c>
      <c r="B137" s="423">
        <f t="shared" si="1"/>
        <v>45977</v>
      </c>
      <c r="C137" s="424">
        <f ca="1">INDEX(T_Merger!__Saldo_Inicial,_AmortizacionesTablaCliente)</f>
        <v>7.2759576141834259E-12</v>
      </c>
      <c r="D137" s="424">
        <f ca="1">INDEX(T_Merger!__Capital,_AmortizacionesTablaCliente)</f>
        <v>0</v>
      </c>
      <c r="E137" s="584">
        <f ca="1">INDEX(T_Merger!__Interes,_AmortizacionesTablaCliente)</f>
        <v>7.8216544352471822E-14</v>
      </c>
      <c r="F137" s="424">
        <f ca="1">INDEX(T_Merger!__IVA,_AmortizacionesTablaCliente)</f>
        <v>9.3859853222966188E-15</v>
      </c>
      <c r="G137" s="424">
        <f ca="1">INDEX(T_Merger!__Pago,_AmortizacionesTablaCliente)</f>
        <v>8.7602529674768438E-14</v>
      </c>
      <c r="H137" s="556">
        <v>0</v>
      </c>
      <c r="I137" s="425">
        <f ca="1">INDEX(T_Merger!__Saldo_Final,_AmortizacionesTablaCliente)</f>
        <v>7.2759576141834259E-12</v>
      </c>
    </row>
    <row r="138" spans="1:9" hidden="1" x14ac:dyDescent="0.3">
      <c r="A138" s="422">
        <v>119</v>
      </c>
      <c r="B138" s="423">
        <f t="shared" si="1"/>
        <v>46007</v>
      </c>
      <c r="C138" s="424">
        <f ca="1">INDEX(T_Merger!__Saldo_Inicial,_AmortizacionesTablaCliente)</f>
        <v>7.2759576141834259E-12</v>
      </c>
      <c r="D138" s="424">
        <f ca="1">INDEX(T_Merger!__Capital,_AmortizacionesTablaCliente)</f>
        <v>0</v>
      </c>
      <c r="E138" s="584">
        <f ca="1">INDEX(T_Merger!__Interes,_AmortizacionesTablaCliente)</f>
        <v>7.8216544352471822E-14</v>
      </c>
      <c r="F138" s="424">
        <f ca="1">INDEX(T_Merger!__IVA,_AmortizacionesTablaCliente)</f>
        <v>9.3859853222966188E-15</v>
      </c>
      <c r="G138" s="424">
        <f ca="1">INDEX(T_Merger!__Pago,_AmortizacionesTablaCliente)</f>
        <v>8.7602529674768438E-14</v>
      </c>
      <c r="H138" s="556">
        <v>0</v>
      </c>
      <c r="I138" s="425">
        <f ca="1">INDEX(T_Merger!__Saldo_Final,_AmortizacionesTablaCliente)</f>
        <v>7.2759576141834259E-12</v>
      </c>
    </row>
    <row r="139" spans="1:9" hidden="1" x14ac:dyDescent="0.3">
      <c r="A139" s="422">
        <v>120</v>
      </c>
      <c r="B139" s="423">
        <f t="shared" si="1"/>
        <v>46038</v>
      </c>
      <c r="C139" s="424">
        <f ca="1">INDEX(T_Merger!__Saldo_Inicial,_AmortizacionesTablaCliente)</f>
        <v>7.2759576141834259E-12</v>
      </c>
      <c r="D139" s="424">
        <f ca="1">INDEX(T_Merger!__Capital,_AmortizacionesTablaCliente)</f>
        <v>0</v>
      </c>
      <c r="E139" s="584">
        <f ca="1">INDEX(T_Merger!__Interes,_AmortizacionesTablaCliente)</f>
        <v>7.8216544352471822E-14</v>
      </c>
      <c r="F139" s="424">
        <f ca="1">INDEX(T_Merger!__IVA,_AmortizacionesTablaCliente)</f>
        <v>9.3859853222966188E-15</v>
      </c>
      <c r="G139" s="424">
        <f ca="1">INDEX(T_Merger!__Pago,_AmortizacionesTablaCliente)</f>
        <v>8.7602529674768438E-14</v>
      </c>
      <c r="H139" s="556">
        <v>0</v>
      </c>
      <c r="I139" s="425">
        <f ca="1">INDEX(T_Merger!__Saldo_Final,_AmortizacionesTablaCliente)</f>
        <v>7.2759576141834259E-12</v>
      </c>
    </row>
    <row r="140" spans="1:9" hidden="1" x14ac:dyDescent="0.3">
      <c r="A140" s="422">
        <v>121</v>
      </c>
      <c r="B140" s="423">
        <f t="shared" si="1"/>
        <v>46069</v>
      </c>
      <c r="C140" s="424">
        <f ca="1">INDEX(T_Merger!__Saldo_Inicial,_AmortizacionesTablaCliente)</f>
        <v>7.2759576141834259E-12</v>
      </c>
      <c r="D140" s="424">
        <f ca="1">INDEX(T_Merger!__Capital,_AmortizacionesTablaCliente)</f>
        <v>0</v>
      </c>
      <c r="E140" s="584">
        <f ca="1">INDEX(T_Merger!__Interes,_AmortizacionesTablaCliente)</f>
        <v>7.8216544352471822E-14</v>
      </c>
      <c r="F140" s="424">
        <f ca="1">INDEX(T_Merger!__IVA,_AmortizacionesTablaCliente)</f>
        <v>9.3859853222966188E-15</v>
      </c>
      <c r="G140" s="424">
        <f ca="1">INDEX(T_Merger!__Pago,_AmortizacionesTablaCliente)</f>
        <v>8.7602529674768438E-14</v>
      </c>
      <c r="H140" s="556">
        <v>0</v>
      </c>
      <c r="I140" s="425">
        <f ca="1">INDEX(T_Merger!__Saldo_Final,_AmortizacionesTablaCliente)</f>
        <v>7.2759576141834259E-12</v>
      </c>
    </row>
    <row r="141" spans="1:9" hidden="1" x14ac:dyDescent="0.3">
      <c r="A141" s="422">
        <v>122</v>
      </c>
      <c r="B141" s="423">
        <f t="shared" si="1"/>
        <v>46097</v>
      </c>
      <c r="C141" s="424">
        <f ca="1">INDEX(T_Merger!__Saldo_Inicial,_AmortizacionesTablaCliente)</f>
        <v>7.2759576141834259E-12</v>
      </c>
      <c r="D141" s="424">
        <f ca="1">INDEX(T_Merger!__Capital,_AmortizacionesTablaCliente)</f>
        <v>0</v>
      </c>
      <c r="E141" s="584">
        <f ca="1">INDEX(T_Merger!__Interes,_AmortizacionesTablaCliente)</f>
        <v>7.8216544352471822E-14</v>
      </c>
      <c r="F141" s="424">
        <f ca="1">INDEX(T_Merger!__IVA,_AmortizacionesTablaCliente)</f>
        <v>9.3859853222966188E-15</v>
      </c>
      <c r="G141" s="424">
        <f ca="1">INDEX(T_Merger!__Pago,_AmortizacionesTablaCliente)</f>
        <v>8.7602529674768438E-14</v>
      </c>
      <c r="H141" s="556">
        <v>0</v>
      </c>
      <c r="I141" s="425">
        <f ca="1">INDEX(T_Merger!__Saldo_Final,_AmortizacionesTablaCliente)</f>
        <v>7.2759576141834259E-12</v>
      </c>
    </row>
    <row r="142" spans="1:9" hidden="1" x14ac:dyDescent="0.3">
      <c r="A142" s="422">
        <v>123</v>
      </c>
      <c r="B142" s="423">
        <f t="shared" si="1"/>
        <v>46128</v>
      </c>
      <c r="C142" s="424">
        <f ca="1">INDEX(T_Merger!__Saldo_Inicial,_AmortizacionesTablaCliente)</f>
        <v>7.2759576141834259E-12</v>
      </c>
      <c r="D142" s="424">
        <f ca="1">INDEX(T_Merger!__Capital,_AmortizacionesTablaCliente)</f>
        <v>0</v>
      </c>
      <c r="E142" s="584">
        <f ca="1">INDEX(T_Merger!__Interes,_AmortizacionesTablaCliente)</f>
        <v>7.8216544352471822E-14</v>
      </c>
      <c r="F142" s="424">
        <f ca="1">INDEX(T_Merger!__IVA,_AmortizacionesTablaCliente)</f>
        <v>9.3859853222966188E-15</v>
      </c>
      <c r="G142" s="424">
        <f ca="1">INDEX(T_Merger!__Pago,_AmortizacionesTablaCliente)</f>
        <v>8.7602529674768438E-14</v>
      </c>
      <c r="H142" s="556">
        <v>0</v>
      </c>
      <c r="I142" s="425">
        <f ca="1">INDEX(T_Merger!__Saldo_Final,_AmortizacionesTablaCliente)</f>
        <v>7.2759576141834259E-12</v>
      </c>
    </row>
    <row r="143" spans="1:9" hidden="1" x14ac:dyDescent="0.3">
      <c r="A143" s="422">
        <v>124</v>
      </c>
      <c r="B143" s="423">
        <f t="shared" si="1"/>
        <v>46158</v>
      </c>
      <c r="C143" s="424">
        <f ca="1">INDEX(T_Merger!__Saldo_Inicial,_AmortizacionesTablaCliente)</f>
        <v>7.2759576141834259E-12</v>
      </c>
      <c r="D143" s="424">
        <f ca="1">INDEX(T_Merger!__Capital,_AmortizacionesTablaCliente)</f>
        <v>0</v>
      </c>
      <c r="E143" s="584">
        <f ca="1">INDEX(T_Merger!__Interes,_AmortizacionesTablaCliente)</f>
        <v>7.8216544352471822E-14</v>
      </c>
      <c r="F143" s="424">
        <f ca="1">INDEX(T_Merger!__IVA,_AmortizacionesTablaCliente)</f>
        <v>9.3859853222966188E-15</v>
      </c>
      <c r="G143" s="424">
        <f ca="1">INDEX(T_Merger!__Pago,_AmortizacionesTablaCliente)</f>
        <v>8.7602529674768438E-14</v>
      </c>
      <c r="H143" s="556">
        <v>0</v>
      </c>
      <c r="I143" s="425">
        <f ca="1">INDEX(T_Merger!__Saldo_Final,_AmortizacionesTablaCliente)</f>
        <v>7.2759576141834259E-12</v>
      </c>
    </row>
    <row r="144" spans="1:9" hidden="1" x14ac:dyDescent="0.3">
      <c r="A144" s="422">
        <v>125</v>
      </c>
      <c r="B144" s="423">
        <f t="shared" si="1"/>
        <v>46189</v>
      </c>
      <c r="C144" s="424">
        <f ca="1">INDEX(T_Merger!__Saldo_Inicial,_AmortizacionesTablaCliente)</f>
        <v>7.2759576141834259E-12</v>
      </c>
      <c r="D144" s="424">
        <f ca="1">INDEX(T_Merger!__Capital,_AmortizacionesTablaCliente)</f>
        <v>0</v>
      </c>
      <c r="E144" s="584">
        <f ca="1">INDEX(T_Merger!__Interes,_AmortizacionesTablaCliente)</f>
        <v>7.8216544352471822E-14</v>
      </c>
      <c r="F144" s="424">
        <f ca="1">INDEX(T_Merger!__IVA,_AmortizacionesTablaCliente)</f>
        <v>9.3859853222966188E-15</v>
      </c>
      <c r="G144" s="424">
        <f ca="1">INDEX(T_Merger!__Pago,_AmortizacionesTablaCliente)</f>
        <v>8.7602529674768438E-14</v>
      </c>
      <c r="H144" s="556">
        <v>0</v>
      </c>
      <c r="I144" s="425">
        <f ca="1">INDEX(T_Merger!__Saldo_Final,_AmortizacionesTablaCliente)</f>
        <v>7.2759576141834259E-12</v>
      </c>
    </row>
    <row r="145" spans="1:9" hidden="1" x14ac:dyDescent="0.3">
      <c r="A145" s="422">
        <v>126</v>
      </c>
      <c r="B145" s="423">
        <f t="shared" si="1"/>
        <v>46219</v>
      </c>
      <c r="C145" s="424">
        <f ca="1">INDEX(T_Merger!__Saldo_Inicial,_AmortizacionesTablaCliente)</f>
        <v>7.2759576141834259E-12</v>
      </c>
      <c r="D145" s="424">
        <f ca="1">INDEX(T_Merger!__Capital,_AmortizacionesTablaCliente)</f>
        <v>0</v>
      </c>
      <c r="E145" s="584">
        <f ca="1">INDEX(T_Merger!__Interes,_AmortizacionesTablaCliente)</f>
        <v>7.8216544352471822E-14</v>
      </c>
      <c r="F145" s="424">
        <f ca="1">INDEX(T_Merger!__IVA,_AmortizacionesTablaCliente)</f>
        <v>9.3859853222966188E-15</v>
      </c>
      <c r="G145" s="424">
        <f ca="1">INDEX(T_Merger!__Pago,_AmortizacionesTablaCliente)</f>
        <v>8.7602529674768438E-14</v>
      </c>
      <c r="H145" s="556">
        <v>0</v>
      </c>
      <c r="I145" s="425">
        <f ca="1">INDEX(T_Merger!__Saldo_Final,_AmortizacionesTablaCliente)</f>
        <v>7.2759576141834259E-12</v>
      </c>
    </row>
    <row r="146" spans="1:9" hidden="1" x14ac:dyDescent="0.3">
      <c r="A146" s="422">
        <v>127</v>
      </c>
      <c r="B146" s="423">
        <f t="shared" si="1"/>
        <v>46250</v>
      </c>
      <c r="C146" s="424">
        <f ca="1">INDEX(T_Merger!__Saldo_Inicial,_AmortizacionesTablaCliente)</f>
        <v>7.2759576141834259E-12</v>
      </c>
      <c r="D146" s="424">
        <f ca="1">INDEX(T_Merger!__Capital,_AmortizacionesTablaCliente)</f>
        <v>0</v>
      </c>
      <c r="E146" s="584">
        <f ca="1">INDEX(T_Merger!__Interes,_AmortizacionesTablaCliente)</f>
        <v>7.8216544352471822E-14</v>
      </c>
      <c r="F146" s="424">
        <f ca="1">INDEX(T_Merger!__IVA,_AmortizacionesTablaCliente)</f>
        <v>9.3859853222966188E-15</v>
      </c>
      <c r="G146" s="424">
        <f ca="1">INDEX(T_Merger!__Pago,_AmortizacionesTablaCliente)</f>
        <v>8.7602529674768438E-14</v>
      </c>
      <c r="H146" s="556">
        <v>0</v>
      </c>
      <c r="I146" s="425">
        <f ca="1">INDEX(T_Merger!__Saldo_Final,_AmortizacionesTablaCliente)</f>
        <v>7.2759576141834259E-12</v>
      </c>
    </row>
    <row r="147" spans="1:9" hidden="1" x14ac:dyDescent="0.3">
      <c r="A147" s="422">
        <v>128</v>
      </c>
      <c r="B147" s="423">
        <f t="shared" si="1"/>
        <v>46281</v>
      </c>
      <c r="C147" s="424">
        <f ca="1">INDEX(T_Merger!__Saldo_Inicial,_AmortizacionesTablaCliente)</f>
        <v>7.2759576141834259E-12</v>
      </c>
      <c r="D147" s="424">
        <f ca="1">INDEX(T_Merger!__Capital,_AmortizacionesTablaCliente)</f>
        <v>0</v>
      </c>
      <c r="E147" s="584">
        <f ca="1">INDEX(T_Merger!__Interes,_AmortizacionesTablaCliente)</f>
        <v>7.8216544352471822E-14</v>
      </c>
      <c r="F147" s="424">
        <f ca="1">INDEX(T_Merger!__IVA,_AmortizacionesTablaCliente)</f>
        <v>9.3859853222966188E-15</v>
      </c>
      <c r="G147" s="424">
        <f ca="1">INDEX(T_Merger!__Pago,_AmortizacionesTablaCliente)</f>
        <v>8.7602529674768438E-14</v>
      </c>
      <c r="H147" s="556">
        <v>0</v>
      </c>
      <c r="I147" s="425">
        <f ca="1">INDEX(T_Merger!__Saldo_Final,_AmortizacionesTablaCliente)</f>
        <v>7.2759576141834259E-12</v>
      </c>
    </row>
    <row r="148" spans="1:9" hidden="1" x14ac:dyDescent="0.3">
      <c r="A148" s="422">
        <v>129</v>
      </c>
      <c r="B148" s="423">
        <f t="shared" ref="B148:B211" si="2">INDEX(Fechas_Pago,_AmortizacionesTablaCliente)</f>
        <v>46311</v>
      </c>
      <c r="C148" s="424">
        <f ca="1">INDEX(T_Merger!__Saldo_Inicial,_AmortizacionesTablaCliente)</f>
        <v>7.2759576141834259E-12</v>
      </c>
      <c r="D148" s="424">
        <f ca="1">INDEX(T_Merger!__Capital,_AmortizacionesTablaCliente)</f>
        <v>0</v>
      </c>
      <c r="E148" s="584">
        <f ca="1">INDEX(T_Merger!__Interes,_AmortizacionesTablaCliente)</f>
        <v>7.8216544352471822E-14</v>
      </c>
      <c r="F148" s="424">
        <f ca="1">INDEX(T_Merger!__IVA,_AmortizacionesTablaCliente)</f>
        <v>9.3859853222966188E-15</v>
      </c>
      <c r="G148" s="424">
        <f ca="1">INDEX(T_Merger!__Pago,_AmortizacionesTablaCliente)</f>
        <v>8.7602529674768438E-14</v>
      </c>
      <c r="H148" s="556">
        <v>0</v>
      </c>
      <c r="I148" s="425">
        <f ca="1">INDEX(T_Merger!__Saldo_Final,_AmortizacionesTablaCliente)</f>
        <v>7.2759576141834259E-12</v>
      </c>
    </row>
    <row r="149" spans="1:9" hidden="1" x14ac:dyDescent="0.3">
      <c r="A149" s="422">
        <v>130</v>
      </c>
      <c r="B149" s="423">
        <f t="shared" si="2"/>
        <v>46342</v>
      </c>
      <c r="C149" s="424">
        <f ca="1">INDEX(T_Merger!__Saldo_Inicial,_AmortizacionesTablaCliente)</f>
        <v>7.2759576141834259E-12</v>
      </c>
      <c r="D149" s="424">
        <f ca="1">INDEX(T_Merger!__Capital,_AmortizacionesTablaCliente)</f>
        <v>0</v>
      </c>
      <c r="E149" s="584">
        <f ca="1">INDEX(T_Merger!__Interes,_AmortizacionesTablaCliente)</f>
        <v>7.8216544352471822E-14</v>
      </c>
      <c r="F149" s="424">
        <f ca="1">INDEX(T_Merger!__IVA,_AmortizacionesTablaCliente)</f>
        <v>9.3859853222966188E-15</v>
      </c>
      <c r="G149" s="424">
        <f ca="1">INDEX(T_Merger!__Pago,_AmortizacionesTablaCliente)</f>
        <v>8.7602529674768438E-14</v>
      </c>
      <c r="H149" s="556">
        <v>0</v>
      </c>
      <c r="I149" s="425">
        <f ca="1">INDEX(T_Merger!__Saldo_Final,_AmortizacionesTablaCliente)</f>
        <v>7.2759576141834259E-12</v>
      </c>
    </row>
    <row r="150" spans="1:9" hidden="1" x14ac:dyDescent="0.3">
      <c r="A150" s="422">
        <v>131</v>
      </c>
      <c r="B150" s="423">
        <f t="shared" si="2"/>
        <v>46372</v>
      </c>
      <c r="C150" s="424">
        <f ca="1">INDEX(T_Merger!__Saldo_Inicial,_AmortizacionesTablaCliente)</f>
        <v>7.2759576141834259E-12</v>
      </c>
      <c r="D150" s="424">
        <f ca="1">INDEX(T_Merger!__Capital,_AmortizacionesTablaCliente)</f>
        <v>0</v>
      </c>
      <c r="E150" s="584">
        <f ca="1">INDEX(T_Merger!__Interes,_AmortizacionesTablaCliente)</f>
        <v>7.8216544352471822E-14</v>
      </c>
      <c r="F150" s="424">
        <f ca="1">INDEX(T_Merger!__IVA,_AmortizacionesTablaCliente)</f>
        <v>9.3859853222966188E-15</v>
      </c>
      <c r="G150" s="424">
        <f ca="1">INDEX(T_Merger!__Pago,_AmortizacionesTablaCliente)</f>
        <v>8.7602529674768438E-14</v>
      </c>
      <c r="H150" s="556">
        <v>0</v>
      </c>
      <c r="I150" s="425">
        <f ca="1">INDEX(T_Merger!__Saldo_Final,_AmortizacionesTablaCliente)</f>
        <v>7.2759576141834259E-12</v>
      </c>
    </row>
    <row r="151" spans="1:9" hidden="1" x14ac:dyDescent="0.3">
      <c r="A151" s="422">
        <v>132</v>
      </c>
      <c r="B151" s="423">
        <f t="shared" si="2"/>
        <v>46403</v>
      </c>
      <c r="C151" s="424">
        <f ca="1">INDEX(T_Merger!__Saldo_Inicial,_AmortizacionesTablaCliente)</f>
        <v>7.2759576141834259E-12</v>
      </c>
      <c r="D151" s="424">
        <f ca="1">INDEX(T_Merger!__Capital,_AmortizacionesTablaCliente)</f>
        <v>0</v>
      </c>
      <c r="E151" s="584">
        <f ca="1">INDEX(T_Merger!__Interes,_AmortizacionesTablaCliente)</f>
        <v>7.8216544352471822E-14</v>
      </c>
      <c r="F151" s="424">
        <f ca="1">INDEX(T_Merger!__IVA,_AmortizacionesTablaCliente)</f>
        <v>9.3859853222966188E-15</v>
      </c>
      <c r="G151" s="424">
        <f ca="1">INDEX(T_Merger!__Pago,_AmortizacionesTablaCliente)</f>
        <v>8.7602529674768438E-14</v>
      </c>
      <c r="H151" s="556">
        <v>0</v>
      </c>
      <c r="I151" s="425">
        <f ca="1">INDEX(T_Merger!__Saldo_Final,_AmortizacionesTablaCliente)</f>
        <v>7.2759576141834259E-12</v>
      </c>
    </row>
    <row r="152" spans="1:9" hidden="1" x14ac:dyDescent="0.3">
      <c r="A152" s="422">
        <v>133</v>
      </c>
      <c r="B152" s="423">
        <f t="shared" si="2"/>
        <v>46434</v>
      </c>
      <c r="C152" s="424">
        <f ca="1">INDEX(T_Merger!__Saldo_Inicial,_AmortizacionesTablaCliente)</f>
        <v>7.2759576141834259E-12</v>
      </c>
      <c r="D152" s="424">
        <f ca="1">INDEX(T_Merger!__Capital,_AmortizacionesTablaCliente)</f>
        <v>0</v>
      </c>
      <c r="E152" s="584">
        <f ca="1">INDEX(T_Merger!__Interes,_AmortizacionesTablaCliente)</f>
        <v>7.8216544352471822E-14</v>
      </c>
      <c r="F152" s="424">
        <f ca="1">INDEX(T_Merger!__IVA,_AmortizacionesTablaCliente)</f>
        <v>9.3859853222966188E-15</v>
      </c>
      <c r="G152" s="424">
        <f ca="1">INDEX(T_Merger!__Pago,_AmortizacionesTablaCliente)</f>
        <v>8.7602529674768438E-14</v>
      </c>
      <c r="H152" s="556">
        <v>0</v>
      </c>
      <c r="I152" s="425">
        <f ca="1">INDEX(T_Merger!__Saldo_Final,_AmortizacionesTablaCliente)</f>
        <v>7.2759576141834259E-12</v>
      </c>
    </row>
    <row r="153" spans="1:9" hidden="1" x14ac:dyDescent="0.3">
      <c r="A153" s="422">
        <v>134</v>
      </c>
      <c r="B153" s="423">
        <f t="shared" si="2"/>
        <v>46462</v>
      </c>
      <c r="C153" s="424">
        <f ca="1">INDEX(T_Merger!__Saldo_Inicial,_AmortizacionesTablaCliente)</f>
        <v>7.2759576141834259E-12</v>
      </c>
      <c r="D153" s="424">
        <f ca="1">INDEX(T_Merger!__Capital,_AmortizacionesTablaCliente)</f>
        <v>0</v>
      </c>
      <c r="E153" s="584">
        <f ca="1">INDEX(T_Merger!__Interes,_AmortizacionesTablaCliente)</f>
        <v>7.8216544352471822E-14</v>
      </c>
      <c r="F153" s="424">
        <f ca="1">INDEX(T_Merger!__IVA,_AmortizacionesTablaCliente)</f>
        <v>9.3859853222966188E-15</v>
      </c>
      <c r="G153" s="424">
        <f ca="1">INDEX(T_Merger!__Pago,_AmortizacionesTablaCliente)</f>
        <v>8.7602529674768438E-14</v>
      </c>
      <c r="H153" s="556">
        <v>0</v>
      </c>
      <c r="I153" s="425">
        <f ca="1">INDEX(T_Merger!__Saldo_Final,_AmortizacionesTablaCliente)</f>
        <v>7.2759576141834259E-12</v>
      </c>
    </row>
    <row r="154" spans="1:9" hidden="1" x14ac:dyDescent="0.3">
      <c r="A154" s="422">
        <v>135</v>
      </c>
      <c r="B154" s="423">
        <f t="shared" si="2"/>
        <v>46493</v>
      </c>
      <c r="C154" s="424">
        <f ca="1">INDEX(T_Merger!__Saldo_Inicial,_AmortizacionesTablaCliente)</f>
        <v>7.2759576141834259E-12</v>
      </c>
      <c r="D154" s="424">
        <f ca="1">INDEX(T_Merger!__Capital,_AmortizacionesTablaCliente)</f>
        <v>0</v>
      </c>
      <c r="E154" s="584">
        <f ca="1">INDEX(T_Merger!__Interes,_AmortizacionesTablaCliente)</f>
        <v>7.8216544352471822E-14</v>
      </c>
      <c r="F154" s="424">
        <f ca="1">INDEX(T_Merger!__IVA,_AmortizacionesTablaCliente)</f>
        <v>9.3859853222966188E-15</v>
      </c>
      <c r="G154" s="424">
        <f ca="1">INDEX(T_Merger!__Pago,_AmortizacionesTablaCliente)</f>
        <v>8.7602529674768438E-14</v>
      </c>
      <c r="H154" s="556">
        <v>0</v>
      </c>
      <c r="I154" s="425">
        <f ca="1">INDEX(T_Merger!__Saldo_Final,_AmortizacionesTablaCliente)</f>
        <v>7.2759576141834259E-12</v>
      </c>
    </row>
    <row r="155" spans="1:9" hidden="1" x14ac:dyDescent="0.3">
      <c r="A155" s="422">
        <v>136</v>
      </c>
      <c r="B155" s="423">
        <f t="shared" si="2"/>
        <v>46523</v>
      </c>
      <c r="C155" s="424">
        <f ca="1">INDEX(T_Merger!__Saldo_Inicial,_AmortizacionesTablaCliente)</f>
        <v>7.2759576141834259E-12</v>
      </c>
      <c r="D155" s="424">
        <f ca="1">INDEX(T_Merger!__Capital,_AmortizacionesTablaCliente)</f>
        <v>0</v>
      </c>
      <c r="E155" s="584">
        <f ca="1">INDEX(T_Merger!__Interes,_AmortizacionesTablaCliente)</f>
        <v>7.8216544352471822E-14</v>
      </c>
      <c r="F155" s="424">
        <f ca="1">INDEX(T_Merger!__IVA,_AmortizacionesTablaCliente)</f>
        <v>9.3859853222966188E-15</v>
      </c>
      <c r="G155" s="424">
        <f ca="1">INDEX(T_Merger!__Pago,_AmortizacionesTablaCliente)</f>
        <v>8.7602529674768438E-14</v>
      </c>
      <c r="H155" s="556">
        <v>0</v>
      </c>
      <c r="I155" s="425">
        <f ca="1">INDEX(T_Merger!__Saldo_Final,_AmortizacionesTablaCliente)</f>
        <v>7.2759576141834259E-12</v>
      </c>
    </row>
    <row r="156" spans="1:9" hidden="1" x14ac:dyDescent="0.3">
      <c r="A156" s="422">
        <v>137</v>
      </c>
      <c r="B156" s="423">
        <f t="shared" si="2"/>
        <v>46554</v>
      </c>
      <c r="C156" s="424">
        <f ca="1">INDEX(T_Merger!__Saldo_Inicial,_AmortizacionesTablaCliente)</f>
        <v>7.2759576141834259E-12</v>
      </c>
      <c r="D156" s="424">
        <f ca="1">INDEX(T_Merger!__Capital,_AmortizacionesTablaCliente)</f>
        <v>0</v>
      </c>
      <c r="E156" s="584">
        <f ca="1">INDEX(T_Merger!__Interes,_AmortizacionesTablaCliente)</f>
        <v>7.8216544352471822E-14</v>
      </c>
      <c r="F156" s="424">
        <f ca="1">INDEX(T_Merger!__IVA,_AmortizacionesTablaCliente)</f>
        <v>9.3859853222966188E-15</v>
      </c>
      <c r="G156" s="424">
        <f ca="1">INDEX(T_Merger!__Pago,_AmortizacionesTablaCliente)</f>
        <v>8.7602529674768438E-14</v>
      </c>
      <c r="H156" s="556">
        <v>0</v>
      </c>
      <c r="I156" s="425">
        <f ca="1">INDEX(T_Merger!__Saldo_Final,_AmortizacionesTablaCliente)</f>
        <v>7.2759576141834259E-12</v>
      </c>
    </row>
    <row r="157" spans="1:9" hidden="1" x14ac:dyDescent="0.3">
      <c r="A157" s="422">
        <v>138</v>
      </c>
      <c r="B157" s="423">
        <f t="shared" si="2"/>
        <v>46584</v>
      </c>
      <c r="C157" s="424">
        <f ca="1">INDEX(T_Merger!__Saldo_Inicial,_AmortizacionesTablaCliente)</f>
        <v>7.2759576141834259E-12</v>
      </c>
      <c r="D157" s="424">
        <f ca="1">INDEX(T_Merger!__Capital,_AmortizacionesTablaCliente)</f>
        <v>0</v>
      </c>
      <c r="E157" s="584">
        <f ca="1">INDEX(T_Merger!__Interes,_AmortizacionesTablaCliente)</f>
        <v>7.8216544352471822E-14</v>
      </c>
      <c r="F157" s="424">
        <f ca="1">INDEX(T_Merger!__IVA,_AmortizacionesTablaCliente)</f>
        <v>9.3859853222966188E-15</v>
      </c>
      <c r="G157" s="424">
        <f ca="1">INDEX(T_Merger!__Pago,_AmortizacionesTablaCliente)</f>
        <v>8.7602529674768438E-14</v>
      </c>
      <c r="H157" s="556">
        <v>0</v>
      </c>
      <c r="I157" s="425">
        <f ca="1">INDEX(T_Merger!__Saldo_Final,_AmortizacionesTablaCliente)</f>
        <v>7.2759576141834259E-12</v>
      </c>
    </row>
    <row r="158" spans="1:9" hidden="1" x14ac:dyDescent="0.3">
      <c r="A158" s="422">
        <v>139</v>
      </c>
      <c r="B158" s="423">
        <f t="shared" si="2"/>
        <v>46615</v>
      </c>
      <c r="C158" s="424">
        <f ca="1">INDEX(T_Merger!__Saldo_Inicial,_AmortizacionesTablaCliente)</f>
        <v>7.2759576141834259E-12</v>
      </c>
      <c r="D158" s="424">
        <f ca="1">INDEX(T_Merger!__Capital,_AmortizacionesTablaCliente)</f>
        <v>0</v>
      </c>
      <c r="E158" s="584">
        <f ca="1">INDEX(T_Merger!__Interes,_AmortizacionesTablaCliente)</f>
        <v>7.8216544352471822E-14</v>
      </c>
      <c r="F158" s="424">
        <f ca="1">INDEX(T_Merger!__IVA,_AmortizacionesTablaCliente)</f>
        <v>9.3859853222966188E-15</v>
      </c>
      <c r="G158" s="424">
        <f ca="1">INDEX(T_Merger!__Pago,_AmortizacionesTablaCliente)</f>
        <v>8.7602529674768438E-14</v>
      </c>
      <c r="H158" s="556">
        <v>0</v>
      </c>
      <c r="I158" s="425">
        <f ca="1">INDEX(T_Merger!__Saldo_Final,_AmortizacionesTablaCliente)</f>
        <v>7.2759576141834259E-12</v>
      </c>
    </row>
    <row r="159" spans="1:9" hidden="1" x14ac:dyDescent="0.3">
      <c r="A159" s="422">
        <v>140</v>
      </c>
      <c r="B159" s="423">
        <f t="shared" si="2"/>
        <v>46646</v>
      </c>
      <c r="C159" s="424">
        <f ca="1">INDEX(T_Merger!__Saldo_Inicial,_AmortizacionesTablaCliente)</f>
        <v>7.2759576141834259E-12</v>
      </c>
      <c r="D159" s="424">
        <f ca="1">INDEX(T_Merger!__Capital,_AmortizacionesTablaCliente)</f>
        <v>0</v>
      </c>
      <c r="E159" s="584">
        <f ca="1">INDEX(T_Merger!__Interes,_AmortizacionesTablaCliente)</f>
        <v>7.8216544352471822E-14</v>
      </c>
      <c r="F159" s="424">
        <f ca="1">INDEX(T_Merger!__IVA,_AmortizacionesTablaCliente)</f>
        <v>9.3859853222966188E-15</v>
      </c>
      <c r="G159" s="424">
        <f ca="1">INDEX(T_Merger!__Pago,_AmortizacionesTablaCliente)</f>
        <v>8.7602529674768438E-14</v>
      </c>
      <c r="H159" s="556">
        <v>0</v>
      </c>
      <c r="I159" s="425">
        <f ca="1">INDEX(T_Merger!__Saldo_Final,_AmortizacionesTablaCliente)</f>
        <v>7.2759576141834259E-12</v>
      </c>
    </row>
    <row r="160" spans="1:9" hidden="1" x14ac:dyDescent="0.3">
      <c r="A160" s="422">
        <v>141</v>
      </c>
      <c r="B160" s="423">
        <f t="shared" si="2"/>
        <v>46676</v>
      </c>
      <c r="C160" s="424">
        <f ca="1">INDEX(T_Merger!__Saldo_Inicial,_AmortizacionesTablaCliente)</f>
        <v>7.2759576141834259E-12</v>
      </c>
      <c r="D160" s="424">
        <f ca="1">INDEX(T_Merger!__Capital,_AmortizacionesTablaCliente)</f>
        <v>0</v>
      </c>
      <c r="E160" s="584">
        <f ca="1">INDEX(T_Merger!__Interes,_AmortizacionesTablaCliente)</f>
        <v>7.8216544352471822E-14</v>
      </c>
      <c r="F160" s="424">
        <f ca="1">INDEX(T_Merger!__IVA,_AmortizacionesTablaCliente)</f>
        <v>9.3859853222966188E-15</v>
      </c>
      <c r="G160" s="424">
        <f ca="1">INDEX(T_Merger!__Pago,_AmortizacionesTablaCliente)</f>
        <v>8.7602529674768438E-14</v>
      </c>
      <c r="H160" s="556">
        <v>0</v>
      </c>
      <c r="I160" s="425">
        <f ca="1">INDEX(T_Merger!__Saldo_Final,_AmortizacionesTablaCliente)</f>
        <v>7.2759576141834259E-12</v>
      </c>
    </row>
    <row r="161" spans="1:9" hidden="1" x14ac:dyDescent="0.3">
      <c r="A161" s="422">
        <v>142</v>
      </c>
      <c r="B161" s="423">
        <f t="shared" si="2"/>
        <v>46707</v>
      </c>
      <c r="C161" s="424">
        <f ca="1">INDEX(T_Merger!__Saldo_Inicial,_AmortizacionesTablaCliente)</f>
        <v>7.2759576141834259E-12</v>
      </c>
      <c r="D161" s="424">
        <f ca="1">INDEX(T_Merger!__Capital,_AmortizacionesTablaCliente)</f>
        <v>0</v>
      </c>
      <c r="E161" s="584">
        <f ca="1">INDEX(T_Merger!__Interes,_AmortizacionesTablaCliente)</f>
        <v>7.8216544352471822E-14</v>
      </c>
      <c r="F161" s="424">
        <f ca="1">INDEX(T_Merger!__IVA,_AmortizacionesTablaCliente)</f>
        <v>9.3859853222966188E-15</v>
      </c>
      <c r="G161" s="424">
        <f ca="1">INDEX(T_Merger!__Pago,_AmortizacionesTablaCliente)</f>
        <v>8.7602529674768438E-14</v>
      </c>
      <c r="H161" s="556">
        <v>0</v>
      </c>
      <c r="I161" s="425">
        <f ca="1">INDEX(T_Merger!__Saldo_Final,_AmortizacionesTablaCliente)</f>
        <v>7.2759576141834259E-12</v>
      </c>
    </row>
    <row r="162" spans="1:9" hidden="1" x14ac:dyDescent="0.3">
      <c r="A162" s="422">
        <v>143</v>
      </c>
      <c r="B162" s="423">
        <f t="shared" si="2"/>
        <v>46737</v>
      </c>
      <c r="C162" s="424">
        <f ca="1">INDEX(T_Merger!__Saldo_Inicial,_AmortizacionesTablaCliente)</f>
        <v>7.2759576141834259E-12</v>
      </c>
      <c r="D162" s="424">
        <f ca="1">INDEX(T_Merger!__Capital,_AmortizacionesTablaCliente)</f>
        <v>0</v>
      </c>
      <c r="E162" s="584">
        <f ca="1">INDEX(T_Merger!__Interes,_AmortizacionesTablaCliente)</f>
        <v>7.8216544352471822E-14</v>
      </c>
      <c r="F162" s="424">
        <f ca="1">INDEX(T_Merger!__IVA,_AmortizacionesTablaCliente)</f>
        <v>9.3859853222966188E-15</v>
      </c>
      <c r="G162" s="424">
        <f ca="1">INDEX(T_Merger!__Pago,_AmortizacionesTablaCliente)</f>
        <v>8.7602529674768438E-14</v>
      </c>
      <c r="H162" s="556">
        <v>0</v>
      </c>
      <c r="I162" s="425">
        <f ca="1">INDEX(T_Merger!__Saldo_Final,_AmortizacionesTablaCliente)</f>
        <v>7.2759576141834259E-12</v>
      </c>
    </row>
    <row r="163" spans="1:9" hidden="1" x14ac:dyDescent="0.3">
      <c r="A163" s="422">
        <v>144</v>
      </c>
      <c r="B163" s="423">
        <f t="shared" si="2"/>
        <v>46768</v>
      </c>
      <c r="C163" s="424">
        <f ca="1">INDEX(T_Merger!__Saldo_Inicial,_AmortizacionesTablaCliente)</f>
        <v>7.2759576141834259E-12</v>
      </c>
      <c r="D163" s="424">
        <f ca="1">INDEX(T_Merger!__Capital,_AmortizacionesTablaCliente)</f>
        <v>0</v>
      </c>
      <c r="E163" s="584">
        <f ca="1">INDEX(T_Merger!__Interes,_AmortizacionesTablaCliente)</f>
        <v>7.8216544352471822E-14</v>
      </c>
      <c r="F163" s="424">
        <f ca="1">INDEX(T_Merger!__IVA,_AmortizacionesTablaCliente)</f>
        <v>9.3859853222966188E-15</v>
      </c>
      <c r="G163" s="424">
        <f ca="1">INDEX(T_Merger!__Pago,_AmortizacionesTablaCliente)</f>
        <v>8.7602529674768438E-14</v>
      </c>
      <c r="H163" s="556">
        <v>0</v>
      </c>
      <c r="I163" s="425">
        <f ca="1">INDEX(T_Merger!__Saldo_Final,_AmortizacionesTablaCliente)</f>
        <v>7.2759576141834259E-12</v>
      </c>
    </row>
    <row r="164" spans="1:9" hidden="1" x14ac:dyDescent="0.3">
      <c r="A164" s="422">
        <v>145</v>
      </c>
      <c r="B164" s="423">
        <f t="shared" si="2"/>
        <v>46799</v>
      </c>
      <c r="C164" s="424">
        <f ca="1">INDEX(T_Merger!__Saldo_Inicial,_AmortizacionesTablaCliente)</f>
        <v>7.2759576141834259E-12</v>
      </c>
      <c r="D164" s="424">
        <f ca="1">INDEX(T_Merger!__Capital,_AmortizacionesTablaCliente)</f>
        <v>0</v>
      </c>
      <c r="E164" s="584">
        <f ca="1">INDEX(T_Merger!__Interes,_AmortizacionesTablaCliente)</f>
        <v>7.8216544352471822E-14</v>
      </c>
      <c r="F164" s="424">
        <f ca="1">INDEX(T_Merger!__IVA,_AmortizacionesTablaCliente)</f>
        <v>9.3859853222966188E-15</v>
      </c>
      <c r="G164" s="424">
        <f ca="1">INDEX(T_Merger!__Pago,_AmortizacionesTablaCliente)</f>
        <v>8.7602529674768438E-14</v>
      </c>
      <c r="H164" s="556">
        <v>0</v>
      </c>
      <c r="I164" s="425">
        <f ca="1">INDEX(T_Merger!__Saldo_Final,_AmortizacionesTablaCliente)</f>
        <v>7.2759576141834259E-12</v>
      </c>
    </row>
    <row r="165" spans="1:9" hidden="1" x14ac:dyDescent="0.3">
      <c r="A165" s="422">
        <v>146</v>
      </c>
      <c r="B165" s="423">
        <f t="shared" si="2"/>
        <v>46828</v>
      </c>
      <c r="C165" s="424">
        <f ca="1">INDEX(T_Merger!__Saldo_Inicial,_AmortizacionesTablaCliente)</f>
        <v>7.2759576141834259E-12</v>
      </c>
      <c r="D165" s="424">
        <f ca="1">INDEX(T_Merger!__Capital,_AmortizacionesTablaCliente)</f>
        <v>0</v>
      </c>
      <c r="E165" s="584">
        <f ca="1">INDEX(T_Merger!__Interes,_AmortizacionesTablaCliente)</f>
        <v>7.8216544352471822E-14</v>
      </c>
      <c r="F165" s="424">
        <f ca="1">INDEX(T_Merger!__IVA,_AmortizacionesTablaCliente)</f>
        <v>9.3859853222966188E-15</v>
      </c>
      <c r="G165" s="424">
        <f ca="1">INDEX(T_Merger!__Pago,_AmortizacionesTablaCliente)</f>
        <v>8.7602529674768438E-14</v>
      </c>
      <c r="H165" s="556">
        <v>0</v>
      </c>
      <c r="I165" s="425">
        <f ca="1">INDEX(T_Merger!__Saldo_Final,_AmortizacionesTablaCliente)</f>
        <v>7.2759576141834259E-12</v>
      </c>
    </row>
    <row r="166" spans="1:9" hidden="1" x14ac:dyDescent="0.3">
      <c r="A166" s="422">
        <v>147</v>
      </c>
      <c r="B166" s="423">
        <f t="shared" si="2"/>
        <v>46859</v>
      </c>
      <c r="C166" s="424">
        <f ca="1">INDEX(T_Merger!__Saldo_Inicial,_AmortizacionesTablaCliente)</f>
        <v>7.2759576141834259E-12</v>
      </c>
      <c r="D166" s="424">
        <f ca="1">INDEX(T_Merger!__Capital,_AmortizacionesTablaCliente)</f>
        <v>0</v>
      </c>
      <c r="E166" s="584">
        <f ca="1">INDEX(T_Merger!__Interes,_AmortizacionesTablaCliente)</f>
        <v>7.8216544352471822E-14</v>
      </c>
      <c r="F166" s="424">
        <f ca="1">INDEX(T_Merger!__IVA,_AmortizacionesTablaCliente)</f>
        <v>9.3859853222966188E-15</v>
      </c>
      <c r="G166" s="424">
        <f ca="1">INDEX(T_Merger!__Pago,_AmortizacionesTablaCliente)</f>
        <v>8.7602529674768438E-14</v>
      </c>
      <c r="H166" s="556">
        <v>0</v>
      </c>
      <c r="I166" s="425">
        <f ca="1">INDEX(T_Merger!__Saldo_Final,_AmortizacionesTablaCliente)</f>
        <v>7.2759576141834259E-12</v>
      </c>
    </row>
    <row r="167" spans="1:9" hidden="1" x14ac:dyDescent="0.3">
      <c r="A167" s="422">
        <v>148</v>
      </c>
      <c r="B167" s="423">
        <f t="shared" si="2"/>
        <v>46889</v>
      </c>
      <c r="C167" s="424">
        <f ca="1">INDEX(T_Merger!__Saldo_Inicial,_AmortizacionesTablaCliente)</f>
        <v>7.2759576141834259E-12</v>
      </c>
      <c r="D167" s="424">
        <f ca="1">INDEX(T_Merger!__Capital,_AmortizacionesTablaCliente)</f>
        <v>0</v>
      </c>
      <c r="E167" s="584">
        <f ca="1">INDEX(T_Merger!__Interes,_AmortizacionesTablaCliente)</f>
        <v>7.8216544352471822E-14</v>
      </c>
      <c r="F167" s="424">
        <f ca="1">INDEX(T_Merger!__IVA,_AmortizacionesTablaCliente)</f>
        <v>9.3859853222966188E-15</v>
      </c>
      <c r="G167" s="424">
        <f ca="1">INDEX(T_Merger!__Pago,_AmortizacionesTablaCliente)</f>
        <v>8.7602529674768438E-14</v>
      </c>
      <c r="H167" s="556">
        <v>0</v>
      </c>
      <c r="I167" s="425">
        <f ca="1">INDEX(T_Merger!__Saldo_Final,_AmortizacionesTablaCliente)</f>
        <v>7.2759576141834259E-12</v>
      </c>
    </row>
    <row r="168" spans="1:9" hidden="1" x14ac:dyDescent="0.3">
      <c r="A168" s="422">
        <v>149</v>
      </c>
      <c r="B168" s="423">
        <f t="shared" si="2"/>
        <v>46920</v>
      </c>
      <c r="C168" s="424">
        <f ca="1">INDEX(T_Merger!__Saldo_Inicial,_AmortizacionesTablaCliente)</f>
        <v>7.2759576141834259E-12</v>
      </c>
      <c r="D168" s="424">
        <f ca="1">INDEX(T_Merger!__Capital,_AmortizacionesTablaCliente)</f>
        <v>0</v>
      </c>
      <c r="E168" s="584">
        <f ca="1">INDEX(T_Merger!__Interes,_AmortizacionesTablaCliente)</f>
        <v>7.8216544352471822E-14</v>
      </c>
      <c r="F168" s="424">
        <f ca="1">INDEX(T_Merger!__IVA,_AmortizacionesTablaCliente)</f>
        <v>9.3859853222966188E-15</v>
      </c>
      <c r="G168" s="424">
        <f ca="1">INDEX(T_Merger!__Pago,_AmortizacionesTablaCliente)</f>
        <v>8.7602529674768438E-14</v>
      </c>
      <c r="H168" s="556">
        <v>0</v>
      </c>
      <c r="I168" s="425">
        <f ca="1">INDEX(T_Merger!__Saldo_Final,_AmortizacionesTablaCliente)</f>
        <v>7.2759576141834259E-12</v>
      </c>
    </row>
    <row r="169" spans="1:9" hidden="1" x14ac:dyDescent="0.3">
      <c r="A169" s="422">
        <v>150</v>
      </c>
      <c r="B169" s="423">
        <f t="shared" si="2"/>
        <v>46950</v>
      </c>
      <c r="C169" s="424">
        <f ca="1">INDEX(T_Merger!__Saldo_Inicial,_AmortizacionesTablaCliente)</f>
        <v>7.2759576141834259E-12</v>
      </c>
      <c r="D169" s="424">
        <f ca="1">INDEX(T_Merger!__Capital,_AmortizacionesTablaCliente)</f>
        <v>0</v>
      </c>
      <c r="E169" s="584">
        <f ca="1">INDEX(T_Merger!__Interes,_AmortizacionesTablaCliente)</f>
        <v>7.8216544352471822E-14</v>
      </c>
      <c r="F169" s="424">
        <f ca="1">INDEX(T_Merger!__IVA,_AmortizacionesTablaCliente)</f>
        <v>9.3859853222966188E-15</v>
      </c>
      <c r="G169" s="424">
        <f ca="1">INDEX(T_Merger!__Pago,_AmortizacionesTablaCliente)</f>
        <v>8.7602529674768438E-14</v>
      </c>
      <c r="H169" s="556">
        <v>0</v>
      </c>
      <c r="I169" s="425">
        <f ca="1">INDEX(T_Merger!__Saldo_Final,_AmortizacionesTablaCliente)</f>
        <v>7.2759576141834259E-12</v>
      </c>
    </row>
    <row r="170" spans="1:9" hidden="1" x14ac:dyDescent="0.3">
      <c r="A170" s="422">
        <v>151</v>
      </c>
      <c r="B170" s="423">
        <f t="shared" si="2"/>
        <v>46981</v>
      </c>
      <c r="C170" s="424">
        <f ca="1">INDEX(T_Merger!__Saldo_Inicial,_AmortizacionesTablaCliente)</f>
        <v>7.2759576141834259E-12</v>
      </c>
      <c r="D170" s="424">
        <f ca="1">INDEX(T_Merger!__Capital,_AmortizacionesTablaCliente)</f>
        <v>0</v>
      </c>
      <c r="E170" s="584">
        <f ca="1">INDEX(T_Merger!__Interes,_AmortizacionesTablaCliente)</f>
        <v>7.8216544352471822E-14</v>
      </c>
      <c r="F170" s="424">
        <f ca="1">INDEX(T_Merger!__IVA,_AmortizacionesTablaCliente)</f>
        <v>9.3859853222966188E-15</v>
      </c>
      <c r="G170" s="424">
        <f ca="1">INDEX(T_Merger!__Pago,_AmortizacionesTablaCliente)</f>
        <v>8.7602529674768438E-14</v>
      </c>
      <c r="H170" s="556">
        <v>0</v>
      </c>
      <c r="I170" s="425">
        <f ca="1">INDEX(T_Merger!__Saldo_Final,_AmortizacionesTablaCliente)</f>
        <v>7.2759576141834259E-12</v>
      </c>
    </row>
    <row r="171" spans="1:9" hidden="1" x14ac:dyDescent="0.3">
      <c r="A171" s="422">
        <v>152</v>
      </c>
      <c r="B171" s="423">
        <f t="shared" si="2"/>
        <v>47012</v>
      </c>
      <c r="C171" s="424">
        <f ca="1">INDEX(T_Merger!__Saldo_Inicial,_AmortizacionesTablaCliente)</f>
        <v>7.2759576141834259E-12</v>
      </c>
      <c r="D171" s="424">
        <f ca="1">INDEX(T_Merger!__Capital,_AmortizacionesTablaCliente)</f>
        <v>0</v>
      </c>
      <c r="E171" s="584">
        <f ca="1">INDEX(T_Merger!__Interes,_AmortizacionesTablaCliente)</f>
        <v>7.8216544352471822E-14</v>
      </c>
      <c r="F171" s="424">
        <f ca="1">INDEX(T_Merger!__IVA,_AmortizacionesTablaCliente)</f>
        <v>9.3859853222966188E-15</v>
      </c>
      <c r="G171" s="424">
        <f ca="1">INDEX(T_Merger!__Pago,_AmortizacionesTablaCliente)</f>
        <v>8.7602529674768438E-14</v>
      </c>
      <c r="H171" s="556">
        <v>0</v>
      </c>
      <c r="I171" s="425">
        <f ca="1">INDEX(T_Merger!__Saldo_Final,_AmortizacionesTablaCliente)</f>
        <v>7.2759576141834259E-12</v>
      </c>
    </row>
    <row r="172" spans="1:9" hidden="1" x14ac:dyDescent="0.3">
      <c r="A172" s="422">
        <v>153</v>
      </c>
      <c r="B172" s="423">
        <f t="shared" si="2"/>
        <v>47042</v>
      </c>
      <c r="C172" s="424">
        <f ca="1">INDEX(T_Merger!__Saldo_Inicial,_AmortizacionesTablaCliente)</f>
        <v>7.2759576141834259E-12</v>
      </c>
      <c r="D172" s="424">
        <f ca="1">INDEX(T_Merger!__Capital,_AmortizacionesTablaCliente)</f>
        <v>0</v>
      </c>
      <c r="E172" s="584">
        <f ca="1">INDEX(T_Merger!__Interes,_AmortizacionesTablaCliente)</f>
        <v>7.8216544352471822E-14</v>
      </c>
      <c r="F172" s="424">
        <f ca="1">INDEX(T_Merger!__IVA,_AmortizacionesTablaCliente)</f>
        <v>9.3859853222966188E-15</v>
      </c>
      <c r="G172" s="424">
        <f ca="1">INDEX(T_Merger!__Pago,_AmortizacionesTablaCliente)</f>
        <v>8.7602529674768438E-14</v>
      </c>
      <c r="H172" s="556">
        <v>0</v>
      </c>
      <c r="I172" s="425">
        <f ca="1">INDEX(T_Merger!__Saldo_Final,_AmortizacionesTablaCliente)</f>
        <v>7.2759576141834259E-12</v>
      </c>
    </row>
    <row r="173" spans="1:9" hidden="1" x14ac:dyDescent="0.3">
      <c r="A173" s="422">
        <v>154</v>
      </c>
      <c r="B173" s="423">
        <f t="shared" si="2"/>
        <v>47073</v>
      </c>
      <c r="C173" s="424">
        <f ca="1">INDEX(T_Merger!__Saldo_Inicial,_AmortizacionesTablaCliente)</f>
        <v>7.2759576141834259E-12</v>
      </c>
      <c r="D173" s="424">
        <f ca="1">INDEX(T_Merger!__Capital,_AmortizacionesTablaCliente)</f>
        <v>0</v>
      </c>
      <c r="E173" s="584">
        <f ca="1">INDEX(T_Merger!__Interes,_AmortizacionesTablaCliente)</f>
        <v>7.8216544352471822E-14</v>
      </c>
      <c r="F173" s="424">
        <f ca="1">INDEX(T_Merger!__IVA,_AmortizacionesTablaCliente)</f>
        <v>9.3859853222966188E-15</v>
      </c>
      <c r="G173" s="424">
        <f ca="1">INDEX(T_Merger!__Pago,_AmortizacionesTablaCliente)</f>
        <v>8.7602529674768438E-14</v>
      </c>
      <c r="H173" s="556">
        <v>0</v>
      </c>
      <c r="I173" s="425">
        <f ca="1">INDEX(T_Merger!__Saldo_Final,_AmortizacionesTablaCliente)</f>
        <v>7.2759576141834259E-12</v>
      </c>
    </row>
    <row r="174" spans="1:9" hidden="1" x14ac:dyDescent="0.3">
      <c r="A174" s="422">
        <v>155</v>
      </c>
      <c r="B174" s="423">
        <f t="shared" si="2"/>
        <v>47103</v>
      </c>
      <c r="C174" s="424">
        <f ca="1">INDEX(T_Merger!__Saldo_Inicial,_AmortizacionesTablaCliente)</f>
        <v>7.2759576141834259E-12</v>
      </c>
      <c r="D174" s="424">
        <f ca="1">INDEX(T_Merger!__Capital,_AmortizacionesTablaCliente)</f>
        <v>0</v>
      </c>
      <c r="E174" s="584">
        <f ca="1">INDEX(T_Merger!__Interes,_AmortizacionesTablaCliente)</f>
        <v>7.8216544352471822E-14</v>
      </c>
      <c r="F174" s="424">
        <f ca="1">INDEX(T_Merger!__IVA,_AmortizacionesTablaCliente)</f>
        <v>9.3859853222966188E-15</v>
      </c>
      <c r="G174" s="424">
        <f ca="1">INDEX(T_Merger!__Pago,_AmortizacionesTablaCliente)</f>
        <v>8.7602529674768438E-14</v>
      </c>
      <c r="H174" s="556">
        <v>0</v>
      </c>
      <c r="I174" s="425">
        <f ca="1">INDEX(T_Merger!__Saldo_Final,_AmortizacionesTablaCliente)</f>
        <v>7.2759576141834259E-12</v>
      </c>
    </row>
    <row r="175" spans="1:9" hidden="1" x14ac:dyDescent="0.3">
      <c r="A175" s="422">
        <v>156</v>
      </c>
      <c r="B175" s="423">
        <f t="shared" si="2"/>
        <v>47134</v>
      </c>
      <c r="C175" s="424">
        <f ca="1">INDEX(T_Merger!__Saldo_Inicial,_AmortizacionesTablaCliente)</f>
        <v>7.2759576141834259E-12</v>
      </c>
      <c r="D175" s="424">
        <f ca="1">INDEX(T_Merger!__Capital,_AmortizacionesTablaCliente)</f>
        <v>0</v>
      </c>
      <c r="E175" s="584">
        <f ca="1">INDEX(T_Merger!__Interes,_AmortizacionesTablaCliente)</f>
        <v>7.8216544352471822E-14</v>
      </c>
      <c r="F175" s="424">
        <f ca="1">INDEX(T_Merger!__IVA,_AmortizacionesTablaCliente)</f>
        <v>9.3859853222966188E-15</v>
      </c>
      <c r="G175" s="424">
        <f ca="1">INDEX(T_Merger!__Pago,_AmortizacionesTablaCliente)</f>
        <v>8.7602529674768438E-14</v>
      </c>
      <c r="H175" s="556">
        <v>0</v>
      </c>
      <c r="I175" s="425">
        <f ca="1">INDEX(T_Merger!__Saldo_Final,_AmortizacionesTablaCliente)</f>
        <v>7.2759576141834259E-12</v>
      </c>
    </row>
    <row r="176" spans="1:9" hidden="1" x14ac:dyDescent="0.3">
      <c r="A176" s="422">
        <v>157</v>
      </c>
      <c r="B176" s="423">
        <f t="shared" si="2"/>
        <v>47165</v>
      </c>
      <c r="C176" s="424">
        <f ca="1">INDEX(T_Merger!__Saldo_Inicial,_AmortizacionesTablaCliente)</f>
        <v>7.2759576141834259E-12</v>
      </c>
      <c r="D176" s="424">
        <f ca="1">INDEX(T_Merger!__Capital,_AmortizacionesTablaCliente)</f>
        <v>0</v>
      </c>
      <c r="E176" s="584">
        <f ca="1">INDEX(T_Merger!__Interes,_AmortizacionesTablaCliente)</f>
        <v>7.8216544352471822E-14</v>
      </c>
      <c r="F176" s="424">
        <f ca="1">INDEX(T_Merger!__IVA,_AmortizacionesTablaCliente)</f>
        <v>9.3859853222966188E-15</v>
      </c>
      <c r="G176" s="424">
        <f ca="1">INDEX(T_Merger!__Pago,_AmortizacionesTablaCliente)</f>
        <v>8.7602529674768438E-14</v>
      </c>
      <c r="H176" s="556">
        <v>0</v>
      </c>
      <c r="I176" s="425">
        <f ca="1">INDEX(T_Merger!__Saldo_Final,_AmortizacionesTablaCliente)</f>
        <v>7.2759576141834259E-12</v>
      </c>
    </row>
    <row r="177" spans="1:9" hidden="1" x14ac:dyDescent="0.3">
      <c r="A177" s="422">
        <v>158</v>
      </c>
      <c r="B177" s="423">
        <f t="shared" si="2"/>
        <v>47193</v>
      </c>
      <c r="C177" s="424">
        <f ca="1">INDEX(T_Merger!__Saldo_Inicial,_AmortizacionesTablaCliente)</f>
        <v>7.2759576141834259E-12</v>
      </c>
      <c r="D177" s="424">
        <f ca="1">INDEX(T_Merger!__Capital,_AmortizacionesTablaCliente)</f>
        <v>0</v>
      </c>
      <c r="E177" s="584">
        <f ca="1">INDEX(T_Merger!__Interes,_AmortizacionesTablaCliente)</f>
        <v>7.8216544352471822E-14</v>
      </c>
      <c r="F177" s="424">
        <f ca="1">INDEX(T_Merger!__IVA,_AmortizacionesTablaCliente)</f>
        <v>9.3859853222966188E-15</v>
      </c>
      <c r="G177" s="424">
        <f ca="1">INDEX(T_Merger!__Pago,_AmortizacionesTablaCliente)</f>
        <v>8.7602529674768438E-14</v>
      </c>
      <c r="H177" s="556">
        <v>0</v>
      </c>
      <c r="I177" s="425">
        <f ca="1">INDEX(T_Merger!__Saldo_Final,_AmortizacionesTablaCliente)</f>
        <v>7.2759576141834259E-12</v>
      </c>
    </row>
    <row r="178" spans="1:9" hidden="1" x14ac:dyDescent="0.3">
      <c r="A178" s="422">
        <v>159</v>
      </c>
      <c r="B178" s="423">
        <f t="shared" si="2"/>
        <v>47224</v>
      </c>
      <c r="C178" s="424">
        <f ca="1">INDEX(T_Merger!__Saldo_Inicial,_AmortizacionesTablaCliente)</f>
        <v>7.2759576141834259E-12</v>
      </c>
      <c r="D178" s="424">
        <f ca="1">INDEX(T_Merger!__Capital,_AmortizacionesTablaCliente)</f>
        <v>0</v>
      </c>
      <c r="E178" s="584">
        <f ca="1">INDEX(T_Merger!__Interes,_AmortizacionesTablaCliente)</f>
        <v>7.8216544352471822E-14</v>
      </c>
      <c r="F178" s="424">
        <f ca="1">INDEX(T_Merger!__IVA,_AmortizacionesTablaCliente)</f>
        <v>9.3859853222966188E-15</v>
      </c>
      <c r="G178" s="424">
        <f ca="1">INDEX(T_Merger!__Pago,_AmortizacionesTablaCliente)</f>
        <v>8.7602529674768438E-14</v>
      </c>
      <c r="H178" s="556">
        <v>0</v>
      </c>
      <c r="I178" s="425">
        <f ca="1">INDEX(T_Merger!__Saldo_Final,_AmortizacionesTablaCliente)</f>
        <v>7.2759576141834259E-12</v>
      </c>
    </row>
    <row r="179" spans="1:9" hidden="1" x14ac:dyDescent="0.3">
      <c r="A179" s="422">
        <v>160</v>
      </c>
      <c r="B179" s="423">
        <f t="shared" si="2"/>
        <v>47254</v>
      </c>
      <c r="C179" s="424">
        <f ca="1">INDEX(T_Merger!__Saldo_Inicial,_AmortizacionesTablaCliente)</f>
        <v>7.2759576141834259E-12</v>
      </c>
      <c r="D179" s="424">
        <f ca="1">INDEX(T_Merger!__Capital,_AmortizacionesTablaCliente)</f>
        <v>0</v>
      </c>
      <c r="E179" s="584">
        <f ca="1">INDEX(T_Merger!__Interes,_AmortizacionesTablaCliente)</f>
        <v>7.8216544352471822E-14</v>
      </c>
      <c r="F179" s="424">
        <f ca="1">INDEX(T_Merger!__IVA,_AmortizacionesTablaCliente)</f>
        <v>9.3859853222966188E-15</v>
      </c>
      <c r="G179" s="424">
        <f ca="1">INDEX(T_Merger!__Pago,_AmortizacionesTablaCliente)</f>
        <v>8.7602529674768438E-14</v>
      </c>
      <c r="H179" s="556">
        <v>0</v>
      </c>
      <c r="I179" s="425">
        <f ca="1">INDEX(T_Merger!__Saldo_Final,_AmortizacionesTablaCliente)</f>
        <v>7.2759576141834259E-12</v>
      </c>
    </row>
    <row r="180" spans="1:9" hidden="1" x14ac:dyDescent="0.3">
      <c r="A180" s="422">
        <v>161</v>
      </c>
      <c r="B180" s="423">
        <f t="shared" si="2"/>
        <v>47285</v>
      </c>
      <c r="C180" s="424">
        <f ca="1">INDEX(T_Merger!__Saldo_Inicial,_AmortizacionesTablaCliente)</f>
        <v>7.2759576141834259E-12</v>
      </c>
      <c r="D180" s="424">
        <f ca="1">INDEX(T_Merger!__Capital,_AmortizacionesTablaCliente)</f>
        <v>0</v>
      </c>
      <c r="E180" s="584">
        <f ca="1">INDEX(T_Merger!__Interes,_AmortizacionesTablaCliente)</f>
        <v>7.8216544352471822E-14</v>
      </c>
      <c r="F180" s="424">
        <f ca="1">INDEX(T_Merger!__IVA,_AmortizacionesTablaCliente)</f>
        <v>9.3859853222966188E-15</v>
      </c>
      <c r="G180" s="424">
        <f ca="1">INDEX(T_Merger!__Pago,_AmortizacionesTablaCliente)</f>
        <v>8.7602529674768438E-14</v>
      </c>
      <c r="H180" s="556">
        <v>0</v>
      </c>
      <c r="I180" s="425">
        <f ca="1">INDEX(T_Merger!__Saldo_Final,_AmortizacionesTablaCliente)</f>
        <v>7.2759576141834259E-12</v>
      </c>
    </row>
    <row r="181" spans="1:9" hidden="1" x14ac:dyDescent="0.3">
      <c r="A181" s="422">
        <v>162</v>
      </c>
      <c r="B181" s="423">
        <f t="shared" si="2"/>
        <v>47315</v>
      </c>
      <c r="C181" s="424">
        <f ca="1">INDEX(T_Merger!__Saldo_Inicial,_AmortizacionesTablaCliente)</f>
        <v>7.2759576141834259E-12</v>
      </c>
      <c r="D181" s="424">
        <f ca="1">INDEX(T_Merger!__Capital,_AmortizacionesTablaCliente)</f>
        <v>0</v>
      </c>
      <c r="E181" s="584">
        <f ca="1">INDEX(T_Merger!__Interes,_AmortizacionesTablaCliente)</f>
        <v>7.8216544352471822E-14</v>
      </c>
      <c r="F181" s="424">
        <f ca="1">INDEX(T_Merger!__IVA,_AmortizacionesTablaCliente)</f>
        <v>9.3859853222966188E-15</v>
      </c>
      <c r="G181" s="424">
        <f ca="1">INDEX(T_Merger!__Pago,_AmortizacionesTablaCliente)</f>
        <v>8.7602529674768438E-14</v>
      </c>
      <c r="H181" s="556">
        <v>0</v>
      </c>
      <c r="I181" s="425">
        <f ca="1">INDEX(T_Merger!__Saldo_Final,_AmortizacionesTablaCliente)</f>
        <v>7.2759576141834259E-12</v>
      </c>
    </row>
    <row r="182" spans="1:9" hidden="1" x14ac:dyDescent="0.3">
      <c r="A182" s="422">
        <v>163</v>
      </c>
      <c r="B182" s="423">
        <f t="shared" si="2"/>
        <v>47346</v>
      </c>
      <c r="C182" s="424">
        <f ca="1">INDEX(T_Merger!__Saldo_Inicial,_AmortizacionesTablaCliente)</f>
        <v>7.2759576141834259E-12</v>
      </c>
      <c r="D182" s="424">
        <f ca="1">INDEX(T_Merger!__Capital,_AmortizacionesTablaCliente)</f>
        <v>0</v>
      </c>
      <c r="E182" s="584">
        <f ca="1">INDEX(T_Merger!__Interes,_AmortizacionesTablaCliente)</f>
        <v>7.8216544352471822E-14</v>
      </c>
      <c r="F182" s="424">
        <f ca="1">INDEX(T_Merger!__IVA,_AmortizacionesTablaCliente)</f>
        <v>9.3859853222966188E-15</v>
      </c>
      <c r="G182" s="424">
        <f ca="1">INDEX(T_Merger!__Pago,_AmortizacionesTablaCliente)</f>
        <v>8.7602529674768438E-14</v>
      </c>
      <c r="H182" s="556">
        <v>0</v>
      </c>
      <c r="I182" s="425">
        <f ca="1">INDEX(T_Merger!__Saldo_Final,_AmortizacionesTablaCliente)</f>
        <v>7.2759576141834259E-12</v>
      </c>
    </row>
    <row r="183" spans="1:9" hidden="1" x14ac:dyDescent="0.3">
      <c r="A183" s="422">
        <v>164</v>
      </c>
      <c r="B183" s="423">
        <f t="shared" si="2"/>
        <v>47377</v>
      </c>
      <c r="C183" s="424">
        <f ca="1">INDEX(T_Merger!__Saldo_Inicial,_AmortizacionesTablaCliente)</f>
        <v>7.2759576141834259E-12</v>
      </c>
      <c r="D183" s="424">
        <f ca="1">INDEX(T_Merger!__Capital,_AmortizacionesTablaCliente)</f>
        <v>0</v>
      </c>
      <c r="E183" s="584">
        <f ca="1">INDEX(T_Merger!__Interes,_AmortizacionesTablaCliente)</f>
        <v>7.8216544352471822E-14</v>
      </c>
      <c r="F183" s="424">
        <f ca="1">INDEX(T_Merger!__IVA,_AmortizacionesTablaCliente)</f>
        <v>9.3859853222966188E-15</v>
      </c>
      <c r="G183" s="424">
        <f ca="1">INDEX(T_Merger!__Pago,_AmortizacionesTablaCliente)</f>
        <v>8.7602529674768438E-14</v>
      </c>
      <c r="H183" s="556">
        <v>0</v>
      </c>
      <c r="I183" s="425">
        <f ca="1">INDEX(T_Merger!__Saldo_Final,_AmortizacionesTablaCliente)</f>
        <v>7.2759576141834259E-12</v>
      </c>
    </row>
    <row r="184" spans="1:9" hidden="1" x14ac:dyDescent="0.3">
      <c r="A184" s="422">
        <v>165</v>
      </c>
      <c r="B184" s="423">
        <f t="shared" si="2"/>
        <v>47407</v>
      </c>
      <c r="C184" s="424">
        <f ca="1">INDEX(T_Merger!__Saldo_Inicial,_AmortizacionesTablaCliente)</f>
        <v>7.2759576141834259E-12</v>
      </c>
      <c r="D184" s="424">
        <f ca="1">INDEX(T_Merger!__Capital,_AmortizacionesTablaCliente)</f>
        <v>0</v>
      </c>
      <c r="E184" s="584">
        <f ca="1">INDEX(T_Merger!__Interes,_AmortizacionesTablaCliente)</f>
        <v>7.8216544352471822E-14</v>
      </c>
      <c r="F184" s="424">
        <f ca="1">INDEX(T_Merger!__IVA,_AmortizacionesTablaCliente)</f>
        <v>9.3859853222966188E-15</v>
      </c>
      <c r="G184" s="424">
        <f ca="1">INDEX(T_Merger!__Pago,_AmortizacionesTablaCliente)</f>
        <v>8.7602529674768438E-14</v>
      </c>
      <c r="H184" s="556">
        <v>0</v>
      </c>
      <c r="I184" s="425">
        <f ca="1">INDEX(T_Merger!__Saldo_Final,_AmortizacionesTablaCliente)</f>
        <v>7.2759576141834259E-12</v>
      </c>
    </row>
    <row r="185" spans="1:9" hidden="1" x14ac:dyDescent="0.3">
      <c r="A185" s="422">
        <v>166</v>
      </c>
      <c r="B185" s="423">
        <f t="shared" si="2"/>
        <v>47438</v>
      </c>
      <c r="C185" s="424">
        <f ca="1">INDEX(T_Merger!__Saldo_Inicial,_AmortizacionesTablaCliente)</f>
        <v>7.2759576141834259E-12</v>
      </c>
      <c r="D185" s="424">
        <f ca="1">INDEX(T_Merger!__Capital,_AmortizacionesTablaCliente)</f>
        <v>0</v>
      </c>
      <c r="E185" s="584">
        <f ca="1">INDEX(T_Merger!__Interes,_AmortizacionesTablaCliente)</f>
        <v>7.8216544352471822E-14</v>
      </c>
      <c r="F185" s="424">
        <f ca="1">INDEX(T_Merger!__IVA,_AmortizacionesTablaCliente)</f>
        <v>9.3859853222966188E-15</v>
      </c>
      <c r="G185" s="424">
        <f ca="1">INDEX(T_Merger!__Pago,_AmortizacionesTablaCliente)</f>
        <v>8.7602529674768438E-14</v>
      </c>
      <c r="H185" s="556">
        <v>0</v>
      </c>
      <c r="I185" s="425">
        <f ca="1">INDEX(T_Merger!__Saldo_Final,_AmortizacionesTablaCliente)</f>
        <v>7.2759576141834259E-12</v>
      </c>
    </row>
    <row r="186" spans="1:9" hidden="1" x14ac:dyDescent="0.3">
      <c r="A186" s="422">
        <v>167</v>
      </c>
      <c r="B186" s="423">
        <f t="shared" si="2"/>
        <v>47468</v>
      </c>
      <c r="C186" s="424">
        <f ca="1">INDEX(T_Merger!__Saldo_Inicial,_AmortizacionesTablaCliente)</f>
        <v>7.2759576141834259E-12</v>
      </c>
      <c r="D186" s="424">
        <f ca="1">INDEX(T_Merger!__Capital,_AmortizacionesTablaCliente)</f>
        <v>0</v>
      </c>
      <c r="E186" s="584">
        <f ca="1">INDEX(T_Merger!__Interes,_AmortizacionesTablaCliente)</f>
        <v>7.8216544352471822E-14</v>
      </c>
      <c r="F186" s="424">
        <f ca="1">INDEX(T_Merger!__IVA,_AmortizacionesTablaCliente)</f>
        <v>9.3859853222966188E-15</v>
      </c>
      <c r="G186" s="424">
        <f ca="1">INDEX(T_Merger!__Pago,_AmortizacionesTablaCliente)</f>
        <v>8.7602529674768438E-14</v>
      </c>
      <c r="H186" s="556">
        <v>0</v>
      </c>
      <c r="I186" s="425">
        <f ca="1">INDEX(T_Merger!__Saldo_Final,_AmortizacionesTablaCliente)</f>
        <v>7.2759576141834259E-12</v>
      </c>
    </row>
    <row r="187" spans="1:9" hidden="1" x14ac:dyDescent="0.3">
      <c r="A187" s="422">
        <v>168</v>
      </c>
      <c r="B187" s="423">
        <f t="shared" si="2"/>
        <v>47499</v>
      </c>
      <c r="C187" s="424">
        <f ca="1">INDEX(T_Merger!__Saldo_Inicial,_AmortizacionesTablaCliente)</f>
        <v>7.2759576141834259E-12</v>
      </c>
      <c r="D187" s="424">
        <f ca="1">INDEX(T_Merger!__Capital,_AmortizacionesTablaCliente)</f>
        <v>0</v>
      </c>
      <c r="E187" s="584">
        <f ca="1">INDEX(T_Merger!__Interes,_AmortizacionesTablaCliente)</f>
        <v>7.8216544352471822E-14</v>
      </c>
      <c r="F187" s="424">
        <f ca="1">INDEX(T_Merger!__IVA,_AmortizacionesTablaCliente)</f>
        <v>9.3859853222966188E-15</v>
      </c>
      <c r="G187" s="424">
        <f ca="1">INDEX(T_Merger!__Pago,_AmortizacionesTablaCliente)</f>
        <v>8.7602529674768438E-14</v>
      </c>
      <c r="H187" s="556">
        <v>0</v>
      </c>
      <c r="I187" s="425">
        <f ca="1">INDEX(T_Merger!__Saldo_Final,_AmortizacionesTablaCliente)</f>
        <v>7.2759576141834259E-12</v>
      </c>
    </row>
    <row r="188" spans="1:9" hidden="1" x14ac:dyDescent="0.3">
      <c r="A188" s="422">
        <v>169</v>
      </c>
      <c r="B188" s="423">
        <f t="shared" si="2"/>
        <v>47530</v>
      </c>
      <c r="C188" s="424">
        <f ca="1">INDEX(T_Merger!__Saldo_Inicial,_AmortizacionesTablaCliente)</f>
        <v>7.2759576141834259E-12</v>
      </c>
      <c r="D188" s="424">
        <f ca="1">INDEX(T_Merger!__Capital,_AmortizacionesTablaCliente)</f>
        <v>0</v>
      </c>
      <c r="E188" s="584">
        <f ca="1">INDEX(T_Merger!__Interes,_AmortizacionesTablaCliente)</f>
        <v>7.8216544352471822E-14</v>
      </c>
      <c r="F188" s="424">
        <f ca="1">INDEX(T_Merger!__IVA,_AmortizacionesTablaCliente)</f>
        <v>9.3859853222966188E-15</v>
      </c>
      <c r="G188" s="424">
        <f ca="1">INDEX(T_Merger!__Pago,_AmortizacionesTablaCliente)</f>
        <v>8.7602529674768438E-14</v>
      </c>
      <c r="H188" s="556">
        <v>0</v>
      </c>
      <c r="I188" s="425">
        <f ca="1">INDEX(T_Merger!__Saldo_Final,_AmortizacionesTablaCliente)</f>
        <v>7.2759576141834259E-12</v>
      </c>
    </row>
    <row r="189" spans="1:9" hidden="1" x14ac:dyDescent="0.3">
      <c r="A189" s="422">
        <v>170</v>
      </c>
      <c r="B189" s="423">
        <f t="shared" si="2"/>
        <v>47558</v>
      </c>
      <c r="C189" s="424">
        <f ca="1">INDEX(T_Merger!__Saldo_Inicial,_AmortizacionesTablaCliente)</f>
        <v>7.2759576141834259E-12</v>
      </c>
      <c r="D189" s="424">
        <f ca="1">INDEX(T_Merger!__Capital,_AmortizacionesTablaCliente)</f>
        <v>0</v>
      </c>
      <c r="E189" s="584">
        <f ca="1">INDEX(T_Merger!__Interes,_AmortizacionesTablaCliente)</f>
        <v>7.8216544352471822E-14</v>
      </c>
      <c r="F189" s="424">
        <f ca="1">INDEX(T_Merger!__IVA,_AmortizacionesTablaCliente)</f>
        <v>9.3859853222966188E-15</v>
      </c>
      <c r="G189" s="424">
        <f ca="1">INDEX(T_Merger!__Pago,_AmortizacionesTablaCliente)</f>
        <v>8.7602529674768438E-14</v>
      </c>
      <c r="H189" s="556">
        <v>0</v>
      </c>
      <c r="I189" s="425">
        <f ca="1">INDEX(T_Merger!__Saldo_Final,_AmortizacionesTablaCliente)</f>
        <v>7.2759576141834259E-12</v>
      </c>
    </row>
    <row r="190" spans="1:9" hidden="1" x14ac:dyDescent="0.3">
      <c r="A190" s="422">
        <v>171</v>
      </c>
      <c r="B190" s="423">
        <f t="shared" si="2"/>
        <v>47589</v>
      </c>
      <c r="C190" s="424">
        <f ca="1">INDEX(T_Merger!__Saldo_Inicial,_AmortizacionesTablaCliente)</f>
        <v>7.2759576141834259E-12</v>
      </c>
      <c r="D190" s="424">
        <f ca="1">INDEX(T_Merger!__Capital,_AmortizacionesTablaCliente)</f>
        <v>0</v>
      </c>
      <c r="E190" s="584">
        <f ca="1">INDEX(T_Merger!__Interes,_AmortizacionesTablaCliente)</f>
        <v>7.8216544352471822E-14</v>
      </c>
      <c r="F190" s="424">
        <f ca="1">INDEX(T_Merger!__IVA,_AmortizacionesTablaCliente)</f>
        <v>9.3859853222966188E-15</v>
      </c>
      <c r="G190" s="424">
        <f ca="1">INDEX(T_Merger!__Pago,_AmortizacionesTablaCliente)</f>
        <v>8.7602529674768438E-14</v>
      </c>
      <c r="H190" s="556">
        <v>0</v>
      </c>
      <c r="I190" s="425">
        <f ca="1">INDEX(T_Merger!__Saldo_Final,_AmortizacionesTablaCliente)</f>
        <v>7.2759576141834259E-12</v>
      </c>
    </row>
    <row r="191" spans="1:9" hidden="1" x14ac:dyDescent="0.3">
      <c r="A191" s="422">
        <v>172</v>
      </c>
      <c r="B191" s="423">
        <f t="shared" si="2"/>
        <v>47619</v>
      </c>
      <c r="C191" s="424">
        <f ca="1">INDEX(T_Merger!__Saldo_Inicial,_AmortizacionesTablaCliente)</f>
        <v>7.2759576141834259E-12</v>
      </c>
      <c r="D191" s="424">
        <f ca="1">INDEX(T_Merger!__Capital,_AmortizacionesTablaCliente)</f>
        <v>0</v>
      </c>
      <c r="E191" s="584">
        <f ca="1">INDEX(T_Merger!__Interes,_AmortizacionesTablaCliente)</f>
        <v>7.8216544352471822E-14</v>
      </c>
      <c r="F191" s="424">
        <f ca="1">INDEX(T_Merger!__IVA,_AmortizacionesTablaCliente)</f>
        <v>9.3859853222966188E-15</v>
      </c>
      <c r="G191" s="424">
        <f ca="1">INDEX(T_Merger!__Pago,_AmortizacionesTablaCliente)</f>
        <v>8.7602529674768438E-14</v>
      </c>
      <c r="H191" s="556">
        <v>0</v>
      </c>
      <c r="I191" s="425">
        <f ca="1">INDEX(T_Merger!__Saldo_Final,_AmortizacionesTablaCliente)</f>
        <v>7.2759576141834259E-12</v>
      </c>
    </row>
    <row r="192" spans="1:9" hidden="1" x14ac:dyDescent="0.3">
      <c r="A192" s="422">
        <v>173</v>
      </c>
      <c r="B192" s="423">
        <f t="shared" si="2"/>
        <v>47650</v>
      </c>
      <c r="C192" s="424">
        <f ca="1">INDEX(T_Merger!__Saldo_Inicial,_AmortizacionesTablaCliente)</f>
        <v>7.2759576141834259E-12</v>
      </c>
      <c r="D192" s="424">
        <f ca="1">INDEX(T_Merger!__Capital,_AmortizacionesTablaCliente)</f>
        <v>0</v>
      </c>
      <c r="E192" s="584">
        <f ca="1">INDEX(T_Merger!__Interes,_AmortizacionesTablaCliente)</f>
        <v>7.8216544352471822E-14</v>
      </c>
      <c r="F192" s="424">
        <f ca="1">INDEX(T_Merger!__IVA,_AmortizacionesTablaCliente)</f>
        <v>9.3859853222966188E-15</v>
      </c>
      <c r="G192" s="424">
        <f ca="1">INDEX(T_Merger!__Pago,_AmortizacionesTablaCliente)</f>
        <v>8.7602529674768438E-14</v>
      </c>
      <c r="H192" s="556">
        <v>0</v>
      </c>
      <c r="I192" s="425">
        <f ca="1">INDEX(T_Merger!__Saldo_Final,_AmortizacionesTablaCliente)</f>
        <v>7.2759576141834259E-12</v>
      </c>
    </row>
    <row r="193" spans="1:9" hidden="1" x14ac:dyDescent="0.3">
      <c r="A193" s="422">
        <v>174</v>
      </c>
      <c r="B193" s="423">
        <f t="shared" si="2"/>
        <v>47680</v>
      </c>
      <c r="C193" s="424">
        <f ca="1">INDEX(T_Merger!__Saldo_Inicial,_AmortizacionesTablaCliente)</f>
        <v>7.2759576141834259E-12</v>
      </c>
      <c r="D193" s="424">
        <f ca="1">INDEX(T_Merger!__Capital,_AmortizacionesTablaCliente)</f>
        <v>0</v>
      </c>
      <c r="E193" s="584">
        <f ca="1">INDEX(T_Merger!__Interes,_AmortizacionesTablaCliente)</f>
        <v>7.8216544352471822E-14</v>
      </c>
      <c r="F193" s="424">
        <f ca="1">INDEX(T_Merger!__IVA,_AmortizacionesTablaCliente)</f>
        <v>9.3859853222966188E-15</v>
      </c>
      <c r="G193" s="424">
        <f ca="1">INDEX(T_Merger!__Pago,_AmortizacionesTablaCliente)</f>
        <v>8.7602529674768438E-14</v>
      </c>
      <c r="H193" s="556">
        <v>0</v>
      </c>
      <c r="I193" s="425">
        <f ca="1">INDEX(T_Merger!__Saldo_Final,_AmortizacionesTablaCliente)</f>
        <v>7.2759576141834259E-12</v>
      </c>
    </row>
    <row r="194" spans="1:9" hidden="1" x14ac:dyDescent="0.3">
      <c r="A194" s="422">
        <v>175</v>
      </c>
      <c r="B194" s="423">
        <f t="shared" si="2"/>
        <v>47711</v>
      </c>
      <c r="C194" s="424">
        <f ca="1">INDEX(T_Merger!__Saldo_Inicial,_AmortizacionesTablaCliente)</f>
        <v>7.2759576141834259E-12</v>
      </c>
      <c r="D194" s="424">
        <f ca="1">INDEX(T_Merger!__Capital,_AmortizacionesTablaCliente)</f>
        <v>0</v>
      </c>
      <c r="E194" s="584">
        <f ca="1">INDEX(T_Merger!__Interes,_AmortizacionesTablaCliente)</f>
        <v>7.8216544352471822E-14</v>
      </c>
      <c r="F194" s="424">
        <f ca="1">INDEX(T_Merger!__IVA,_AmortizacionesTablaCliente)</f>
        <v>9.3859853222966188E-15</v>
      </c>
      <c r="G194" s="424">
        <f ca="1">INDEX(T_Merger!__Pago,_AmortizacionesTablaCliente)</f>
        <v>8.7602529674768438E-14</v>
      </c>
      <c r="H194" s="556">
        <v>0</v>
      </c>
      <c r="I194" s="425">
        <f ca="1">INDEX(T_Merger!__Saldo_Final,_AmortizacionesTablaCliente)</f>
        <v>7.2759576141834259E-12</v>
      </c>
    </row>
    <row r="195" spans="1:9" hidden="1" x14ac:dyDescent="0.3">
      <c r="A195" s="422">
        <v>176</v>
      </c>
      <c r="B195" s="423">
        <f t="shared" si="2"/>
        <v>47742</v>
      </c>
      <c r="C195" s="424">
        <f ca="1">INDEX(T_Merger!__Saldo_Inicial,_AmortizacionesTablaCliente)</f>
        <v>7.2759576141834259E-12</v>
      </c>
      <c r="D195" s="424">
        <f ca="1">INDEX(T_Merger!__Capital,_AmortizacionesTablaCliente)</f>
        <v>0</v>
      </c>
      <c r="E195" s="584">
        <f ca="1">INDEX(T_Merger!__Interes,_AmortizacionesTablaCliente)</f>
        <v>7.8216544352471822E-14</v>
      </c>
      <c r="F195" s="424">
        <f ca="1">INDEX(T_Merger!__IVA,_AmortizacionesTablaCliente)</f>
        <v>9.3859853222966188E-15</v>
      </c>
      <c r="G195" s="424">
        <f ca="1">INDEX(T_Merger!__Pago,_AmortizacionesTablaCliente)</f>
        <v>8.7602529674768438E-14</v>
      </c>
      <c r="H195" s="556">
        <v>0</v>
      </c>
      <c r="I195" s="425">
        <f ca="1">INDEX(T_Merger!__Saldo_Final,_AmortizacionesTablaCliente)</f>
        <v>7.2759576141834259E-12</v>
      </c>
    </row>
    <row r="196" spans="1:9" hidden="1" x14ac:dyDescent="0.3">
      <c r="A196" s="422">
        <v>177</v>
      </c>
      <c r="B196" s="423">
        <f t="shared" si="2"/>
        <v>47772</v>
      </c>
      <c r="C196" s="424">
        <f ca="1">INDEX(T_Merger!__Saldo_Inicial,_AmortizacionesTablaCliente)</f>
        <v>7.2759576141834259E-12</v>
      </c>
      <c r="D196" s="424">
        <f ca="1">INDEX(T_Merger!__Capital,_AmortizacionesTablaCliente)</f>
        <v>0</v>
      </c>
      <c r="E196" s="584">
        <f ca="1">INDEX(T_Merger!__Interes,_AmortizacionesTablaCliente)</f>
        <v>7.8216544352471822E-14</v>
      </c>
      <c r="F196" s="424">
        <f ca="1">INDEX(T_Merger!__IVA,_AmortizacionesTablaCliente)</f>
        <v>9.3859853222966188E-15</v>
      </c>
      <c r="G196" s="424">
        <f ca="1">INDEX(T_Merger!__Pago,_AmortizacionesTablaCliente)</f>
        <v>8.7602529674768438E-14</v>
      </c>
      <c r="H196" s="556">
        <v>0</v>
      </c>
      <c r="I196" s="425">
        <f ca="1">INDEX(T_Merger!__Saldo_Final,_AmortizacionesTablaCliente)</f>
        <v>7.2759576141834259E-12</v>
      </c>
    </row>
    <row r="197" spans="1:9" hidden="1" x14ac:dyDescent="0.3">
      <c r="A197" s="422">
        <v>178</v>
      </c>
      <c r="B197" s="423">
        <f t="shared" si="2"/>
        <v>47803</v>
      </c>
      <c r="C197" s="424">
        <f ca="1">INDEX(T_Merger!__Saldo_Inicial,_AmortizacionesTablaCliente)</f>
        <v>7.2759576141834259E-12</v>
      </c>
      <c r="D197" s="424">
        <f ca="1">INDEX(T_Merger!__Capital,_AmortizacionesTablaCliente)</f>
        <v>0</v>
      </c>
      <c r="E197" s="584">
        <f ca="1">INDEX(T_Merger!__Interes,_AmortizacionesTablaCliente)</f>
        <v>7.8216544352471822E-14</v>
      </c>
      <c r="F197" s="424">
        <f ca="1">INDEX(T_Merger!__IVA,_AmortizacionesTablaCliente)</f>
        <v>9.3859853222966188E-15</v>
      </c>
      <c r="G197" s="424">
        <f ca="1">INDEX(T_Merger!__Pago,_AmortizacionesTablaCliente)</f>
        <v>8.7602529674768438E-14</v>
      </c>
      <c r="H197" s="556">
        <v>0</v>
      </c>
      <c r="I197" s="425">
        <f ca="1">INDEX(T_Merger!__Saldo_Final,_AmortizacionesTablaCliente)</f>
        <v>7.2759576141834259E-12</v>
      </c>
    </row>
    <row r="198" spans="1:9" hidden="1" x14ac:dyDescent="0.3">
      <c r="A198" s="422">
        <v>179</v>
      </c>
      <c r="B198" s="423">
        <f t="shared" si="2"/>
        <v>47833</v>
      </c>
      <c r="C198" s="424">
        <f ca="1">INDEX(T_Merger!__Saldo_Inicial,_AmortizacionesTablaCliente)</f>
        <v>7.2759576141834259E-12</v>
      </c>
      <c r="D198" s="424">
        <f ca="1">INDEX(T_Merger!__Capital,_AmortizacionesTablaCliente)</f>
        <v>0</v>
      </c>
      <c r="E198" s="584">
        <f ca="1">INDEX(T_Merger!__Interes,_AmortizacionesTablaCliente)</f>
        <v>7.8216544352471822E-14</v>
      </c>
      <c r="F198" s="424">
        <f ca="1">INDEX(T_Merger!__IVA,_AmortizacionesTablaCliente)</f>
        <v>9.3859853222966188E-15</v>
      </c>
      <c r="G198" s="424">
        <f ca="1">INDEX(T_Merger!__Pago,_AmortizacionesTablaCliente)</f>
        <v>8.7602529674768438E-14</v>
      </c>
      <c r="H198" s="556">
        <v>0</v>
      </c>
      <c r="I198" s="425">
        <f ca="1">INDEX(T_Merger!__Saldo_Final,_AmortizacionesTablaCliente)</f>
        <v>7.2759576141834259E-12</v>
      </c>
    </row>
    <row r="199" spans="1:9" hidden="1" x14ac:dyDescent="0.3">
      <c r="A199" s="422">
        <v>180</v>
      </c>
      <c r="B199" s="423">
        <f t="shared" si="2"/>
        <v>47864</v>
      </c>
      <c r="C199" s="424">
        <f ca="1">INDEX(T_Merger!__Saldo_Inicial,_AmortizacionesTablaCliente)</f>
        <v>7.2759576141834259E-12</v>
      </c>
      <c r="D199" s="424">
        <f ca="1">INDEX(T_Merger!__Capital,_AmortizacionesTablaCliente)</f>
        <v>0</v>
      </c>
      <c r="E199" s="584">
        <f ca="1">INDEX(T_Merger!__Interes,_AmortizacionesTablaCliente)</f>
        <v>7.8216544352471822E-14</v>
      </c>
      <c r="F199" s="424">
        <f ca="1">INDEX(T_Merger!__IVA,_AmortizacionesTablaCliente)</f>
        <v>9.3859853222966188E-15</v>
      </c>
      <c r="G199" s="424">
        <f ca="1">INDEX(T_Merger!__Pago,_AmortizacionesTablaCliente)</f>
        <v>8.7602529674768438E-14</v>
      </c>
      <c r="H199" s="556">
        <v>0</v>
      </c>
      <c r="I199" s="425">
        <f ca="1">INDEX(T_Merger!__Saldo_Final,_AmortizacionesTablaCliente)</f>
        <v>7.2759576141834259E-12</v>
      </c>
    </row>
    <row r="200" spans="1:9" hidden="1" x14ac:dyDescent="0.3">
      <c r="A200" s="422">
        <v>181</v>
      </c>
      <c r="B200" s="423">
        <f t="shared" si="2"/>
        <v>47895</v>
      </c>
      <c r="C200" s="424">
        <f ca="1">INDEX(T_Merger!__Saldo_Inicial,_AmortizacionesTablaCliente)</f>
        <v>7.2759576141834259E-12</v>
      </c>
      <c r="D200" s="424">
        <f ca="1">INDEX(T_Merger!__Capital,_AmortizacionesTablaCliente)</f>
        <v>0</v>
      </c>
      <c r="E200" s="584">
        <f ca="1">INDEX(T_Merger!__Interes,_AmortizacionesTablaCliente)</f>
        <v>7.8216544352471822E-14</v>
      </c>
      <c r="F200" s="424">
        <f ca="1">INDEX(T_Merger!__IVA,_AmortizacionesTablaCliente)</f>
        <v>9.3859853222966188E-15</v>
      </c>
      <c r="G200" s="424">
        <f ca="1">INDEX(T_Merger!__Pago,_AmortizacionesTablaCliente)</f>
        <v>8.7602529674768438E-14</v>
      </c>
      <c r="H200" s="556">
        <v>0</v>
      </c>
      <c r="I200" s="425">
        <f ca="1">INDEX(T_Merger!__Saldo_Final,_AmortizacionesTablaCliente)</f>
        <v>7.2759576141834259E-12</v>
      </c>
    </row>
    <row r="201" spans="1:9" hidden="1" x14ac:dyDescent="0.3">
      <c r="A201" s="422">
        <v>182</v>
      </c>
      <c r="B201" s="423">
        <f t="shared" si="2"/>
        <v>47923</v>
      </c>
      <c r="C201" s="424">
        <f ca="1">INDEX(T_Merger!__Saldo_Inicial,_AmortizacionesTablaCliente)</f>
        <v>7.2759576141834259E-12</v>
      </c>
      <c r="D201" s="424">
        <f ca="1">INDEX(T_Merger!__Capital,_AmortizacionesTablaCliente)</f>
        <v>0</v>
      </c>
      <c r="E201" s="584">
        <f ca="1">INDEX(T_Merger!__Interes,_AmortizacionesTablaCliente)</f>
        <v>7.8216544352471822E-14</v>
      </c>
      <c r="F201" s="424">
        <f ca="1">INDEX(T_Merger!__IVA,_AmortizacionesTablaCliente)</f>
        <v>9.3859853222966188E-15</v>
      </c>
      <c r="G201" s="424">
        <f ca="1">INDEX(T_Merger!__Pago,_AmortizacionesTablaCliente)</f>
        <v>8.7602529674768438E-14</v>
      </c>
      <c r="H201" s="556">
        <v>0</v>
      </c>
      <c r="I201" s="425">
        <f ca="1">INDEX(T_Merger!__Saldo_Final,_AmortizacionesTablaCliente)</f>
        <v>7.2759576141834259E-12</v>
      </c>
    </row>
    <row r="202" spans="1:9" hidden="1" x14ac:dyDescent="0.3">
      <c r="A202" s="422">
        <v>183</v>
      </c>
      <c r="B202" s="423">
        <f t="shared" si="2"/>
        <v>47954</v>
      </c>
      <c r="C202" s="424">
        <f ca="1">INDEX(T_Merger!__Saldo_Inicial,_AmortizacionesTablaCliente)</f>
        <v>7.2759576141834259E-12</v>
      </c>
      <c r="D202" s="424">
        <f ca="1">INDEX(T_Merger!__Capital,_AmortizacionesTablaCliente)</f>
        <v>0</v>
      </c>
      <c r="E202" s="584">
        <f ca="1">INDEX(T_Merger!__Interes,_AmortizacionesTablaCliente)</f>
        <v>7.8216544352471822E-14</v>
      </c>
      <c r="F202" s="424">
        <f ca="1">INDEX(T_Merger!__IVA,_AmortizacionesTablaCliente)</f>
        <v>9.3859853222966188E-15</v>
      </c>
      <c r="G202" s="424">
        <f ca="1">INDEX(T_Merger!__Pago,_AmortizacionesTablaCliente)</f>
        <v>8.7602529674768438E-14</v>
      </c>
      <c r="H202" s="556">
        <v>0</v>
      </c>
      <c r="I202" s="425">
        <f ca="1">INDEX(T_Merger!__Saldo_Final,_AmortizacionesTablaCliente)</f>
        <v>7.2759576141834259E-12</v>
      </c>
    </row>
    <row r="203" spans="1:9" hidden="1" x14ac:dyDescent="0.3">
      <c r="A203" s="422">
        <v>184</v>
      </c>
      <c r="B203" s="423">
        <f t="shared" si="2"/>
        <v>47984</v>
      </c>
      <c r="C203" s="424">
        <f ca="1">INDEX(T_Merger!__Saldo_Inicial,_AmortizacionesTablaCliente)</f>
        <v>7.2759576141834259E-12</v>
      </c>
      <c r="D203" s="424">
        <f ca="1">INDEX(T_Merger!__Capital,_AmortizacionesTablaCliente)</f>
        <v>0</v>
      </c>
      <c r="E203" s="584">
        <f ca="1">INDEX(T_Merger!__Interes,_AmortizacionesTablaCliente)</f>
        <v>7.8216544352471822E-14</v>
      </c>
      <c r="F203" s="424">
        <f ca="1">INDEX(T_Merger!__IVA,_AmortizacionesTablaCliente)</f>
        <v>9.3859853222966188E-15</v>
      </c>
      <c r="G203" s="424">
        <f ca="1">INDEX(T_Merger!__Pago,_AmortizacionesTablaCliente)</f>
        <v>8.7602529674768438E-14</v>
      </c>
      <c r="H203" s="556">
        <v>0</v>
      </c>
      <c r="I203" s="425">
        <f ca="1">INDEX(T_Merger!__Saldo_Final,_AmortizacionesTablaCliente)</f>
        <v>7.2759576141834259E-12</v>
      </c>
    </row>
    <row r="204" spans="1:9" hidden="1" x14ac:dyDescent="0.3">
      <c r="A204" s="422">
        <v>185</v>
      </c>
      <c r="B204" s="423">
        <f t="shared" si="2"/>
        <v>48015</v>
      </c>
      <c r="C204" s="424">
        <f ca="1">INDEX(T_Merger!__Saldo_Inicial,_AmortizacionesTablaCliente)</f>
        <v>7.2759576141834259E-12</v>
      </c>
      <c r="D204" s="424">
        <f ca="1">INDEX(T_Merger!__Capital,_AmortizacionesTablaCliente)</f>
        <v>0</v>
      </c>
      <c r="E204" s="584">
        <f ca="1">INDEX(T_Merger!__Interes,_AmortizacionesTablaCliente)</f>
        <v>7.8216544352471822E-14</v>
      </c>
      <c r="F204" s="424">
        <f ca="1">INDEX(T_Merger!__IVA,_AmortizacionesTablaCliente)</f>
        <v>9.3859853222966188E-15</v>
      </c>
      <c r="G204" s="424">
        <f ca="1">INDEX(T_Merger!__Pago,_AmortizacionesTablaCliente)</f>
        <v>8.7602529674768438E-14</v>
      </c>
      <c r="H204" s="556">
        <v>0</v>
      </c>
      <c r="I204" s="425">
        <f ca="1">INDEX(T_Merger!__Saldo_Final,_AmortizacionesTablaCliente)</f>
        <v>7.2759576141834259E-12</v>
      </c>
    </row>
    <row r="205" spans="1:9" hidden="1" x14ac:dyDescent="0.3">
      <c r="A205" s="422">
        <v>186</v>
      </c>
      <c r="B205" s="423">
        <f t="shared" si="2"/>
        <v>48045</v>
      </c>
      <c r="C205" s="424">
        <f ca="1">INDEX(T_Merger!__Saldo_Inicial,_AmortizacionesTablaCliente)</f>
        <v>7.2759576141834259E-12</v>
      </c>
      <c r="D205" s="424">
        <f ca="1">INDEX(T_Merger!__Capital,_AmortizacionesTablaCliente)</f>
        <v>0</v>
      </c>
      <c r="E205" s="584">
        <f ca="1">INDEX(T_Merger!__Interes,_AmortizacionesTablaCliente)</f>
        <v>7.8216544352471822E-14</v>
      </c>
      <c r="F205" s="424">
        <f ca="1">INDEX(T_Merger!__IVA,_AmortizacionesTablaCliente)</f>
        <v>9.3859853222966188E-15</v>
      </c>
      <c r="G205" s="424">
        <f ca="1">INDEX(T_Merger!__Pago,_AmortizacionesTablaCliente)</f>
        <v>8.7602529674768438E-14</v>
      </c>
      <c r="H205" s="556">
        <v>0</v>
      </c>
      <c r="I205" s="425">
        <f ca="1">INDEX(T_Merger!__Saldo_Final,_AmortizacionesTablaCliente)</f>
        <v>7.2759576141834259E-12</v>
      </c>
    </row>
    <row r="206" spans="1:9" hidden="1" x14ac:dyDescent="0.3">
      <c r="A206" s="422">
        <v>187</v>
      </c>
      <c r="B206" s="423">
        <f t="shared" si="2"/>
        <v>48076</v>
      </c>
      <c r="C206" s="424">
        <f ca="1">INDEX(T_Merger!__Saldo_Inicial,_AmortizacionesTablaCliente)</f>
        <v>7.2759576141834259E-12</v>
      </c>
      <c r="D206" s="424">
        <f ca="1">INDEX(T_Merger!__Capital,_AmortizacionesTablaCliente)</f>
        <v>0</v>
      </c>
      <c r="E206" s="584">
        <f ca="1">INDEX(T_Merger!__Interes,_AmortizacionesTablaCliente)</f>
        <v>7.8216544352471822E-14</v>
      </c>
      <c r="F206" s="424">
        <f ca="1">INDEX(T_Merger!__IVA,_AmortizacionesTablaCliente)</f>
        <v>9.3859853222966188E-15</v>
      </c>
      <c r="G206" s="424">
        <f ca="1">INDEX(T_Merger!__Pago,_AmortizacionesTablaCliente)</f>
        <v>8.7602529674768438E-14</v>
      </c>
      <c r="H206" s="556">
        <v>0</v>
      </c>
      <c r="I206" s="425">
        <f ca="1">INDEX(T_Merger!__Saldo_Final,_AmortizacionesTablaCliente)</f>
        <v>7.2759576141834259E-12</v>
      </c>
    </row>
    <row r="207" spans="1:9" hidden="1" x14ac:dyDescent="0.3">
      <c r="A207" s="422">
        <v>188</v>
      </c>
      <c r="B207" s="423">
        <f t="shared" si="2"/>
        <v>48107</v>
      </c>
      <c r="C207" s="424">
        <f ca="1">INDEX(T_Merger!__Saldo_Inicial,_AmortizacionesTablaCliente)</f>
        <v>7.2759576141834259E-12</v>
      </c>
      <c r="D207" s="424">
        <f ca="1">INDEX(T_Merger!__Capital,_AmortizacionesTablaCliente)</f>
        <v>0</v>
      </c>
      <c r="E207" s="584">
        <f ca="1">INDEX(T_Merger!__Interes,_AmortizacionesTablaCliente)</f>
        <v>7.8216544352471822E-14</v>
      </c>
      <c r="F207" s="424">
        <f ca="1">INDEX(T_Merger!__IVA,_AmortizacionesTablaCliente)</f>
        <v>9.3859853222966188E-15</v>
      </c>
      <c r="G207" s="424">
        <f ca="1">INDEX(T_Merger!__Pago,_AmortizacionesTablaCliente)</f>
        <v>8.7602529674768438E-14</v>
      </c>
      <c r="H207" s="556">
        <v>0</v>
      </c>
      <c r="I207" s="425">
        <f ca="1">INDEX(T_Merger!__Saldo_Final,_AmortizacionesTablaCliente)</f>
        <v>7.2759576141834259E-12</v>
      </c>
    </row>
    <row r="208" spans="1:9" hidden="1" x14ac:dyDescent="0.3">
      <c r="A208" s="422">
        <v>189</v>
      </c>
      <c r="B208" s="423">
        <f t="shared" si="2"/>
        <v>48137</v>
      </c>
      <c r="C208" s="424">
        <f ca="1">INDEX(T_Merger!__Saldo_Inicial,_AmortizacionesTablaCliente)</f>
        <v>7.2759576141834259E-12</v>
      </c>
      <c r="D208" s="424">
        <f ca="1">INDEX(T_Merger!__Capital,_AmortizacionesTablaCliente)</f>
        <v>0</v>
      </c>
      <c r="E208" s="584">
        <f ca="1">INDEX(T_Merger!__Interes,_AmortizacionesTablaCliente)</f>
        <v>7.8216544352471822E-14</v>
      </c>
      <c r="F208" s="424">
        <f ca="1">INDEX(T_Merger!__IVA,_AmortizacionesTablaCliente)</f>
        <v>9.3859853222966188E-15</v>
      </c>
      <c r="G208" s="424">
        <f ca="1">INDEX(T_Merger!__Pago,_AmortizacionesTablaCliente)</f>
        <v>8.7602529674768438E-14</v>
      </c>
      <c r="H208" s="556">
        <v>0</v>
      </c>
      <c r="I208" s="425">
        <f ca="1">INDEX(T_Merger!__Saldo_Final,_AmortizacionesTablaCliente)</f>
        <v>7.2759576141834259E-12</v>
      </c>
    </row>
    <row r="209" spans="1:9" hidden="1" x14ac:dyDescent="0.3">
      <c r="A209" s="422">
        <v>190</v>
      </c>
      <c r="B209" s="423">
        <f t="shared" si="2"/>
        <v>48168</v>
      </c>
      <c r="C209" s="424">
        <f ca="1">INDEX(T_Merger!__Saldo_Inicial,_AmortizacionesTablaCliente)</f>
        <v>7.2759576141834259E-12</v>
      </c>
      <c r="D209" s="424">
        <f ca="1">INDEX(T_Merger!__Capital,_AmortizacionesTablaCliente)</f>
        <v>0</v>
      </c>
      <c r="E209" s="584">
        <f ca="1">INDEX(T_Merger!__Interes,_AmortizacionesTablaCliente)</f>
        <v>7.8216544352471822E-14</v>
      </c>
      <c r="F209" s="424">
        <f ca="1">INDEX(T_Merger!__IVA,_AmortizacionesTablaCliente)</f>
        <v>9.3859853222966188E-15</v>
      </c>
      <c r="G209" s="424">
        <f ca="1">INDEX(T_Merger!__Pago,_AmortizacionesTablaCliente)</f>
        <v>8.7602529674768438E-14</v>
      </c>
      <c r="H209" s="556">
        <v>0</v>
      </c>
      <c r="I209" s="425">
        <f ca="1">INDEX(T_Merger!__Saldo_Final,_AmortizacionesTablaCliente)</f>
        <v>7.2759576141834259E-12</v>
      </c>
    </row>
    <row r="210" spans="1:9" hidden="1" x14ac:dyDescent="0.3">
      <c r="A210" s="422">
        <v>191</v>
      </c>
      <c r="B210" s="423">
        <f t="shared" si="2"/>
        <v>48198</v>
      </c>
      <c r="C210" s="424">
        <f ca="1">INDEX(T_Merger!__Saldo_Inicial,_AmortizacionesTablaCliente)</f>
        <v>7.2759576141834259E-12</v>
      </c>
      <c r="D210" s="424">
        <f ca="1">INDEX(T_Merger!__Capital,_AmortizacionesTablaCliente)</f>
        <v>0</v>
      </c>
      <c r="E210" s="584">
        <f ca="1">INDEX(T_Merger!__Interes,_AmortizacionesTablaCliente)</f>
        <v>7.8216544352471822E-14</v>
      </c>
      <c r="F210" s="424">
        <f ca="1">INDEX(T_Merger!__IVA,_AmortizacionesTablaCliente)</f>
        <v>9.3859853222966188E-15</v>
      </c>
      <c r="G210" s="424">
        <f ca="1">INDEX(T_Merger!__Pago,_AmortizacionesTablaCliente)</f>
        <v>8.7602529674768438E-14</v>
      </c>
      <c r="H210" s="556">
        <v>0</v>
      </c>
      <c r="I210" s="425">
        <f ca="1">INDEX(T_Merger!__Saldo_Final,_AmortizacionesTablaCliente)</f>
        <v>7.2759576141834259E-12</v>
      </c>
    </row>
    <row r="211" spans="1:9" hidden="1" x14ac:dyDescent="0.3">
      <c r="A211" s="422">
        <v>192</v>
      </c>
      <c r="B211" s="423">
        <f t="shared" si="2"/>
        <v>48229</v>
      </c>
      <c r="C211" s="424">
        <f ca="1">INDEX(T_Merger!__Saldo_Inicial,_AmortizacionesTablaCliente)</f>
        <v>7.2759576141834259E-12</v>
      </c>
      <c r="D211" s="424">
        <f ca="1">INDEX(T_Merger!__Capital,_AmortizacionesTablaCliente)</f>
        <v>0</v>
      </c>
      <c r="E211" s="584">
        <f ca="1">INDEX(T_Merger!__Interes,_AmortizacionesTablaCliente)</f>
        <v>7.8216544352471822E-14</v>
      </c>
      <c r="F211" s="424">
        <f ca="1">INDEX(T_Merger!__IVA,_AmortizacionesTablaCliente)</f>
        <v>9.3859853222966188E-15</v>
      </c>
      <c r="G211" s="424">
        <f ca="1">INDEX(T_Merger!__Pago,_AmortizacionesTablaCliente)</f>
        <v>8.7602529674768438E-14</v>
      </c>
      <c r="H211" s="556">
        <v>0</v>
      </c>
      <c r="I211" s="425">
        <f ca="1">INDEX(T_Merger!__Saldo_Final,_AmortizacionesTablaCliente)</f>
        <v>7.2759576141834259E-12</v>
      </c>
    </row>
    <row r="212" spans="1:9" hidden="1" x14ac:dyDescent="0.3">
      <c r="A212" s="422">
        <v>193</v>
      </c>
      <c r="B212" s="423">
        <f t="shared" ref="B212:B279" si="3">INDEX(Fechas_Pago,_AmortizacionesTablaCliente)</f>
        <v>48260</v>
      </c>
      <c r="C212" s="424">
        <f ca="1">INDEX(T_Merger!__Saldo_Inicial,_AmortizacionesTablaCliente)</f>
        <v>7.2759576141834259E-12</v>
      </c>
      <c r="D212" s="424">
        <f ca="1">INDEX(T_Merger!__Capital,_AmortizacionesTablaCliente)</f>
        <v>0</v>
      </c>
      <c r="E212" s="584">
        <f ca="1">INDEX(T_Merger!__Interes,_AmortizacionesTablaCliente)</f>
        <v>7.8216544352471822E-14</v>
      </c>
      <c r="F212" s="424">
        <f ca="1">INDEX(T_Merger!__IVA,_AmortizacionesTablaCliente)</f>
        <v>9.3859853222966188E-15</v>
      </c>
      <c r="G212" s="424">
        <f ca="1">INDEX(T_Merger!__Pago,_AmortizacionesTablaCliente)</f>
        <v>8.7602529674768438E-14</v>
      </c>
      <c r="H212" s="556">
        <v>0</v>
      </c>
      <c r="I212" s="425">
        <f ca="1">INDEX(T_Merger!__Saldo_Final,_AmortizacionesTablaCliente)</f>
        <v>7.2759576141834259E-12</v>
      </c>
    </row>
    <row r="213" spans="1:9" hidden="1" x14ac:dyDescent="0.3">
      <c r="A213" s="422">
        <v>194</v>
      </c>
      <c r="B213" s="423">
        <f t="shared" si="3"/>
        <v>48289</v>
      </c>
      <c r="C213" s="424">
        <f ca="1">INDEX(T_Merger!__Saldo_Inicial,_AmortizacionesTablaCliente)</f>
        <v>7.2759576141834259E-12</v>
      </c>
      <c r="D213" s="424">
        <f ca="1">INDEX(T_Merger!__Capital,_AmortizacionesTablaCliente)</f>
        <v>0</v>
      </c>
      <c r="E213" s="584">
        <f ca="1">INDEX(T_Merger!__Interes,_AmortizacionesTablaCliente)</f>
        <v>7.8216544352471822E-14</v>
      </c>
      <c r="F213" s="424">
        <f ca="1">INDEX(T_Merger!__IVA,_AmortizacionesTablaCliente)</f>
        <v>9.3859853222966188E-15</v>
      </c>
      <c r="G213" s="424">
        <f ca="1">INDEX(T_Merger!__Pago,_AmortizacionesTablaCliente)</f>
        <v>8.7602529674768438E-14</v>
      </c>
      <c r="H213" s="556">
        <v>0</v>
      </c>
      <c r="I213" s="425">
        <f ca="1">INDEX(T_Merger!__Saldo_Final,_AmortizacionesTablaCliente)</f>
        <v>7.2759576141834259E-12</v>
      </c>
    </row>
    <row r="214" spans="1:9" hidden="1" x14ac:dyDescent="0.3">
      <c r="A214" s="422">
        <v>195</v>
      </c>
      <c r="B214" s="423">
        <f t="shared" si="3"/>
        <v>48320</v>
      </c>
      <c r="C214" s="424">
        <f ca="1">INDEX(T_Merger!__Saldo_Inicial,_AmortizacionesTablaCliente)</f>
        <v>7.2759576141834259E-12</v>
      </c>
      <c r="D214" s="424">
        <f ca="1">INDEX(T_Merger!__Capital,_AmortizacionesTablaCliente)</f>
        <v>0</v>
      </c>
      <c r="E214" s="584">
        <f ca="1">INDEX(T_Merger!__Interes,_AmortizacionesTablaCliente)</f>
        <v>7.8216544352471822E-14</v>
      </c>
      <c r="F214" s="424">
        <f ca="1">INDEX(T_Merger!__IVA,_AmortizacionesTablaCliente)</f>
        <v>9.3859853222966188E-15</v>
      </c>
      <c r="G214" s="424">
        <f ca="1">INDEX(T_Merger!__Pago,_AmortizacionesTablaCliente)</f>
        <v>8.7602529674768438E-14</v>
      </c>
      <c r="H214" s="556">
        <v>0</v>
      </c>
      <c r="I214" s="425">
        <f ca="1">INDEX(T_Merger!__Saldo_Final,_AmortizacionesTablaCliente)</f>
        <v>7.2759576141834259E-12</v>
      </c>
    </row>
    <row r="215" spans="1:9" hidden="1" x14ac:dyDescent="0.3">
      <c r="A215" s="422">
        <v>196</v>
      </c>
      <c r="B215" s="423">
        <f t="shared" si="3"/>
        <v>48350</v>
      </c>
      <c r="C215" s="424">
        <f ca="1">INDEX(T_Merger!__Saldo_Inicial,_AmortizacionesTablaCliente)</f>
        <v>7.2759576141834259E-12</v>
      </c>
      <c r="D215" s="424">
        <f ca="1">INDEX(T_Merger!__Capital,_AmortizacionesTablaCliente)</f>
        <v>0</v>
      </c>
      <c r="E215" s="584">
        <f ca="1">INDEX(T_Merger!__Interes,_AmortizacionesTablaCliente)</f>
        <v>7.8216544352471822E-14</v>
      </c>
      <c r="F215" s="424">
        <f ca="1">INDEX(T_Merger!__IVA,_AmortizacionesTablaCliente)</f>
        <v>9.3859853222966188E-15</v>
      </c>
      <c r="G215" s="424">
        <f ca="1">INDEX(T_Merger!__Pago,_AmortizacionesTablaCliente)</f>
        <v>8.7602529674768438E-14</v>
      </c>
      <c r="H215" s="556">
        <v>0</v>
      </c>
      <c r="I215" s="425">
        <f ca="1">INDEX(T_Merger!__Saldo_Final,_AmortizacionesTablaCliente)</f>
        <v>7.2759576141834259E-12</v>
      </c>
    </row>
    <row r="216" spans="1:9" hidden="1" x14ac:dyDescent="0.3">
      <c r="A216" s="422">
        <v>197</v>
      </c>
      <c r="B216" s="423">
        <f t="shared" si="3"/>
        <v>48381</v>
      </c>
      <c r="C216" s="424">
        <f ca="1">INDEX(T_Merger!__Saldo_Inicial,_AmortizacionesTablaCliente)</f>
        <v>7.2759576141834259E-12</v>
      </c>
      <c r="D216" s="424">
        <f ca="1">INDEX(T_Merger!__Capital,_AmortizacionesTablaCliente)</f>
        <v>0</v>
      </c>
      <c r="E216" s="584">
        <f ca="1">INDEX(T_Merger!__Interes,_AmortizacionesTablaCliente)</f>
        <v>7.8216544352471822E-14</v>
      </c>
      <c r="F216" s="424">
        <f ca="1">INDEX(T_Merger!__IVA,_AmortizacionesTablaCliente)</f>
        <v>9.3859853222966188E-15</v>
      </c>
      <c r="G216" s="424">
        <f ca="1">INDEX(T_Merger!__Pago,_AmortizacionesTablaCliente)</f>
        <v>8.7602529674768438E-14</v>
      </c>
      <c r="H216" s="556">
        <v>0</v>
      </c>
      <c r="I216" s="425">
        <f ca="1">INDEX(T_Merger!__Saldo_Final,_AmortizacionesTablaCliente)</f>
        <v>7.2759576141834259E-12</v>
      </c>
    </row>
    <row r="217" spans="1:9" hidden="1" x14ac:dyDescent="0.3">
      <c r="A217" s="422">
        <v>198</v>
      </c>
      <c r="B217" s="423">
        <f t="shared" si="3"/>
        <v>48411</v>
      </c>
      <c r="C217" s="424">
        <f ca="1">INDEX(T_Merger!__Saldo_Inicial,_AmortizacionesTablaCliente)</f>
        <v>7.2759576141834259E-12</v>
      </c>
      <c r="D217" s="424">
        <f ca="1">INDEX(T_Merger!__Capital,_AmortizacionesTablaCliente)</f>
        <v>0</v>
      </c>
      <c r="E217" s="584">
        <f ca="1">INDEX(T_Merger!__Interes,_AmortizacionesTablaCliente)</f>
        <v>7.8216544352471822E-14</v>
      </c>
      <c r="F217" s="424">
        <f ca="1">INDEX(T_Merger!__IVA,_AmortizacionesTablaCliente)</f>
        <v>9.3859853222966188E-15</v>
      </c>
      <c r="G217" s="424">
        <f ca="1">INDEX(T_Merger!__Pago,_AmortizacionesTablaCliente)</f>
        <v>8.7602529674768438E-14</v>
      </c>
      <c r="H217" s="556">
        <v>0</v>
      </c>
      <c r="I217" s="425">
        <f ca="1">INDEX(T_Merger!__Saldo_Final,_AmortizacionesTablaCliente)</f>
        <v>7.2759576141834259E-12</v>
      </c>
    </row>
    <row r="218" spans="1:9" hidden="1" x14ac:dyDescent="0.3">
      <c r="A218" s="422">
        <v>199</v>
      </c>
      <c r="B218" s="423">
        <f t="shared" si="3"/>
        <v>48442</v>
      </c>
      <c r="C218" s="424">
        <f ca="1">INDEX(T_Merger!__Saldo_Inicial,_AmortizacionesTablaCliente)</f>
        <v>7.2759576141834259E-12</v>
      </c>
      <c r="D218" s="424">
        <f ca="1">INDEX(T_Merger!__Capital,_AmortizacionesTablaCliente)</f>
        <v>0</v>
      </c>
      <c r="E218" s="584">
        <f ca="1">INDEX(T_Merger!__Interes,_AmortizacionesTablaCliente)</f>
        <v>7.8216544352471822E-14</v>
      </c>
      <c r="F218" s="424">
        <f ca="1">INDEX(T_Merger!__IVA,_AmortizacionesTablaCliente)</f>
        <v>9.3859853222966188E-15</v>
      </c>
      <c r="G218" s="424">
        <f ca="1">INDEX(T_Merger!__Pago,_AmortizacionesTablaCliente)</f>
        <v>8.7602529674768438E-14</v>
      </c>
      <c r="H218" s="556">
        <v>0</v>
      </c>
      <c r="I218" s="425">
        <f ca="1">INDEX(T_Merger!__Saldo_Final,_AmortizacionesTablaCliente)</f>
        <v>7.2759576141834259E-12</v>
      </c>
    </row>
    <row r="219" spans="1:9" hidden="1" x14ac:dyDescent="0.3">
      <c r="A219" s="422">
        <v>200</v>
      </c>
      <c r="B219" s="423">
        <f t="shared" si="3"/>
        <v>48473</v>
      </c>
      <c r="C219" s="424">
        <f ca="1">INDEX(T_Merger!__Saldo_Inicial,_AmortizacionesTablaCliente)</f>
        <v>7.2759576141834259E-12</v>
      </c>
      <c r="D219" s="424">
        <f ca="1">INDEX(T_Merger!__Capital,_AmortizacionesTablaCliente)</f>
        <v>0</v>
      </c>
      <c r="E219" s="584">
        <f ca="1">INDEX(T_Merger!__Interes,_AmortizacionesTablaCliente)</f>
        <v>7.8216544352471822E-14</v>
      </c>
      <c r="F219" s="424">
        <f ca="1">INDEX(T_Merger!__IVA,_AmortizacionesTablaCliente)</f>
        <v>9.3859853222966188E-15</v>
      </c>
      <c r="G219" s="424">
        <f ca="1">INDEX(T_Merger!__Pago,_AmortizacionesTablaCliente)</f>
        <v>8.7602529674768438E-14</v>
      </c>
      <c r="H219" s="556">
        <v>0</v>
      </c>
      <c r="I219" s="425">
        <f ca="1">INDEX(T_Merger!__Saldo_Final,_AmortizacionesTablaCliente)</f>
        <v>7.2759576141834259E-12</v>
      </c>
    </row>
    <row r="220" spans="1:9" hidden="1" x14ac:dyDescent="0.3">
      <c r="A220" s="422">
        <v>201</v>
      </c>
      <c r="B220" s="423">
        <f t="shared" si="3"/>
        <v>48503</v>
      </c>
      <c r="C220" s="424">
        <f ca="1">INDEX(T_Merger!__Saldo_Inicial,_AmortizacionesTablaCliente)</f>
        <v>7.2759576141834259E-12</v>
      </c>
      <c r="D220" s="424">
        <f ca="1">INDEX(T_Merger!__Capital,_AmortizacionesTablaCliente)</f>
        <v>0</v>
      </c>
      <c r="E220" s="584">
        <f ca="1">INDEX(T_Merger!__Interes,_AmortizacionesTablaCliente)</f>
        <v>7.8216544352471822E-14</v>
      </c>
      <c r="F220" s="424">
        <f ca="1">INDEX(T_Merger!__IVA,_AmortizacionesTablaCliente)</f>
        <v>9.3859853222966188E-15</v>
      </c>
      <c r="G220" s="424">
        <f ca="1">INDEX(T_Merger!__Pago,_AmortizacionesTablaCliente)</f>
        <v>8.7602529674768438E-14</v>
      </c>
      <c r="H220" s="556">
        <v>0</v>
      </c>
      <c r="I220" s="425">
        <f ca="1">INDEX(T_Merger!__Saldo_Final,_AmortizacionesTablaCliente)</f>
        <v>7.2759576141834259E-12</v>
      </c>
    </row>
    <row r="221" spans="1:9" hidden="1" x14ac:dyDescent="0.3">
      <c r="A221" s="422">
        <v>202</v>
      </c>
      <c r="B221" s="423">
        <f t="shared" si="3"/>
        <v>48534</v>
      </c>
      <c r="C221" s="424">
        <f ca="1">INDEX(T_Merger!__Saldo_Inicial,_AmortizacionesTablaCliente)</f>
        <v>7.2759576141834259E-12</v>
      </c>
      <c r="D221" s="424">
        <f ca="1">INDEX(T_Merger!__Capital,_AmortizacionesTablaCliente)</f>
        <v>0</v>
      </c>
      <c r="E221" s="584">
        <f ca="1">INDEX(T_Merger!__Interes,_AmortizacionesTablaCliente)</f>
        <v>7.8216544352471822E-14</v>
      </c>
      <c r="F221" s="424">
        <f ca="1">INDEX(T_Merger!__IVA,_AmortizacionesTablaCliente)</f>
        <v>9.3859853222966188E-15</v>
      </c>
      <c r="G221" s="424">
        <f ca="1">INDEX(T_Merger!__Pago,_AmortizacionesTablaCliente)</f>
        <v>8.7602529674768438E-14</v>
      </c>
      <c r="H221" s="556">
        <v>0</v>
      </c>
      <c r="I221" s="425">
        <f ca="1">INDEX(T_Merger!__Saldo_Final,_AmortizacionesTablaCliente)</f>
        <v>7.2759576141834259E-12</v>
      </c>
    </row>
    <row r="222" spans="1:9" hidden="1" x14ac:dyDescent="0.3">
      <c r="A222" s="422">
        <v>203</v>
      </c>
      <c r="B222" s="423">
        <f t="shared" si="3"/>
        <v>48564</v>
      </c>
      <c r="C222" s="424">
        <f ca="1">INDEX(T_Merger!__Saldo_Inicial,_AmortizacionesTablaCliente)</f>
        <v>7.2759576141834259E-12</v>
      </c>
      <c r="D222" s="424">
        <f ca="1">INDEX(T_Merger!__Capital,_AmortizacionesTablaCliente)</f>
        <v>0</v>
      </c>
      <c r="E222" s="584">
        <f ca="1">INDEX(T_Merger!__Interes,_AmortizacionesTablaCliente)</f>
        <v>7.8216544352471822E-14</v>
      </c>
      <c r="F222" s="424">
        <f ca="1">INDEX(T_Merger!__IVA,_AmortizacionesTablaCliente)</f>
        <v>9.3859853222966188E-15</v>
      </c>
      <c r="G222" s="424">
        <f ca="1">INDEX(T_Merger!__Pago,_AmortizacionesTablaCliente)</f>
        <v>8.7602529674768438E-14</v>
      </c>
      <c r="H222" s="556">
        <v>0</v>
      </c>
      <c r="I222" s="425">
        <f ca="1">INDEX(T_Merger!__Saldo_Final,_AmortizacionesTablaCliente)</f>
        <v>7.2759576141834259E-12</v>
      </c>
    </row>
    <row r="223" spans="1:9" hidden="1" x14ac:dyDescent="0.3">
      <c r="A223" s="422">
        <v>204</v>
      </c>
      <c r="B223" s="423">
        <f t="shared" si="3"/>
        <v>48595</v>
      </c>
      <c r="C223" s="424">
        <f ca="1">INDEX(T_Merger!__Saldo_Inicial,_AmortizacionesTablaCliente)</f>
        <v>7.2759576141834259E-12</v>
      </c>
      <c r="D223" s="424">
        <f ca="1">INDEX(T_Merger!__Capital,_AmortizacionesTablaCliente)</f>
        <v>0</v>
      </c>
      <c r="E223" s="584">
        <f ca="1">INDEX(T_Merger!__Interes,_AmortizacionesTablaCliente)</f>
        <v>7.8216544352471822E-14</v>
      </c>
      <c r="F223" s="424">
        <f ca="1">INDEX(T_Merger!__IVA,_AmortizacionesTablaCliente)</f>
        <v>9.3859853222966188E-15</v>
      </c>
      <c r="G223" s="424">
        <f ca="1">INDEX(T_Merger!__Pago,_AmortizacionesTablaCliente)</f>
        <v>8.7602529674768438E-14</v>
      </c>
      <c r="H223" s="556">
        <v>0</v>
      </c>
      <c r="I223" s="425">
        <f ca="1">INDEX(T_Merger!__Saldo_Final,_AmortizacionesTablaCliente)</f>
        <v>7.2759576141834259E-12</v>
      </c>
    </row>
    <row r="224" spans="1:9" hidden="1" x14ac:dyDescent="0.3">
      <c r="A224" s="422">
        <v>205</v>
      </c>
      <c r="B224" s="423">
        <f t="shared" si="3"/>
        <v>48626</v>
      </c>
      <c r="C224" s="424">
        <f ca="1">INDEX(T_Merger!__Saldo_Inicial,_AmortizacionesTablaCliente)</f>
        <v>7.2759576141834259E-12</v>
      </c>
      <c r="D224" s="424">
        <f ca="1">INDEX(T_Merger!__Capital,_AmortizacionesTablaCliente)</f>
        <v>0</v>
      </c>
      <c r="E224" s="584">
        <f ca="1">INDEX(T_Merger!__Interes,_AmortizacionesTablaCliente)</f>
        <v>7.8216544352471822E-14</v>
      </c>
      <c r="F224" s="424">
        <f ca="1">INDEX(T_Merger!__IVA,_AmortizacionesTablaCliente)</f>
        <v>9.3859853222966188E-15</v>
      </c>
      <c r="G224" s="424">
        <f ca="1">INDEX(T_Merger!__Pago,_AmortizacionesTablaCliente)</f>
        <v>8.7602529674768438E-14</v>
      </c>
      <c r="H224" s="556">
        <v>0</v>
      </c>
      <c r="I224" s="425">
        <f ca="1">INDEX(T_Merger!__Saldo_Final,_AmortizacionesTablaCliente)</f>
        <v>7.2759576141834259E-12</v>
      </c>
    </row>
    <row r="225" spans="1:9" hidden="1" x14ac:dyDescent="0.3">
      <c r="A225" s="422">
        <v>206</v>
      </c>
      <c r="B225" s="423">
        <f t="shared" si="3"/>
        <v>48654</v>
      </c>
      <c r="C225" s="424">
        <f ca="1">INDEX(T_Merger!__Saldo_Inicial,_AmortizacionesTablaCliente)</f>
        <v>7.2759576141834259E-12</v>
      </c>
      <c r="D225" s="424">
        <f ca="1">INDEX(T_Merger!__Capital,_AmortizacionesTablaCliente)</f>
        <v>0</v>
      </c>
      <c r="E225" s="584">
        <f ca="1">INDEX(T_Merger!__Interes,_AmortizacionesTablaCliente)</f>
        <v>7.8216544352471822E-14</v>
      </c>
      <c r="F225" s="424">
        <f ca="1">INDEX(T_Merger!__IVA,_AmortizacionesTablaCliente)</f>
        <v>9.3859853222966188E-15</v>
      </c>
      <c r="G225" s="424">
        <f ca="1">INDEX(T_Merger!__Pago,_AmortizacionesTablaCliente)</f>
        <v>8.7602529674768438E-14</v>
      </c>
      <c r="H225" s="556">
        <v>0</v>
      </c>
      <c r="I225" s="425">
        <f ca="1">INDEX(T_Merger!__Saldo_Final,_AmortizacionesTablaCliente)</f>
        <v>7.2759576141834259E-12</v>
      </c>
    </row>
    <row r="226" spans="1:9" hidden="1" x14ac:dyDescent="0.3">
      <c r="A226" s="422">
        <v>207</v>
      </c>
      <c r="B226" s="423">
        <f t="shared" si="3"/>
        <v>48685</v>
      </c>
      <c r="C226" s="424">
        <f ca="1">INDEX(T_Merger!__Saldo_Inicial,_AmortizacionesTablaCliente)</f>
        <v>7.2759576141834259E-12</v>
      </c>
      <c r="D226" s="424">
        <f ca="1">INDEX(T_Merger!__Capital,_AmortizacionesTablaCliente)</f>
        <v>0</v>
      </c>
      <c r="E226" s="584">
        <f ca="1">INDEX(T_Merger!__Interes,_AmortizacionesTablaCliente)</f>
        <v>7.8216544352471822E-14</v>
      </c>
      <c r="F226" s="424">
        <f ca="1">INDEX(T_Merger!__IVA,_AmortizacionesTablaCliente)</f>
        <v>9.3859853222966188E-15</v>
      </c>
      <c r="G226" s="424">
        <f ca="1">INDEX(T_Merger!__Pago,_AmortizacionesTablaCliente)</f>
        <v>8.7602529674768438E-14</v>
      </c>
      <c r="H226" s="556">
        <v>0</v>
      </c>
      <c r="I226" s="425">
        <f ca="1">INDEX(T_Merger!__Saldo_Final,_AmortizacionesTablaCliente)</f>
        <v>7.2759576141834259E-12</v>
      </c>
    </row>
    <row r="227" spans="1:9" hidden="1" x14ac:dyDescent="0.3">
      <c r="A227" s="422">
        <v>208</v>
      </c>
      <c r="B227" s="423">
        <f t="shared" si="3"/>
        <v>48715</v>
      </c>
      <c r="C227" s="424">
        <f ca="1">INDEX(T_Merger!__Saldo_Inicial,_AmortizacionesTablaCliente)</f>
        <v>7.2759576141834259E-12</v>
      </c>
      <c r="D227" s="424">
        <f ca="1">INDEX(T_Merger!__Capital,_AmortizacionesTablaCliente)</f>
        <v>0</v>
      </c>
      <c r="E227" s="584">
        <f ca="1">INDEX(T_Merger!__Interes,_AmortizacionesTablaCliente)</f>
        <v>7.8216544352471822E-14</v>
      </c>
      <c r="F227" s="424">
        <f ca="1">INDEX(T_Merger!__IVA,_AmortizacionesTablaCliente)</f>
        <v>9.3859853222966188E-15</v>
      </c>
      <c r="G227" s="424">
        <f ca="1">INDEX(T_Merger!__Pago,_AmortizacionesTablaCliente)</f>
        <v>8.7602529674768438E-14</v>
      </c>
      <c r="H227" s="556">
        <v>0</v>
      </c>
      <c r="I227" s="425">
        <f ca="1">INDEX(T_Merger!__Saldo_Final,_AmortizacionesTablaCliente)</f>
        <v>7.2759576141834259E-12</v>
      </c>
    </row>
    <row r="228" spans="1:9" hidden="1" x14ac:dyDescent="0.3">
      <c r="A228" s="422">
        <v>209</v>
      </c>
      <c r="B228" s="423">
        <f t="shared" si="3"/>
        <v>48746</v>
      </c>
      <c r="C228" s="424">
        <f ca="1">INDEX(T_Merger!__Saldo_Inicial,_AmortizacionesTablaCliente)</f>
        <v>7.2759576141834259E-12</v>
      </c>
      <c r="D228" s="424">
        <f ca="1">INDEX(T_Merger!__Capital,_AmortizacionesTablaCliente)</f>
        <v>0</v>
      </c>
      <c r="E228" s="584">
        <f ca="1">INDEX(T_Merger!__Interes,_AmortizacionesTablaCliente)</f>
        <v>7.8216544352471822E-14</v>
      </c>
      <c r="F228" s="424">
        <f ca="1">INDEX(T_Merger!__IVA,_AmortizacionesTablaCliente)</f>
        <v>9.3859853222966188E-15</v>
      </c>
      <c r="G228" s="424">
        <f ca="1">INDEX(T_Merger!__Pago,_AmortizacionesTablaCliente)</f>
        <v>8.7602529674768438E-14</v>
      </c>
      <c r="H228" s="556">
        <v>0</v>
      </c>
      <c r="I228" s="425">
        <f ca="1">INDEX(T_Merger!__Saldo_Final,_AmortizacionesTablaCliente)</f>
        <v>7.2759576141834259E-12</v>
      </c>
    </row>
    <row r="229" spans="1:9" hidden="1" x14ac:dyDescent="0.3">
      <c r="A229" s="422">
        <v>210</v>
      </c>
      <c r="B229" s="423">
        <f t="shared" si="3"/>
        <v>48776</v>
      </c>
      <c r="C229" s="424">
        <f ca="1">INDEX(T_Merger!__Saldo_Inicial,_AmortizacionesTablaCliente)</f>
        <v>7.2759576141834259E-12</v>
      </c>
      <c r="D229" s="424">
        <f ca="1">INDEX(T_Merger!__Capital,_AmortizacionesTablaCliente)</f>
        <v>0</v>
      </c>
      <c r="E229" s="584">
        <f ca="1">INDEX(T_Merger!__Interes,_AmortizacionesTablaCliente)</f>
        <v>7.8216544352471822E-14</v>
      </c>
      <c r="F229" s="424">
        <f ca="1">INDEX(T_Merger!__IVA,_AmortizacionesTablaCliente)</f>
        <v>9.3859853222966188E-15</v>
      </c>
      <c r="G229" s="424">
        <f ca="1">INDEX(T_Merger!__Pago,_AmortizacionesTablaCliente)</f>
        <v>8.7602529674768438E-14</v>
      </c>
      <c r="H229" s="556">
        <v>0</v>
      </c>
      <c r="I229" s="425">
        <f ca="1">INDEX(T_Merger!__Saldo_Final,_AmortizacionesTablaCliente)</f>
        <v>7.2759576141834259E-12</v>
      </c>
    </row>
    <row r="230" spans="1:9" hidden="1" x14ac:dyDescent="0.3">
      <c r="A230" s="422">
        <v>211</v>
      </c>
      <c r="B230" s="423">
        <f t="shared" si="3"/>
        <v>48807</v>
      </c>
      <c r="C230" s="424">
        <f ca="1">INDEX(T_Merger!__Saldo_Inicial,_AmortizacionesTablaCliente)</f>
        <v>7.2759576141834259E-12</v>
      </c>
      <c r="D230" s="424">
        <f ca="1">INDEX(T_Merger!__Capital,_AmortizacionesTablaCliente)</f>
        <v>0</v>
      </c>
      <c r="E230" s="584">
        <f ca="1">INDEX(T_Merger!__Interes,_AmortizacionesTablaCliente)</f>
        <v>7.8216544352471822E-14</v>
      </c>
      <c r="F230" s="424">
        <f ca="1">INDEX(T_Merger!__IVA,_AmortizacionesTablaCliente)</f>
        <v>9.3859853222966188E-15</v>
      </c>
      <c r="G230" s="424">
        <f ca="1">INDEX(T_Merger!__Pago,_AmortizacionesTablaCliente)</f>
        <v>8.7602529674768438E-14</v>
      </c>
      <c r="H230" s="556">
        <v>0</v>
      </c>
      <c r="I230" s="425">
        <f ca="1">INDEX(T_Merger!__Saldo_Final,_AmortizacionesTablaCliente)</f>
        <v>7.2759576141834259E-12</v>
      </c>
    </row>
    <row r="231" spans="1:9" hidden="1" x14ac:dyDescent="0.3">
      <c r="A231" s="422">
        <v>212</v>
      </c>
      <c r="B231" s="423">
        <f t="shared" si="3"/>
        <v>48838</v>
      </c>
      <c r="C231" s="424">
        <f ca="1">INDEX(T_Merger!__Saldo_Inicial,_AmortizacionesTablaCliente)</f>
        <v>7.2759576141834259E-12</v>
      </c>
      <c r="D231" s="424">
        <f ca="1">INDEX(T_Merger!__Capital,_AmortizacionesTablaCliente)</f>
        <v>0</v>
      </c>
      <c r="E231" s="584">
        <f ca="1">INDEX(T_Merger!__Interes,_AmortizacionesTablaCliente)</f>
        <v>7.8216544352471822E-14</v>
      </c>
      <c r="F231" s="424">
        <f ca="1">INDEX(T_Merger!__IVA,_AmortizacionesTablaCliente)</f>
        <v>9.3859853222966188E-15</v>
      </c>
      <c r="G231" s="424">
        <f ca="1">INDEX(T_Merger!__Pago,_AmortizacionesTablaCliente)</f>
        <v>8.7602529674768438E-14</v>
      </c>
      <c r="H231" s="556">
        <v>0</v>
      </c>
      <c r="I231" s="425">
        <f ca="1">INDEX(T_Merger!__Saldo_Final,_AmortizacionesTablaCliente)</f>
        <v>7.2759576141834259E-12</v>
      </c>
    </row>
    <row r="232" spans="1:9" hidden="1" x14ac:dyDescent="0.3">
      <c r="A232" s="422">
        <v>213</v>
      </c>
      <c r="B232" s="423">
        <f t="shared" si="3"/>
        <v>48868</v>
      </c>
      <c r="C232" s="424">
        <f ca="1">INDEX(T_Merger!__Saldo_Inicial,_AmortizacionesTablaCliente)</f>
        <v>7.2759576141834259E-12</v>
      </c>
      <c r="D232" s="424">
        <f ca="1">INDEX(T_Merger!__Capital,_AmortizacionesTablaCliente)</f>
        <v>0</v>
      </c>
      <c r="E232" s="584">
        <f ca="1">INDEX(T_Merger!__Interes,_AmortizacionesTablaCliente)</f>
        <v>7.8216544352471822E-14</v>
      </c>
      <c r="F232" s="424">
        <f ca="1">INDEX(T_Merger!__IVA,_AmortizacionesTablaCliente)</f>
        <v>9.3859853222966188E-15</v>
      </c>
      <c r="G232" s="424">
        <f ca="1">INDEX(T_Merger!__Pago,_AmortizacionesTablaCliente)</f>
        <v>8.7602529674768438E-14</v>
      </c>
      <c r="H232" s="556">
        <v>0</v>
      </c>
      <c r="I232" s="425">
        <f ca="1">INDEX(T_Merger!__Saldo_Final,_AmortizacionesTablaCliente)</f>
        <v>7.2759576141834259E-12</v>
      </c>
    </row>
    <row r="233" spans="1:9" hidden="1" x14ac:dyDescent="0.3">
      <c r="A233" s="422">
        <v>214</v>
      </c>
      <c r="B233" s="423">
        <f t="shared" si="3"/>
        <v>48899</v>
      </c>
      <c r="C233" s="424">
        <f ca="1">INDEX(T_Merger!__Saldo_Inicial,_AmortizacionesTablaCliente)</f>
        <v>7.2759576141834259E-12</v>
      </c>
      <c r="D233" s="424">
        <f ca="1">INDEX(T_Merger!__Capital,_AmortizacionesTablaCliente)</f>
        <v>0</v>
      </c>
      <c r="E233" s="584">
        <f ca="1">INDEX(T_Merger!__Interes,_AmortizacionesTablaCliente)</f>
        <v>7.8216544352471822E-14</v>
      </c>
      <c r="F233" s="424">
        <f ca="1">INDEX(T_Merger!__IVA,_AmortizacionesTablaCliente)</f>
        <v>9.3859853222966188E-15</v>
      </c>
      <c r="G233" s="424">
        <f ca="1">INDEX(T_Merger!__Pago,_AmortizacionesTablaCliente)</f>
        <v>8.7602529674768438E-14</v>
      </c>
      <c r="H233" s="556">
        <v>0</v>
      </c>
      <c r="I233" s="425">
        <f ca="1">INDEX(T_Merger!__Saldo_Final,_AmortizacionesTablaCliente)</f>
        <v>7.2759576141834259E-12</v>
      </c>
    </row>
    <row r="234" spans="1:9" hidden="1" x14ac:dyDescent="0.3">
      <c r="A234" s="422">
        <v>215</v>
      </c>
      <c r="B234" s="423">
        <f t="shared" si="3"/>
        <v>48929</v>
      </c>
      <c r="C234" s="424">
        <f ca="1">INDEX(T_Merger!__Saldo_Inicial,_AmortizacionesTablaCliente)</f>
        <v>7.2759576141834259E-12</v>
      </c>
      <c r="D234" s="424">
        <f ca="1">INDEX(T_Merger!__Capital,_AmortizacionesTablaCliente)</f>
        <v>0</v>
      </c>
      <c r="E234" s="584">
        <f ca="1">INDEX(T_Merger!__Interes,_AmortizacionesTablaCliente)</f>
        <v>7.8216544352471822E-14</v>
      </c>
      <c r="F234" s="424">
        <f ca="1">INDEX(T_Merger!__IVA,_AmortizacionesTablaCliente)</f>
        <v>9.3859853222966188E-15</v>
      </c>
      <c r="G234" s="424">
        <f ca="1">INDEX(T_Merger!__Pago,_AmortizacionesTablaCliente)</f>
        <v>8.7602529674768438E-14</v>
      </c>
      <c r="H234" s="556">
        <v>0</v>
      </c>
      <c r="I234" s="425">
        <f ca="1">INDEX(T_Merger!__Saldo_Final,_AmortizacionesTablaCliente)</f>
        <v>7.2759576141834259E-12</v>
      </c>
    </row>
    <row r="235" spans="1:9" hidden="1" x14ac:dyDescent="0.3">
      <c r="A235" s="422">
        <v>216</v>
      </c>
      <c r="B235" s="423">
        <f t="shared" si="3"/>
        <v>48960</v>
      </c>
      <c r="C235" s="424">
        <f ca="1">INDEX(T_Merger!__Saldo_Inicial,_AmortizacionesTablaCliente)</f>
        <v>7.2759576141834259E-12</v>
      </c>
      <c r="D235" s="424">
        <f ca="1">INDEX(T_Merger!__Capital,_AmortizacionesTablaCliente)</f>
        <v>0</v>
      </c>
      <c r="E235" s="584">
        <f ca="1">INDEX(T_Merger!__Interes,_AmortizacionesTablaCliente)</f>
        <v>7.8216544352471822E-14</v>
      </c>
      <c r="F235" s="424">
        <f ca="1">INDEX(T_Merger!__IVA,_AmortizacionesTablaCliente)</f>
        <v>9.3859853222966188E-15</v>
      </c>
      <c r="G235" s="424">
        <f ca="1">INDEX(T_Merger!__Pago,_AmortizacionesTablaCliente)</f>
        <v>8.7602529674768438E-14</v>
      </c>
      <c r="H235" s="556">
        <v>0</v>
      </c>
      <c r="I235" s="425">
        <f ca="1">INDEX(T_Merger!__Saldo_Final,_AmortizacionesTablaCliente)</f>
        <v>7.2759576141834259E-12</v>
      </c>
    </row>
    <row r="236" spans="1:9" hidden="1" x14ac:dyDescent="0.3">
      <c r="A236" s="422">
        <v>217</v>
      </c>
      <c r="B236" s="423">
        <f t="shared" si="3"/>
        <v>48991</v>
      </c>
      <c r="C236" s="424">
        <f ca="1">INDEX(T_Merger!__Saldo_Inicial,_AmortizacionesTablaCliente)</f>
        <v>7.2759576141834259E-12</v>
      </c>
      <c r="D236" s="424">
        <f ca="1">INDEX(T_Merger!__Capital,_AmortizacionesTablaCliente)</f>
        <v>0</v>
      </c>
      <c r="E236" s="584">
        <f ca="1">INDEX(T_Merger!__Interes,_AmortizacionesTablaCliente)</f>
        <v>7.8216544352471822E-14</v>
      </c>
      <c r="F236" s="424">
        <f ca="1">INDEX(T_Merger!__IVA,_AmortizacionesTablaCliente)</f>
        <v>9.3859853222966188E-15</v>
      </c>
      <c r="G236" s="424">
        <f ca="1">INDEX(T_Merger!__Pago,_AmortizacionesTablaCliente)</f>
        <v>8.7602529674768438E-14</v>
      </c>
      <c r="H236" s="556">
        <v>0</v>
      </c>
      <c r="I236" s="425">
        <f ca="1">INDEX(T_Merger!__Saldo_Final,_AmortizacionesTablaCliente)</f>
        <v>7.2759576141834259E-12</v>
      </c>
    </row>
    <row r="237" spans="1:9" hidden="1" x14ac:dyDescent="0.3">
      <c r="A237" s="422">
        <v>218</v>
      </c>
      <c r="B237" s="423">
        <f t="shared" si="3"/>
        <v>49019</v>
      </c>
      <c r="C237" s="424">
        <f ca="1">INDEX(T_Merger!__Saldo_Inicial,_AmortizacionesTablaCliente)</f>
        <v>7.2759576141834259E-12</v>
      </c>
      <c r="D237" s="424">
        <f ca="1">INDEX(T_Merger!__Capital,_AmortizacionesTablaCliente)</f>
        <v>0</v>
      </c>
      <c r="E237" s="584">
        <f ca="1">INDEX(T_Merger!__Interes,_AmortizacionesTablaCliente)</f>
        <v>7.8216544352471822E-14</v>
      </c>
      <c r="F237" s="424">
        <f ca="1">INDEX(T_Merger!__IVA,_AmortizacionesTablaCliente)</f>
        <v>9.3859853222966188E-15</v>
      </c>
      <c r="G237" s="424">
        <f ca="1">INDEX(T_Merger!__Pago,_AmortizacionesTablaCliente)</f>
        <v>8.7602529674768438E-14</v>
      </c>
      <c r="H237" s="556">
        <v>0</v>
      </c>
      <c r="I237" s="425">
        <f ca="1">INDEX(T_Merger!__Saldo_Final,_AmortizacionesTablaCliente)</f>
        <v>7.2759576141834259E-12</v>
      </c>
    </row>
    <row r="238" spans="1:9" hidden="1" x14ac:dyDescent="0.3">
      <c r="A238" s="422">
        <v>219</v>
      </c>
      <c r="B238" s="423">
        <f t="shared" si="3"/>
        <v>49050</v>
      </c>
      <c r="C238" s="424">
        <f ca="1">INDEX(T_Merger!__Saldo_Inicial,_AmortizacionesTablaCliente)</f>
        <v>7.2759576141834259E-12</v>
      </c>
      <c r="D238" s="424">
        <f ca="1">INDEX(T_Merger!__Capital,_AmortizacionesTablaCliente)</f>
        <v>0</v>
      </c>
      <c r="E238" s="584">
        <f ca="1">INDEX(T_Merger!__Interes,_AmortizacionesTablaCliente)</f>
        <v>7.8216544352471822E-14</v>
      </c>
      <c r="F238" s="424">
        <f ca="1">INDEX(T_Merger!__IVA,_AmortizacionesTablaCliente)</f>
        <v>9.3859853222966188E-15</v>
      </c>
      <c r="G238" s="424">
        <f ca="1">INDEX(T_Merger!__Pago,_AmortizacionesTablaCliente)</f>
        <v>8.7602529674768438E-14</v>
      </c>
      <c r="H238" s="556">
        <v>0</v>
      </c>
      <c r="I238" s="425">
        <f ca="1">INDEX(T_Merger!__Saldo_Final,_AmortizacionesTablaCliente)</f>
        <v>7.2759576141834259E-12</v>
      </c>
    </row>
    <row r="239" spans="1:9" hidden="1" x14ac:dyDescent="0.3">
      <c r="A239" s="422">
        <v>220</v>
      </c>
      <c r="B239" s="423">
        <f t="shared" si="3"/>
        <v>49080</v>
      </c>
      <c r="C239" s="424">
        <f ca="1">INDEX(T_Merger!__Saldo_Inicial,_AmortizacionesTablaCliente)</f>
        <v>7.2759576141834259E-12</v>
      </c>
      <c r="D239" s="424">
        <f ca="1">INDEX(T_Merger!__Capital,_AmortizacionesTablaCliente)</f>
        <v>0</v>
      </c>
      <c r="E239" s="584">
        <f ca="1">INDEX(T_Merger!__Interes,_AmortizacionesTablaCliente)</f>
        <v>7.8216544352471822E-14</v>
      </c>
      <c r="F239" s="424">
        <f ca="1">INDEX(T_Merger!__IVA,_AmortizacionesTablaCliente)</f>
        <v>9.3859853222966188E-15</v>
      </c>
      <c r="G239" s="424">
        <f ca="1">INDEX(T_Merger!__Pago,_AmortizacionesTablaCliente)</f>
        <v>8.7602529674768438E-14</v>
      </c>
      <c r="H239" s="556">
        <v>0</v>
      </c>
      <c r="I239" s="425">
        <f ca="1">INDEX(T_Merger!__Saldo_Final,_AmortizacionesTablaCliente)</f>
        <v>7.2759576141834259E-12</v>
      </c>
    </row>
    <row r="240" spans="1:9" hidden="1" x14ac:dyDescent="0.3">
      <c r="A240" s="422">
        <v>221</v>
      </c>
      <c r="B240" s="423">
        <f t="shared" si="3"/>
        <v>49111</v>
      </c>
      <c r="C240" s="424">
        <f ca="1">INDEX(T_Merger!__Saldo_Inicial,_AmortizacionesTablaCliente)</f>
        <v>7.2759576141834259E-12</v>
      </c>
      <c r="D240" s="424">
        <f ca="1">INDEX(T_Merger!__Capital,_AmortizacionesTablaCliente)</f>
        <v>0</v>
      </c>
      <c r="E240" s="584">
        <f ca="1">INDEX(T_Merger!__Interes,_AmortizacionesTablaCliente)</f>
        <v>7.8216544352471822E-14</v>
      </c>
      <c r="F240" s="424">
        <f ca="1">INDEX(T_Merger!__IVA,_AmortizacionesTablaCliente)</f>
        <v>9.3859853222966188E-15</v>
      </c>
      <c r="G240" s="424">
        <f ca="1">INDEX(T_Merger!__Pago,_AmortizacionesTablaCliente)</f>
        <v>8.7602529674768438E-14</v>
      </c>
      <c r="H240" s="556">
        <v>0</v>
      </c>
      <c r="I240" s="425">
        <f ca="1">INDEX(T_Merger!__Saldo_Final,_AmortizacionesTablaCliente)</f>
        <v>7.2759576141834259E-12</v>
      </c>
    </row>
    <row r="241" spans="1:9" hidden="1" x14ac:dyDescent="0.3">
      <c r="A241" s="422">
        <v>222</v>
      </c>
      <c r="B241" s="423">
        <f t="shared" si="3"/>
        <v>49141</v>
      </c>
      <c r="C241" s="424">
        <f ca="1">INDEX(T_Merger!__Saldo_Inicial,_AmortizacionesTablaCliente)</f>
        <v>7.2759576141834259E-12</v>
      </c>
      <c r="D241" s="424">
        <f ca="1">INDEX(T_Merger!__Capital,_AmortizacionesTablaCliente)</f>
        <v>0</v>
      </c>
      <c r="E241" s="584">
        <f ca="1">INDEX(T_Merger!__Interes,_AmortizacionesTablaCliente)</f>
        <v>7.8216544352471822E-14</v>
      </c>
      <c r="F241" s="424">
        <f ca="1">INDEX(T_Merger!__IVA,_AmortizacionesTablaCliente)</f>
        <v>9.3859853222966188E-15</v>
      </c>
      <c r="G241" s="424">
        <f ca="1">INDEX(T_Merger!__Pago,_AmortizacionesTablaCliente)</f>
        <v>8.7602529674768438E-14</v>
      </c>
      <c r="H241" s="556">
        <v>0</v>
      </c>
      <c r="I241" s="425">
        <f ca="1">INDEX(T_Merger!__Saldo_Final,_AmortizacionesTablaCliente)</f>
        <v>7.2759576141834259E-12</v>
      </c>
    </row>
    <row r="242" spans="1:9" hidden="1" x14ac:dyDescent="0.3">
      <c r="A242" s="422">
        <v>223</v>
      </c>
      <c r="B242" s="423">
        <f t="shared" si="3"/>
        <v>49172</v>
      </c>
      <c r="C242" s="424">
        <f ca="1">INDEX(T_Merger!__Saldo_Inicial,_AmortizacionesTablaCliente)</f>
        <v>7.2759576141834259E-12</v>
      </c>
      <c r="D242" s="424">
        <f ca="1">INDEX(T_Merger!__Capital,_AmortizacionesTablaCliente)</f>
        <v>0</v>
      </c>
      <c r="E242" s="584">
        <f ca="1">INDEX(T_Merger!__Interes,_AmortizacionesTablaCliente)</f>
        <v>7.8216544352471822E-14</v>
      </c>
      <c r="F242" s="424">
        <f ca="1">INDEX(T_Merger!__IVA,_AmortizacionesTablaCliente)</f>
        <v>9.3859853222966188E-15</v>
      </c>
      <c r="G242" s="424">
        <f ca="1">INDEX(T_Merger!__Pago,_AmortizacionesTablaCliente)</f>
        <v>8.7602529674768438E-14</v>
      </c>
      <c r="H242" s="556">
        <v>0</v>
      </c>
      <c r="I242" s="425">
        <f ca="1">INDEX(T_Merger!__Saldo_Final,_AmortizacionesTablaCliente)</f>
        <v>7.2759576141834259E-12</v>
      </c>
    </row>
    <row r="243" spans="1:9" hidden="1" x14ac:dyDescent="0.3">
      <c r="A243" s="422">
        <v>224</v>
      </c>
      <c r="B243" s="423">
        <f t="shared" si="3"/>
        <v>49203</v>
      </c>
      <c r="C243" s="424">
        <f ca="1">INDEX(T_Merger!__Saldo_Inicial,_AmortizacionesTablaCliente)</f>
        <v>7.2759576141834259E-12</v>
      </c>
      <c r="D243" s="424">
        <f ca="1">INDEX(T_Merger!__Capital,_AmortizacionesTablaCliente)</f>
        <v>0</v>
      </c>
      <c r="E243" s="584">
        <f ca="1">INDEX(T_Merger!__Interes,_AmortizacionesTablaCliente)</f>
        <v>7.8216544352471822E-14</v>
      </c>
      <c r="F243" s="424">
        <f ca="1">INDEX(T_Merger!__IVA,_AmortizacionesTablaCliente)</f>
        <v>9.3859853222966188E-15</v>
      </c>
      <c r="G243" s="424">
        <f ca="1">INDEX(T_Merger!__Pago,_AmortizacionesTablaCliente)</f>
        <v>8.7602529674768438E-14</v>
      </c>
      <c r="H243" s="556">
        <v>0</v>
      </c>
      <c r="I243" s="425">
        <f ca="1">INDEX(T_Merger!__Saldo_Final,_AmortizacionesTablaCliente)</f>
        <v>7.2759576141834259E-12</v>
      </c>
    </row>
    <row r="244" spans="1:9" hidden="1" x14ac:dyDescent="0.3">
      <c r="A244" s="422">
        <v>225</v>
      </c>
      <c r="B244" s="423">
        <f t="shared" si="3"/>
        <v>49233</v>
      </c>
      <c r="C244" s="424">
        <f ca="1">INDEX(T_Merger!__Saldo_Inicial,_AmortizacionesTablaCliente)</f>
        <v>7.2759576141834259E-12</v>
      </c>
      <c r="D244" s="424">
        <f ca="1">INDEX(T_Merger!__Capital,_AmortizacionesTablaCliente)</f>
        <v>0</v>
      </c>
      <c r="E244" s="584">
        <f ca="1">INDEX(T_Merger!__Interes,_AmortizacionesTablaCliente)</f>
        <v>7.8216544352471822E-14</v>
      </c>
      <c r="F244" s="424">
        <f ca="1">INDEX(T_Merger!__IVA,_AmortizacionesTablaCliente)</f>
        <v>9.3859853222966188E-15</v>
      </c>
      <c r="G244" s="424">
        <f ca="1">INDEX(T_Merger!__Pago,_AmortizacionesTablaCliente)</f>
        <v>8.7602529674768438E-14</v>
      </c>
      <c r="H244" s="556">
        <v>0</v>
      </c>
      <c r="I244" s="425">
        <f ca="1">INDEX(T_Merger!__Saldo_Final,_AmortizacionesTablaCliente)</f>
        <v>7.2759576141834259E-12</v>
      </c>
    </row>
    <row r="245" spans="1:9" hidden="1" x14ac:dyDescent="0.3">
      <c r="A245" s="422">
        <v>226</v>
      </c>
      <c r="B245" s="423">
        <f t="shared" si="3"/>
        <v>49264</v>
      </c>
      <c r="C245" s="424">
        <f ca="1">INDEX(T_Merger!__Saldo_Inicial,_AmortizacionesTablaCliente)</f>
        <v>7.2759576141834259E-12</v>
      </c>
      <c r="D245" s="424">
        <f ca="1">INDEX(T_Merger!__Capital,_AmortizacionesTablaCliente)</f>
        <v>0</v>
      </c>
      <c r="E245" s="584">
        <f ca="1">INDEX(T_Merger!__Interes,_AmortizacionesTablaCliente)</f>
        <v>7.8216544352471822E-14</v>
      </c>
      <c r="F245" s="424">
        <f ca="1">INDEX(T_Merger!__IVA,_AmortizacionesTablaCliente)</f>
        <v>9.3859853222966188E-15</v>
      </c>
      <c r="G245" s="424">
        <f ca="1">INDEX(T_Merger!__Pago,_AmortizacionesTablaCliente)</f>
        <v>8.7602529674768438E-14</v>
      </c>
      <c r="H245" s="556">
        <v>0</v>
      </c>
      <c r="I245" s="425">
        <f ca="1">INDEX(T_Merger!__Saldo_Final,_AmortizacionesTablaCliente)</f>
        <v>7.2759576141834259E-12</v>
      </c>
    </row>
    <row r="246" spans="1:9" hidden="1" x14ac:dyDescent="0.3">
      <c r="A246" s="422">
        <v>227</v>
      </c>
      <c r="B246" s="423">
        <f t="shared" si="3"/>
        <v>49294</v>
      </c>
      <c r="C246" s="424">
        <f ca="1">INDEX(T_Merger!__Saldo_Inicial,_AmortizacionesTablaCliente)</f>
        <v>7.2759576141834259E-12</v>
      </c>
      <c r="D246" s="424">
        <f ca="1">INDEX(T_Merger!__Capital,_AmortizacionesTablaCliente)</f>
        <v>0</v>
      </c>
      <c r="E246" s="584">
        <f ca="1">INDEX(T_Merger!__Interes,_AmortizacionesTablaCliente)</f>
        <v>7.8216544352471822E-14</v>
      </c>
      <c r="F246" s="424">
        <f ca="1">INDEX(T_Merger!__IVA,_AmortizacionesTablaCliente)</f>
        <v>9.3859853222966188E-15</v>
      </c>
      <c r="G246" s="424">
        <f ca="1">INDEX(T_Merger!__Pago,_AmortizacionesTablaCliente)</f>
        <v>8.7602529674768438E-14</v>
      </c>
      <c r="H246" s="556">
        <v>0</v>
      </c>
      <c r="I246" s="425">
        <f ca="1">INDEX(T_Merger!__Saldo_Final,_AmortizacionesTablaCliente)</f>
        <v>7.2759576141834259E-12</v>
      </c>
    </row>
    <row r="247" spans="1:9" hidden="1" x14ac:dyDescent="0.3">
      <c r="A247" s="422">
        <v>228</v>
      </c>
      <c r="B247" s="423">
        <f t="shared" si="3"/>
        <v>49325</v>
      </c>
      <c r="C247" s="424">
        <f ca="1">INDEX(T_Merger!__Saldo_Inicial,_AmortizacionesTablaCliente)</f>
        <v>7.2759576141834259E-12</v>
      </c>
      <c r="D247" s="424">
        <f ca="1">INDEX(T_Merger!__Capital,_AmortizacionesTablaCliente)</f>
        <v>0</v>
      </c>
      <c r="E247" s="584">
        <f ca="1">INDEX(T_Merger!__Interes,_AmortizacionesTablaCliente)</f>
        <v>7.8216544352471822E-14</v>
      </c>
      <c r="F247" s="424">
        <f ca="1">INDEX(T_Merger!__IVA,_AmortizacionesTablaCliente)</f>
        <v>9.3859853222966188E-15</v>
      </c>
      <c r="G247" s="424">
        <f ca="1">INDEX(T_Merger!__Pago,_AmortizacionesTablaCliente)</f>
        <v>8.7602529674768438E-14</v>
      </c>
      <c r="H247" s="556">
        <v>0</v>
      </c>
      <c r="I247" s="425">
        <f ca="1">INDEX(T_Merger!__Saldo_Final,_AmortizacionesTablaCliente)</f>
        <v>7.2759576141834259E-12</v>
      </c>
    </row>
    <row r="248" spans="1:9" hidden="1" x14ac:dyDescent="0.3">
      <c r="A248" s="422">
        <v>229</v>
      </c>
      <c r="B248" s="423">
        <f t="shared" si="3"/>
        <v>49356</v>
      </c>
      <c r="C248" s="424">
        <f ca="1">INDEX(T_Merger!__Saldo_Inicial,_AmortizacionesTablaCliente)</f>
        <v>7.2759576141834259E-12</v>
      </c>
      <c r="D248" s="424">
        <f ca="1">INDEX(T_Merger!__Capital,_AmortizacionesTablaCliente)</f>
        <v>0</v>
      </c>
      <c r="E248" s="584">
        <f ca="1">INDEX(T_Merger!__Interes,_AmortizacionesTablaCliente)</f>
        <v>7.8216544352471822E-14</v>
      </c>
      <c r="F248" s="424">
        <f ca="1">INDEX(T_Merger!__IVA,_AmortizacionesTablaCliente)</f>
        <v>9.3859853222966188E-15</v>
      </c>
      <c r="G248" s="424">
        <f ca="1">INDEX(T_Merger!__Pago,_AmortizacionesTablaCliente)</f>
        <v>8.7602529674768438E-14</v>
      </c>
      <c r="H248" s="556">
        <v>0</v>
      </c>
      <c r="I248" s="425">
        <f ca="1">INDEX(T_Merger!__Saldo_Final,_AmortizacionesTablaCliente)</f>
        <v>7.2759576141834259E-12</v>
      </c>
    </row>
    <row r="249" spans="1:9" hidden="1" x14ac:dyDescent="0.3">
      <c r="A249" s="422">
        <v>230</v>
      </c>
      <c r="B249" s="423">
        <f t="shared" si="3"/>
        <v>49384</v>
      </c>
      <c r="C249" s="424">
        <f ca="1">INDEX(T_Merger!__Saldo_Inicial,_AmortizacionesTablaCliente)</f>
        <v>7.2759576141834259E-12</v>
      </c>
      <c r="D249" s="424">
        <f ca="1">INDEX(T_Merger!__Capital,_AmortizacionesTablaCliente)</f>
        <v>0</v>
      </c>
      <c r="E249" s="584">
        <f ca="1">INDEX(T_Merger!__Interes,_AmortizacionesTablaCliente)</f>
        <v>7.8216544352471822E-14</v>
      </c>
      <c r="F249" s="424">
        <f ca="1">INDEX(T_Merger!__IVA,_AmortizacionesTablaCliente)</f>
        <v>9.3859853222966188E-15</v>
      </c>
      <c r="G249" s="424">
        <f ca="1">INDEX(T_Merger!__Pago,_AmortizacionesTablaCliente)</f>
        <v>8.7602529674768438E-14</v>
      </c>
      <c r="H249" s="556">
        <v>0</v>
      </c>
      <c r="I249" s="425">
        <f ca="1">INDEX(T_Merger!__Saldo_Final,_AmortizacionesTablaCliente)</f>
        <v>7.2759576141834259E-12</v>
      </c>
    </row>
    <row r="250" spans="1:9" hidden="1" x14ac:dyDescent="0.3">
      <c r="A250" s="422">
        <v>231</v>
      </c>
      <c r="B250" s="423">
        <f t="shared" si="3"/>
        <v>49415</v>
      </c>
      <c r="C250" s="424">
        <f ca="1">INDEX(T_Merger!__Saldo_Inicial,_AmortizacionesTablaCliente)</f>
        <v>7.2759576141834259E-12</v>
      </c>
      <c r="D250" s="424">
        <f ca="1">INDEX(T_Merger!__Capital,_AmortizacionesTablaCliente)</f>
        <v>0</v>
      </c>
      <c r="E250" s="584">
        <f ca="1">INDEX(T_Merger!__Interes,_AmortizacionesTablaCliente)</f>
        <v>7.8216544352471822E-14</v>
      </c>
      <c r="F250" s="424">
        <f ca="1">INDEX(T_Merger!__IVA,_AmortizacionesTablaCliente)</f>
        <v>9.3859853222966188E-15</v>
      </c>
      <c r="G250" s="424">
        <f ca="1">INDEX(T_Merger!__Pago,_AmortizacionesTablaCliente)</f>
        <v>8.7602529674768438E-14</v>
      </c>
      <c r="H250" s="556">
        <v>0</v>
      </c>
      <c r="I250" s="425">
        <f ca="1">INDEX(T_Merger!__Saldo_Final,_AmortizacionesTablaCliente)</f>
        <v>7.2759576141834259E-12</v>
      </c>
    </row>
    <row r="251" spans="1:9" hidden="1" x14ac:dyDescent="0.3">
      <c r="A251" s="422">
        <v>232</v>
      </c>
      <c r="B251" s="423">
        <f t="shared" si="3"/>
        <v>49445</v>
      </c>
      <c r="C251" s="424">
        <f ca="1">INDEX(T_Merger!__Saldo_Inicial,_AmortizacionesTablaCliente)</f>
        <v>7.2759576141834259E-12</v>
      </c>
      <c r="D251" s="424">
        <f ca="1">INDEX(T_Merger!__Capital,_AmortizacionesTablaCliente)</f>
        <v>0</v>
      </c>
      <c r="E251" s="584">
        <f ca="1">INDEX(T_Merger!__Interes,_AmortizacionesTablaCliente)</f>
        <v>7.8216544352471822E-14</v>
      </c>
      <c r="F251" s="424">
        <f ca="1">INDEX(T_Merger!__IVA,_AmortizacionesTablaCliente)</f>
        <v>9.3859853222966188E-15</v>
      </c>
      <c r="G251" s="424">
        <f ca="1">INDEX(T_Merger!__Pago,_AmortizacionesTablaCliente)</f>
        <v>8.7602529674768438E-14</v>
      </c>
      <c r="H251" s="556">
        <v>0</v>
      </c>
      <c r="I251" s="425">
        <f ca="1">INDEX(T_Merger!__Saldo_Final,_AmortizacionesTablaCliente)</f>
        <v>7.2759576141834259E-12</v>
      </c>
    </row>
    <row r="252" spans="1:9" hidden="1" x14ac:dyDescent="0.3">
      <c r="A252" s="422">
        <v>233</v>
      </c>
      <c r="B252" s="423">
        <f t="shared" si="3"/>
        <v>49476</v>
      </c>
      <c r="C252" s="424">
        <f ca="1">INDEX(T_Merger!__Saldo_Inicial,_AmortizacionesTablaCliente)</f>
        <v>7.2759576141834259E-12</v>
      </c>
      <c r="D252" s="424">
        <f ca="1">INDEX(T_Merger!__Capital,_AmortizacionesTablaCliente)</f>
        <v>0</v>
      </c>
      <c r="E252" s="584">
        <f ca="1">INDEX(T_Merger!__Interes,_AmortizacionesTablaCliente)</f>
        <v>7.8216544352471822E-14</v>
      </c>
      <c r="F252" s="424">
        <f ca="1">INDEX(T_Merger!__IVA,_AmortizacionesTablaCliente)</f>
        <v>9.3859853222966188E-15</v>
      </c>
      <c r="G252" s="424">
        <f ca="1">INDEX(T_Merger!__Pago,_AmortizacionesTablaCliente)</f>
        <v>8.7602529674768438E-14</v>
      </c>
      <c r="H252" s="556">
        <v>0</v>
      </c>
      <c r="I252" s="425">
        <f ca="1">INDEX(T_Merger!__Saldo_Final,_AmortizacionesTablaCliente)</f>
        <v>7.2759576141834259E-12</v>
      </c>
    </row>
    <row r="253" spans="1:9" hidden="1" x14ac:dyDescent="0.3">
      <c r="A253" s="422">
        <v>234</v>
      </c>
      <c r="B253" s="423">
        <f t="shared" si="3"/>
        <v>49506</v>
      </c>
      <c r="C253" s="424">
        <f ca="1">INDEX(T_Merger!__Saldo_Inicial,_AmortizacionesTablaCliente)</f>
        <v>7.2759576141834259E-12</v>
      </c>
      <c r="D253" s="424">
        <f ca="1">INDEX(T_Merger!__Capital,_AmortizacionesTablaCliente)</f>
        <v>0</v>
      </c>
      <c r="E253" s="584">
        <f ca="1">INDEX(T_Merger!__Interes,_AmortizacionesTablaCliente)</f>
        <v>7.8216544352471822E-14</v>
      </c>
      <c r="F253" s="424">
        <f ca="1">INDEX(T_Merger!__IVA,_AmortizacionesTablaCliente)</f>
        <v>9.3859853222966188E-15</v>
      </c>
      <c r="G253" s="424">
        <f ca="1">INDEX(T_Merger!__Pago,_AmortizacionesTablaCliente)</f>
        <v>8.7602529674768438E-14</v>
      </c>
      <c r="H253" s="556">
        <v>0</v>
      </c>
      <c r="I253" s="425">
        <f ca="1">INDEX(T_Merger!__Saldo_Final,_AmortizacionesTablaCliente)</f>
        <v>7.2759576141834259E-12</v>
      </c>
    </row>
    <row r="254" spans="1:9" hidden="1" x14ac:dyDescent="0.3">
      <c r="A254" s="422">
        <v>235</v>
      </c>
      <c r="B254" s="423">
        <f t="shared" si="3"/>
        <v>49537</v>
      </c>
      <c r="C254" s="424">
        <f ca="1">INDEX(T_Merger!__Saldo_Inicial,_AmortizacionesTablaCliente)</f>
        <v>7.2759576141834259E-12</v>
      </c>
      <c r="D254" s="424">
        <f ca="1">INDEX(T_Merger!__Capital,_AmortizacionesTablaCliente)</f>
        <v>0</v>
      </c>
      <c r="E254" s="584">
        <f ca="1">INDEX(T_Merger!__Interes,_AmortizacionesTablaCliente)</f>
        <v>7.8216544352471822E-14</v>
      </c>
      <c r="F254" s="424">
        <f ca="1">INDEX(T_Merger!__IVA,_AmortizacionesTablaCliente)</f>
        <v>9.3859853222966188E-15</v>
      </c>
      <c r="G254" s="424">
        <f ca="1">INDEX(T_Merger!__Pago,_AmortizacionesTablaCliente)</f>
        <v>8.7602529674768438E-14</v>
      </c>
      <c r="H254" s="556">
        <v>0</v>
      </c>
      <c r="I254" s="425">
        <f ca="1">INDEX(T_Merger!__Saldo_Final,_AmortizacionesTablaCliente)</f>
        <v>7.2759576141834259E-12</v>
      </c>
    </row>
    <row r="255" spans="1:9" hidden="1" x14ac:dyDescent="0.3">
      <c r="A255" s="422">
        <v>236</v>
      </c>
      <c r="B255" s="423">
        <f t="shared" si="3"/>
        <v>49568</v>
      </c>
      <c r="C255" s="424">
        <f ca="1">INDEX(T_Merger!__Saldo_Inicial,_AmortizacionesTablaCliente)</f>
        <v>7.2759576141834259E-12</v>
      </c>
      <c r="D255" s="424">
        <f ca="1">INDEX(T_Merger!__Capital,_AmortizacionesTablaCliente)</f>
        <v>0</v>
      </c>
      <c r="E255" s="584">
        <f ca="1">INDEX(T_Merger!__Interes,_AmortizacionesTablaCliente)</f>
        <v>7.8216544352471822E-14</v>
      </c>
      <c r="F255" s="424">
        <f ca="1">INDEX(T_Merger!__IVA,_AmortizacionesTablaCliente)</f>
        <v>9.3859853222966188E-15</v>
      </c>
      <c r="G255" s="424">
        <f ca="1">INDEX(T_Merger!__Pago,_AmortizacionesTablaCliente)</f>
        <v>8.7602529674768438E-14</v>
      </c>
      <c r="H255" s="556">
        <v>0</v>
      </c>
      <c r="I255" s="425">
        <f ca="1">INDEX(T_Merger!__Saldo_Final,_AmortizacionesTablaCliente)</f>
        <v>7.2759576141834259E-12</v>
      </c>
    </row>
    <row r="256" spans="1:9" hidden="1" x14ac:dyDescent="0.3">
      <c r="A256" s="422">
        <v>237</v>
      </c>
      <c r="B256" s="423">
        <f t="shared" si="3"/>
        <v>49598</v>
      </c>
      <c r="C256" s="424">
        <f ca="1">INDEX(T_Merger!__Saldo_Inicial,_AmortizacionesTablaCliente)</f>
        <v>7.2759576141834259E-12</v>
      </c>
      <c r="D256" s="424">
        <f ca="1">INDEX(T_Merger!__Capital,_AmortizacionesTablaCliente)</f>
        <v>0</v>
      </c>
      <c r="E256" s="584">
        <f ca="1">INDEX(T_Merger!__Interes,_AmortizacionesTablaCliente)</f>
        <v>7.8216544352471822E-14</v>
      </c>
      <c r="F256" s="424">
        <f ca="1">INDEX(T_Merger!__IVA,_AmortizacionesTablaCliente)</f>
        <v>9.3859853222966188E-15</v>
      </c>
      <c r="G256" s="424">
        <f ca="1">INDEX(T_Merger!__Pago,_AmortizacionesTablaCliente)</f>
        <v>8.7602529674768438E-14</v>
      </c>
      <c r="H256" s="556">
        <v>0</v>
      </c>
      <c r="I256" s="425">
        <f ca="1">INDEX(T_Merger!__Saldo_Final,_AmortizacionesTablaCliente)</f>
        <v>7.2759576141834259E-12</v>
      </c>
    </row>
    <row r="257" spans="1:9" hidden="1" x14ac:dyDescent="0.3">
      <c r="A257" s="422">
        <v>238</v>
      </c>
      <c r="B257" s="423">
        <f t="shared" si="3"/>
        <v>49629</v>
      </c>
      <c r="C257" s="424">
        <f ca="1">INDEX(T_Merger!__Saldo_Inicial,_AmortizacionesTablaCliente)</f>
        <v>7.2759576141834259E-12</v>
      </c>
      <c r="D257" s="424">
        <f ca="1">INDEX(T_Merger!__Capital,_AmortizacionesTablaCliente)</f>
        <v>0</v>
      </c>
      <c r="E257" s="584">
        <f ca="1">INDEX(T_Merger!__Interes,_AmortizacionesTablaCliente)</f>
        <v>7.8216544352471822E-14</v>
      </c>
      <c r="F257" s="424">
        <f ca="1">INDEX(T_Merger!__IVA,_AmortizacionesTablaCliente)</f>
        <v>9.3859853222966188E-15</v>
      </c>
      <c r="G257" s="424">
        <f ca="1">INDEX(T_Merger!__Pago,_AmortizacionesTablaCliente)</f>
        <v>8.7602529674768438E-14</v>
      </c>
      <c r="H257" s="556">
        <v>0</v>
      </c>
      <c r="I257" s="425">
        <f ca="1">INDEX(T_Merger!__Saldo_Final,_AmortizacionesTablaCliente)</f>
        <v>7.2759576141834259E-12</v>
      </c>
    </row>
    <row r="258" spans="1:9" hidden="1" x14ac:dyDescent="0.3">
      <c r="A258" s="422">
        <v>239</v>
      </c>
      <c r="B258" s="423">
        <f t="shared" si="3"/>
        <v>49659</v>
      </c>
      <c r="C258" s="424">
        <f ca="1">INDEX(T_Merger!__Saldo_Inicial,_AmortizacionesTablaCliente)</f>
        <v>7.2759576141834259E-12</v>
      </c>
      <c r="D258" s="424">
        <f ca="1">INDEX(T_Merger!__Capital,_AmortizacionesTablaCliente)</f>
        <v>0</v>
      </c>
      <c r="E258" s="584">
        <f ca="1">INDEX(T_Merger!__Interes,_AmortizacionesTablaCliente)</f>
        <v>7.8216544352471822E-14</v>
      </c>
      <c r="F258" s="424">
        <f ca="1">INDEX(T_Merger!__IVA,_AmortizacionesTablaCliente)</f>
        <v>9.3859853222966188E-15</v>
      </c>
      <c r="G258" s="424">
        <f ca="1">INDEX(T_Merger!__Pago,_AmortizacionesTablaCliente)</f>
        <v>8.7602529674768438E-14</v>
      </c>
      <c r="H258" s="556">
        <v>0</v>
      </c>
      <c r="I258" s="425">
        <f ca="1">INDEX(T_Merger!__Saldo_Final,_AmortizacionesTablaCliente)</f>
        <v>7.2759576141834259E-12</v>
      </c>
    </row>
    <row r="259" spans="1:9" hidden="1" x14ac:dyDescent="0.3">
      <c r="A259" s="422">
        <v>240</v>
      </c>
      <c r="B259" s="423">
        <f t="shared" si="3"/>
        <v>49690</v>
      </c>
      <c r="C259" s="424">
        <f ca="1">INDEX(T_Merger!__Saldo_Inicial,_AmortizacionesTablaCliente)</f>
        <v>7.2759576141834259E-12</v>
      </c>
      <c r="D259" s="424">
        <f ca="1">INDEX(T_Merger!__Capital,_AmortizacionesTablaCliente)</f>
        <v>0</v>
      </c>
      <c r="E259" s="584">
        <f ca="1">INDEX(T_Merger!__Interes,_AmortizacionesTablaCliente)</f>
        <v>7.8216544352471822E-14</v>
      </c>
      <c r="F259" s="424">
        <f ca="1">INDEX(T_Merger!__IVA,_AmortizacionesTablaCliente)</f>
        <v>9.3859853222966188E-15</v>
      </c>
      <c r="G259" s="424">
        <f ca="1">INDEX(T_Merger!__Pago,_AmortizacionesTablaCliente)</f>
        <v>8.7602529674768438E-14</v>
      </c>
      <c r="H259" s="556">
        <v>0</v>
      </c>
      <c r="I259" s="425">
        <f ca="1">INDEX(T_Merger!__Saldo_Final,_AmortizacionesTablaCliente)</f>
        <v>7.2759576141834259E-12</v>
      </c>
    </row>
    <row r="260" spans="1:9" hidden="1" x14ac:dyDescent="0.3">
      <c r="A260" s="422">
        <v>241</v>
      </c>
      <c r="B260" s="423">
        <f t="shared" si="3"/>
        <v>49721</v>
      </c>
      <c r="C260" s="424">
        <f ca="1">INDEX(T_Merger!__Saldo_Inicial,_AmortizacionesTablaCliente)</f>
        <v>7.2759576141834259E-12</v>
      </c>
      <c r="D260" s="424">
        <f ca="1">INDEX(T_Merger!__Capital,_AmortizacionesTablaCliente)</f>
        <v>0</v>
      </c>
      <c r="E260" s="584">
        <f ca="1">INDEX(T_Merger!__Interes,_AmortizacionesTablaCliente)</f>
        <v>7.8216544352471822E-14</v>
      </c>
      <c r="F260" s="424">
        <f ca="1">INDEX(T_Merger!__IVA,_AmortizacionesTablaCliente)</f>
        <v>9.3859853222966188E-15</v>
      </c>
      <c r="G260" s="424">
        <f ca="1">INDEX(T_Merger!__Pago,_AmortizacionesTablaCliente)</f>
        <v>8.7602529674768438E-14</v>
      </c>
      <c r="H260" s="556">
        <v>0</v>
      </c>
      <c r="I260" s="425">
        <f ca="1">INDEX(T_Merger!__Saldo_Final,_AmortizacionesTablaCliente)</f>
        <v>7.2759576141834259E-12</v>
      </c>
    </row>
    <row r="261" spans="1:9" hidden="1" x14ac:dyDescent="0.3">
      <c r="A261" s="422">
        <v>242</v>
      </c>
      <c r="B261" s="423">
        <f t="shared" si="3"/>
        <v>49750</v>
      </c>
      <c r="C261" s="424">
        <f ca="1">INDEX(T_Merger!__Saldo_Inicial,_AmortizacionesTablaCliente)</f>
        <v>7.2759576141834259E-12</v>
      </c>
      <c r="D261" s="424">
        <f ca="1">INDEX(T_Merger!__Capital,_AmortizacionesTablaCliente)</f>
        <v>0</v>
      </c>
      <c r="E261" s="584">
        <f ca="1">INDEX(T_Merger!__Interes,_AmortizacionesTablaCliente)</f>
        <v>7.8216544352471822E-14</v>
      </c>
      <c r="F261" s="424">
        <f ca="1">INDEX(T_Merger!__IVA,_AmortizacionesTablaCliente)</f>
        <v>9.3859853222966188E-15</v>
      </c>
      <c r="G261" s="424">
        <f ca="1">INDEX(T_Merger!__Pago,_AmortizacionesTablaCliente)</f>
        <v>8.7602529674768438E-14</v>
      </c>
      <c r="H261" s="556">
        <v>0</v>
      </c>
      <c r="I261" s="425">
        <f ca="1">INDEX(T_Merger!__Saldo_Final,_AmortizacionesTablaCliente)</f>
        <v>7.2759576141834259E-12</v>
      </c>
    </row>
    <row r="262" spans="1:9" hidden="1" x14ac:dyDescent="0.3">
      <c r="A262" s="422">
        <v>243</v>
      </c>
      <c r="B262" s="423">
        <f t="shared" si="3"/>
        <v>49781</v>
      </c>
      <c r="C262" s="424">
        <f ca="1">INDEX(T_Merger!__Saldo_Inicial,_AmortizacionesTablaCliente)</f>
        <v>7.2759576141834259E-12</v>
      </c>
      <c r="D262" s="424">
        <f ca="1">INDEX(T_Merger!__Capital,_AmortizacionesTablaCliente)</f>
        <v>0</v>
      </c>
      <c r="E262" s="584">
        <f ca="1">INDEX(T_Merger!__Interes,_AmortizacionesTablaCliente)</f>
        <v>7.8216544352471822E-14</v>
      </c>
      <c r="F262" s="424">
        <f ca="1">INDEX(T_Merger!__IVA,_AmortizacionesTablaCliente)</f>
        <v>9.3859853222966188E-15</v>
      </c>
      <c r="G262" s="424">
        <f ca="1">INDEX(T_Merger!__Pago,_AmortizacionesTablaCliente)</f>
        <v>8.7602529674768438E-14</v>
      </c>
      <c r="H262" s="556">
        <v>0</v>
      </c>
      <c r="I262" s="425">
        <f ca="1">INDEX(T_Merger!__Saldo_Final,_AmortizacionesTablaCliente)</f>
        <v>7.2759576141834259E-12</v>
      </c>
    </row>
    <row r="263" spans="1:9" hidden="1" x14ac:dyDescent="0.3">
      <c r="A263" s="422">
        <v>244</v>
      </c>
      <c r="B263" s="423">
        <f t="shared" si="3"/>
        <v>49811</v>
      </c>
      <c r="C263" s="424">
        <f ca="1">INDEX(T_Merger!__Saldo_Inicial,_AmortizacionesTablaCliente)</f>
        <v>7.2759576141834259E-12</v>
      </c>
      <c r="D263" s="424">
        <f ca="1">INDEX(T_Merger!__Capital,_AmortizacionesTablaCliente)</f>
        <v>0</v>
      </c>
      <c r="E263" s="584">
        <f ca="1">INDEX(T_Merger!__Interes,_AmortizacionesTablaCliente)</f>
        <v>7.8216544352471822E-14</v>
      </c>
      <c r="F263" s="424">
        <f ca="1">INDEX(T_Merger!__IVA,_AmortizacionesTablaCliente)</f>
        <v>9.3859853222966188E-15</v>
      </c>
      <c r="G263" s="424">
        <f ca="1">INDEX(T_Merger!__Pago,_AmortizacionesTablaCliente)</f>
        <v>8.7602529674768438E-14</v>
      </c>
      <c r="H263" s="556">
        <v>0</v>
      </c>
      <c r="I263" s="425">
        <f ca="1">INDEX(T_Merger!__Saldo_Final,_AmortizacionesTablaCliente)</f>
        <v>7.2759576141834259E-12</v>
      </c>
    </row>
    <row r="264" spans="1:9" hidden="1" x14ac:dyDescent="0.3">
      <c r="A264" s="422">
        <v>245</v>
      </c>
      <c r="B264" s="423">
        <f t="shared" si="3"/>
        <v>49842</v>
      </c>
      <c r="C264" s="424">
        <f ca="1">INDEX(T_Merger!__Saldo_Inicial,_AmortizacionesTablaCliente)</f>
        <v>7.2759576141834259E-12</v>
      </c>
      <c r="D264" s="424">
        <f ca="1">INDEX(T_Merger!__Capital,_AmortizacionesTablaCliente)</f>
        <v>0</v>
      </c>
      <c r="E264" s="584">
        <f ca="1">INDEX(T_Merger!__Interes,_AmortizacionesTablaCliente)</f>
        <v>7.8216544352471822E-14</v>
      </c>
      <c r="F264" s="424">
        <f ca="1">INDEX(T_Merger!__IVA,_AmortizacionesTablaCliente)</f>
        <v>9.3859853222966188E-15</v>
      </c>
      <c r="G264" s="424">
        <f ca="1">INDEX(T_Merger!__Pago,_AmortizacionesTablaCliente)</f>
        <v>8.7602529674768438E-14</v>
      </c>
      <c r="H264" s="556">
        <v>0</v>
      </c>
      <c r="I264" s="425">
        <f ca="1">INDEX(T_Merger!__Saldo_Final,_AmortizacionesTablaCliente)</f>
        <v>7.2759576141834259E-12</v>
      </c>
    </row>
    <row r="265" spans="1:9" hidden="1" x14ac:dyDescent="0.3">
      <c r="A265" s="422">
        <v>246</v>
      </c>
      <c r="B265" s="423">
        <f t="shared" si="3"/>
        <v>49872</v>
      </c>
      <c r="C265" s="424">
        <f ca="1">INDEX(T_Merger!__Saldo_Inicial,_AmortizacionesTablaCliente)</f>
        <v>7.2759576141834259E-12</v>
      </c>
      <c r="D265" s="424">
        <f ca="1">INDEX(T_Merger!__Capital,_AmortizacionesTablaCliente)</f>
        <v>0</v>
      </c>
      <c r="E265" s="584">
        <f ca="1">INDEX(T_Merger!__Interes,_AmortizacionesTablaCliente)</f>
        <v>7.8216544352471822E-14</v>
      </c>
      <c r="F265" s="424">
        <f ca="1">INDEX(T_Merger!__IVA,_AmortizacionesTablaCliente)</f>
        <v>9.3859853222966188E-15</v>
      </c>
      <c r="G265" s="424">
        <f ca="1">INDEX(T_Merger!__Pago,_AmortizacionesTablaCliente)</f>
        <v>8.7602529674768438E-14</v>
      </c>
      <c r="H265" s="556">
        <v>0</v>
      </c>
      <c r="I265" s="425">
        <f ca="1">INDEX(T_Merger!__Saldo_Final,_AmortizacionesTablaCliente)</f>
        <v>7.2759576141834259E-12</v>
      </c>
    </row>
    <row r="266" spans="1:9" hidden="1" x14ac:dyDescent="0.3">
      <c r="A266" s="422">
        <v>247</v>
      </c>
      <c r="B266" s="423">
        <f t="shared" si="3"/>
        <v>49903</v>
      </c>
      <c r="C266" s="424">
        <f ca="1">INDEX(T_Merger!__Saldo_Inicial,_AmortizacionesTablaCliente)</f>
        <v>7.2759576141834259E-12</v>
      </c>
      <c r="D266" s="424">
        <f ca="1">INDEX(T_Merger!__Capital,_AmortizacionesTablaCliente)</f>
        <v>0</v>
      </c>
      <c r="E266" s="584">
        <f ca="1">INDEX(T_Merger!__Interes,_AmortizacionesTablaCliente)</f>
        <v>7.8216544352471822E-14</v>
      </c>
      <c r="F266" s="424">
        <f ca="1">INDEX(T_Merger!__IVA,_AmortizacionesTablaCliente)</f>
        <v>9.3859853222966188E-15</v>
      </c>
      <c r="G266" s="424">
        <f ca="1">INDEX(T_Merger!__Pago,_AmortizacionesTablaCliente)</f>
        <v>8.7602529674768438E-14</v>
      </c>
      <c r="H266" s="556">
        <v>0</v>
      </c>
      <c r="I266" s="425">
        <f ca="1">INDEX(T_Merger!__Saldo_Final,_AmortizacionesTablaCliente)</f>
        <v>7.2759576141834259E-12</v>
      </c>
    </row>
    <row r="267" spans="1:9" hidden="1" x14ac:dyDescent="0.3">
      <c r="A267" s="422">
        <v>248</v>
      </c>
      <c r="B267" s="423">
        <f t="shared" si="3"/>
        <v>49934</v>
      </c>
      <c r="C267" s="424">
        <f ca="1">INDEX(T_Merger!__Saldo_Inicial,_AmortizacionesTablaCliente)</f>
        <v>7.2759576141834259E-12</v>
      </c>
      <c r="D267" s="424">
        <f ca="1">INDEX(T_Merger!__Capital,_AmortizacionesTablaCliente)</f>
        <v>0</v>
      </c>
      <c r="E267" s="584">
        <f ca="1">INDEX(T_Merger!__Interes,_AmortizacionesTablaCliente)</f>
        <v>7.8216544352471822E-14</v>
      </c>
      <c r="F267" s="424">
        <f ca="1">INDEX(T_Merger!__IVA,_AmortizacionesTablaCliente)</f>
        <v>9.3859853222966188E-15</v>
      </c>
      <c r="G267" s="424">
        <f ca="1">INDEX(T_Merger!__Pago,_AmortizacionesTablaCliente)</f>
        <v>8.7602529674768438E-14</v>
      </c>
      <c r="H267" s="556">
        <v>0</v>
      </c>
      <c r="I267" s="425">
        <f ca="1">INDEX(T_Merger!__Saldo_Final,_AmortizacionesTablaCliente)</f>
        <v>7.2759576141834259E-12</v>
      </c>
    </row>
    <row r="268" spans="1:9" hidden="1" x14ac:dyDescent="0.3">
      <c r="A268" s="422">
        <v>249</v>
      </c>
      <c r="B268" s="423">
        <f t="shared" si="3"/>
        <v>49964</v>
      </c>
      <c r="C268" s="424">
        <f ca="1">INDEX(T_Merger!__Saldo_Inicial,_AmortizacionesTablaCliente)</f>
        <v>7.2759576141834259E-12</v>
      </c>
      <c r="D268" s="424">
        <f ca="1">INDEX(T_Merger!__Capital,_AmortizacionesTablaCliente)</f>
        <v>0</v>
      </c>
      <c r="E268" s="584">
        <f ca="1">INDEX(T_Merger!__Interes,_AmortizacionesTablaCliente)</f>
        <v>7.8216544352471822E-14</v>
      </c>
      <c r="F268" s="424">
        <f ca="1">INDEX(T_Merger!__IVA,_AmortizacionesTablaCliente)</f>
        <v>9.3859853222966188E-15</v>
      </c>
      <c r="G268" s="424">
        <f ca="1">INDEX(T_Merger!__Pago,_AmortizacionesTablaCliente)</f>
        <v>8.7602529674768438E-14</v>
      </c>
      <c r="H268" s="556">
        <v>0</v>
      </c>
      <c r="I268" s="425">
        <f ca="1">INDEX(T_Merger!__Saldo_Final,_AmortizacionesTablaCliente)</f>
        <v>7.2759576141834259E-12</v>
      </c>
    </row>
    <row r="269" spans="1:9" hidden="1" x14ac:dyDescent="0.3">
      <c r="A269" s="422">
        <v>250</v>
      </c>
      <c r="B269" s="423">
        <f t="shared" si="3"/>
        <v>49995</v>
      </c>
      <c r="C269" s="424">
        <f ca="1">INDEX(T_Merger!__Saldo_Inicial,_AmortizacionesTablaCliente)</f>
        <v>7.2759576141834259E-12</v>
      </c>
      <c r="D269" s="424">
        <f ca="1">INDEX(T_Merger!__Capital,_AmortizacionesTablaCliente)</f>
        <v>0</v>
      </c>
      <c r="E269" s="584">
        <f ca="1">INDEX(T_Merger!__Interes,_AmortizacionesTablaCliente)</f>
        <v>7.8216544352471822E-14</v>
      </c>
      <c r="F269" s="424">
        <f ca="1">INDEX(T_Merger!__IVA,_AmortizacionesTablaCliente)</f>
        <v>9.3859853222966188E-15</v>
      </c>
      <c r="G269" s="424">
        <f ca="1">INDEX(T_Merger!__Pago,_AmortizacionesTablaCliente)</f>
        <v>8.7602529674768438E-14</v>
      </c>
      <c r="H269" s="556">
        <v>0</v>
      </c>
      <c r="I269" s="425">
        <f ca="1">INDEX(T_Merger!__Saldo_Final,_AmortizacionesTablaCliente)</f>
        <v>7.2759576141834259E-12</v>
      </c>
    </row>
    <row r="270" spans="1:9" hidden="1" x14ac:dyDescent="0.3">
      <c r="A270" s="422">
        <v>251</v>
      </c>
      <c r="B270" s="423">
        <f t="shared" si="3"/>
        <v>50025</v>
      </c>
      <c r="C270" s="424">
        <f ca="1">INDEX(T_Merger!__Saldo_Inicial,_AmortizacionesTablaCliente)</f>
        <v>7.2759576141834259E-12</v>
      </c>
      <c r="D270" s="424">
        <f ca="1">INDEX(T_Merger!__Capital,_AmortizacionesTablaCliente)</f>
        <v>0</v>
      </c>
      <c r="E270" s="584">
        <f ca="1">INDEX(T_Merger!__Interes,_AmortizacionesTablaCliente)</f>
        <v>7.8216544352471822E-14</v>
      </c>
      <c r="F270" s="424">
        <f ca="1">INDEX(T_Merger!__IVA,_AmortizacionesTablaCliente)</f>
        <v>9.3859853222966188E-15</v>
      </c>
      <c r="G270" s="424">
        <f ca="1">INDEX(T_Merger!__Pago,_AmortizacionesTablaCliente)</f>
        <v>8.7602529674768438E-14</v>
      </c>
      <c r="H270" s="556">
        <v>0</v>
      </c>
      <c r="I270" s="425">
        <f ca="1">INDEX(T_Merger!__Saldo_Final,_AmortizacionesTablaCliente)</f>
        <v>7.2759576141834259E-12</v>
      </c>
    </row>
    <row r="271" spans="1:9" hidden="1" x14ac:dyDescent="0.3">
      <c r="A271" s="422">
        <v>252</v>
      </c>
      <c r="B271" s="423">
        <f t="shared" si="3"/>
        <v>50056</v>
      </c>
      <c r="C271" s="424">
        <f ca="1">INDEX(T_Merger!__Saldo_Inicial,_AmortizacionesTablaCliente)</f>
        <v>7.2759576141834259E-12</v>
      </c>
      <c r="D271" s="424">
        <f ca="1">INDEX(T_Merger!__Capital,_AmortizacionesTablaCliente)</f>
        <v>0</v>
      </c>
      <c r="E271" s="584">
        <f ca="1">INDEX(T_Merger!__Interes,_AmortizacionesTablaCliente)</f>
        <v>7.8216544352471822E-14</v>
      </c>
      <c r="F271" s="424">
        <f ca="1">INDEX(T_Merger!__IVA,_AmortizacionesTablaCliente)</f>
        <v>9.3859853222966188E-15</v>
      </c>
      <c r="G271" s="424">
        <f ca="1">INDEX(T_Merger!__Pago,_AmortizacionesTablaCliente)</f>
        <v>8.7602529674768438E-14</v>
      </c>
      <c r="H271" s="556">
        <v>0</v>
      </c>
      <c r="I271" s="425">
        <f ca="1">INDEX(T_Merger!__Saldo_Final,_AmortizacionesTablaCliente)</f>
        <v>7.2759576141834259E-12</v>
      </c>
    </row>
    <row r="272" spans="1:9" hidden="1" x14ac:dyDescent="0.3">
      <c r="A272" s="422">
        <v>253</v>
      </c>
      <c r="B272" s="423">
        <f t="shared" si="3"/>
        <v>50087</v>
      </c>
      <c r="C272" s="424">
        <f ca="1">INDEX(T_Merger!__Saldo_Inicial,_AmortizacionesTablaCliente)</f>
        <v>7.2759576141834259E-12</v>
      </c>
      <c r="D272" s="424">
        <f ca="1">INDEX(T_Merger!__Capital,_AmortizacionesTablaCliente)</f>
        <v>0</v>
      </c>
      <c r="E272" s="584">
        <f ca="1">INDEX(T_Merger!__Interes,_AmortizacionesTablaCliente)</f>
        <v>7.8216544352471822E-14</v>
      </c>
      <c r="F272" s="424">
        <f ca="1">INDEX(T_Merger!__IVA,_AmortizacionesTablaCliente)</f>
        <v>9.3859853222966188E-15</v>
      </c>
      <c r="G272" s="424">
        <f ca="1">INDEX(T_Merger!__Pago,_AmortizacionesTablaCliente)</f>
        <v>8.7602529674768438E-14</v>
      </c>
      <c r="H272" s="556">
        <v>0</v>
      </c>
      <c r="I272" s="425">
        <f ca="1">INDEX(T_Merger!__Saldo_Final,_AmortizacionesTablaCliente)</f>
        <v>7.2759576141834259E-12</v>
      </c>
    </row>
    <row r="273" spans="1:10" hidden="1" x14ac:dyDescent="0.3">
      <c r="A273" s="422">
        <v>254</v>
      </c>
      <c r="B273" s="423">
        <f t="shared" si="3"/>
        <v>50115</v>
      </c>
      <c r="C273" s="424">
        <f ca="1">INDEX(T_Merger!__Saldo_Inicial,_AmortizacionesTablaCliente)</f>
        <v>7.2759576141834259E-12</v>
      </c>
      <c r="D273" s="424">
        <f ca="1">INDEX(T_Merger!__Capital,_AmortizacionesTablaCliente)</f>
        <v>0</v>
      </c>
      <c r="E273" s="584">
        <f ca="1">INDEX(T_Merger!__Interes,_AmortizacionesTablaCliente)</f>
        <v>7.8216544352471822E-14</v>
      </c>
      <c r="F273" s="424">
        <f ca="1">INDEX(T_Merger!__IVA,_AmortizacionesTablaCliente)</f>
        <v>9.3859853222966188E-15</v>
      </c>
      <c r="G273" s="424">
        <f ca="1">INDEX(T_Merger!__Pago,_AmortizacionesTablaCliente)</f>
        <v>8.7602529674768438E-14</v>
      </c>
      <c r="H273" s="556">
        <v>0</v>
      </c>
      <c r="I273" s="425">
        <f ca="1">INDEX(T_Merger!__Saldo_Final,_AmortizacionesTablaCliente)</f>
        <v>7.2759576141834259E-12</v>
      </c>
    </row>
    <row r="274" spans="1:10" hidden="1" x14ac:dyDescent="0.3">
      <c r="A274" s="422">
        <v>255</v>
      </c>
      <c r="B274" s="423">
        <f t="shared" si="3"/>
        <v>50146</v>
      </c>
      <c r="C274" s="424">
        <f ca="1">INDEX(T_Merger!__Saldo_Inicial,_AmortizacionesTablaCliente)</f>
        <v>7.2759576141834259E-12</v>
      </c>
      <c r="D274" s="424">
        <f ca="1">INDEX(T_Merger!__Capital,_AmortizacionesTablaCliente)</f>
        <v>0</v>
      </c>
      <c r="E274" s="584">
        <f ca="1">INDEX(T_Merger!__Interes,_AmortizacionesTablaCliente)</f>
        <v>7.8216544352471822E-14</v>
      </c>
      <c r="F274" s="424">
        <f ca="1">INDEX(T_Merger!__IVA,_AmortizacionesTablaCliente)</f>
        <v>9.3859853222966188E-15</v>
      </c>
      <c r="G274" s="424">
        <f ca="1">INDEX(T_Merger!__Pago,_AmortizacionesTablaCliente)</f>
        <v>8.7602529674768438E-14</v>
      </c>
      <c r="H274" s="556">
        <v>0</v>
      </c>
      <c r="I274" s="425">
        <f ca="1">INDEX(T_Merger!__Saldo_Final,_AmortizacionesTablaCliente)</f>
        <v>7.2759576141834259E-12</v>
      </c>
    </row>
    <row r="275" spans="1:10" hidden="1" x14ac:dyDescent="0.3">
      <c r="A275" s="422">
        <v>256</v>
      </c>
      <c r="B275" s="423">
        <f t="shared" si="3"/>
        <v>50176</v>
      </c>
      <c r="C275" s="424">
        <f ca="1">INDEX(T_Merger!__Saldo_Inicial,_AmortizacionesTablaCliente)</f>
        <v>7.2759576141834259E-12</v>
      </c>
      <c r="D275" s="424">
        <f ca="1">INDEX(T_Merger!__Capital,_AmortizacionesTablaCliente)</f>
        <v>0</v>
      </c>
      <c r="E275" s="584">
        <f ca="1">INDEX(T_Merger!__Interes,_AmortizacionesTablaCliente)</f>
        <v>7.8216544352471822E-14</v>
      </c>
      <c r="F275" s="424">
        <f ca="1">INDEX(T_Merger!__IVA,_AmortizacionesTablaCliente)</f>
        <v>9.3859853222966188E-15</v>
      </c>
      <c r="G275" s="424">
        <f ca="1">INDEX(T_Merger!__Pago,_AmortizacionesTablaCliente)</f>
        <v>8.7602529674768438E-14</v>
      </c>
      <c r="H275" s="556">
        <v>0</v>
      </c>
      <c r="I275" s="425">
        <f ca="1">INDEX(T_Merger!__Saldo_Final,_AmortizacionesTablaCliente)</f>
        <v>7.2759576141834259E-12</v>
      </c>
    </row>
    <row r="276" spans="1:10" hidden="1" x14ac:dyDescent="0.3">
      <c r="A276" s="422">
        <v>257</v>
      </c>
      <c r="B276" s="423">
        <f t="shared" si="3"/>
        <v>50207</v>
      </c>
      <c r="C276" s="424">
        <f ca="1">INDEX(T_Merger!__Saldo_Inicial,_AmortizacionesTablaCliente)</f>
        <v>7.2759576141834259E-12</v>
      </c>
      <c r="D276" s="424">
        <f ca="1">INDEX(T_Merger!__Capital,_AmortizacionesTablaCliente)</f>
        <v>0</v>
      </c>
      <c r="E276" s="584">
        <f ca="1">INDEX(T_Merger!__Interes,_AmortizacionesTablaCliente)</f>
        <v>7.8216544352471822E-14</v>
      </c>
      <c r="F276" s="424">
        <f ca="1">INDEX(T_Merger!__IVA,_AmortizacionesTablaCliente)</f>
        <v>9.3859853222966188E-15</v>
      </c>
      <c r="G276" s="424">
        <f ca="1">INDEX(T_Merger!__Pago,_AmortizacionesTablaCliente)</f>
        <v>8.7602529674768438E-14</v>
      </c>
      <c r="H276" s="556">
        <v>0</v>
      </c>
      <c r="I276" s="425">
        <f ca="1">INDEX(T_Merger!__Saldo_Final,_AmortizacionesTablaCliente)</f>
        <v>7.2759576141834259E-12</v>
      </c>
    </row>
    <row r="277" spans="1:10" hidden="1" x14ac:dyDescent="0.3">
      <c r="A277" s="422">
        <v>258</v>
      </c>
      <c r="B277" s="423">
        <f t="shared" si="3"/>
        <v>50237</v>
      </c>
      <c r="C277" s="424">
        <f ca="1">INDEX(T_Merger!__Saldo_Inicial,_AmortizacionesTablaCliente)</f>
        <v>7.2759576141834259E-12</v>
      </c>
      <c r="D277" s="424">
        <f ca="1">INDEX(T_Merger!__Capital,_AmortizacionesTablaCliente)</f>
        <v>0</v>
      </c>
      <c r="E277" s="584">
        <f ca="1">INDEX(T_Merger!__Interes,_AmortizacionesTablaCliente)</f>
        <v>7.8216544352471822E-14</v>
      </c>
      <c r="F277" s="424">
        <f ca="1">INDEX(T_Merger!__IVA,_AmortizacionesTablaCliente)</f>
        <v>9.3859853222966188E-15</v>
      </c>
      <c r="G277" s="424">
        <f ca="1">INDEX(T_Merger!__Pago,_AmortizacionesTablaCliente)</f>
        <v>8.7602529674768438E-14</v>
      </c>
      <c r="H277" s="556">
        <v>0</v>
      </c>
      <c r="I277" s="425">
        <f ca="1">INDEX(T_Merger!__Saldo_Final,_AmortizacionesTablaCliente)</f>
        <v>7.2759576141834259E-12</v>
      </c>
    </row>
    <row r="278" spans="1:10" hidden="1" x14ac:dyDescent="0.3">
      <c r="A278" s="422">
        <v>259</v>
      </c>
      <c r="B278" s="423">
        <f t="shared" si="3"/>
        <v>50268</v>
      </c>
      <c r="C278" s="424">
        <f ca="1">INDEX(T_Merger!__Saldo_Inicial,_AmortizacionesTablaCliente)</f>
        <v>7.2759576141834259E-12</v>
      </c>
      <c r="D278" s="424">
        <f ca="1">INDEX(T_Merger!__Capital,_AmortizacionesTablaCliente)</f>
        <v>0</v>
      </c>
      <c r="E278" s="584">
        <f ca="1">INDEX(T_Merger!__Interes,_AmortizacionesTablaCliente)</f>
        <v>7.8216544352471822E-14</v>
      </c>
      <c r="F278" s="424">
        <f ca="1">INDEX(T_Merger!__IVA,_AmortizacionesTablaCliente)</f>
        <v>9.3859853222966188E-15</v>
      </c>
      <c r="G278" s="424">
        <f ca="1">INDEX(T_Merger!__Pago,_AmortizacionesTablaCliente)</f>
        <v>8.7602529674768438E-14</v>
      </c>
      <c r="H278" s="556">
        <v>0</v>
      </c>
      <c r="I278" s="425">
        <f ca="1">INDEX(T_Merger!__Saldo_Final,_AmortizacionesTablaCliente)</f>
        <v>7.2759576141834259E-12</v>
      </c>
    </row>
    <row r="279" spans="1:10" hidden="1" x14ac:dyDescent="0.3">
      <c r="A279" s="426">
        <v>260</v>
      </c>
      <c r="B279" s="427">
        <f t="shared" si="3"/>
        <v>50299</v>
      </c>
      <c r="C279" s="428">
        <f ca="1">INDEX(T_Merger!__Saldo_Inicial,_AmortizacionesTablaCliente)</f>
        <v>7.2759576141834259E-12</v>
      </c>
      <c r="D279" s="428">
        <f ca="1">INDEX(T_Merger!__Capital,_AmortizacionesTablaCliente)</f>
        <v>0</v>
      </c>
      <c r="E279" s="583">
        <f ca="1">INDEX(T_Merger!__Interes,_AmortizacionesTablaCliente)</f>
        <v>7.8216544352471822E-14</v>
      </c>
      <c r="F279" s="428">
        <f ca="1">INDEX(T_Merger!__IVA,_AmortizacionesTablaCliente)</f>
        <v>9.3859853222966188E-15</v>
      </c>
      <c r="G279" s="428">
        <f ca="1">INDEX(T_Merger!__Pago,_AmortizacionesTablaCliente)</f>
        <v>8.7602529674768438E-14</v>
      </c>
      <c r="H279" s="557">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10589.31236983493</v>
      </c>
      <c r="F280" s="416">
        <f ca="1">SUM(F20:F279)</f>
        <v>1270.7174843801918</v>
      </c>
      <c r="G280" s="416">
        <f ca="1">SUM(G20:G279)</f>
        <v>160901.78671421506</v>
      </c>
      <c r="H280" s="416">
        <f>SUM(H20:H279)</f>
        <v>0</v>
      </c>
      <c r="I280" s="417"/>
    </row>
    <row r="281" spans="1:10" x14ac:dyDescent="0.3">
      <c r="A281" s="939" t="s">
        <v>3742</v>
      </c>
      <c r="B281" s="940"/>
      <c r="C281" s="940"/>
      <c r="D281" s="940"/>
      <c r="E281" s="940"/>
      <c r="F281" s="940"/>
      <c r="G281" s="940"/>
      <c r="H281" s="940"/>
      <c r="I281" s="941"/>
    </row>
    <row r="282" spans="1:10" x14ac:dyDescent="0.3">
      <c r="A282" s="880"/>
      <c r="B282" s="881"/>
      <c r="C282" s="881"/>
      <c r="D282" s="881"/>
      <c r="E282" s="881"/>
      <c r="F282" s="881"/>
      <c r="G282" s="881"/>
      <c r="H282" s="881"/>
      <c r="I282" s="882"/>
    </row>
    <row r="283" spans="1:10" x14ac:dyDescent="0.3">
      <c r="A283" s="88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1"/>
      <c r="C283" s="881"/>
      <c r="D283" s="881"/>
      <c r="E283" s="881"/>
      <c r="F283" s="881"/>
      <c r="G283" s="881"/>
      <c r="H283" s="881"/>
      <c r="I283" s="882"/>
    </row>
    <row r="284" spans="1:10" x14ac:dyDescent="0.3">
      <c r="A284" s="880"/>
      <c r="B284" s="881"/>
      <c r="C284" s="881"/>
      <c r="D284" s="881"/>
      <c r="E284" s="881"/>
      <c r="F284" s="881"/>
      <c r="G284" s="881"/>
      <c r="H284" s="881"/>
      <c r="I284" s="882"/>
    </row>
    <row r="285" spans="1:10" ht="17.25" thickBot="1" x14ac:dyDescent="0.35">
      <c r="A285" s="883"/>
      <c r="B285" s="884"/>
      <c r="C285" s="884"/>
      <c r="D285" s="884"/>
      <c r="E285" s="884"/>
      <c r="F285" s="884"/>
      <c r="G285" s="884"/>
      <c r="H285" s="884"/>
      <c r="I285" s="885"/>
    </row>
    <row r="286" spans="1:10" ht="17.25" thickBot="1" x14ac:dyDescent="0.35">
      <c r="J286" s="741"/>
    </row>
    <row r="288" spans="1:10" x14ac:dyDescent="0.3">
      <c r="B288" s="934" t="s">
        <v>5339</v>
      </c>
      <c r="C288" s="934"/>
      <c r="D288" s="934"/>
      <c r="E288" s="934"/>
      <c r="F288" s="934"/>
      <c r="G288" s="934"/>
      <c r="H288" s="934"/>
      <c r="I288" s="934"/>
    </row>
    <row r="289" spans="2:9" ht="27" x14ac:dyDescent="0.3">
      <c r="B289" s="412" t="s">
        <v>1706</v>
      </c>
      <c r="C289" s="412" t="s">
        <v>1650</v>
      </c>
      <c r="D289" s="412" t="s">
        <v>1707</v>
      </c>
      <c r="E289" s="412" t="s">
        <v>1652</v>
      </c>
      <c r="F289" s="412" t="s">
        <v>1708</v>
      </c>
      <c r="G289" s="412" t="s">
        <v>1653</v>
      </c>
      <c r="H289"/>
      <c r="I289" s="412" t="s">
        <v>1654</v>
      </c>
    </row>
    <row r="290" spans="2:9" x14ac:dyDescent="0.3">
      <c r="B290" s="739" t="s">
        <v>5340</v>
      </c>
      <c r="C290" s="739" t="s">
        <v>5388</v>
      </c>
      <c r="D290" s="739" t="s">
        <v>5389</v>
      </c>
      <c r="E290" s="739" t="s">
        <v>5390</v>
      </c>
      <c r="F290" s="739" t="s">
        <v>5391</v>
      </c>
      <c r="G290" s="739" t="s">
        <v>5392</v>
      </c>
      <c r="H290" s="740">
        <v>0</v>
      </c>
      <c r="I290" s="739" t="s">
        <v>5393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F19" sqref="F19"/>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5270</v>
      </c>
      <c r="Q3" s="230"/>
      <c r="R3" s="230"/>
      <c r="S3" s="230"/>
      <c r="T3" s="230"/>
      <c r="U3" s="230"/>
      <c r="V3" s="731" t="s">
        <v>506</v>
      </c>
      <c r="W3" s="230" t="s">
        <v>5330</v>
      </c>
      <c r="X3" s="230"/>
      <c r="Y3" s="230"/>
      <c r="Z3" s="230"/>
      <c r="AA3" s="230"/>
      <c r="AB3" s="230"/>
    </row>
    <row r="4" spans="1:28" ht="16.5" thickTop="1" thickBot="1" x14ac:dyDescent="0.3">
      <c r="E4" s="111"/>
    </row>
    <row r="5" spans="1:28" x14ac:dyDescent="0.25">
      <c r="A5" s="222"/>
      <c r="B5" s="951" t="s">
        <v>1699</v>
      </c>
      <c r="C5" s="951"/>
      <c r="D5" t="s">
        <v>438</v>
      </c>
      <c r="E5" s="155" t="s">
        <v>2246</v>
      </c>
      <c r="F5" s="122" t="s">
        <v>1589</v>
      </c>
      <c r="K5" s="952" t="s">
        <v>429</v>
      </c>
      <c r="L5" s="953"/>
      <c r="M5" s="76" t="s">
        <v>1648</v>
      </c>
      <c r="W5" s="798" t="s">
        <v>5241</v>
      </c>
      <c r="X5" s="798"/>
      <c r="Y5" s="798"/>
      <c r="Z5" s="798"/>
      <c r="AA5" s="798"/>
      <c r="AB5" s="798" t="s">
        <v>506</v>
      </c>
    </row>
    <row r="6" spans="1:28" x14ac:dyDescent="0.25">
      <c r="A6" s="44" t="s">
        <v>430</v>
      </c>
      <c r="B6" s="44" t="s">
        <v>431</v>
      </c>
      <c r="C6" s="44" t="s">
        <v>1698</v>
      </c>
      <c r="E6" s="33" t="s">
        <v>444</v>
      </c>
      <c r="F6" s="118">
        <f ca="1">ID_CONDICION_AUTO</f>
        <v>1</v>
      </c>
      <c r="K6" s="59"/>
      <c r="L6" s="18"/>
      <c r="M6" s="60"/>
      <c r="X6" s="825"/>
      <c r="Y6" s="825"/>
      <c r="Z6" s="825"/>
      <c r="AA6" s="825"/>
      <c r="AB6" s="825"/>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49" t="s">
        <v>1638</v>
      </c>
      <c r="L7" s="950"/>
      <c r="M7" s="206">
        <f ca="1">MontoEnganche</f>
        <v>15000</v>
      </c>
      <c r="Z7" s="792"/>
      <c r="AA7" s="792"/>
      <c r="AB7" s="620" t="s">
        <v>5320</v>
      </c>
    </row>
    <row r="8" spans="1:28" x14ac:dyDescent="0.25">
      <c r="A8" s="212" t="str">
        <f>SELECCION_IVA</f>
        <v>No Frontera</v>
      </c>
      <c r="B8" s="38" t="s">
        <v>1689</v>
      </c>
      <c r="C8" s="223">
        <f ca="1">VLOOKUP(SELECCION_IVA,C_IVA_DESC,2,0)</f>
        <v>1</v>
      </c>
      <c r="E8" s="35" t="s">
        <v>5267</v>
      </c>
      <c r="F8" s="73" t="b">
        <f ca="1">VLOOKUP(ID_CONDICION_AUTO,C_CONDICION_AUTO,4,0)</f>
        <v>1</v>
      </c>
      <c r="K8" s="949" t="s">
        <v>1641</v>
      </c>
      <c r="L8" s="950"/>
      <c r="M8" s="206" t="str">
        <f ca="1">MontoSeguroDeContado</f>
        <v>$0.00</v>
      </c>
      <c r="P8" s="676" t="s">
        <v>5250</v>
      </c>
      <c r="Q8" s="677" t="s">
        <v>5244</v>
      </c>
      <c r="R8" s="691" t="s">
        <v>3715</v>
      </c>
      <c r="Y8" s="792"/>
      <c r="Z8" s="792"/>
      <c r="AA8" s="792"/>
      <c r="AB8" s="793">
        <f t="array" ref="AB8">SUM(IF(COMBO_PRODUCTO&lt;&gt;0,1))</f>
        <v>2</v>
      </c>
    </row>
    <row r="9" spans="1:28" x14ac:dyDescent="0.25">
      <c r="A9" s="212" t="str">
        <f>SELECCION_ESTADO</f>
        <v>Aguascalientes</v>
      </c>
      <c r="B9" s="38" t="s">
        <v>1690</v>
      </c>
      <c r="C9" s="561">
        <f ca="1">VLOOKUP(SELECCION_ESTADO,C_ESTADO_DESC,2,0)</f>
        <v>1</v>
      </c>
      <c r="E9" s="683" t="s">
        <v>2245</v>
      </c>
      <c r="F9" s="684" t="b">
        <f ca="1">NOT(CondicionAutoEsNuevo?)</f>
        <v>0</v>
      </c>
      <c r="K9" s="949" t="s">
        <v>1639</v>
      </c>
      <c r="L9" s="950"/>
      <c r="M9" s="206">
        <f ca="1">MontoComisionPorAperturaConIva</f>
        <v>4322.21094894</v>
      </c>
      <c r="P9" s="671" t="str">
        <f>SELECCION_TIPO_TARIFA</f>
        <v>Tradicional</v>
      </c>
      <c r="Q9" s="678" t="str">
        <f>DGET(C_TIPO_TARIFA,Q8,$P$8:$P$9)</f>
        <v>T.T.TRAD</v>
      </c>
      <c r="R9" s="679">
        <f>DGET(C_TIPO_TARIFA,R8,$P$8:$P$9)</f>
        <v>2.5000000000000001E-2</v>
      </c>
      <c r="Y9" s="620" t="s">
        <v>5412</v>
      </c>
      <c r="Z9" s="726" t="s">
        <v>5413</v>
      </c>
      <c r="AA9" s="792"/>
      <c r="AB9" s="734" t="s">
        <v>5319</v>
      </c>
    </row>
    <row r="10" spans="1:28" x14ac:dyDescent="0.25">
      <c r="A10" s="213" t="str">
        <f>SELECCION_AUTO</f>
        <v>ILX</v>
      </c>
      <c r="B10" s="208" t="s">
        <v>1691</v>
      </c>
      <c r="C10" s="224">
        <f ca="1">ID_AUTO</f>
        <v>1</v>
      </c>
      <c r="E10" s="686"/>
      <c r="F10" s="687"/>
      <c r="G10" s="563"/>
      <c r="H10" s="563"/>
      <c r="I10" s="680"/>
      <c r="K10" s="949" t="s">
        <v>1640</v>
      </c>
      <c r="L10" s="950"/>
      <c r="M10" s="206">
        <f ca="1">AportacionAdicional</f>
        <v>0</v>
      </c>
      <c r="Y10" s="793" t="str">
        <f>C.Otros!A4</f>
        <v>AutoEstrene</v>
      </c>
      <c r="Z10" s="793" t="str">
        <f>C.Otros!A4</f>
        <v>AutoEstrene</v>
      </c>
      <c r="AA10" s="792"/>
      <c r="AB10" s="793" t="str">
        <f>INDEX(Y10:Z10,,MATCH(Marca.Código,$Y$9:$Z$9,0))</f>
        <v>AutoEstrene</v>
      </c>
    </row>
    <row r="11" spans="1:28" x14ac:dyDescent="0.25">
      <c r="A11" s="212" t="str">
        <f>SELECCION_CONDICION_AUTO</f>
        <v>Nuevo</v>
      </c>
      <c r="B11" s="209" t="s">
        <v>0</v>
      </c>
      <c r="C11" s="561">
        <f ca="1">VLOOKUP(SELECCION_CONDICION_AUTO,C_CONDICION_AUTO_DESC,2,0)</f>
        <v>1</v>
      </c>
      <c r="E11" s="33" t="s">
        <v>14</v>
      </c>
      <c r="F11" s="685">
        <f ca="1">C.Porcentaje_Mínimo_Enganche</f>
        <v>0.1</v>
      </c>
      <c r="K11" s="947" t="s">
        <v>1642</v>
      </c>
      <c r="L11" s="948"/>
      <c r="M11" s="207">
        <f ca="1">SUM(M7:M10)</f>
        <v>19322.210948939999</v>
      </c>
      <c r="P11" s="676" t="s">
        <v>5257</v>
      </c>
      <c r="Q11" s="676" t="s">
        <v>5250</v>
      </c>
      <c r="R11" s="691" t="s">
        <v>5263</v>
      </c>
      <c r="Y11" s="793" t="str">
        <f>C.Otros!A5</f>
        <v>AutoNómina</v>
      </c>
      <c r="Z11" s="793"/>
      <c r="AA11" s="792"/>
      <c r="AB11" s="793" t="str">
        <f>INDEX(Y11:Z11,,MATCH(Marca.Código,$Y$9:$Z$9,0))</f>
        <v>AutoNómina</v>
      </c>
    </row>
    <row r="12" spans="1:28" x14ac:dyDescent="0.25">
      <c r="A12" s="212">
        <f>SELECCION_MODELO</f>
        <v>2015</v>
      </c>
      <c r="B12" s="209" t="s">
        <v>2125</v>
      </c>
      <c r="C12" s="561">
        <f ca="1">VLOOKUP(SELECCION_MODELO,C_MODELO_AÑO_DESC,2,0)</f>
        <v>3</v>
      </c>
      <c r="E12" s="39" t="s">
        <v>3214</v>
      </c>
      <c r="F12" s="265">
        <f>1-(Monto_Mínimo_a_Financiar/CapturaValorFactura)</f>
        <v>0.83333333333333337</v>
      </c>
      <c r="G12" s="18"/>
      <c r="H12" s="682"/>
      <c r="I12" s="680"/>
      <c r="K12" s="59"/>
      <c r="L12" s="18"/>
      <c r="M12" s="60"/>
      <c r="P12" s="680" t="str">
        <f ca="1">CondicionAuto_Descripcion</f>
        <v>Nuevo</v>
      </c>
      <c r="Q12" s="680" t="str">
        <f>TTAR.Código</f>
        <v>T.T.TRAD</v>
      </c>
      <c r="R12" s="681">
        <f ca="1">DGET(C_CONDICION_AUTO_TIPO_TARIFA,R11,$P$11:$Q$12)</f>
        <v>0.1</v>
      </c>
    </row>
    <row r="13" spans="1:28" x14ac:dyDescent="0.25">
      <c r="A13" s="212" t="str">
        <f>SELECCION_CALCULO_SEGURO</f>
        <v>Anual Financiado</v>
      </c>
      <c r="B13" s="38" t="s">
        <v>4176</v>
      </c>
      <c r="C13" s="561">
        <f ca="1">VLOOKUP(SELECCION_CALCULO_SEGURO,C_CALCULO_SEGURO_DESC,2,0)</f>
        <v>1</v>
      </c>
      <c r="K13" s="949" t="s">
        <v>1636</v>
      </c>
      <c r="L13" s="950"/>
      <c r="M13" s="206">
        <f ca="1">MontoFinanciarAuto</f>
        <v>135000</v>
      </c>
    </row>
    <row r="14" spans="1:28" x14ac:dyDescent="0.25">
      <c r="A14" s="212" t="str">
        <f>SELECCION_GTIAEXT</f>
        <v>Financiado</v>
      </c>
      <c r="B14" s="38" t="s">
        <v>4970</v>
      </c>
      <c r="C14" s="223"/>
      <c r="E14" s="155" t="s">
        <v>2122</v>
      </c>
      <c r="F14" s="122" t="s">
        <v>1589</v>
      </c>
      <c r="K14" s="949" t="s">
        <v>1637</v>
      </c>
      <c r="L14" s="950"/>
      <c r="M14" s="206">
        <f ca="1">MontoFinanciarSeguros</f>
        <v>8041.7568599999995</v>
      </c>
      <c r="P14" s="676" t="s">
        <v>5257</v>
      </c>
      <c r="Q14" s="691" t="s">
        <v>5258</v>
      </c>
      <c r="W14" s="798" t="s">
        <v>1627</v>
      </c>
      <c r="X14" s="798"/>
      <c r="Y14" s="798"/>
      <c r="Z14" s="798"/>
      <c r="AA14" s="798"/>
      <c r="AB14" s="798"/>
    </row>
    <row r="15" spans="1:28" x14ac:dyDescent="0.25">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5320</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91" t="s">
        <v>5259</v>
      </c>
      <c r="X17" s="563"/>
      <c r="AB17" s="730">
        <f t="array" ref="AB17">SUM(IF(COMBO_FRECUENCIA&lt;&gt;0,1))</f>
        <v>1</v>
      </c>
    </row>
    <row r="18" spans="1:28" x14ac:dyDescent="0.25">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20" t="s">
        <v>5245</v>
      </c>
      <c r="Z18" s="726" t="s">
        <v>5246</v>
      </c>
      <c r="AA18" s="792" t="s">
        <v>506</v>
      </c>
      <c r="AB18" s="734" t="s">
        <v>5319</v>
      </c>
    </row>
    <row r="19" spans="1:28" x14ac:dyDescent="0.25">
      <c r="A19" s="212" t="str">
        <f>SELECCION_PLAZO</f>
        <v>12 Meses</v>
      </c>
      <c r="B19" s="38" t="s">
        <v>1695</v>
      </c>
      <c r="C19" s="223">
        <f ca="1">VLOOKUP(SELECCION_PLAZO,C_PLAZO_DESC,2,0)</f>
        <v>3</v>
      </c>
      <c r="E19" s="134" t="s">
        <v>2262</v>
      </c>
      <c r="F19" s="73">
        <f ca="1">VLOOKUP(ID_MODELO,C_MODELO_AÑO,6,0)</f>
        <v>2</v>
      </c>
      <c r="H19" s="815"/>
      <c r="K19" s="205">
        <v>36</v>
      </c>
      <c r="L19" s="66">
        <v>0.129</v>
      </c>
      <c r="M19" s="61">
        <v>5573.53</v>
      </c>
      <c r="W19" s="828"/>
      <c r="X19" s="348"/>
      <c r="Y19" s="710" t="str">
        <f>'C. Comunes'!B5</f>
        <v>Mensual</v>
      </c>
      <c r="Z19" s="710" t="str">
        <f>'C. Comunes'!B5</f>
        <v>Mensual</v>
      </c>
      <c r="AB19" s="730"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4608.54</v>
      </c>
      <c r="P20" s="794" t="s">
        <v>5260</v>
      </c>
      <c r="Y20" s="710"/>
      <c r="Z20" s="710" t="str">
        <f>'C. Comunes'!B6</f>
        <v>Quincenal</v>
      </c>
      <c r="AB20" s="730">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0.13200000000000001</v>
      </c>
      <c r="M21" s="62">
        <v>4063.43</v>
      </c>
      <c r="P21" s="676" t="s">
        <v>5250</v>
      </c>
      <c r="Q21" s="676" t="s">
        <v>5257</v>
      </c>
      <c r="R21" s="676" t="s">
        <v>5266</v>
      </c>
      <c r="S21" s="676" t="s">
        <v>5256</v>
      </c>
      <c r="T21" s="691" t="s">
        <v>5260</v>
      </c>
      <c r="U21"/>
      <c r="Y21" s="710"/>
      <c r="Z21" s="710" t="str">
        <f>'C. Comunes'!B7</f>
        <v>Catorcenal</v>
      </c>
      <c r="AB21" s="730">
        <f>INDEX(Y21:Z21,, MATCH(PROD.Código,$Y$18:$Z$18,0))</f>
        <v>0</v>
      </c>
    </row>
    <row r="22" spans="1:28" x14ac:dyDescent="0.25">
      <c r="A22" s="214" t="str">
        <f>SELECCION_MARCA</f>
        <v>Acura</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x14ac:dyDescent="0.25">
      <c r="A23" s="214">
        <f>CapturaFechaCotizacion</f>
        <v>42387</v>
      </c>
      <c r="B23" s="219" t="s">
        <v>1703</v>
      </c>
      <c r="C23" s="84"/>
      <c r="E23" s="33" t="s">
        <v>2203</v>
      </c>
      <c r="F23" s="166" t="str">
        <f>CONCATENATE(SELECCION_MARCA,", ",SELECCION_AUTO)</f>
        <v>Acura, ILX</v>
      </c>
      <c r="G23" s="168"/>
      <c r="H23" s="162"/>
      <c r="I23" s="118"/>
      <c r="Y23" s="710"/>
      <c r="Z23" s="710" t="str">
        <f>'C. Comunes'!B9</f>
        <v>Semanal</v>
      </c>
      <c r="AB23" s="730">
        <f>INDEX(Y23:Z23,, MATCH(PROD.Código,$Y$18:$Z$18,0))</f>
        <v>0</v>
      </c>
    </row>
    <row r="24" spans="1:28" x14ac:dyDescent="0.25">
      <c r="A24" s="215">
        <f>CapturaValorFactura</f>
        <v>150000</v>
      </c>
      <c r="B24" s="219" t="s">
        <v>441</v>
      </c>
      <c r="C24" s="84"/>
      <c r="E24" s="35"/>
      <c r="F24" s="163"/>
      <c r="G24" s="169"/>
      <c r="H24" s="163"/>
      <c r="I24" s="73"/>
      <c r="P24" s="794" t="s">
        <v>5427</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76" t="s">
        <v>445</v>
      </c>
      <c r="Q25" s="691" t="s">
        <v>1617</v>
      </c>
      <c r="R25" s="691" t="s">
        <v>1618</v>
      </c>
      <c r="Y25" s="792"/>
      <c r="Z25" s="792"/>
      <c r="AA25" s="792"/>
      <c r="AB25" s="792"/>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x14ac:dyDescent="0.25">
      <c r="A27" s="217">
        <f>CapturaAportacionAdicional</f>
        <v>0</v>
      </c>
      <c r="B27" s="220" t="s">
        <v>1700</v>
      </c>
      <c r="C27" s="110"/>
      <c r="E27" s="35"/>
      <c r="F27" s="36"/>
      <c r="G27" s="149" t="s">
        <v>2139</v>
      </c>
      <c r="H27" s="137" t="s">
        <v>424</v>
      </c>
      <c r="I27" s="138" t="s">
        <v>2185</v>
      </c>
      <c r="X27" s="825"/>
      <c r="Y27" s="825"/>
      <c r="Z27" s="825"/>
      <c r="AA27" s="825"/>
      <c r="AB27" s="825"/>
    </row>
    <row r="28" spans="1:28" x14ac:dyDescent="0.25">
      <c r="A28" s="214" t="str">
        <f>SELECCION_GTIAEXT</f>
        <v>Financiado</v>
      </c>
      <c r="B28" s="36"/>
      <c r="E28" s="35" t="s">
        <v>445</v>
      </c>
      <c r="F28" s="816" t="str">
        <f ca="1">CHOOSE(Catálogo_a_usar,G28,H28)</f>
        <v>Acura, ILX</v>
      </c>
      <c r="G28" s="131" t="str">
        <f ca="1">VLOOKUP(ID_AUTO,C_AUTO,2,0)</f>
        <v>Acura, ILX</v>
      </c>
      <c r="H28" s="131" t="e">
        <f ca="1">VLOOKUP(ID_AUTO,C_AutosSeminuevos,2,0)</f>
        <v>#N/A</v>
      </c>
      <c r="I28" s="73" t="s">
        <v>506</v>
      </c>
      <c r="P28" s="796" t="s">
        <v>2140</v>
      </c>
      <c r="Q28" s="677" t="s">
        <v>5244</v>
      </c>
      <c r="Z28" s="729"/>
      <c r="AB28" s="620" t="s">
        <v>5320</v>
      </c>
    </row>
    <row r="29" spans="1:28" x14ac:dyDescent="0.25">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x14ac:dyDescent="0.35">
      <c r="A30" s="230" t="s">
        <v>7</v>
      </c>
      <c r="B30" s="230"/>
      <c r="E30" s="35"/>
      <c r="F30" s="36"/>
      <c r="G30" s="149" t="s">
        <v>1718</v>
      </c>
      <c r="H30" s="137" t="s">
        <v>1718</v>
      </c>
      <c r="I30" s="138" t="s">
        <v>2187</v>
      </c>
      <c r="X30" s="563"/>
      <c r="Y30" s="620" t="s">
        <v>5245</v>
      </c>
      <c r="Z30" s="726" t="s">
        <v>5246</v>
      </c>
      <c r="AA30" s="729" t="s">
        <v>506</v>
      </c>
      <c r="AB30" s="734" t="s">
        <v>5319</v>
      </c>
    </row>
    <row r="31" spans="1:28" ht="15.75" thickTop="1" x14ac:dyDescent="0.25">
      <c r="E31" s="39" t="s">
        <v>3714</v>
      </c>
      <c r="F31" s="117" t="b">
        <f ca="1">ID_TIPO_AUTO = _3.5T</f>
        <v>0</v>
      </c>
      <c r="G31" s="345"/>
      <c r="H31" s="346"/>
      <c r="I31" s="347"/>
      <c r="P31" s="676" t="s">
        <v>5241</v>
      </c>
      <c r="Q31" s="677" t="s">
        <v>5244</v>
      </c>
      <c r="X31" s="563"/>
      <c r="Y31" s="730" t="str">
        <f>'C. Seguros'!B31</f>
        <v>Física</v>
      </c>
      <c r="Z31" s="730" t="str">
        <f>'C. Seguros'!B31</f>
        <v>Física</v>
      </c>
      <c r="AB31" s="730" t="str">
        <f>INDEX(Y31:Z31,,MATCH(PROD.Código,$Y$30:$Z$30,0))</f>
        <v>Física</v>
      </c>
    </row>
    <row r="32" spans="1:28" x14ac:dyDescent="0.25">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x14ac:dyDescent="0.25">
      <c r="A34" s="35" t="s">
        <v>8</v>
      </c>
      <c r="B34" s="38" t="s">
        <v>10</v>
      </c>
      <c r="E34" s="35" t="s">
        <v>444</v>
      </c>
      <c r="F34" s="73">
        <f ca="1">ID_ESTADO</f>
        <v>1</v>
      </c>
      <c r="G34" s="129"/>
      <c r="H34" s="36"/>
      <c r="I34" s="73" t="s">
        <v>506</v>
      </c>
      <c r="P34" s="794" t="s">
        <v>5424</v>
      </c>
      <c r="V34" s="794"/>
    </row>
    <row r="35" spans="1:28" x14ac:dyDescent="0.25">
      <c r="A35" s="39" t="s">
        <v>9</v>
      </c>
      <c r="B35" s="232" t="s">
        <v>11</v>
      </c>
      <c r="E35" s="35" t="s">
        <v>445</v>
      </c>
      <c r="F35" s="73" t="str">
        <f ca="1">VLOOKUP(ID_ESTADO,C_ESTADO,2,0)</f>
        <v>Aguascalientes</v>
      </c>
      <c r="G35" s="129"/>
      <c r="H35" s="36"/>
      <c r="I35" s="73" t="s">
        <v>506</v>
      </c>
      <c r="P35" s="796" t="s">
        <v>2140</v>
      </c>
      <c r="Q35" s="796" t="s">
        <v>5241</v>
      </c>
      <c r="R35" s="796" t="s">
        <v>1564</v>
      </c>
      <c r="S35" s="796" t="s">
        <v>5257</v>
      </c>
      <c r="T35" s="796" t="s">
        <v>1592</v>
      </c>
      <c r="U35" s="691" t="s">
        <v>5421</v>
      </c>
      <c r="Y35" s="792"/>
      <c r="Z35" s="792"/>
      <c r="AA35" s="792"/>
      <c r="AB35" s="792"/>
    </row>
    <row r="36" spans="1:28" x14ac:dyDescent="0.25">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5475</v>
      </c>
      <c r="W36" s="798" t="s">
        <v>5250</v>
      </c>
      <c r="X36" s="798"/>
      <c r="Y36" s="798"/>
      <c r="Z36" s="798"/>
      <c r="AA36" s="798"/>
      <c r="AB36" s="798" t="s">
        <v>506</v>
      </c>
    </row>
    <row r="37" spans="1:28" x14ac:dyDescent="0.25">
      <c r="E37" s="35" t="s">
        <v>2182</v>
      </c>
      <c r="F37" s="73" t="b">
        <f ca="1">VLOOKUP(ID_ESTADO,C_ESTADO,7,0)</f>
        <v>0</v>
      </c>
      <c r="G37" s="129"/>
      <c r="H37" s="36"/>
      <c r="I37" s="73" t="s">
        <v>506</v>
      </c>
      <c r="X37" s="825"/>
      <c r="Y37" s="825"/>
      <c r="Z37" s="825"/>
      <c r="AA37" s="825"/>
      <c r="AB37" s="825"/>
    </row>
    <row r="38" spans="1:28" x14ac:dyDescent="0.25">
      <c r="A38" s="155" t="s">
        <v>2</v>
      </c>
      <c r="B38" s="272"/>
      <c r="E38" s="35" t="s">
        <v>2188</v>
      </c>
      <c r="F38" s="150">
        <f ca="1">CHOOSE(Catálogo_a_usar,G38,H38)</f>
        <v>0.65</v>
      </c>
      <c r="G38" s="170">
        <f ca="1">IF(G39,G40,1)</f>
        <v>0.65</v>
      </c>
      <c r="H38" s="131">
        <f ca="1">IF(H39,H40,1)</f>
        <v>0.61</v>
      </c>
      <c r="I38" s="73" t="s">
        <v>3706</v>
      </c>
      <c r="P38" s="808" t="s">
        <v>5433</v>
      </c>
      <c r="Y38" s="90" t="s">
        <v>5461</v>
      </c>
      <c r="Z38" s="676" t="str">
        <f>Marca.Código &amp; "_" &amp; PROD.Código</f>
        <v>BTE_AET</v>
      </c>
      <c r="AA38" s="792"/>
      <c r="AB38" s="620" t="s">
        <v>5320</v>
      </c>
    </row>
    <row r="39" spans="1:28" x14ac:dyDescent="0.25">
      <c r="A39" s="35" t="s">
        <v>3695</v>
      </c>
      <c r="B39" s="38" t="b">
        <f ca="1">CondicionAutoEsNuevo?</f>
        <v>1</v>
      </c>
      <c r="E39" s="35"/>
      <c r="F39" s="337"/>
      <c r="G39" s="338" t="b">
        <f ca="1">NOT(CondicionAutoEs3.5T?)</f>
        <v>1</v>
      </c>
      <c r="H39" s="339" t="b">
        <f ca="1">G39</f>
        <v>1</v>
      </c>
      <c r="I39" s="73" t="s">
        <v>3704</v>
      </c>
      <c r="P39" s="796" t="s">
        <v>2140</v>
      </c>
      <c r="Q39" s="796" t="s">
        <v>5241</v>
      </c>
      <c r="R39" s="691" t="s">
        <v>5432</v>
      </c>
      <c r="X39" s="792"/>
      <c r="Y39" s="792"/>
      <c r="Z39" s="792"/>
      <c r="AA39" s="792"/>
      <c r="AB39" s="793">
        <f t="array" ref="AB39">SUM(IF(COMBO_TIPO_TARIFA&lt;&gt;0,1))</f>
        <v>2</v>
      </c>
    </row>
    <row r="40" spans="1:28" x14ac:dyDescent="0.25">
      <c r="A40" s="336" t="s">
        <v>3698</v>
      </c>
      <c r="B40" s="38" t="s">
        <v>3696</v>
      </c>
      <c r="E40" s="35"/>
      <c r="F40" s="337"/>
      <c r="G40" s="149">
        <f ca="1">VLOOKUP(ID_ESTADO,C_ESTADO,4,0)</f>
        <v>0.65</v>
      </c>
      <c r="H40" s="137">
        <f ca="1">VLOOKUP(ID_ESTADO,C_ESTADO,5,0)</f>
        <v>0.61</v>
      </c>
      <c r="I40" s="73" t="s">
        <v>3705</v>
      </c>
      <c r="P40" s="809" t="str">
        <f>Marca.Código</f>
        <v>BTE</v>
      </c>
      <c r="Q40" s="809" t="str">
        <f>PROD.Código</f>
        <v>AET</v>
      </c>
      <c r="R40" s="809" t="str">
        <f>DGET(C_MARCA_PRODUCTO,R39,$P$39:$Q$40)</f>
        <v>AutoEstrene Banorte</v>
      </c>
      <c r="W40" s="839"/>
      <c r="X40" s="620" t="s">
        <v>5417</v>
      </c>
      <c r="Y40" s="620" t="s">
        <v>5418</v>
      </c>
      <c r="Z40" s="726" t="s">
        <v>5419</v>
      </c>
      <c r="AA40" s="792"/>
      <c r="AB40" s="734" t="s">
        <v>5319</v>
      </c>
    </row>
    <row r="41" spans="1:28" x14ac:dyDescent="0.25">
      <c r="A41" s="336" t="s">
        <v>3699</v>
      </c>
      <c r="B41" s="38" t="s">
        <v>3697</v>
      </c>
      <c r="E41" s="39"/>
      <c r="F41" s="74"/>
      <c r="G41" s="146" t="s">
        <v>458</v>
      </c>
      <c r="H41" s="147" t="s">
        <v>416</v>
      </c>
      <c r="I41" s="148" t="s">
        <v>2184</v>
      </c>
      <c r="W41" s="828"/>
      <c r="X41" s="793" t="s">
        <v>3190</v>
      </c>
      <c r="Y41" s="793" t="s">
        <v>5251</v>
      </c>
      <c r="Z41" s="793" t="s">
        <v>3190</v>
      </c>
      <c r="AA41" s="792"/>
      <c r="AB41" s="793" t="str">
        <f>INDEX(X41:Z41,,MATCH(OPCION_TIPO_TARIFA,$X$40:$Z$40,0))</f>
        <v>Tradicional</v>
      </c>
    </row>
    <row r="42" spans="1:28" x14ac:dyDescent="0.25">
      <c r="A42" s="123" t="s">
        <v>1</v>
      </c>
      <c r="B42" s="234" t="str">
        <f ca="1">IF(B39,B40,B41)</f>
        <v>COMBO_SI_NO</v>
      </c>
      <c r="F42" s="14"/>
      <c r="G42" s="14"/>
      <c r="H42" s="14"/>
      <c r="P42" s="808" t="s">
        <v>5442</v>
      </c>
      <c r="W42" s="828"/>
      <c r="X42" s="793" t="s">
        <v>5251</v>
      </c>
      <c r="Y42" s="793"/>
      <c r="Z42" s="793"/>
      <c r="AA42" s="792"/>
      <c r="AB42" s="793" t="str">
        <f>INDEX(X42:Z42,,MATCH(OPCION_TIPO_TARIFA,$X$40:$Z$40,0))</f>
        <v>Recurrente/Preferente</v>
      </c>
    </row>
    <row r="43" spans="1:28" x14ac:dyDescent="0.25">
      <c r="E43" s="155" t="s">
        <v>2178</v>
      </c>
      <c r="F43" s="122"/>
      <c r="G43" s="127"/>
      <c r="H43" s="127"/>
      <c r="I43" s="127"/>
      <c r="P43" s="796" t="s">
        <v>5241</v>
      </c>
      <c r="Q43" s="796" t="s">
        <v>5250</v>
      </c>
      <c r="R43" s="691" t="s">
        <v>5439</v>
      </c>
    </row>
    <row r="44" spans="1:28" x14ac:dyDescent="0.25">
      <c r="E44" s="33" t="s">
        <v>2131</v>
      </c>
      <c r="F44" s="71">
        <f ca="1">IF(ID_AUTO=0, 0, CapturaValorFactura)</f>
        <v>150000</v>
      </c>
      <c r="H44" s="127"/>
      <c r="I44" s="127"/>
      <c r="P44" s="809" t="str">
        <f>PROD.Código</f>
        <v>AET</v>
      </c>
      <c r="Q44" s="809" t="str">
        <f>TTAR.Código</f>
        <v>T.T.TRAD</v>
      </c>
      <c r="R44" s="809" t="e">
        <f>DGET(C_PRODUCTO_TARIFA,R43,$P$43:$Q$44)</f>
        <v>#VALUE!</v>
      </c>
    </row>
    <row r="45" spans="1:28" x14ac:dyDescent="0.25">
      <c r="E45" s="35" t="s">
        <v>2134</v>
      </c>
      <c r="F45" s="72">
        <f ca="1">IF(ValorFactura=0,0,CapturaAportacionAdicional)</f>
        <v>0</v>
      </c>
      <c r="H45" s="127"/>
      <c r="I45" s="127"/>
      <c r="W45" s="798" t="s">
        <v>5459</v>
      </c>
      <c r="X45" s="798"/>
      <c r="Y45" s="798"/>
      <c r="Z45" s="798"/>
      <c r="AA45" s="798"/>
      <c r="AB45" s="798" t="s">
        <v>506</v>
      </c>
    </row>
    <row r="46" spans="1:28" x14ac:dyDescent="0.25">
      <c r="E46" s="77" t="s">
        <v>1702</v>
      </c>
      <c r="F46" s="553">
        <f>CapturaPorcentajeEnganche</f>
        <v>0.1</v>
      </c>
      <c r="H46" s="127"/>
      <c r="I46" s="127"/>
      <c r="R46" s="691" t="s">
        <v>5440</v>
      </c>
      <c r="X46" s="825"/>
      <c r="Y46" s="825"/>
      <c r="Z46" s="825"/>
      <c r="AA46" s="825"/>
      <c r="AB46" s="825"/>
    </row>
    <row r="47" spans="1:28" x14ac:dyDescent="0.25">
      <c r="E47" s="18"/>
      <c r="F47" s="37"/>
      <c r="H47" s="127"/>
      <c r="I47" s="127"/>
      <c r="R47" s="809" t="b">
        <f>NOT(ISERROR(Override_Nombre_Tarifa))</f>
        <v>0</v>
      </c>
      <c r="Y47" s="90" t="s">
        <v>5460</v>
      </c>
      <c r="Z47" s="676" t="b">
        <f ca="1">AND(CondicionAutoEsNuevo?,NOT(Tipo_Persona.Descripción="Moral"))</f>
        <v>1</v>
      </c>
      <c r="AA47" s="823"/>
      <c r="AB47" s="620" t="s">
        <v>5320</v>
      </c>
    </row>
    <row r="48" spans="1:28" x14ac:dyDescent="0.25">
      <c r="E48" s="155" t="s">
        <v>2254</v>
      </c>
      <c r="F48" s="122" t="s">
        <v>1589</v>
      </c>
      <c r="G48" s="127"/>
      <c r="H48" s="127"/>
      <c r="I48" s="127"/>
      <c r="X48" s="823"/>
      <c r="Y48" s="823"/>
      <c r="Z48" s="823"/>
      <c r="AA48" s="823"/>
      <c r="AB48" s="824">
        <f t="array" aca="1" ref="AB48" ca="1">SUM(IF(COMBO_GARANTIA_EXTENDIDA&lt;&gt;0,1))</f>
        <v>2</v>
      </c>
    </row>
    <row r="49" spans="5:28" x14ac:dyDescent="0.25">
      <c r="E49" s="33" t="s">
        <v>444</v>
      </c>
      <c r="F49" s="118">
        <f ca="1">ID_CALCULO_SEGURO</f>
        <v>1</v>
      </c>
      <c r="G49" s="127"/>
      <c r="H49" s="127"/>
      <c r="I49" s="127"/>
      <c r="R49" s="691" t="s">
        <v>5438</v>
      </c>
      <c r="X49" s="823"/>
      <c r="Y49" s="620" t="b">
        <v>1</v>
      </c>
      <c r="Z49" s="726" t="b">
        <v>0</v>
      </c>
      <c r="AA49" s="823"/>
      <c r="AB49" s="734" t="s">
        <v>5319</v>
      </c>
    </row>
    <row r="50" spans="5:28" x14ac:dyDescent="0.25">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x14ac:dyDescent="0.25">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x14ac:dyDescent="0.25">
      <c r="E52" s="134" t="s">
        <v>1630</v>
      </c>
      <c r="F52" s="73" t="b">
        <f ca="1">VLOOKUP(ID_CALCULO_SEGURO,C_CALCULO_SEGURO,6,0)</f>
        <v>0</v>
      </c>
      <c r="G52" s="127"/>
      <c r="H52" s="127"/>
      <c r="I52" s="127"/>
      <c r="P52" t="s">
        <v>11172</v>
      </c>
      <c r="R52" s="691" t="s">
        <v>11173</v>
      </c>
      <c r="W52" s="828"/>
      <c r="X52" s="793"/>
    </row>
    <row r="53" spans="5:28" x14ac:dyDescent="0.25">
      <c r="E53" s="134" t="s">
        <v>5233</v>
      </c>
      <c r="F53" s="135" t="b">
        <f ca="1">NOT(SeguroEsMultianual?)</f>
        <v>1</v>
      </c>
      <c r="G53" s="127"/>
      <c r="H53" s="127"/>
      <c r="I53" s="127"/>
      <c r="R53" s="87">
        <f ca="1">IF(AND(CondicionAutoEsSeminuevo?, ModeloEsAnterior?), Seminuevo, Nuevo)</f>
        <v>1</v>
      </c>
      <c r="W53" s="828"/>
      <c r="X53" s="793"/>
      <c r="Y53" s="793"/>
      <c r="Z53" s="792"/>
      <c r="AA53" s="793"/>
    </row>
    <row r="54" spans="5:28" x14ac:dyDescent="0.25">
      <c r="E54" s="134" t="s">
        <v>3</v>
      </c>
      <c r="F54" s="73">
        <f ca="1">VLOOKUP(ID_CALCULO_SEGURO,C_CALCULO_SEGURO,5,0)</f>
        <v>3</v>
      </c>
      <c r="G54" s="127"/>
      <c r="H54" s="127"/>
      <c r="I54" s="127"/>
      <c r="W54" s="798" t="s">
        <v>5470</v>
      </c>
      <c r="X54" s="798"/>
      <c r="Y54" s="798"/>
      <c r="Z54" s="798"/>
      <c r="AA54" s="798"/>
      <c r="AB54" s="798" t="s">
        <v>506</v>
      </c>
    </row>
    <row r="55" spans="5:28" x14ac:dyDescent="0.25">
      <c r="E55" s="39" t="s">
        <v>4</v>
      </c>
      <c r="F55" s="74" t="str">
        <f ca="1">VLOOKUP(ID_PLAZO_CALCULO_SEGURO,C_PLAZO,2,0)</f>
        <v>12 Meses</v>
      </c>
      <c r="G55" s="127"/>
      <c r="H55" s="127"/>
      <c r="I55" s="127"/>
      <c r="X55" s="825"/>
      <c r="Y55" s="825"/>
      <c r="Z55" s="825"/>
      <c r="AA55" s="825"/>
      <c r="AB55" s="825"/>
    </row>
    <row r="56" spans="5:28" x14ac:dyDescent="0.25">
      <c r="F56" s="127"/>
      <c r="G56" s="127"/>
      <c r="H56" s="127"/>
      <c r="I56" s="127"/>
      <c r="Y56" s="90" t="s">
        <v>5267</v>
      </c>
      <c r="Z56" s="676" t="b">
        <f ca="1">CondicionAutoEsNuevo?</f>
        <v>1</v>
      </c>
      <c r="AA56" s="825"/>
      <c r="AB56" s="620" t="s">
        <v>5320</v>
      </c>
    </row>
    <row r="57" spans="5:28" x14ac:dyDescent="0.25">
      <c r="E57" s="155" t="s">
        <v>2256</v>
      </c>
      <c r="F57" s="122"/>
      <c r="G57" s="127"/>
      <c r="H57" s="127"/>
      <c r="I57" s="127"/>
      <c r="X57" s="825"/>
      <c r="Y57" s="825"/>
      <c r="Z57" s="825"/>
      <c r="AA57" s="825"/>
      <c r="AB57" s="826">
        <f t="array" aca="1" ref="AB57" ca="1">SUM(IF(COMBO_SEGURO&lt;&gt;0,1))</f>
        <v>10</v>
      </c>
    </row>
    <row r="58" spans="5:28" x14ac:dyDescent="0.25">
      <c r="E58" s="33" t="s">
        <v>1698</v>
      </c>
      <c r="F58" s="118">
        <f ca="1">IF(SeguroEsMultianual?,F59,F60)</f>
        <v>1</v>
      </c>
      <c r="G58" s="127"/>
      <c r="H58" s="127"/>
      <c r="I58" s="127"/>
      <c r="X58" s="825"/>
      <c r="Y58" s="620" t="b">
        <v>1</v>
      </c>
      <c r="Z58" s="726" t="b">
        <v>0</v>
      </c>
      <c r="AA58" s="825"/>
      <c r="AB58" s="734" t="s">
        <v>5319</v>
      </c>
    </row>
    <row r="59" spans="5:28" x14ac:dyDescent="0.25">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x14ac:dyDescent="0.25">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x14ac:dyDescent="0.25">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x14ac:dyDescent="0.25">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x14ac:dyDescent="0.25">
      <c r="F63" s="127"/>
      <c r="G63" s="127"/>
      <c r="H63" s="127"/>
      <c r="I63" s="127"/>
      <c r="Y63" s="826" t="str">
        <f>'C. Seguros'!B42</f>
        <v>Multianual Financiado (60M)</v>
      </c>
      <c r="Z63" s="826"/>
      <c r="AA63" s="825"/>
      <c r="AB63" s="826" t="str">
        <f t="shared" ca="1" si="0"/>
        <v>Multianual Financiado (60M)</v>
      </c>
    </row>
    <row r="64" spans="5:28" x14ac:dyDescent="0.25">
      <c r="E64" s="155" t="s">
        <v>2190</v>
      </c>
      <c r="F64" s="122" t="s">
        <v>1589</v>
      </c>
      <c r="G64" s="316" t="s">
        <v>2441</v>
      </c>
      <c r="H64" s="130" t="s">
        <v>2252</v>
      </c>
      <c r="I64" s="133"/>
      <c r="Y64" s="826" t="str">
        <f>'C. Seguros'!B43</f>
        <v>Anual Contado</v>
      </c>
      <c r="Z64" s="826"/>
      <c r="AA64" s="825"/>
      <c r="AB64" s="826" t="str">
        <f t="shared" ca="1" si="0"/>
        <v>Anual Contado</v>
      </c>
    </row>
    <row r="65" spans="5:28" x14ac:dyDescent="0.25">
      <c r="E65" s="33" t="s">
        <v>2180</v>
      </c>
      <c r="F65" s="167">
        <f ca="1">CHOOSE(Catálogo_a_usar,G65,H65)</f>
        <v>8748</v>
      </c>
      <c r="G65" s="157">
        <f ca="1" xml:space="preserve"> (ValorFactura * G66) + G67</f>
        <v>8748</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x14ac:dyDescent="0.25">
      <c r="E66" s="35"/>
      <c r="F66" s="36"/>
      <c r="G66" s="140">
        <f ca="1">VLOOKUP(ID_AUTO,C_AUTO,6,0)</f>
        <v>4.1396799999999997E-2</v>
      </c>
      <c r="H66" s="163"/>
      <c r="I66" s="141" t="s">
        <v>2191</v>
      </c>
      <c r="Y66" s="826" t="str">
        <f>'C. Seguros'!B45</f>
        <v>Multianual Contado (36M)</v>
      </c>
      <c r="Z66" s="826"/>
      <c r="AA66" s="825"/>
      <c r="AB66" s="826" t="str">
        <f t="shared" ca="1" si="0"/>
        <v>Multianual Contado (36M)</v>
      </c>
    </row>
    <row r="67" spans="5:28" x14ac:dyDescent="0.25">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x14ac:dyDescent="0.25">
      <c r="E68" s="35"/>
      <c r="F68" s="127"/>
      <c r="G68" s="136"/>
      <c r="H68" s="819" t="str">
        <f ca="1">VLOOKUP(ID_MODELO,C_MODELO_AÑO,4,0)</f>
        <v>2015</v>
      </c>
      <c r="I68" s="144" t="s">
        <v>5451</v>
      </c>
      <c r="Y68" s="826" t="str">
        <f>'C. Seguros'!B47</f>
        <v>Multianual Contado (60M)</v>
      </c>
      <c r="Z68" s="826"/>
      <c r="AA68" s="825"/>
      <c r="AB68" s="826"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98" t="s">
        <v>5466</v>
      </c>
      <c r="X71" s="798"/>
      <c r="Y71" s="798"/>
      <c r="Z71" s="798"/>
      <c r="AA71" s="798"/>
      <c r="AB71" s="798"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x14ac:dyDescent="0.25">
      <c r="E73" s="35"/>
      <c r="F73" s="127"/>
      <c r="G73" s="151" t="s">
        <v>1564</v>
      </c>
      <c r="H73" s="152" t="s">
        <v>3175</v>
      </c>
      <c r="I73" s="139" t="s">
        <v>2194</v>
      </c>
      <c r="Y73" s="90" t="s">
        <v>5476</v>
      </c>
      <c r="Z73" s="676" t="b">
        <f ca="1">CondicionAutoEsNuevo?</f>
        <v>1</v>
      </c>
      <c r="AA73" s="825"/>
      <c r="AB73" s="620" t="s">
        <v>5320</v>
      </c>
    </row>
    <row r="74" spans="5:28" x14ac:dyDescent="0.25">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x14ac:dyDescent="0.25">
      <c r="E75" s="35"/>
      <c r="F75" s="127"/>
      <c r="G75" s="142" t="b">
        <f ca="1">VLOOKUP(ID_AUTO_SUST,C_SI_NO,4,0)</f>
        <v>1</v>
      </c>
      <c r="H75" s="176"/>
      <c r="I75" s="143" t="s">
        <v>2195</v>
      </c>
      <c r="X75" s="825"/>
      <c r="Y75" s="620" t="b">
        <v>1</v>
      </c>
      <c r="Z75" s="726" t="b">
        <v>0</v>
      </c>
      <c r="AA75" s="825"/>
      <c r="AB75" s="734" t="s">
        <v>5319</v>
      </c>
    </row>
    <row r="76" spans="5:28" x14ac:dyDescent="0.25">
      <c r="E76" s="35" t="s">
        <v>2374</v>
      </c>
      <c r="F76" s="172">
        <f ca="1">CHOOSE(ID_CONDICION_AUTO,G76,H76)</f>
        <v>181.62846000000002</v>
      </c>
      <c r="G76" s="153">
        <f ca="1">IF(Aplica_IndemVF?, Calculo_IndemnVF, 0)</f>
        <v>181.62846000000002</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x14ac:dyDescent="0.25">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826" t="str">
        <f>'C. Seguros'!B25</f>
        <v>Incremento RC a 5,000,000</v>
      </c>
      <c r="Z78" s="826"/>
      <c r="AB78" s="826"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98" t="s">
        <v>5468</v>
      </c>
      <c r="X81" s="798"/>
      <c r="Y81" s="798"/>
      <c r="Z81" s="798"/>
      <c r="AA81" s="798"/>
      <c r="AB81" s="798" t="s">
        <v>506</v>
      </c>
    </row>
    <row r="82" spans="1:28" x14ac:dyDescent="0.25">
      <c r="E82" s="35"/>
      <c r="F82" s="18"/>
      <c r="G82" s="145" t="str">
        <f ca="1">VLOOKUP(ID_INCREMENTO_RC,C_ADIC_INCREMENTO_RC,5,0)</f>
        <v>N/A</v>
      </c>
      <c r="H82" s="165"/>
      <c r="I82" s="141" t="s">
        <v>2194</v>
      </c>
      <c r="X82" s="825"/>
      <c r="Y82" s="825"/>
      <c r="Z82" s="825"/>
      <c r="AA82" s="825"/>
      <c r="AB82" s="825"/>
    </row>
    <row r="83" spans="1:28" x14ac:dyDescent="0.25">
      <c r="E83" s="35" t="s">
        <v>3707</v>
      </c>
      <c r="F83" s="172">
        <f ca="1">CHOOSE(ID_CONDICION_AUTO,G83,H83)</f>
        <v>336.67839999999967</v>
      </c>
      <c r="G83" s="153">
        <f ca="1">IF(G84,G85,0)</f>
        <v>336.67839999999967</v>
      </c>
      <c r="H83" s="154">
        <f ca="1">IF(ModeloEsAnterior?,0, VLOOKUP(ID_AUTO,C_AUTO,17,0) )</f>
        <v>0</v>
      </c>
      <c r="I83" s="135"/>
      <c r="Y83" s="90" t="s">
        <v>5464</v>
      </c>
      <c r="Z83" s="676" t="b">
        <f ca="1">NOT(CondicionAutoEs3.5T?)</f>
        <v>1</v>
      </c>
      <c r="AA83" s="825"/>
      <c r="AB83" s="620" t="s">
        <v>5320</v>
      </c>
    </row>
    <row r="84" spans="1:28" x14ac:dyDescent="0.25">
      <c r="E84" s="35"/>
      <c r="F84" s="127"/>
      <c r="G84" s="340" t="b">
        <f ca="1">VLOOKUP(ID_SERVICIO_PREMIUM,C_SI_NO,4,0)</f>
        <v>1</v>
      </c>
      <c r="H84" s="176"/>
      <c r="I84" s="342" t="s">
        <v>2195</v>
      </c>
      <c r="X84" s="825"/>
      <c r="Y84" s="825"/>
      <c r="Z84" s="825"/>
      <c r="AA84" s="825"/>
      <c r="AB84" s="826">
        <f t="array" aca="1" ref="AB84" ca="1">SUM(IF(COMBO_AUTO_SUSTITUTO&lt;&gt;0,1))</f>
        <v>1</v>
      </c>
    </row>
    <row r="85" spans="1:28" x14ac:dyDescent="0.25">
      <c r="E85" s="35"/>
      <c r="F85" s="18"/>
      <c r="G85" s="344">
        <f ca="1">G86*G87</f>
        <v>336.67839999999967</v>
      </c>
      <c r="I85" s="343" t="s">
        <v>3712</v>
      </c>
      <c r="X85" s="825"/>
      <c r="Y85" s="620" t="b">
        <v>1</v>
      </c>
      <c r="Z85" s="726" t="b">
        <v>0</v>
      </c>
      <c r="AA85" s="825"/>
      <c r="AB85" s="734" t="s">
        <v>5319</v>
      </c>
    </row>
    <row r="86" spans="1:28" x14ac:dyDescent="0.25">
      <c r="E86" s="35"/>
      <c r="F86" s="37"/>
      <c r="G86" s="341">
        <f ca="1">VLOOKUP(ID_AUTO,C_AUTO,17)</f>
        <v>336.67839999999967</v>
      </c>
      <c r="H86" s="165"/>
      <c r="I86" s="343" t="s">
        <v>3708</v>
      </c>
      <c r="X86" s="825"/>
      <c r="Y86" s="826" t="s">
        <v>1587</v>
      </c>
      <c r="Z86" s="826" t="s">
        <v>1586</v>
      </c>
      <c r="AA86" s="825"/>
      <c r="AB86" s="826" t="str">
        <f ca="1">INDEX(Y86:Z86,,MATCH(OPCION_AUTO_SUSTITUTO,$Y$85:$Z$85,0))</f>
        <v>Si</v>
      </c>
    </row>
    <row r="87" spans="1:28" x14ac:dyDescent="0.25">
      <c r="E87" s="35"/>
      <c r="G87" s="341">
        <f ca="1">MIN(G88,G89)</f>
        <v>1</v>
      </c>
      <c r="H87" s="18"/>
      <c r="I87" s="343" t="s">
        <v>3709</v>
      </c>
    </row>
    <row r="88" spans="1:28" x14ac:dyDescent="0.25">
      <c r="E88" s="35"/>
      <c r="G88" s="341">
        <f ca="1">MultianualFactorAuto</f>
        <v>1</v>
      </c>
      <c r="I88" s="343" t="s">
        <v>3710</v>
      </c>
    </row>
    <row r="89" spans="1:28" x14ac:dyDescent="0.25">
      <c r="E89" s="35"/>
      <c r="G89" s="341">
        <f ca="1">VLOOKUP(VLOOKUP("Factor 24 Meses",C_FACTOR_MULTIANUAL_DESC,2),C_FACTOR_MULTIANUAL,4)</f>
        <v>1.9689000000000001</v>
      </c>
      <c r="I89" s="343" t="s">
        <v>3711</v>
      </c>
      <c r="W89" s="798" t="s">
        <v>5463</v>
      </c>
      <c r="X89" s="798"/>
      <c r="Y89" s="798"/>
      <c r="Z89" s="798"/>
      <c r="AA89" s="798"/>
      <c r="AB89" s="798" t="s">
        <v>506</v>
      </c>
    </row>
    <row r="90" spans="1:28" x14ac:dyDescent="0.25">
      <c r="E90" s="35"/>
      <c r="F90" s="37"/>
      <c r="G90" s="35"/>
      <c r="H90" s="18"/>
      <c r="I90" s="73"/>
      <c r="X90" s="825"/>
      <c r="Y90" s="825"/>
      <c r="Z90" s="825"/>
      <c r="AA90" s="825"/>
      <c r="AB90" s="825"/>
    </row>
    <row r="91" spans="1:28" x14ac:dyDescent="0.25">
      <c r="A91" s="41"/>
      <c r="B91" s="41"/>
      <c r="E91" s="35" t="s">
        <v>2197</v>
      </c>
      <c r="F91" s="37">
        <f ca="1">( ((DañosPrimaBase + DañosIncrementoRC ) * EstadoFactorDescuento) + DañosMontoRcUsa + DañosAutoSustituto ) * MultianualFactorAuto</f>
        <v>6034.2</v>
      </c>
      <c r="G91" s="35"/>
      <c r="H91" s="18"/>
      <c r="I91" s="73"/>
      <c r="Y91" s="90" t="s">
        <v>5464</v>
      </c>
      <c r="Z91" s="676" t="b">
        <f ca="1">NOT(CondicionAutoEs3.5T?)</f>
        <v>1</v>
      </c>
      <c r="AA91" s="823"/>
      <c r="AB91" s="620" t="s">
        <v>5320</v>
      </c>
    </row>
    <row r="92" spans="1:28" x14ac:dyDescent="0.25">
      <c r="A92" s="41"/>
      <c r="B92" s="41"/>
      <c r="E92" s="35" t="s">
        <v>2198</v>
      </c>
      <c r="F92" s="37">
        <f ca="1">DañosGastosExpedicion + (DañosValFac1erAño) + DañosServicioPremium</f>
        <v>1005.5068599999996</v>
      </c>
      <c r="G92" s="35"/>
      <c r="H92" s="18"/>
      <c r="I92" s="73"/>
      <c r="X92" s="823"/>
      <c r="Y92" s="823"/>
      <c r="Z92" s="823"/>
      <c r="AA92" s="823"/>
      <c r="AB92" s="824">
        <f t="array" aca="1" ref="AB92" ca="1">SUM(IF(COMBO_SERVICIO_PREMIUM&lt;&gt;0,1))</f>
        <v>1</v>
      </c>
    </row>
    <row r="93" spans="1:28" x14ac:dyDescent="0.25">
      <c r="A93" s="41"/>
      <c r="B93" s="41"/>
      <c r="E93" s="35" t="s">
        <v>2195</v>
      </c>
      <c r="F93" s="37" t="b">
        <f ca="1">ValorFactura &lt;&gt; 0</f>
        <v>1</v>
      </c>
      <c r="G93" s="35"/>
      <c r="H93" s="18"/>
      <c r="I93" s="73"/>
      <c r="X93" s="823"/>
      <c r="Y93" s="620" t="b">
        <v>1</v>
      </c>
      <c r="Z93" s="726" t="b">
        <v>0</v>
      </c>
      <c r="AA93" s="823"/>
      <c r="AB93" s="734" t="s">
        <v>5319</v>
      </c>
    </row>
    <row r="94" spans="1:28" x14ac:dyDescent="0.25">
      <c r="E94" s="156" t="s">
        <v>2199</v>
      </c>
      <c r="F94" s="333">
        <f ca="1">( DañosComponenteConMulti + DañosComponenteSinMulti) * DañosAplica?</f>
        <v>7039.7068599999993</v>
      </c>
      <c r="G94" s="39"/>
      <c r="H94" s="115"/>
      <c r="I94" s="74"/>
      <c r="X94" s="823"/>
      <c r="Y94" s="824" t="str">
        <f>'C. Comunes'!B37</f>
        <v>Si</v>
      </c>
      <c r="Z94" s="824" t="str">
        <f>'C. Comunes'!B38</f>
        <v>No</v>
      </c>
      <c r="AA94" s="823"/>
      <c r="AB94" s="824"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98" t="s">
        <v>5472</v>
      </c>
      <c r="X97" s="798"/>
      <c r="Y97" s="798"/>
      <c r="Z97" s="798"/>
      <c r="AA97" s="798"/>
      <c r="AB97" s="798"/>
    </row>
    <row r="98" spans="1:28" x14ac:dyDescent="0.25">
      <c r="E98" s="35" t="s">
        <v>445</v>
      </c>
      <c r="F98" s="73" t="str">
        <f ca="1">VLOOKUP(ID_TIPO_PERSONA,C_TIPO_PERSONA,2,0)</f>
        <v>Física</v>
      </c>
      <c r="G98" s="18"/>
      <c r="H98" s="18"/>
      <c r="I98" s="36"/>
      <c r="X98" s="825"/>
    </row>
    <row r="99" spans="1:28" x14ac:dyDescent="0.25">
      <c r="E99" s="35" t="s">
        <v>5244</v>
      </c>
      <c r="F99" s="73" t="str">
        <f ca="1">VLOOKUP(ID_TIPO_PERSONA,C_TIPO_PERSONA,6,0)</f>
        <v>PF</v>
      </c>
      <c r="G99" s="18"/>
      <c r="H99" s="18"/>
      <c r="I99" s="36"/>
      <c r="X99" s="825"/>
      <c r="Y99" s="90" t="s">
        <v>5473</v>
      </c>
      <c r="Z99" s="676" t="b">
        <f ca="1">AND(CondicionAutoEsNuevo?,NOT(CondicionAutoEs3.5T?))</f>
        <v>1</v>
      </c>
      <c r="AA99" s="825"/>
      <c r="AB99" s="620" t="s">
        <v>5320</v>
      </c>
    </row>
    <row r="100" spans="1:28" x14ac:dyDescent="0.25">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x14ac:dyDescent="0.25">
      <c r="A101" s="41"/>
      <c r="B101" s="41"/>
      <c r="E101" s="39" t="s">
        <v>2200</v>
      </c>
      <c r="F101" s="74" t="b">
        <f ca="1">VLOOKUP(ID_TIPO_PERSONA,C_TIPO_PERSONA,5,0)</f>
        <v>1</v>
      </c>
      <c r="G101" s="18"/>
      <c r="H101" s="18"/>
      <c r="I101" s="36"/>
      <c r="X101" s="825"/>
      <c r="Y101" s="620" t="b">
        <v>1</v>
      </c>
      <c r="Z101" s="726" t="b">
        <v>0</v>
      </c>
      <c r="AA101" s="825"/>
      <c r="AB101" s="734" t="s">
        <v>5319</v>
      </c>
    </row>
    <row r="102" spans="1:28" x14ac:dyDescent="0.25">
      <c r="E102" s="18"/>
      <c r="F102" s="37"/>
      <c r="Y102" s="826" t="str">
        <f>'C. Seguros'!B53</f>
        <v>No</v>
      </c>
      <c r="Z102" s="826" t="str">
        <f>Y102</f>
        <v>No</v>
      </c>
      <c r="AA102" s="825"/>
      <c r="AB102" s="826" t="str">
        <f ca="1">INDEX(Y102:Z102,,MATCH(OPCION_INDEMN_VAL_FAC,$Y$101:$Z$101,0))</f>
        <v>No</v>
      </c>
    </row>
    <row r="103" spans="1:28" x14ac:dyDescent="0.25">
      <c r="E103" s="187" t="s">
        <v>1633</v>
      </c>
      <c r="F103" s="128"/>
      <c r="Y103" s="826" t="str">
        <f>'C. Seguros'!B54</f>
        <v>Si</v>
      </c>
      <c r="Z103" s="826"/>
      <c r="AA103" s="825"/>
      <c r="AB103" s="826"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652.05000000000007</v>
      </c>
      <c r="W106" s="798" t="s">
        <v>2122</v>
      </c>
      <c r="X106" s="798"/>
      <c r="Y106" s="798"/>
      <c r="Z106" s="798"/>
      <c r="AA106" s="798"/>
      <c r="AB106" s="798"/>
    </row>
    <row r="107" spans="1:28" x14ac:dyDescent="0.25">
      <c r="A107" s="41"/>
      <c r="B107" s="41"/>
      <c r="E107" s="134" t="s">
        <v>403</v>
      </c>
      <c r="F107" s="190">
        <f xml:space="preserve"> Constante_Base_Vida</f>
        <v>350</v>
      </c>
      <c r="X107" s="825"/>
      <c r="Y107" s="825"/>
      <c r="Z107" s="825"/>
      <c r="AA107" s="825"/>
      <c r="AB107" s="825"/>
    </row>
    <row r="108" spans="1:28" x14ac:dyDescent="0.25">
      <c r="A108" s="41"/>
      <c r="B108" s="41"/>
      <c r="E108" s="134" t="s">
        <v>2195</v>
      </c>
      <c r="F108" s="38" t="b">
        <f ca="1">AND(TipoPersonaAplicaSeguroVida?, ValorFactura &lt;&gt;0)</f>
        <v>1</v>
      </c>
      <c r="X108" s="825"/>
      <c r="Y108" s="90" t="s">
        <v>5257</v>
      </c>
      <c r="Z108" s="676" t="str">
        <f ca="1">CondicionAuto_Descripcion</f>
        <v>Nuevo</v>
      </c>
      <c r="AA108" s="825"/>
      <c r="AB108" s="620" t="s">
        <v>5320</v>
      </c>
    </row>
    <row r="109" spans="1:28" x14ac:dyDescent="0.25">
      <c r="A109" s="41"/>
      <c r="B109" s="41"/>
      <c r="E109" s="77" t="s">
        <v>1633</v>
      </c>
      <c r="F109" s="334">
        <f ca="1">( VidaComponenteConMulti + VidaComponenteSinMulti ) * VidaAplica?</f>
        <v>1002.0500000000001</v>
      </c>
      <c r="X109" s="825"/>
      <c r="Y109" s="825"/>
      <c r="Z109" s="825"/>
      <c r="AA109" s="825"/>
      <c r="AB109" s="826">
        <f t="array" aca="1" ref="AB109" ca="1">SUM(IF(COMBO_MODELO&lt;&gt;0,1))</f>
        <v>3</v>
      </c>
    </row>
    <row r="110" spans="1:28" x14ac:dyDescent="0.25">
      <c r="A110" s="41"/>
      <c r="B110" s="41"/>
      <c r="X110" s="825"/>
      <c r="Y110" s="620" t="s">
        <v>1645</v>
      </c>
      <c r="Z110" s="726" t="s">
        <v>1646</v>
      </c>
      <c r="AA110" s="825"/>
      <c r="AB110" s="734" t="s">
        <v>5319</v>
      </c>
    </row>
    <row r="111" spans="1:28" x14ac:dyDescent="0.25">
      <c r="A111" s="41"/>
      <c r="B111" s="41"/>
      <c r="E111" s="187" t="s">
        <v>437</v>
      </c>
      <c r="F111" s="128"/>
      <c r="X111" s="825"/>
      <c r="Y111" s="826">
        <f ca="1">'C. Auto'!B5</f>
        <v>2017</v>
      </c>
      <c r="Z111" s="826">
        <f ca="1">'C. Auto'!B6</f>
        <v>2016</v>
      </c>
      <c r="AA111" s="825"/>
      <c r="AB111" s="826">
        <f ca="1">INDEX(Y111:Z111,,MATCH(OPCION_MODELO,$Y$110:$Z$110,0))</f>
        <v>2017</v>
      </c>
    </row>
    <row r="112" spans="1:28" x14ac:dyDescent="0.25">
      <c r="A112" s="41"/>
      <c r="B112" s="41"/>
      <c r="E112" s="191" t="s">
        <v>404</v>
      </c>
      <c r="F112" s="335">
        <f ca="1" xml:space="preserve"> PrimaDaños + PrimaVida</f>
        <v>8041.7568599999995</v>
      </c>
      <c r="X112" s="825"/>
      <c r="Y112" s="826">
        <f ca="1">'C. Auto'!B6</f>
        <v>2016</v>
      </c>
      <c r="Z112" s="826">
        <f ca="1">'C. Auto'!B7</f>
        <v>2015</v>
      </c>
      <c r="AA112" s="825"/>
      <c r="AB112" s="826">
        <f ca="1">INDEX(Y112:Z112,,MATCH(OPCION_MODELO,$Y$110:$Z$110,0))</f>
        <v>2016</v>
      </c>
    </row>
    <row r="113" spans="1:28" x14ac:dyDescent="0.25">
      <c r="A113" s="41"/>
      <c r="B113" s="41"/>
      <c r="Y113" s="866">
        <f ca="1">'C. Auto'!B7</f>
        <v>2015</v>
      </c>
      <c r="Z113" s="826">
        <f ca="1">'C. Auto'!B8</f>
        <v>2014</v>
      </c>
      <c r="AB113" s="826">
        <f ca="1">INDEX(Y113:Z113,,MATCH(OPCION_MODELO,$Y$110:$Z$110,0))</f>
        <v>2015</v>
      </c>
    </row>
    <row r="114" spans="1:28" x14ac:dyDescent="0.25">
      <c r="A114" s="41"/>
      <c r="B114" s="41"/>
      <c r="E114" s="187" t="s">
        <v>450</v>
      </c>
      <c r="F114" s="128"/>
      <c r="Y114" s="474"/>
      <c r="Z114" s="826">
        <f ca="1">'C. Auto'!B9</f>
        <v>2013</v>
      </c>
      <c r="AB114" s="826">
        <f ca="1">INDEX(Y114:Z114,,MATCH(OPCION_MODELO,$Y$110:$Z$110,0))</f>
        <v>0</v>
      </c>
    </row>
    <row r="115" spans="1:28" x14ac:dyDescent="0.25">
      <c r="A115" s="41"/>
      <c r="B115" s="41"/>
      <c r="E115" s="33" t="s">
        <v>444</v>
      </c>
      <c r="F115" s="193">
        <f ca="1">ID_IVA</f>
        <v>1</v>
      </c>
      <c r="Y115" s="474"/>
      <c r="Z115" s="861">
        <f ca="1">'C. Auto'!B10</f>
        <v>2012</v>
      </c>
      <c r="AB115" s="826">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818">
        <f ca="1">VLOOKUP(ID_IVA,C_IVA,4,0)</f>
        <v>0.16</v>
      </c>
      <c r="AB117" s="826"/>
    </row>
    <row r="118" spans="1:28" x14ac:dyDescent="0.25">
      <c r="A118" s="41"/>
      <c r="B118" s="41"/>
      <c r="E118" s="35" t="s">
        <v>411</v>
      </c>
      <c r="F118" s="525">
        <f ca="1">IvaNominal - CONST_DESCUENTO_IVA_INTERES</f>
        <v>0.12</v>
      </c>
      <c r="W118" s="798" t="s">
        <v>454</v>
      </c>
      <c r="X118" s="798"/>
      <c r="Y118" s="798"/>
      <c r="Z118" s="798"/>
      <c r="AA118" s="798"/>
      <c r="AB118" s="798"/>
    </row>
    <row r="119" spans="1:28" x14ac:dyDescent="0.25">
      <c r="A119" s="41"/>
      <c r="B119" s="41"/>
      <c r="E119" s="39" t="s">
        <v>412</v>
      </c>
      <c r="F119" s="192">
        <f ca="1">IvaDeflactada * AplicaIvaIntereses?</f>
        <v>0.12</v>
      </c>
    </row>
    <row r="120" spans="1:28" x14ac:dyDescent="0.25">
      <c r="A120" s="41"/>
      <c r="B120" s="41"/>
      <c r="L120" s="14"/>
      <c r="W120" s="696" t="s">
        <v>5491</v>
      </c>
      <c r="X120" s="697"/>
      <c r="Y120" s="697"/>
      <c r="Z120" s="697"/>
    </row>
    <row r="121" spans="1:28" x14ac:dyDescent="0.25">
      <c r="A121" s="41"/>
      <c r="B121" s="41"/>
      <c r="E121" s="155" t="s">
        <v>4971</v>
      </c>
      <c r="F121" s="122" t="s">
        <v>1589</v>
      </c>
      <c r="W121" s="728" t="s">
        <v>5489</v>
      </c>
    </row>
    <row r="122" spans="1:28" x14ac:dyDescent="0.25">
      <c r="A122" s="41"/>
      <c r="B122" s="41"/>
      <c r="E122" s="33" t="s">
        <v>2195</v>
      </c>
      <c r="F122" s="34" t="b">
        <f>SELECCION_GTIAEXT="Financiado"</f>
        <v>1</v>
      </c>
      <c r="I122"/>
      <c r="W122"/>
      <c r="X122" s="620" t="s">
        <v>5483</v>
      </c>
      <c r="Y122" s="620" t="s">
        <v>5498</v>
      </c>
      <c r="Z122" s="620" t="s">
        <v>5478</v>
      </c>
    </row>
    <row r="123" spans="1:28" x14ac:dyDescent="0.25">
      <c r="A123" s="41"/>
      <c r="B123" s="41"/>
      <c r="E123" s="39" t="s">
        <v>4972</v>
      </c>
      <c r="F123" s="74">
        <f>CapturaGtiaExt * Valor_Garantía_Extendida.Aplica?</f>
        <v>6000</v>
      </c>
      <c r="W123"/>
      <c r="X123" s="828" t="s">
        <v>1586</v>
      </c>
      <c r="Y123" s="805" t="s">
        <v>2138</v>
      </c>
      <c r="Z123" s="805" t="s">
        <v>5479</v>
      </c>
    </row>
    <row r="124" spans="1:28" x14ac:dyDescent="0.25">
      <c r="W124"/>
      <c r="X124" s="828" t="s">
        <v>1587</v>
      </c>
      <c r="Y124" s="834" t="s">
        <v>5484</v>
      </c>
      <c r="Z124" s="834" t="s">
        <v>5499</v>
      </c>
    </row>
    <row r="125" spans="1:28" x14ac:dyDescent="0.25">
      <c r="E125" s="187" t="s">
        <v>405</v>
      </c>
      <c r="F125" s="128"/>
      <c r="W125"/>
      <c r="X125" s="828"/>
      <c r="Y125" s="828"/>
      <c r="Z125" s="828"/>
    </row>
    <row r="126" spans="1:28" x14ac:dyDescent="0.25">
      <c r="E126" s="33" t="s">
        <v>406</v>
      </c>
      <c r="F126" s="71">
        <f ca="1" xml:space="preserve"> ValorFactura * PorcentajeEnganche</f>
        <v>15000</v>
      </c>
      <c r="W126" s="837" t="s">
        <v>5492</v>
      </c>
    </row>
    <row r="127" spans="1:28" x14ac:dyDescent="0.25">
      <c r="E127" s="35" t="s">
        <v>414</v>
      </c>
      <c r="F127" s="72">
        <f ca="1" xml:space="preserve"> MontoEnganche + AportacionAdicional</f>
        <v>15000</v>
      </c>
      <c r="W127" s="620" t="s">
        <v>5485</v>
      </c>
      <c r="X127" s="620" t="s">
        <v>5490</v>
      </c>
      <c r="Y127" s="620" t="s">
        <v>5498</v>
      </c>
      <c r="Z127" s="620" t="s">
        <v>5478</v>
      </c>
    </row>
    <row r="128" spans="1:28" s="785" customFormat="1" x14ac:dyDescent="0.25">
      <c r="E128" s="39" t="s">
        <v>453</v>
      </c>
      <c r="F128" s="75">
        <f ca="1" xml:space="preserve"> ValorFactura - MontoAnticipoAuto</f>
        <v>135000</v>
      </c>
      <c r="G128" s="39" t="s">
        <v>3215</v>
      </c>
      <c r="H128" s="75">
        <v>25000</v>
      </c>
      <c r="I128" s="14"/>
      <c r="O128" s="814"/>
      <c r="U128" s="794"/>
      <c r="W128" s="828" t="b">
        <v>1</v>
      </c>
      <c r="X128" s="828" t="b">
        <v>0</v>
      </c>
      <c r="Y128" s="835" t="s">
        <v>5481</v>
      </c>
      <c r="Z128" s="835" t="s">
        <v>5481</v>
      </c>
      <c r="AA128"/>
      <c r="AB128"/>
    </row>
    <row r="129" spans="1:28" x14ac:dyDescent="0.25">
      <c r="A129" s="41"/>
      <c r="B129" s="41"/>
      <c r="E129" s="35" t="s">
        <v>5403</v>
      </c>
      <c r="F129" s="72">
        <f ca="1">MontoFinanciarAuto + MontoGtiaExt</f>
        <v>141000</v>
      </c>
      <c r="G129" s="18"/>
      <c r="H129" s="37"/>
      <c r="I129" s="786"/>
      <c r="L129" s="572"/>
      <c r="M129" s="41"/>
      <c r="W129" s="828" t="b">
        <v>1</v>
      </c>
      <c r="X129" s="828" t="b">
        <v>1</v>
      </c>
      <c r="Y129" s="836" t="s">
        <v>5486</v>
      </c>
      <c r="Z129" s="836" t="s">
        <v>5482</v>
      </c>
    </row>
    <row r="130" spans="1:28" x14ac:dyDescent="0.25">
      <c r="A130" s="41"/>
      <c r="B130" s="41"/>
      <c r="E130" s="67" t="s">
        <v>408</v>
      </c>
      <c r="F130" s="791">
        <f ca="1" xml:space="preserve"> PrimaTotalSeguros * SeguroEsFinanciado?</f>
        <v>8041.7568599999995</v>
      </c>
      <c r="K130" s="41"/>
      <c r="L130" s="41"/>
      <c r="M130" s="41"/>
      <c r="W130" s="828" t="b">
        <v>0</v>
      </c>
      <c r="X130" s="828" t="b">
        <v>0</v>
      </c>
      <c r="Y130" s="805" t="s">
        <v>5487</v>
      </c>
      <c r="Z130" s="805" t="s">
        <v>5479</v>
      </c>
    </row>
    <row r="131" spans="1:28" x14ac:dyDescent="0.25">
      <c r="A131" s="41"/>
      <c r="B131" s="41"/>
      <c r="E131" s="35" t="s">
        <v>407</v>
      </c>
      <c r="F131" s="189" t="str">
        <f ca="1" xml:space="preserve"> TEXT(PrimaTotalSeguros - MontoFinanciarSeguros,"$#,##0.00")</f>
        <v>$0.00</v>
      </c>
      <c r="K131" s="41"/>
      <c r="L131" s="41"/>
      <c r="M131" s="41"/>
      <c r="W131" s="828" t="b">
        <v>0</v>
      </c>
      <c r="X131" s="828" t="b">
        <v>1</v>
      </c>
      <c r="Y131" s="836" t="s">
        <v>5488</v>
      </c>
      <c r="Z131" s="836" t="s">
        <v>5482</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09" t="s">
        <v>5493</v>
      </c>
      <c r="X133" s="296"/>
      <c r="Y133" s="296"/>
      <c r="Z133" s="296"/>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1"/>
      <c r="H135" s="571"/>
      <c r="K135" s="41"/>
      <c r="L135" s="41"/>
      <c r="M135" s="41"/>
      <c r="W135" s="728" t="s">
        <v>5494</v>
      </c>
      <c r="Y135" s="620" t="s">
        <v>5483</v>
      </c>
      <c r="Z135" s="620" t="s">
        <v>5478</v>
      </c>
    </row>
    <row r="136" spans="1:28" x14ac:dyDescent="0.25">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x14ac:dyDescent="0.25">
      <c r="K137" s="41"/>
      <c r="L137" s="573"/>
      <c r="M137" s="41"/>
      <c r="W137"/>
    </row>
    <row r="138" spans="1:28" x14ac:dyDescent="0.25">
      <c r="E138" s="187" t="s">
        <v>455</v>
      </c>
      <c r="F138" s="128"/>
      <c r="K138" s="41"/>
      <c r="L138" s="41"/>
      <c r="M138" s="41"/>
      <c r="W138" s="728" t="s">
        <v>5495</v>
      </c>
      <c r="X138" s="620" t="s">
        <v>5485</v>
      </c>
      <c r="Y138" s="620" t="s">
        <v>5490</v>
      </c>
      <c r="Z138" s="620" t="s">
        <v>5478</v>
      </c>
    </row>
    <row r="139" spans="1:28" x14ac:dyDescent="0.25">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74" t="s">
        <v>5496</v>
      </c>
      <c r="X141" s="672"/>
      <c r="Y141" s="672"/>
      <c r="Z141" s="838"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5497</v>
      </c>
      <c r="Z144" s="676" t="str">
        <f ca="1">Set_de_Plazos</f>
        <v>Completo</v>
      </c>
      <c r="AB144" s="620" t="s">
        <v>5320</v>
      </c>
    </row>
    <row r="145" spans="3:28" x14ac:dyDescent="0.25">
      <c r="K145" s="41"/>
      <c r="W145"/>
      <c r="AB145" s="828">
        <f t="array" aca="1" ref="AB145" ca="1">SUM(IF(COMBO_PLAZO&lt;&gt;0,1))</f>
        <v>5</v>
      </c>
    </row>
    <row r="146" spans="3:28" x14ac:dyDescent="0.25">
      <c r="C146" s="785"/>
      <c r="D146" s="785"/>
      <c r="E146" s="187" t="s">
        <v>417</v>
      </c>
      <c r="F146" s="128"/>
      <c r="J146" s="785"/>
      <c r="K146" s="785"/>
      <c r="W146" s="620" t="s">
        <v>5479</v>
      </c>
      <c r="X146" s="620" t="s">
        <v>5499</v>
      </c>
      <c r="Y146" s="620" t="s">
        <v>5481</v>
      </c>
      <c r="Z146" s="620" t="s">
        <v>5482</v>
      </c>
      <c r="AB146" s="734" t="s">
        <v>5319</v>
      </c>
    </row>
    <row r="147" spans="3:28" x14ac:dyDescent="0.25">
      <c r="C147" s="785"/>
      <c r="D147" s="785"/>
      <c r="E147" s="42" t="s">
        <v>1651</v>
      </c>
      <c r="F147" s="787">
        <f ca="1">PPMT( TasaInteres/PeriodosPorAño * (1+IvaParaIntereses), 1, NumeroDePagos, -MontoFinanciarAutoYGtiaExt )</f>
        <v>10992.08444355547</v>
      </c>
      <c r="G147" s="785"/>
      <c r="H147" s="785"/>
      <c r="I147" s="786"/>
      <c r="J147" s="785"/>
      <c r="K147" s="785"/>
      <c r="W147" s="828" t="s">
        <v>1570</v>
      </c>
      <c r="X147" s="828" t="s">
        <v>1572</v>
      </c>
      <c r="Y147" s="828" t="s">
        <v>1570</v>
      </c>
      <c r="Z147" s="828" t="s">
        <v>1570</v>
      </c>
      <c r="AB147" s="828" t="str">
        <f ca="1">INDEX(W147:Z147,,MATCH(OPCION_PLAZO,$W$146:$Z$146,0))</f>
        <v>12 Meses</v>
      </c>
    </row>
    <row r="148" spans="3:28" x14ac:dyDescent="0.25">
      <c r="E148" s="77" t="s">
        <v>1652</v>
      </c>
      <c r="F148" s="788">
        <f ca="1">IPMT( TasaInteres/CONST_DIAS_EN_AÑO*FREC.DiasPorPeriodo * (1+IvaParaIntereses), 1, NumeroDePagos, -MontoFinanciarAutoYGtiaExt )</f>
        <v>1697.64</v>
      </c>
      <c r="G148" s="785"/>
      <c r="H148" s="785"/>
      <c r="I148" s="786"/>
      <c r="L148" s="785"/>
      <c r="W148" s="828" t="s">
        <v>1572</v>
      </c>
      <c r="X148" s="828" t="s">
        <v>1573</v>
      </c>
      <c r="Y148" s="828" t="s">
        <v>1572</v>
      </c>
      <c r="Z148" s="828" t="s">
        <v>1572</v>
      </c>
      <c r="AB148" s="828" t="str">
        <f ca="1">INDEX(W148:Z148,,MATCH(OPCION_PLAZO,$W$146:$Z$146,0))</f>
        <v>24 Meses</v>
      </c>
    </row>
    <row r="149" spans="3:28" x14ac:dyDescent="0.25">
      <c r="E149" s="191" t="s">
        <v>2127</v>
      </c>
      <c r="F149" s="197">
        <f ca="1">SUM(F147:F148)</f>
        <v>12689.724443555469</v>
      </c>
      <c r="W149" s="828" t="s">
        <v>1573</v>
      </c>
      <c r="X149" s="828" t="s">
        <v>1574</v>
      </c>
      <c r="Y149" s="828" t="s">
        <v>1573</v>
      </c>
      <c r="Z149" s="828" t="s">
        <v>1573</v>
      </c>
      <c r="AB149" s="828" t="str">
        <f ca="1">INDEX(W149:Z149,,MATCH(OPCION_PLAZO,$W$146:$Z$146,0))</f>
        <v>36 Meses</v>
      </c>
    </row>
    <row r="150" spans="3:28" x14ac:dyDescent="0.25">
      <c r="C150" s="785"/>
      <c r="D150" s="785"/>
      <c r="E150" s="42" t="s">
        <v>5400</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x14ac:dyDescent="0.25">
      <c r="C151" s="785"/>
      <c r="D151" s="785"/>
      <c r="E151" s="134" t="s">
        <v>5401</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x14ac:dyDescent="0.25">
      <c r="C152" s="785"/>
      <c r="D152" s="785"/>
      <c r="E152" s="134" t="s">
        <v>1651</v>
      </c>
      <c r="F152" s="789">
        <f ca="1">PPMT( TasaInteres/PeriodosPorAño * (1+IvaParaIntereses), 1, F151, -MontoFinanciarSeguros )</f>
        <v>626.9196487919254</v>
      </c>
      <c r="G152" s="785"/>
      <c r="H152" s="785"/>
      <c r="I152" s="786"/>
      <c r="J152" s="785"/>
      <c r="K152" s="785"/>
    </row>
    <row r="153" spans="3:28" x14ac:dyDescent="0.25">
      <c r="E153" s="134" t="s">
        <v>1652</v>
      </c>
      <c r="F153" s="789">
        <f ca="1">IPMT( TasaInteres/CONST_DIAS_EN_AÑO*FREC.DiasPorPeriodo * (1+IvaParaIntereses), 1, F151, -MontoFinanciarSeguros )</f>
        <v>96.822752594400001</v>
      </c>
      <c r="G153" s="785"/>
      <c r="H153" s="785"/>
      <c r="I153" s="786"/>
      <c r="AB153" s="828"/>
    </row>
    <row r="154" spans="3:28" x14ac:dyDescent="0.25">
      <c r="E154" s="191" t="s">
        <v>418</v>
      </c>
      <c r="F154" s="790">
        <f ca="1">SUM(F152:F153)</f>
        <v>723.74240138632535</v>
      </c>
    </row>
    <row r="155" spans="3:28" x14ac:dyDescent="0.25">
      <c r="E155" s="191" t="s">
        <v>419</v>
      </c>
      <c r="F155" s="198">
        <f ca="1" xml:space="preserve"> PagoAuto + PagoSeguro</f>
        <v>13413.466844941795</v>
      </c>
    </row>
    <row r="157" spans="3:28" x14ac:dyDescent="0.25">
      <c r="E157" s="187" t="s">
        <v>427</v>
      </c>
      <c r="F157" s="128"/>
      <c r="G157" s="832" t="s">
        <v>3200</v>
      </c>
      <c r="H157" s="826">
        <f ca="1">IF(OR(ID_AUTO_SUST=1,ID_INCREMENTO_RC&gt;0,ID_INDEMN_AÑO1&gt;1,ID_SERVICIO_PREMIUM=1),1,0)</f>
        <v>1</v>
      </c>
      <c r="I157" s="832" t="s">
        <v>4175</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x14ac:dyDescent="0.25">
      <c r="E159" s="201" t="s">
        <v>1715</v>
      </c>
      <c r="F159" s="72" t="str">
        <f ca="1">TEXT(MontoFinanciarSeguros,"$#,##0.00")</f>
        <v>$8,041.76</v>
      </c>
      <c r="I159"/>
    </row>
    <row r="160" spans="3:28" x14ac:dyDescent="0.25">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Con Seguro Anual Financiado.</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x14ac:dyDescent="0.35">
      <c r="A1" s="12" t="s">
        <v>5308</v>
      </c>
      <c r="B1" s="12"/>
      <c r="C1" s="12"/>
      <c r="D1" s="12"/>
      <c r="E1" s="12"/>
      <c r="F1" s="699"/>
      <c r="G1" s="80"/>
      <c r="H1" s="12"/>
      <c r="I1" s="12"/>
      <c r="J1" s="12"/>
      <c r="K1" s="12"/>
      <c r="L1" s="12"/>
      <c r="M1" s="12"/>
      <c r="N1" s="12"/>
      <c r="O1" s="12"/>
      <c r="P1" s="12"/>
      <c r="Q1" s="12"/>
      <c r="R1" s="12"/>
      <c r="S1" s="12"/>
      <c r="T1" s="12"/>
      <c r="U1" s="12"/>
      <c r="V1" s="12"/>
    </row>
    <row r="2" spans="1:22" ht="15.75" thickTop="1" x14ac:dyDescent="0.25">
      <c r="B2" s="563"/>
    </row>
    <row r="3" spans="1:22" x14ac:dyDescent="0.25">
      <c r="A3" s="694" t="s">
        <v>5277</v>
      </c>
      <c r="B3" s="693"/>
      <c r="C3" s="693"/>
      <c r="D3" s="81"/>
      <c r="E3" s="714" t="s">
        <v>5290</v>
      </c>
      <c r="F3" s="715"/>
      <c r="G3" s="716"/>
      <c r="H3" s="81"/>
      <c r="I3" s="712" t="s">
        <v>5303</v>
      </c>
      <c r="J3" s="713"/>
      <c r="K3" s="713"/>
      <c r="L3" s="713"/>
      <c r="M3" s="713"/>
      <c r="N3" s="713"/>
      <c r="O3" s="713"/>
      <c r="P3" s="713"/>
      <c r="Q3" s="713"/>
      <c r="R3" s="713"/>
      <c r="S3" s="713"/>
      <c r="T3" s="713"/>
      <c r="U3" s="713"/>
      <c r="V3" s="713"/>
    </row>
    <row r="4" spans="1:22" x14ac:dyDescent="0.25">
      <c r="A4" s="695" t="s">
        <v>5278</v>
      </c>
      <c r="B4" s="81">
        <f>CapturaFechaCotizacion</f>
        <v>42387</v>
      </c>
      <c r="C4" s="81"/>
      <c r="D4" s="690"/>
      <c r="E4" s="690"/>
      <c r="H4" s="690"/>
    </row>
    <row r="5" spans="1:22" x14ac:dyDescent="0.25">
      <c r="A5" s="706" t="s">
        <v>5241</v>
      </c>
      <c r="B5" s="707" t="str">
        <f>PROD.Código</f>
        <v>AET</v>
      </c>
      <c r="C5" s="707"/>
      <c r="D5" s="707"/>
      <c r="E5" s="717" t="s">
        <v>5288</v>
      </c>
      <c r="F5" s="701" t="str">
        <f>IF( INDEX(_Dias_Interes_Pago,1) &gt; _Días_por_Periodo,"El monto de su primer pago será mayor que el resto, ya que incluye más días de interés.","")</f>
        <v/>
      </c>
      <c r="G5" s="96"/>
    </row>
    <row r="6" spans="1:22" x14ac:dyDescent="0.25">
      <c r="A6" s="563" t="s">
        <v>1627</v>
      </c>
      <c r="B6" s="707" t="str">
        <f>SELECCION_FRECUENCIA</f>
        <v>Mensual</v>
      </c>
      <c r="C6" s="707"/>
      <c r="D6" s="707"/>
    </row>
    <row r="7" spans="1:22" x14ac:dyDescent="0.25">
      <c r="A7" s="705" t="s">
        <v>5292</v>
      </c>
      <c r="B7" s="707">
        <f>FREC.DiasPorPeriodo</f>
        <v>30</v>
      </c>
      <c r="C7" s="707"/>
    </row>
    <row r="8" spans="1:22" x14ac:dyDescent="0.25">
      <c r="I8" s="696" t="s">
        <v>452</v>
      </c>
      <c r="J8" s="697"/>
      <c r="L8" s="696"/>
      <c r="M8" s="697"/>
      <c r="O8" s="696"/>
      <c r="P8" s="697"/>
      <c r="R8" s="696"/>
      <c r="S8" s="697"/>
    </row>
    <row r="9" spans="1:22" x14ac:dyDescent="0.25">
      <c r="A9" s="696" t="s">
        <v>452</v>
      </c>
      <c r="B9" s="697"/>
      <c r="C9" s="697"/>
      <c r="I9" s="165" t="s">
        <v>5280</v>
      </c>
      <c r="J9" s="163">
        <v>25</v>
      </c>
      <c r="L9" s="706" t="s">
        <v>5309</v>
      </c>
      <c r="M9" s="707">
        <v>30</v>
      </c>
      <c r="O9" s="706" t="s">
        <v>5309</v>
      </c>
      <c r="P9" s="707">
        <v>15</v>
      </c>
      <c r="R9" s="706" t="s">
        <v>5309</v>
      </c>
      <c r="S9" s="707">
        <v>10</v>
      </c>
    </row>
    <row r="10" spans="1:22" x14ac:dyDescent="0.25">
      <c r="A10" s="706" t="s">
        <v>5311</v>
      </c>
      <c r="B10" s="690" t="s">
        <v>5285</v>
      </c>
      <c r="C10" s="707"/>
      <c r="I10" s="165" t="s">
        <v>5281</v>
      </c>
      <c r="J10" s="163">
        <v>30</v>
      </c>
      <c r="P10" s="706"/>
    </row>
    <row r="11" spans="1:22" x14ac:dyDescent="0.25">
      <c r="A11" s="706" t="s">
        <v>5312</v>
      </c>
      <c r="B11" s="690" t="s">
        <v>5276</v>
      </c>
      <c r="C11" s="707"/>
      <c r="I11" s="165" t="s">
        <v>5282</v>
      </c>
      <c r="J11" s="163">
        <v>31</v>
      </c>
      <c r="O11" s="706"/>
      <c r="P11" s="706"/>
    </row>
    <row r="12" spans="1:22" x14ac:dyDescent="0.25">
      <c r="I12" s="165" t="s">
        <v>5283</v>
      </c>
      <c r="J12" s="163">
        <v>3</v>
      </c>
      <c r="O12" s="706"/>
      <c r="P12" s="706"/>
    </row>
    <row r="13" spans="1:22" x14ac:dyDescent="0.25">
      <c r="A13" s="731" t="s">
        <v>5328</v>
      </c>
      <c r="I13" s="165" t="s">
        <v>5284</v>
      </c>
      <c r="J13" s="163">
        <v>16</v>
      </c>
      <c r="O13" s="706"/>
      <c r="P13" s="706"/>
    </row>
    <row r="14" spans="1:22" x14ac:dyDescent="0.25">
      <c r="A14" s="709" t="s">
        <v>5241</v>
      </c>
      <c r="B14" s="709" t="s">
        <v>1627</v>
      </c>
      <c r="C14" s="723" t="s">
        <v>5298</v>
      </c>
      <c r="I14" s="102"/>
      <c r="O14" s="706"/>
      <c r="P14" s="706"/>
    </row>
    <row r="15" spans="1:22" x14ac:dyDescent="0.25">
      <c r="A15" s="678" t="s">
        <v>5245</v>
      </c>
      <c r="B15" s="678" t="s">
        <v>1619</v>
      </c>
      <c r="C15" s="678" t="s">
        <v>5315</v>
      </c>
      <c r="I15" s="720" t="s">
        <v>440</v>
      </c>
      <c r="J15" s="296"/>
      <c r="O15" s="706"/>
      <c r="P15" s="706"/>
    </row>
    <row r="16" spans="1:22" x14ac:dyDescent="0.25">
      <c r="A16" s="678" t="s">
        <v>5246</v>
      </c>
      <c r="B16" s="678" t="s">
        <v>1619</v>
      </c>
      <c r="C16" s="678" t="s">
        <v>1619</v>
      </c>
      <c r="I16" s="563" t="s">
        <v>5279</v>
      </c>
      <c r="J16" s="317">
        <f>DAY(_Fecha_Cotización)</f>
        <v>18</v>
      </c>
    </row>
    <row r="17" spans="1:22" x14ac:dyDescent="0.25">
      <c r="A17" s="727" t="s">
        <v>5313</v>
      </c>
      <c r="B17" s="678" t="s">
        <v>1620</v>
      </c>
      <c r="C17" s="678" t="s">
        <v>1620</v>
      </c>
      <c r="E17" s="728" t="s">
        <v>5314</v>
      </c>
    </row>
    <row r="18" spans="1:22" ht="30" x14ac:dyDescent="0.25">
      <c r="A18" s="727" t="s">
        <v>5313</v>
      </c>
      <c r="B18" s="678" t="s">
        <v>1621</v>
      </c>
      <c r="C18" s="678" t="s">
        <v>5299</v>
      </c>
      <c r="E18" s="718" t="s">
        <v>5275</v>
      </c>
      <c r="F18" s="719" t="str">
        <f>_Etiqueta_Fechas_Pago</f>
        <v>Fechas Pago</v>
      </c>
      <c r="G18" s="718" t="str">
        <f>_Etiqueta_Duración_Intereses</f>
        <v>Duración Intereses</v>
      </c>
      <c r="H18" s="165"/>
      <c r="I18" s="692" t="s">
        <v>5316</v>
      </c>
      <c r="J18" s="692" t="s">
        <v>5317</v>
      </c>
      <c r="L18" s="692" t="s">
        <v>5293</v>
      </c>
      <c r="M18" s="692" t="s">
        <v>5294</v>
      </c>
      <c r="N18" s="706"/>
      <c r="O18" s="692" t="s">
        <v>5304</v>
      </c>
      <c r="P18" s="692" t="s">
        <v>5305</v>
      </c>
      <c r="R18" s="692" t="s">
        <v>5306</v>
      </c>
      <c r="S18" s="692" t="s">
        <v>5307</v>
      </c>
      <c r="T18" s="706"/>
      <c r="U18" s="692" t="s">
        <v>5300</v>
      </c>
      <c r="V18" s="692" t="s">
        <v>5301</v>
      </c>
    </row>
    <row r="19" spans="1:22" x14ac:dyDescent="0.25">
      <c r="A19" s="727" t="s">
        <v>5313</v>
      </c>
      <c r="B19" s="678" t="s">
        <v>1622</v>
      </c>
      <c r="C19" s="678" t="s">
        <v>1622</v>
      </c>
      <c r="E19" s="100">
        <f t="shared" ref="E19:E82" si="0">_Días_por_Periodo</f>
        <v>30</v>
      </c>
      <c r="F19" s="700">
        <f>INDEX(_Datos 19:19,,MATCH(_Búsqueda_Fechas_Pago, _Datos _Headers,0))</f>
        <v>42416</v>
      </c>
      <c r="G19" s="690">
        <f>INDEX(_Datos 19:19,,MATCH(_Búsqueda_Duración, _Datos _Headers,0))</f>
        <v>29</v>
      </c>
      <c r="I19" s="79">
        <f>IF(DIA_COTIZACIÓN&lt;CONST_CORTE_2,EOMONTH(B4,0)+CONST_CORTE_1,EOMONTH(B4,0)+CONST_CORTE_2)</f>
        <v>42416</v>
      </c>
      <c r="J19" s="708">
        <f>I19 - _Fecha_Cotización</f>
        <v>29</v>
      </c>
      <c r="L19" s="722">
        <f>EOMONTH(_Fecha_Cotización + 1,0)</f>
        <v>42400</v>
      </c>
      <c r="M19" s="721">
        <f>_DPP _Mensual_AEN</f>
        <v>30</v>
      </c>
      <c r="O19" s="722">
        <f>IF(DAY(_Fecha_Cotización + 1) &lt;= _DPP _Quincenal,
DATE(YEAR(_Fecha_Cotización + 1),MONTH( _Fecha_Cotización + 1), _DPP _Quincenal ),
EOMONTH( _Fecha_Cotización + 1,0))</f>
        <v>42400</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42389</v>
      </c>
      <c r="S19" s="721">
        <f>_DPP _Decenal</f>
        <v>10</v>
      </c>
      <c r="U19" s="722">
        <f>_Fecha_Cotización + _Días_por_Periodo</f>
        <v>42417</v>
      </c>
      <c r="V19" s="721">
        <f>U19 - _Fecha_Cotización</f>
        <v>30</v>
      </c>
    </row>
    <row r="20" spans="1:22" x14ac:dyDescent="0.25">
      <c r="A20" s="727" t="s">
        <v>5313</v>
      </c>
      <c r="B20" s="678" t="s">
        <v>1623</v>
      </c>
      <c r="C20" s="678" t="s">
        <v>5299</v>
      </c>
      <c r="E20" s="100">
        <f t="shared" si="0"/>
        <v>30</v>
      </c>
      <c r="F20" s="700">
        <f>INDEX(_Datos 20:20,,MATCH(_Búsqueda_Fechas_Pago, _Datos _Headers,0))</f>
        <v>42445</v>
      </c>
      <c r="G20" s="690">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x14ac:dyDescent="0.25">
      <c r="E21" s="100">
        <f t="shared" si="0"/>
        <v>30</v>
      </c>
      <c r="F21" s="700">
        <f>INDEX(_Datos 21:21,,MATCH(_Búsqueda_Fechas_Pago, _Datos _Headers,0))</f>
        <v>42476</v>
      </c>
      <c r="G21" s="690">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x14ac:dyDescent="0.25">
      <c r="A22" s="711" t="s">
        <v>440</v>
      </c>
      <c r="B22" s="296"/>
      <c r="C22" s="296"/>
      <c r="E22" s="100">
        <f t="shared" si="0"/>
        <v>30</v>
      </c>
      <c r="F22" s="700">
        <f>INDEX(_Datos 22:22,,MATCH(_Búsqueda_Fechas_Pago, _Datos _Headers,0))</f>
        <v>42506</v>
      </c>
      <c r="G22" s="690">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x14ac:dyDescent="0.25">
      <c r="C23" s="87"/>
      <c r="E23" s="100">
        <f t="shared" si="0"/>
        <v>30</v>
      </c>
      <c r="F23" s="700">
        <f>INDEX(_Datos 23:23,,MATCH(_Búsqueda_Fechas_Pago, _Datos _Headers,0))</f>
        <v>42537</v>
      </c>
      <c r="G23" s="690">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x14ac:dyDescent="0.25">
      <c r="A24" s="731" t="s">
        <v>5329</v>
      </c>
      <c r="E24" s="100">
        <f t="shared" si="0"/>
        <v>30</v>
      </c>
      <c r="F24" s="700">
        <f>INDEX(_Datos 24:24,,MATCH(_Búsqueda_Fechas_Pago, _Datos _Headers,0))</f>
        <v>42567</v>
      </c>
      <c r="G24" s="690">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x14ac:dyDescent="0.25">
      <c r="A25" s="726" t="s">
        <v>5241</v>
      </c>
      <c r="B25" s="726" t="s">
        <v>1627</v>
      </c>
      <c r="C25" s="725" t="s">
        <v>5298</v>
      </c>
      <c r="E25" s="100">
        <f t="shared" si="0"/>
        <v>30</v>
      </c>
      <c r="F25" s="700">
        <f>INDEX(_Datos 25:25,,MATCH(_Búsqueda_Fechas_Pago, _Datos _Headers,0))</f>
        <v>42598</v>
      </c>
      <c r="G25" s="690">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x14ac:dyDescent="0.25">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42629</v>
      </c>
      <c r="G26" s="690">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x14ac:dyDescent="0.25">
      <c r="E27" s="100">
        <f t="shared" si="0"/>
        <v>30</v>
      </c>
      <c r="F27" s="700">
        <f>INDEX(_Datos 27:27,,MATCH(_Búsqueda_Fechas_Pago, _Datos _Headers,0))</f>
        <v>42659</v>
      </c>
      <c r="G27" s="690">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x14ac:dyDescent="0.25">
      <c r="A28" s="563" t="s">
        <v>5286</v>
      </c>
      <c r="B28" s="698" t="str">
        <f>CONCATENATE(_Etiqueta_Fechas_Pago, " ", _Algoritmo)</f>
        <v>Fechas Pago Mensual AET</v>
      </c>
      <c r="E28" s="100">
        <f t="shared" si="0"/>
        <v>30</v>
      </c>
      <c r="F28" s="700">
        <f>INDEX(_Datos 28:28,,MATCH(_Búsqueda_Fechas_Pago, _Datos _Headers,0))</f>
        <v>42690</v>
      </c>
      <c r="G28" s="690">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x14ac:dyDescent="0.25">
      <c r="A29" s="563" t="s">
        <v>5287</v>
      </c>
      <c r="B29" s="698" t="str">
        <f>CONCATENATE(_Etiqueta_Duración_Intereses, " ", _Algoritmo)</f>
        <v>Duración Intereses Mensual AET</v>
      </c>
      <c r="E29" s="100">
        <f t="shared" si="0"/>
        <v>30</v>
      </c>
      <c r="F29" s="700">
        <f>INDEX(_Datos 29:29,,MATCH(_Búsqueda_Fechas_Pago, _Datos _Headers,0))</f>
        <v>42720</v>
      </c>
      <c r="G29" s="690">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x14ac:dyDescent="0.25">
      <c r="A30" s="14"/>
      <c r="E30" s="100">
        <f t="shared" si="0"/>
        <v>30</v>
      </c>
      <c r="F30" s="700">
        <f>INDEX(_Datos 30:30,,MATCH(_Búsqueda_Fechas_Pago, _Datos _Headers,0))</f>
        <v>42751</v>
      </c>
      <c r="G30" s="690">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x14ac:dyDescent="0.25">
      <c r="A31" s="14"/>
      <c r="E31" s="100">
        <f t="shared" si="0"/>
        <v>30</v>
      </c>
      <c r="F31" s="700">
        <f>INDEX(_Datos 31:31,,MATCH(_Búsqueda_Fechas_Pago, _Datos _Headers,0))</f>
        <v>42782</v>
      </c>
      <c r="G31" s="690">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x14ac:dyDescent="0.25">
      <c r="A32" s="14"/>
      <c r="E32" s="100">
        <f t="shared" si="0"/>
        <v>30</v>
      </c>
      <c r="F32" s="700">
        <f>INDEX(_Datos 32:32,,MATCH(_Búsqueda_Fechas_Pago, _Datos _Headers,0))</f>
        <v>42810</v>
      </c>
      <c r="G32" s="690">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x14ac:dyDescent="0.25">
      <c r="A33" s="14"/>
      <c r="E33" s="100">
        <f t="shared" si="0"/>
        <v>30</v>
      </c>
      <c r="F33" s="700">
        <f>INDEX(_Datos 33:33,,MATCH(_Búsqueda_Fechas_Pago, _Datos _Headers,0))</f>
        <v>42841</v>
      </c>
      <c r="G33" s="690">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x14ac:dyDescent="0.25">
      <c r="A34" s="14"/>
      <c r="E34" s="100">
        <f t="shared" si="0"/>
        <v>30</v>
      </c>
      <c r="F34" s="700">
        <f>INDEX(_Datos 34:34,,MATCH(_Búsqueda_Fechas_Pago, _Datos _Headers,0))</f>
        <v>42871</v>
      </c>
      <c r="G34" s="690">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x14ac:dyDescent="0.25">
      <c r="A35" s="14"/>
      <c r="E35" s="100">
        <f t="shared" si="0"/>
        <v>30</v>
      </c>
      <c r="F35" s="700">
        <f>INDEX(_Datos 35:35,,MATCH(_Búsqueda_Fechas_Pago, _Datos _Headers,0))</f>
        <v>42902</v>
      </c>
      <c r="G35" s="690">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x14ac:dyDescent="0.25">
      <c r="A36" s="14"/>
      <c r="E36" s="100">
        <f t="shared" si="0"/>
        <v>30</v>
      </c>
      <c r="F36" s="700">
        <f>INDEX(_Datos 36:36,,MATCH(_Búsqueda_Fechas_Pago, _Datos _Headers,0))</f>
        <v>42932</v>
      </c>
      <c r="G36" s="690">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x14ac:dyDescent="0.25">
      <c r="A37" s="14"/>
      <c r="E37" s="100">
        <f t="shared" si="0"/>
        <v>30</v>
      </c>
      <c r="F37" s="700">
        <f>INDEX(_Datos 37:37,,MATCH(_Búsqueda_Fechas_Pago, _Datos _Headers,0))</f>
        <v>42963</v>
      </c>
      <c r="G37" s="690">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x14ac:dyDescent="0.25">
      <c r="A38" s="14"/>
      <c r="E38" s="100">
        <f t="shared" si="0"/>
        <v>30</v>
      </c>
      <c r="F38" s="700">
        <f>INDEX(_Datos 38:38,,MATCH(_Búsqueda_Fechas_Pago, _Datos _Headers,0))</f>
        <v>42994</v>
      </c>
      <c r="G38" s="690">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x14ac:dyDescent="0.25">
      <c r="A39" s="14"/>
      <c r="E39" s="100">
        <f t="shared" si="0"/>
        <v>30</v>
      </c>
      <c r="F39" s="700">
        <f>INDEX(_Datos 39:39,,MATCH(_Búsqueda_Fechas_Pago, _Datos _Headers,0))</f>
        <v>43024</v>
      </c>
      <c r="G39" s="690">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x14ac:dyDescent="0.25">
      <c r="A40" s="14"/>
      <c r="E40" s="100">
        <f t="shared" si="0"/>
        <v>30</v>
      </c>
      <c r="F40" s="700">
        <f>INDEX(_Datos 40:40,,MATCH(_Búsqueda_Fechas_Pago, _Datos _Headers,0))</f>
        <v>43055</v>
      </c>
      <c r="G40" s="690">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x14ac:dyDescent="0.25">
      <c r="A41" s="14"/>
      <c r="E41" s="100">
        <f t="shared" si="0"/>
        <v>30</v>
      </c>
      <c r="F41" s="700">
        <f>INDEX(_Datos 41:41,,MATCH(_Búsqueda_Fechas_Pago, _Datos _Headers,0))</f>
        <v>43085</v>
      </c>
      <c r="G41" s="690">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x14ac:dyDescent="0.25">
      <c r="A42" s="14"/>
      <c r="E42" s="100">
        <f t="shared" si="0"/>
        <v>30</v>
      </c>
      <c r="F42" s="700">
        <f>INDEX(_Datos 42:42,,MATCH(_Búsqueda_Fechas_Pago, _Datos _Headers,0))</f>
        <v>43116</v>
      </c>
      <c r="G42" s="690">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x14ac:dyDescent="0.25">
      <c r="A43" s="14"/>
      <c r="E43" s="100">
        <f t="shared" si="0"/>
        <v>30</v>
      </c>
      <c r="F43" s="700">
        <f>INDEX(_Datos 43:43,,MATCH(_Búsqueda_Fechas_Pago, _Datos _Headers,0))</f>
        <v>43147</v>
      </c>
      <c r="G43" s="690">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x14ac:dyDescent="0.25">
      <c r="A44" s="14"/>
      <c r="E44" s="100">
        <f t="shared" si="0"/>
        <v>30</v>
      </c>
      <c r="F44" s="700">
        <f>INDEX(_Datos 44:44,,MATCH(_Búsqueda_Fechas_Pago, _Datos _Headers,0))</f>
        <v>43175</v>
      </c>
      <c r="G44" s="690">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x14ac:dyDescent="0.25">
      <c r="A45" s="14"/>
      <c r="E45" s="100">
        <f t="shared" si="0"/>
        <v>30</v>
      </c>
      <c r="F45" s="700">
        <f>INDEX(_Datos 45:45,,MATCH(_Búsqueda_Fechas_Pago, _Datos _Headers,0))</f>
        <v>43206</v>
      </c>
      <c r="G45" s="690">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x14ac:dyDescent="0.25">
      <c r="A46" s="14"/>
      <c r="E46" s="100">
        <f t="shared" si="0"/>
        <v>30</v>
      </c>
      <c r="F46" s="700">
        <f>INDEX(_Datos 46:46,,MATCH(_Búsqueda_Fechas_Pago, _Datos _Headers,0))</f>
        <v>43236</v>
      </c>
      <c r="G46" s="690">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x14ac:dyDescent="0.25">
      <c r="A47" s="14"/>
      <c r="E47" s="100">
        <f t="shared" si="0"/>
        <v>30</v>
      </c>
      <c r="F47" s="700">
        <f>INDEX(_Datos 47:47,,MATCH(_Búsqueda_Fechas_Pago, _Datos _Headers,0))</f>
        <v>43267</v>
      </c>
      <c r="G47" s="690">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x14ac:dyDescent="0.25">
      <c r="A48" s="14"/>
      <c r="E48" s="100">
        <f t="shared" si="0"/>
        <v>30</v>
      </c>
      <c r="F48" s="700">
        <f>INDEX(_Datos 48:48,,MATCH(_Búsqueda_Fechas_Pago, _Datos _Headers,0))</f>
        <v>43297</v>
      </c>
      <c r="G48" s="690">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x14ac:dyDescent="0.25">
      <c r="A49" s="14"/>
      <c r="E49" s="100">
        <f t="shared" si="0"/>
        <v>30</v>
      </c>
      <c r="F49" s="700">
        <f>INDEX(_Datos 49:49,,MATCH(_Búsqueda_Fechas_Pago, _Datos _Headers,0))</f>
        <v>43328</v>
      </c>
      <c r="G49" s="690">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x14ac:dyDescent="0.25">
      <c r="A50" s="14"/>
      <c r="E50" s="100">
        <f t="shared" si="0"/>
        <v>30</v>
      </c>
      <c r="F50" s="700">
        <f>INDEX(_Datos 50:50,,MATCH(_Búsqueda_Fechas_Pago, _Datos _Headers,0))</f>
        <v>43359</v>
      </c>
      <c r="G50" s="690">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x14ac:dyDescent="0.25">
      <c r="A51" s="14"/>
      <c r="E51" s="100">
        <f t="shared" si="0"/>
        <v>30</v>
      </c>
      <c r="F51" s="700">
        <f>INDEX(_Datos 51:51,,MATCH(_Búsqueda_Fechas_Pago, _Datos _Headers,0))</f>
        <v>43389</v>
      </c>
      <c r="G51" s="690">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x14ac:dyDescent="0.25">
      <c r="A52" s="14"/>
      <c r="E52" s="100">
        <f t="shared" si="0"/>
        <v>30</v>
      </c>
      <c r="F52" s="700">
        <f>INDEX(_Datos 52:52,,MATCH(_Búsqueda_Fechas_Pago, _Datos _Headers,0))</f>
        <v>43420</v>
      </c>
      <c r="G52" s="690">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x14ac:dyDescent="0.25">
      <c r="A53" s="14"/>
      <c r="E53" s="100">
        <f t="shared" si="0"/>
        <v>30</v>
      </c>
      <c r="F53" s="700">
        <f>INDEX(_Datos 53:53,,MATCH(_Búsqueda_Fechas_Pago, _Datos _Headers,0))</f>
        <v>43450</v>
      </c>
      <c r="G53" s="690">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x14ac:dyDescent="0.25">
      <c r="A54" s="14"/>
      <c r="E54" s="100">
        <f t="shared" si="0"/>
        <v>30</v>
      </c>
      <c r="F54" s="700">
        <f>INDEX(_Datos 54:54,,MATCH(_Búsqueda_Fechas_Pago, _Datos _Headers,0))</f>
        <v>43481</v>
      </c>
      <c r="G54" s="690">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x14ac:dyDescent="0.25">
      <c r="A55" s="14"/>
      <c r="E55" s="100">
        <f t="shared" si="0"/>
        <v>30</v>
      </c>
      <c r="F55" s="700">
        <f>INDEX(_Datos 55:55,,MATCH(_Búsqueda_Fechas_Pago, _Datos _Headers,0))</f>
        <v>43512</v>
      </c>
      <c r="G55" s="690">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x14ac:dyDescent="0.25">
      <c r="A56" s="14"/>
      <c r="E56" s="100">
        <f t="shared" si="0"/>
        <v>30</v>
      </c>
      <c r="F56" s="700">
        <f>INDEX(_Datos 56:56,,MATCH(_Búsqueda_Fechas_Pago, _Datos _Headers,0))</f>
        <v>43540</v>
      </c>
      <c r="G56" s="690">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x14ac:dyDescent="0.25">
      <c r="A57" s="14"/>
      <c r="E57" s="100">
        <f t="shared" si="0"/>
        <v>30</v>
      </c>
      <c r="F57" s="700">
        <f>INDEX(_Datos 57:57,,MATCH(_Búsqueda_Fechas_Pago, _Datos _Headers,0))</f>
        <v>43571</v>
      </c>
      <c r="G57" s="690">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x14ac:dyDescent="0.25">
      <c r="A58" s="14"/>
      <c r="E58" s="100">
        <f t="shared" si="0"/>
        <v>30</v>
      </c>
      <c r="F58" s="700">
        <f>INDEX(_Datos 58:58,,MATCH(_Búsqueda_Fechas_Pago, _Datos _Headers,0))</f>
        <v>43601</v>
      </c>
      <c r="G58" s="690">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x14ac:dyDescent="0.25">
      <c r="A59" s="14"/>
      <c r="E59" s="100">
        <f t="shared" si="0"/>
        <v>30</v>
      </c>
      <c r="F59" s="700">
        <f>INDEX(_Datos 59:59,,MATCH(_Búsqueda_Fechas_Pago, _Datos _Headers,0))</f>
        <v>43632</v>
      </c>
      <c r="G59" s="690">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x14ac:dyDescent="0.25">
      <c r="A60" s="14"/>
      <c r="E60" s="100">
        <f t="shared" si="0"/>
        <v>30</v>
      </c>
      <c r="F60" s="700">
        <f>INDEX(_Datos 60:60,,MATCH(_Búsqueda_Fechas_Pago, _Datos _Headers,0))</f>
        <v>43662</v>
      </c>
      <c r="G60" s="690">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x14ac:dyDescent="0.25">
      <c r="A61" s="14"/>
      <c r="E61" s="100">
        <f t="shared" si="0"/>
        <v>30</v>
      </c>
      <c r="F61" s="700">
        <f>INDEX(_Datos 61:61,,MATCH(_Búsqueda_Fechas_Pago, _Datos _Headers,0))</f>
        <v>43693</v>
      </c>
      <c r="G61" s="690">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x14ac:dyDescent="0.25">
      <c r="A62" s="14"/>
      <c r="E62" s="100">
        <f t="shared" si="0"/>
        <v>30</v>
      </c>
      <c r="F62" s="700">
        <f>INDEX(_Datos 62:62,,MATCH(_Búsqueda_Fechas_Pago, _Datos _Headers,0))</f>
        <v>43724</v>
      </c>
      <c r="G62" s="690">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x14ac:dyDescent="0.25">
      <c r="A63" s="14"/>
      <c r="E63" s="100">
        <f t="shared" si="0"/>
        <v>30</v>
      </c>
      <c r="F63" s="700">
        <f>INDEX(_Datos 63:63,,MATCH(_Búsqueda_Fechas_Pago, _Datos _Headers,0))</f>
        <v>43754</v>
      </c>
      <c r="G63" s="690">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x14ac:dyDescent="0.25">
      <c r="A64" s="14"/>
      <c r="E64" s="100">
        <f t="shared" si="0"/>
        <v>30</v>
      </c>
      <c r="F64" s="700">
        <f>INDEX(_Datos 64:64,,MATCH(_Búsqueda_Fechas_Pago, _Datos _Headers,0))</f>
        <v>43785</v>
      </c>
      <c r="G64" s="690">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x14ac:dyDescent="0.25">
      <c r="A65" s="14"/>
      <c r="E65" s="100">
        <f t="shared" si="0"/>
        <v>30</v>
      </c>
      <c r="F65" s="700">
        <f>INDEX(_Datos 65:65,,MATCH(_Búsqueda_Fechas_Pago, _Datos _Headers,0))</f>
        <v>43815</v>
      </c>
      <c r="G65" s="690">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x14ac:dyDescent="0.25">
      <c r="A66" s="14"/>
      <c r="E66" s="100">
        <f t="shared" si="0"/>
        <v>30</v>
      </c>
      <c r="F66" s="700">
        <f>INDEX(_Datos 66:66,,MATCH(_Búsqueda_Fechas_Pago, _Datos _Headers,0))</f>
        <v>43846</v>
      </c>
      <c r="G66" s="690">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x14ac:dyDescent="0.25">
      <c r="A67" s="14"/>
      <c r="E67" s="100">
        <f t="shared" si="0"/>
        <v>30</v>
      </c>
      <c r="F67" s="700">
        <f>INDEX(_Datos 67:67,,MATCH(_Búsqueda_Fechas_Pago, _Datos _Headers,0))</f>
        <v>43877</v>
      </c>
      <c r="G67" s="690">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x14ac:dyDescent="0.25">
      <c r="A68" s="14"/>
      <c r="E68" s="100">
        <f t="shared" si="0"/>
        <v>30</v>
      </c>
      <c r="F68" s="700">
        <f>INDEX(_Datos 68:68,,MATCH(_Búsqueda_Fechas_Pago, _Datos _Headers,0))</f>
        <v>43906</v>
      </c>
      <c r="G68" s="690">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x14ac:dyDescent="0.25">
      <c r="A69" s="14"/>
      <c r="E69" s="100">
        <f t="shared" si="0"/>
        <v>30</v>
      </c>
      <c r="F69" s="700">
        <f>INDEX(_Datos 69:69,,MATCH(_Búsqueda_Fechas_Pago, _Datos _Headers,0))</f>
        <v>43937</v>
      </c>
      <c r="G69" s="690">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x14ac:dyDescent="0.25">
      <c r="A70" s="14"/>
      <c r="E70" s="100">
        <f t="shared" si="0"/>
        <v>30</v>
      </c>
      <c r="F70" s="700">
        <f>INDEX(_Datos 70:70,,MATCH(_Búsqueda_Fechas_Pago, _Datos _Headers,0))</f>
        <v>43967</v>
      </c>
      <c r="G70" s="690">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x14ac:dyDescent="0.25">
      <c r="A71" s="14"/>
      <c r="E71" s="100">
        <f t="shared" si="0"/>
        <v>30</v>
      </c>
      <c r="F71" s="700">
        <f>INDEX(_Datos 71:71,,MATCH(_Búsqueda_Fechas_Pago, _Datos _Headers,0))</f>
        <v>43998</v>
      </c>
      <c r="G71" s="690">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x14ac:dyDescent="0.25">
      <c r="A72" s="14"/>
      <c r="E72" s="100">
        <f t="shared" si="0"/>
        <v>30</v>
      </c>
      <c r="F72" s="700">
        <f>INDEX(_Datos 72:72,,MATCH(_Búsqueda_Fechas_Pago, _Datos _Headers,0))</f>
        <v>44028</v>
      </c>
      <c r="G72" s="690">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x14ac:dyDescent="0.25">
      <c r="A73" s="14"/>
      <c r="E73" s="100">
        <f t="shared" si="0"/>
        <v>30</v>
      </c>
      <c r="F73" s="700">
        <f>INDEX(_Datos 73:73,,MATCH(_Búsqueda_Fechas_Pago, _Datos _Headers,0))</f>
        <v>44059</v>
      </c>
      <c r="G73" s="690">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x14ac:dyDescent="0.25">
      <c r="A74" s="14"/>
      <c r="E74" s="100">
        <f t="shared" si="0"/>
        <v>30</v>
      </c>
      <c r="F74" s="700">
        <f>INDEX(_Datos 74:74,,MATCH(_Búsqueda_Fechas_Pago, _Datos _Headers,0))</f>
        <v>44090</v>
      </c>
      <c r="G74" s="690">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x14ac:dyDescent="0.25">
      <c r="A75" s="14"/>
      <c r="E75" s="100">
        <f t="shared" si="0"/>
        <v>30</v>
      </c>
      <c r="F75" s="700">
        <f>INDEX(_Datos 75:75,,MATCH(_Búsqueda_Fechas_Pago, _Datos _Headers,0))</f>
        <v>44120</v>
      </c>
      <c r="G75" s="690">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x14ac:dyDescent="0.25">
      <c r="A76" s="14"/>
      <c r="E76" s="100">
        <f t="shared" si="0"/>
        <v>30</v>
      </c>
      <c r="F76" s="700">
        <f>INDEX(_Datos 76:76,,MATCH(_Búsqueda_Fechas_Pago, _Datos _Headers,0))</f>
        <v>44151</v>
      </c>
      <c r="G76" s="690">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x14ac:dyDescent="0.25">
      <c r="A77" s="14"/>
      <c r="E77" s="100">
        <f t="shared" si="0"/>
        <v>30</v>
      </c>
      <c r="F77" s="700">
        <f>INDEX(_Datos 77:77,,MATCH(_Búsqueda_Fechas_Pago, _Datos _Headers,0))</f>
        <v>44181</v>
      </c>
      <c r="G77" s="690">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x14ac:dyDescent="0.25">
      <c r="A78" s="14"/>
      <c r="E78" s="100">
        <f t="shared" si="0"/>
        <v>30</v>
      </c>
      <c r="F78" s="700">
        <f>INDEX(_Datos 78:78,,MATCH(_Búsqueda_Fechas_Pago, _Datos _Headers,0))</f>
        <v>44212</v>
      </c>
      <c r="G78" s="736">
        <f>INDEX(_Datos 78:78,,MATCH(_Búsqueda_Duración, _Datos _Headers,0))</f>
        <v>30</v>
      </c>
      <c r="H78" s="735"/>
      <c r="I78" s="78">
        <f t="shared" si="1"/>
        <v>44212</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43296</v>
      </c>
      <c r="P78" s="32">
        <f>_DPP _Quincenal</f>
        <v>15</v>
      </c>
      <c r="Q78" s="735"/>
      <c r="R78" s="78">
        <f>IF(DAY(R77 + 1) &lt;= _DPP _Decenal,
DATE(YEAR(R77 + 1),MONTH(R77 + 1),_DPP _Decenal),
IF(DAY(R77 + 1) &lt;= (_DPP _Decenal*2),
DATE(YEAR(R77 + 1),MONTH(R77 + 1),(_DPP _Decenal*2)),EOMONTH(R77 + 1,0)))</f>
        <v>42988</v>
      </c>
      <c r="S78" s="32">
        <f>_DPP _Decenal</f>
        <v>10</v>
      </c>
      <c r="T78" s="735"/>
      <c r="U78" s="78">
        <f t="shared" si="2"/>
        <v>44187</v>
      </c>
      <c r="V78" s="32">
        <f t="shared" si="4"/>
        <v>30</v>
      </c>
    </row>
    <row r="79" spans="1:22" x14ac:dyDescent="0.25">
      <c r="A79" s="14"/>
      <c r="E79" s="100">
        <f t="shared" si="0"/>
        <v>30</v>
      </c>
      <c r="F79" s="700">
        <f>INDEX(_Datos 79:79,,MATCH(_Búsqueda_Fechas_Pago, _Datos _Headers,0))</f>
        <v>44243</v>
      </c>
      <c r="G79" s="736">
        <f>INDEX(_Datos 79:79,,MATCH(_Búsqueda_Duración, _Datos _Headers,0))</f>
        <v>30</v>
      </c>
      <c r="H79" s="735"/>
      <c r="I79" s="78">
        <f t="shared" si="1"/>
        <v>44243</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43312</v>
      </c>
      <c r="P79" s="32">
        <f>_DPP _Quincenal</f>
        <v>15</v>
      </c>
      <c r="Q79" s="735"/>
      <c r="R79" s="78">
        <f>IF(DAY(R78 + 1) &lt;= _DPP _Decenal,
DATE(YEAR(R78 + 1),MONTH(R78 + 1),_DPP _Decenal),
IF(DAY(R78 + 1) &lt;= (_DPP _Decenal*2),
DATE(YEAR(R78 + 1),MONTH(R78 + 1),(_DPP _Decenal*2)),EOMONTH(R78 + 1,0)))</f>
        <v>42998</v>
      </c>
      <c r="S79" s="32">
        <f>_DPP _Decenal</f>
        <v>10</v>
      </c>
      <c r="T79" s="735"/>
      <c r="U79" s="78">
        <f t="shared" si="2"/>
        <v>44217</v>
      </c>
      <c r="V79" s="32">
        <f t="shared" si="4"/>
        <v>30</v>
      </c>
    </row>
    <row r="80" spans="1:22" x14ac:dyDescent="0.25">
      <c r="A80" s="14"/>
      <c r="E80" s="100">
        <f t="shared" si="0"/>
        <v>30</v>
      </c>
      <c r="F80" s="700">
        <f>INDEX(_Datos 80:80,,MATCH(_Búsqueda_Fechas_Pago, _Datos _Headers,0))</f>
        <v>44271</v>
      </c>
      <c r="G80" s="736">
        <f>INDEX(_Datos 80:80,,MATCH(_Búsqueda_Duración, _Datos _Headers,0))</f>
        <v>30</v>
      </c>
      <c r="H80" s="735"/>
      <c r="I80" s="78">
        <f t="shared" si="1"/>
        <v>44271</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43327</v>
      </c>
      <c r="P80" s="32">
        <f>_DPP _Quincenal</f>
        <v>15</v>
      </c>
      <c r="Q80" s="735"/>
      <c r="R80" s="78">
        <f>IF(DAY(R79 + 1) &lt;= _DPP _Decenal,
DATE(YEAR(R79 + 1),MONTH(R79 + 1),_DPP _Decenal),
IF(DAY(R79 + 1) &lt;= (_DPP _Decenal*2),
DATE(YEAR(R79 + 1),MONTH(R79 + 1),(_DPP _Decenal*2)),EOMONTH(R79 + 1,0)))</f>
        <v>43008</v>
      </c>
      <c r="S80" s="32">
        <f>_DPP _Decenal</f>
        <v>10</v>
      </c>
      <c r="T80" s="735"/>
      <c r="U80" s="78">
        <f t="shared" si="2"/>
        <v>44247</v>
      </c>
      <c r="V80" s="32">
        <f t="shared" si="4"/>
        <v>30</v>
      </c>
    </row>
    <row r="81" spans="1:22" x14ac:dyDescent="0.25">
      <c r="A81" s="14"/>
      <c r="E81" s="100">
        <f t="shared" si="0"/>
        <v>30</v>
      </c>
      <c r="F81" s="700">
        <f>INDEX(_Datos 81:81,,MATCH(_Búsqueda_Fechas_Pago, _Datos _Headers,0))</f>
        <v>44302</v>
      </c>
      <c r="G81" s="736">
        <f>INDEX(_Datos 81:81,,MATCH(_Búsqueda_Duración, _Datos _Headers,0))</f>
        <v>30</v>
      </c>
      <c r="H81" s="735"/>
      <c r="I81" s="78">
        <f t="shared" si="1"/>
        <v>44302</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43343</v>
      </c>
      <c r="P81" s="32">
        <f>_DPP _Quincenal</f>
        <v>15</v>
      </c>
      <c r="Q81" s="735"/>
      <c r="R81" s="78">
        <f>IF(DAY(R80 + 1) &lt;= _DPP _Decenal,
DATE(YEAR(R80 + 1),MONTH(R80 + 1),_DPP _Decenal),
IF(DAY(R80 + 1) &lt;= (_DPP _Decenal*2),
DATE(YEAR(R80 + 1),MONTH(R80 + 1),(_DPP _Decenal*2)),EOMONTH(R80 + 1,0)))</f>
        <v>43018</v>
      </c>
      <c r="S81" s="32">
        <f>_DPP _Decenal</f>
        <v>10</v>
      </c>
      <c r="T81" s="735"/>
      <c r="U81" s="78">
        <f t="shared" si="2"/>
        <v>44277</v>
      </c>
      <c r="V81" s="32">
        <f t="shared" si="4"/>
        <v>30</v>
      </c>
    </row>
    <row r="82" spans="1:22" x14ac:dyDescent="0.25">
      <c r="A82" s="14"/>
      <c r="E82" s="100">
        <f t="shared" si="0"/>
        <v>30</v>
      </c>
      <c r="F82" s="700">
        <f>INDEX(_Datos 82:82,,MATCH(_Búsqueda_Fechas_Pago, _Datos _Headers,0))</f>
        <v>44332</v>
      </c>
      <c r="G82" s="736">
        <f>INDEX(_Datos 82:82,,MATCH(_Búsqueda_Duración, _Datos _Headers,0))</f>
        <v>30</v>
      </c>
      <c r="H82" s="735"/>
      <c r="I82" s="78">
        <f t="shared" si="1"/>
        <v>44332</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43358</v>
      </c>
      <c r="P82" s="32">
        <f>_DPP _Quincenal</f>
        <v>15</v>
      </c>
      <c r="Q82" s="735"/>
      <c r="R82" s="78">
        <f>IF(DAY(R81 + 1) &lt;= _DPP _Decenal,
DATE(YEAR(R81 + 1),MONTH(R81 + 1),_DPP _Decenal),
IF(DAY(R81 + 1) &lt;= (_DPP _Decenal*2),
DATE(YEAR(R81 + 1),MONTH(R81 + 1),(_DPP _Decenal*2)),EOMONTH(R81 + 1,0)))</f>
        <v>43028</v>
      </c>
      <c r="S82" s="32">
        <f>_DPP _Decenal</f>
        <v>10</v>
      </c>
      <c r="T82" s="735"/>
      <c r="U82" s="78">
        <f t="shared" si="2"/>
        <v>44307</v>
      </c>
      <c r="V82" s="32">
        <f t="shared" si="4"/>
        <v>30</v>
      </c>
    </row>
    <row r="83" spans="1:22" x14ac:dyDescent="0.25">
      <c r="E83" s="100">
        <f t="shared" ref="E83:E146" si="5">_Días_por_Periodo</f>
        <v>30</v>
      </c>
      <c r="F83" s="700">
        <f>INDEX(_Datos 83:83,,MATCH(_Búsqueda_Fechas_Pago, _Datos _Headers,0))</f>
        <v>44363</v>
      </c>
      <c r="G83" s="736">
        <f>INDEX(_Datos 83:83,,MATCH(_Búsqueda_Duración, _Datos _Headers,0))</f>
        <v>30</v>
      </c>
      <c r="H83" s="735"/>
      <c r="I83" s="78">
        <f t="shared" si="1"/>
        <v>44363</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43373</v>
      </c>
      <c r="P83" s="32">
        <f>_DPP _Quincenal</f>
        <v>15</v>
      </c>
      <c r="Q83" s="735"/>
      <c r="R83" s="78">
        <f>IF(DAY(R82 + 1) &lt;= _DPP _Decenal,
DATE(YEAR(R82 + 1),MONTH(R82 + 1),_DPP _Decenal),
IF(DAY(R82 + 1) &lt;= (_DPP _Decenal*2),
DATE(YEAR(R82 + 1),MONTH(R82 + 1),(_DPP _Decenal*2)),EOMONTH(R82 + 1,0)))</f>
        <v>43039</v>
      </c>
      <c r="S83" s="32">
        <f>_DPP _Decenal</f>
        <v>10</v>
      </c>
      <c r="T83" s="735"/>
      <c r="U83" s="78">
        <f t="shared" si="2"/>
        <v>44337</v>
      </c>
      <c r="V83" s="32">
        <f t="shared" si="4"/>
        <v>30</v>
      </c>
    </row>
    <row r="84" spans="1:22" x14ac:dyDescent="0.25">
      <c r="E84" s="100">
        <f t="shared" si="5"/>
        <v>30</v>
      </c>
      <c r="F84" s="700">
        <f>INDEX(_Datos 84:84,,MATCH(_Búsqueda_Fechas_Pago, _Datos _Headers,0))</f>
        <v>44393</v>
      </c>
      <c r="G84" s="736">
        <f>INDEX(_Datos 84:84,,MATCH(_Búsqueda_Duración, _Datos _Headers,0))</f>
        <v>30</v>
      </c>
      <c r="H84" s="735"/>
      <c r="I84" s="78">
        <f t="shared" ref="I84:I147" si="6">IF(DAY(I83)&gt;=Const_Dia_Corte_Aniversario,FinMesPropia(I83,1)+1,FinMesPropia(I83,0)+DAY(I83))</f>
        <v>44393</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43388</v>
      </c>
      <c r="P84" s="32">
        <f>_DPP _Quincenal</f>
        <v>15</v>
      </c>
      <c r="Q84" s="735"/>
      <c r="R84" s="78">
        <f>IF(DAY(R83 + 1) &lt;= _DPP _Decenal,
DATE(YEAR(R83 + 1),MONTH(R83 + 1),_DPP _Decenal),
IF(DAY(R83 + 1) &lt;= (_DPP _Decenal*2),
DATE(YEAR(R83 + 1),MONTH(R83 + 1),(_DPP _Decenal*2)),EOMONTH(R83 + 1,0)))</f>
        <v>43049</v>
      </c>
      <c r="S84" s="32">
        <f>_DPP _Decenal</f>
        <v>10</v>
      </c>
      <c r="T84" s="735"/>
      <c r="U84" s="78">
        <f t="shared" ref="U84:U147" si="7">U83 + _Días_por_Periodo</f>
        <v>44367</v>
      </c>
      <c r="V84" s="32">
        <f t="shared" si="4"/>
        <v>30</v>
      </c>
    </row>
    <row r="85" spans="1:22" x14ac:dyDescent="0.25">
      <c r="E85" s="100">
        <f t="shared" si="5"/>
        <v>30</v>
      </c>
      <c r="F85" s="700">
        <f>INDEX(_Datos 85:85,,MATCH(_Búsqueda_Fechas_Pago, _Datos _Headers,0))</f>
        <v>44424</v>
      </c>
      <c r="G85" s="736">
        <f>INDEX(_Datos 85:85,,MATCH(_Búsqueda_Duración, _Datos _Headers,0))</f>
        <v>30</v>
      </c>
      <c r="H85" s="735"/>
      <c r="I85" s="78">
        <f t="shared" si="6"/>
        <v>44424</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43404</v>
      </c>
      <c r="P85" s="32">
        <f>_DPP _Quincenal</f>
        <v>15</v>
      </c>
      <c r="Q85" s="735"/>
      <c r="R85" s="78">
        <f>IF(DAY(R84 + 1) &lt;= _DPP _Decenal,
DATE(YEAR(R84 + 1),MONTH(R84 + 1),_DPP _Decenal),
IF(DAY(R84 + 1) &lt;= (_DPP _Decenal*2),
DATE(YEAR(R84 + 1),MONTH(R84 + 1),(_DPP _Decenal*2)),EOMONTH(R84 + 1,0)))</f>
        <v>43059</v>
      </c>
      <c r="S85" s="32">
        <f>_DPP _Decenal</f>
        <v>10</v>
      </c>
      <c r="T85" s="735"/>
      <c r="U85" s="78">
        <f t="shared" si="7"/>
        <v>44397</v>
      </c>
      <c r="V85" s="32">
        <f t="shared" ref="V85:V148" si="9">U85 - U84</f>
        <v>30</v>
      </c>
    </row>
    <row r="86" spans="1:22" x14ac:dyDescent="0.25">
      <c r="E86" s="100">
        <f t="shared" si="5"/>
        <v>30</v>
      </c>
      <c r="F86" s="700">
        <f>INDEX(_Datos 86:86,,MATCH(_Búsqueda_Fechas_Pago, _Datos _Headers,0))</f>
        <v>44455</v>
      </c>
      <c r="G86" s="736">
        <f>INDEX(_Datos 86:86,,MATCH(_Búsqueda_Duración, _Datos _Headers,0))</f>
        <v>30</v>
      </c>
      <c r="H86" s="735"/>
      <c r="I86" s="78">
        <f t="shared" si="6"/>
        <v>44455</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43419</v>
      </c>
      <c r="P86" s="32">
        <f>_DPP _Quincenal</f>
        <v>15</v>
      </c>
      <c r="Q86" s="735"/>
      <c r="R86" s="78">
        <f>IF(DAY(R85 + 1) &lt;= _DPP _Decenal,
DATE(YEAR(R85 + 1),MONTH(R85 + 1),_DPP _Decenal),
IF(DAY(R85 + 1) &lt;= (_DPP _Decenal*2),
DATE(YEAR(R85 + 1),MONTH(R85 + 1),(_DPP _Decenal*2)),EOMONTH(R85 + 1,0)))</f>
        <v>43069</v>
      </c>
      <c r="S86" s="32">
        <f>_DPP _Decenal</f>
        <v>10</v>
      </c>
      <c r="T86" s="735"/>
      <c r="U86" s="78">
        <f t="shared" si="7"/>
        <v>44427</v>
      </c>
      <c r="V86" s="32">
        <f t="shared" si="9"/>
        <v>30</v>
      </c>
    </row>
    <row r="87" spans="1:22" x14ac:dyDescent="0.25">
      <c r="E87" s="100">
        <f t="shared" si="5"/>
        <v>30</v>
      </c>
      <c r="F87" s="700">
        <f>INDEX(_Datos 87:87,,MATCH(_Búsqueda_Fechas_Pago, _Datos _Headers,0))</f>
        <v>44485</v>
      </c>
      <c r="G87" s="736">
        <f>INDEX(_Datos 87:87,,MATCH(_Búsqueda_Duración, _Datos _Headers,0))</f>
        <v>30</v>
      </c>
      <c r="H87" s="735"/>
      <c r="I87" s="78">
        <f t="shared" si="6"/>
        <v>44485</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43434</v>
      </c>
      <c r="P87" s="32">
        <f>_DPP _Quincenal</f>
        <v>15</v>
      </c>
      <c r="Q87" s="735"/>
      <c r="R87" s="78">
        <f>IF(DAY(R86 + 1) &lt;= _DPP _Decenal,
DATE(YEAR(R86 + 1),MONTH(R86 + 1),_DPP _Decenal),
IF(DAY(R86 + 1) &lt;= (_DPP _Decenal*2),
DATE(YEAR(R86 + 1),MONTH(R86 + 1),(_DPP _Decenal*2)),EOMONTH(R86 + 1,0)))</f>
        <v>43079</v>
      </c>
      <c r="S87" s="32">
        <f>_DPP _Decenal</f>
        <v>10</v>
      </c>
      <c r="T87" s="735"/>
      <c r="U87" s="78">
        <f t="shared" si="7"/>
        <v>44457</v>
      </c>
      <c r="V87" s="32">
        <f t="shared" si="9"/>
        <v>30</v>
      </c>
    </row>
    <row r="88" spans="1:22" x14ac:dyDescent="0.25">
      <c r="E88" s="100">
        <f t="shared" si="5"/>
        <v>30</v>
      </c>
      <c r="F88" s="700">
        <f>INDEX(_Datos 88:88,,MATCH(_Búsqueda_Fechas_Pago, _Datos _Headers,0))</f>
        <v>44516</v>
      </c>
      <c r="G88" s="736">
        <f>INDEX(_Datos 88:88,,MATCH(_Búsqueda_Duración, _Datos _Headers,0))</f>
        <v>30</v>
      </c>
      <c r="H88" s="735"/>
      <c r="I88" s="78">
        <f t="shared" si="6"/>
        <v>44516</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43449</v>
      </c>
      <c r="P88" s="32">
        <f>_DPP _Quincenal</f>
        <v>15</v>
      </c>
      <c r="Q88" s="735"/>
      <c r="R88" s="78">
        <f>IF(DAY(R87 + 1) &lt;= _DPP _Decenal,
DATE(YEAR(R87 + 1),MONTH(R87 + 1),_DPP _Decenal),
IF(DAY(R87 + 1) &lt;= (_DPP _Decenal*2),
DATE(YEAR(R87 + 1),MONTH(R87 + 1),(_DPP _Decenal*2)),EOMONTH(R87 + 1,0)))</f>
        <v>43089</v>
      </c>
      <c r="S88" s="32">
        <f>_DPP _Decenal</f>
        <v>10</v>
      </c>
      <c r="T88" s="735"/>
      <c r="U88" s="78">
        <f t="shared" si="7"/>
        <v>44487</v>
      </c>
      <c r="V88" s="32">
        <f t="shared" si="9"/>
        <v>30</v>
      </c>
    </row>
    <row r="89" spans="1:22" x14ac:dyDescent="0.25">
      <c r="E89" s="100">
        <f t="shared" si="5"/>
        <v>30</v>
      </c>
      <c r="F89" s="700">
        <f>INDEX(_Datos 89:89,,MATCH(_Búsqueda_Fechas_Pago, _Datos _Headers,0))</f>
        <v>44546</v>
      </c>
      <c r="G89" s="736">
        <f>INDEX(_Datos 89:89,,MATCH(_Búsqueda_Duración, _Datos _Headers,0))</f>
        <v>30</v>
      </c>
      <c r="H89" s="735"/>
      <c r="I89" s="78">
        <f t="shared" si="6"/>
        <v>44546</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43465</v>
      </c>
      <c r="P89" s="32">
        <f>_DPP _Quincenal</f>
        <v>15</v>
      </c>
      <c r="Q89" s="735"/>
      <c r="R89" s="78">
        <f>IF(DAY(R88 + 1) &lt;= _DPP _Decenal,
DATE(YEAR(R88 + 1),MONTH(R88 + 1),_DPP _Decenal),
IF(DAY(R88 + 1) &lt;= (_DPP _Decenal*2),
DATE(YEAR(R88 + 1),MONTH(R88 + 1),(_DPP _Decenal*2)),EOMONTH(R88 + 1,0)))</f>
        <v>43100</v>
      </c>
      <c r="S89" s="32">
        <f>_DPP _Decenal</f>
        <v>10</v>
      </c>
      <c r="T89" s="735"/>
      <c r="U89" s="78">
        <f t="shared" si="7"/>
        <v>44517</v>
      </c>
      <c r="V89" s="32">
        <f t="shared" si="9"/>
        <v>30</v>
      </c>
    </row>
    <row r="90" spans="1:22" x14ac:dyDescent="0.25">
      <c r="E90" s="100">
        <f t="shared" si="5"/>
        <v>30</v>
      </c>
      <c r="F90" s="700">
        <f>INDEX(_Datos 90:90,,MATCH(_Búsqueda_Fechas_Pago, _Datos _Headers,0))</f>
        <v>44577</v>
      </c>
      <c r="G90" s="736">
        <f>INDEX(_Datos 90:90,,MATCH(_Búsqueda_Duración, _Datos _Headers,0))</f>
        <v>30</v>
      </c>
      <c r="H90" s="735"/>
      <c r="I90" s="78">
        <f t="shared" si="6"/>
        <v>44577</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43480</v>
      </c>
      <c r="P90" s="32">
        <f>_DPP _Quincenal</f>
        <v>15</v>
      </c>
      <c r="Q90" s="735"/>
      <c r="R90" s="78">
        <f>IF(DAY(R89 + 1) &lt;= _DPP _Decenal,
DATE(YEAR(R89 + 1),MONTH(R89 + 1),_DPP _Decenal),
IF(DAY(R89 + 1) &lt;= (_DPP _Decenal*2),
DATE(YEAR(R89 + 1),MONTH(R89 + 1),(_DPP _Decenal*2)),EOMONTH(R89 + 1,0)))</f>
        <v>43110</v>
      </c>
      <c r="S90" s="32">
        <f>_DPP _Decenal</f>
        <v>10</v>
      </c>
      <c r="T90" s="735"/>
      <c r="U90" s="78">
        <f t="shared" si="7"/>
        <v>44547</v>
      </c>
      <c r="V90" s="32">
        <f t="shared" si="9"/>
        <v>30</v>
      </c>
    </row>
    <row r="91" spans="1:22" x14ac:dyDescent="0.25">
      <c r="E91" s="100">
        <f t="shared" si="5"/>
        <v>30</v>
      </c>
      <c r="F91" s="700">
        <f>INDEX(_Datos 91:91,,MATCH(_Búsqueda_Fechas_Pago, _Datos _Headers,0))</f>
        <v>44608</v>
      </c>
      <c r="G91" s="736">
        <f>INDEX(_Datos 91:91,,MATCH(_Búsqueda_Duración, _Datos _Headers,0))</f>
        <v>30</v>
      </c>
      <c r="H91" s="735"/>
      <c r="I91" s="78">
        <f t="shared" si="6"/>
        <v>44608</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43496</v>
      </c>
      <c r="P91" s="32">
        <f>_DPP _Quincenal</f>
        <v>15</v>
      </c>
      <c r="Q91" s="735"/>
      <c r="R91" s="78">
        <f>IF(DAY(R90 + 1) &lt;= _DPP _Decenal,
DATE(YEAR(R90 + 1),MONTH(R90 + 1),_DPP _Decenal),
IF(DAY(R90 + 1) &lt;= (_DPP _Decenal*2),
DATE(YEAR(R90 + 1),MONTH(R90 + 1),(_DPP _Decenal*2)),EOMONTH(R90 + 1,0)))</f>
        <v>43120</v>
      </c>
      <c r="S91" s="32">
        <f>_DPP _Decenal</f>
        <v>10</v>
      </c>
      <c r="T91" s="735"/>
      <c r="U91" s="78">
        <f t="shared" si="7"/>
        <v>44577</v>
      </c>
      <c r="V91" s="32">
        <f t="shared" si="9"/>
        <v>30</v>
      </c>
    </row>
    <row r="92" spans="1:22" x14ac:dyDescent="0.25">
      <c r="E92" s="100">
        <f t="shared" si="5"/>
        <v>30</v>
      </c>
      <c r="F92" s="700">
        <f>INDEX(_Datos 92:92,,MATCH(_Búsqueda_Fechas_Pago, _Datos _Headers,0))</f>
        <v>44636</v>
      </c>
      <c r="G92" s="736">
        <f>INDEX(_Datos 92:92,,MATCH(_Búsqueda_Duración, _Datos _Headers,0))</f>
        <v>30</v>
      </c>
      <c r="H92" s="735"/>
      <c r="I92" s="78">
        <f t="shared" si="6"/>
        <v>44636</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43511</v>
      </c>
      <c r="P92" s="32">
        <f>_DPP _Quincenal</f>
        <v>15</v>
      </c>
      <c r="Q92" s="735"/>
      <c r="R92" s="78">
        <f>IF(DAY(R91 + 1) &lt;= _DPP _Decenal,
DATE(YEAR(R91 + 1),MONTH(R91 + 1),_DPP _Decenal),
IF(DAY(R91 + 1) &lt;= (_DPP _Decenal*2),
DATE(YEAR(R91 + 1),MONTH(R91 + 1),(_DPP _Decenal*2)),EOMONTH(R91 + 1,0)))</f>
        <v>43131</v>
      </c>
      <c r="S92" s="32">
        <f>_DPP _Decenal</f>
        <v>10</v>
      </c>
      <c r="T92" s="735"/>
      <c r="U92" s="78">
        <f t="shared" si="7"/>
        <v>44607</v>
      </c>
      <c r="V92" s="32">
        <f t="shared" si="9"/>
        <v>30</v>
      </c>
    </row>
    <row r="93" spans="1:22" x14ac:dyDescent="0.25">
      <c r="E93" s="100">
        <f t="shared" si="5"/>
        <v>30</v>
      </c>
      <c r="F93" s="700">
        <f>INDEX(_Datos 93:93,,MATCH(_Búsqueda_Fechas_Pago, _Datos _Headers,0))</f>
        <v>44667</v>
      </c>
      <c r="G93" s="736">
        <f>INDEX(_Datos 93:93,,MATCH(_Búsqueda_Duración, _Datos _Headers,0))</f>
        <v>30</v>
      </c>
      <c r="H93" s="735"/>
      <c r="I93" s="78">
        <f t="shared" si="6"/>
        <v>44667</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43524</v>
      </c>
      <c r="P93" s="32">
        <f>_DPP _Quincenal</f>
        <v>15</v>
      </c>
      <c r="Q93" s="735"/>
      <c r="R93" s="78">
        <f>IF(DAY(R92 + 1) &lt;= _DPP _Decenal,
DATE(YEAR(R92 + 1),MONTH(R92 + 1),_DPP _Decenal),
IF(DAY(R92 + 1) &lt;= (_DPP _Decenal*2),
DATE(YEAR(R92 + 1),MONTH(R92 + 1),(_DPP _Decenal*2)),EOMONTH(R92 + 1,0)))</f>
        <v>43141</v>
      </c>
      <c r="S93" s="32">
        <f>_DPP _Decenal</f>
        <v>10</v>
      </c>
      <c r="T93" s="735"/>
      <c r="U93" s="78">
        <f t="shared" si="7"/>
        <v>44637</v>
      </c>
      <c r="V93" s="32">
        <f t="shared" si="9"/>
        <v>30</v>
      </c>
    </row>
    <row r="94" spans="1:22" x14ac:dyDescent="0.25">
      <c r="E94" s="100">
        <f t="shared" si="5"/>
        <v>30</v>
      </c>
      <c r="F94" s="700">
        <f>INDEX(_Datos 94:94,,MATCH(_Búsqueda_Fechas_Pago, _Datos _Headers,0))</f>
        <v>44697</v>
      </c>
      <c r="G94" s="736">
        <f>INDEX(_Datos 94:94,,MATCH(_Búsqueda_Duración, _Datos _Headers,0))</f>
        <v>30</v>
      </c>
      <c r="H94" s="735"/>
      <c r="I94" s="78">
        <f t="shared" si="6"/>
        <v>44697</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43539</v>
      </c>
      <c r="P94" s="32">
        <f>_DPP _Quincenal</f>
        <v>15</v>
      </c>
      <c r="Q94" s="735"/>
      <c r="R94" s="78">
        <f>IF(DAY(R93 + 1) &lt;= _DPP _Decenal,
DATE(YEAR(R93 + 1),MONTH(R93 + 1),_DPP _Decenal),
IF(DAY(R93 + 1) &lt;= (_DPP _Decenal*2),
DATE(YEAR(R93 + 1),MONTH(R93 + 1),(_DPP _Decenal*2)),EOMONTH(R93 + 1,0)))</f>
        <v>43151</v>
      </c>
      <c r="S94" s="32">
        <f>_DPP _Decenal</f>
        <v>10</v>
      </c>
      <c r="T94" s="735"/>
      <c r="U94" s="78">
        <f t="shared" si="7"/>
        <v>44667</v>
      </c>
      <c r="V94" s="32">
        <f t="shared" si="9"/>
        <v>30</v>
      </c>
    </row>
    <row r="95" spans="1:22" x14ac:dyDescent="0.25">
      <c r="E95" s="100">
        <f t="shared" si="5"/>
        <v>30</v>
      </c>
      <c r="F95" s="700">
        <f>INDEX(_Datos 95:95,,MATCH(_Búsqueda_Fechas_Pago, _Datos _Headers,0))</f>
        <v>44728</v>
      </c>
      <c r="G95" s="736">
        <f>INDEX(_Datos 95:95,,MATCH(_Búsqueda_Duración, _Datos _Headers,0))</f>
        <v>30</v>
      </c>
      <c r="H95" s="735"/>
      <c r="I95" s="78">
        <f t="shared" si="6"/>
        <v>44728</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43555</v>
      </c>
      <c r="P95" s="32">
        <f>_DPP _Quincenal</f>
        <v>15</v>
      </c>
      <c r="Q95" s="735"/>
      <c r="R95" s="78">
        <f>IF(DAY(R94 + 1) &lt;= _DPP _Decenal,
DATE(YEAR(R94 + 1),MONTH(R94 + 1),_DPP _Decenal),
IF(DAY(R94 + 1) &lt;= (_DPP _Decenal*2),
DATE(YEAR(R94 + 1),MONTH(R94 + 1),(_DPP _Decenal*2)),EOMONTH(R94 + 1,0)))</f>
        <v>43159</v>
      </c>
      <c r="S95" s="32">
        <f>_DPP _Decenal</f>
        <v>10</v>
      </c>
      <c r="T95" s="735"/>
      <c r="U95" s="78">
        <f t="shared" si="7"/>
        <v>44697</v>
      </c>
      <c r="V95" s="32">
        <f t="shared" si="9"/>
        <v>30</v>
      </c>
    </row>
    <row r="96" spans="1:22" x14ac:dyDescent="0.25">
      <c r="E96" s="100">
        <f t="shared" si="5"/>
        <v>30</v>
      </c>
      <c r="F96" s="700">
        <f>INDEX(_Datos 96:96,,MATCH(_Búsqueda_Fechas_Pago, _Datos _Headers,0))</f>
        <v>44758</v>
      </c>
      <c r="G96" s="736">
        <f>INDEX(_Datos 96:96,,MATCH(_Búsqueda_Duración, _Datos _Headers,0))</f>
        <v>30</v>
      </c>
      <c r="H96" s="735"/>
      <c r="I96" s="78">
        <f t="shared" si="6"/>
        <v>44758</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43570</v>
      </c>
      <c r="P96" s="32">
        <f>_DPP _Quincenal</f>
        <v>15</v>
      </c>
      <c r="Q96" s="735"/>
      <c r="R96" s="78">
        <f>IF(DAY(R95 + 1) &lt;= _DPP _Decenal,
DATE(YEAR(R95 + 1),MONTH(R95 + 1),_DPP _Decenal),
IF(DAY(R95 + 1) &lt;= (_DPP _Decenal*2),
DATE(YEAR(R95 + 1),MONTH(R95 + 1),(_DPP _Decenal*2)),EOMONTH(R95 + 1,0)))</f>
        <v>43169</v>
      </c>
      <c r="S96" s="32">
        <f>_DPP _Decenal</f>
        <v>10</v>
      </c>
      <c r="T96" s="735"/>
      <c r="U96" s="78">
        <f t="shared" si="7"/>
        <v>44727</v>
      </c>
      <c r="V96" s="32">
        <f t="shared" si="9"/>
        <v>30</v>
      </c>
    </row>
    <row r="97" spans="5:22" x14ac:dyDescent="0.25">
      <c r="E97" s="100">
        <f t="shared" si="5"/>
        <v>30</v>
      </c>
      <c r="F97" s="700">
        <f>INDEX(_Datos 97:97,,MATCH(_Búsqueda_Fechas_Pago, _Datos _Headers,0))</f>
        <v>44789</v>
      </c>
      <c r="G97" s="736">
        <f>INDEX(_Datos 97:97,,MATCH(_Búsqueda_Duración, _Datos _Headers,0))</f>
        <v>30</v>
      </c>
      <c r="H97" s="735"/>
      <c r="I97" s="78">
        <f t="shared" si="6"/>
        <v>44789</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43585</v>
      </c>
      <c r="P97" s="32">
        <f>_DPP _Quincenal</f>
        <v>15</v>
      </c>
      <c r="Q97" s="735"/>
      <c r="R97" s="78">
        <f>IF(DAY(R96 + 1) &lt;= _DPP _Decenal,
DATE(YEAR(R96 + 1),MONTH(R96 + 1),_DPP _Decenal),
IF(DAY(R96 + 1) &lt;= (_DPP _Decenal*2),
DATE(YEAR(R96 + 1),MONTH(R96 + 1),(_DPP _Decenal*2)),EOMONTH(R96 + 1,0)))</f>
        <v>43179</v>
      </c>
      <c r="S97" s="32">
        <f>_DPP _Decenal</f>
        <v>10</v>
      </c>
      <c r="T97" s="735"/>
      <c r="U97" s="78">
        <f t="shared" si="7"/>
        <v>44757</v>
      </c>
      <c r="V97" s="32">
        <f t="shared" si="9"/>
        <v>30</v>
      </c>
    </row>
    <row r="98" spans="5:22" x14ac:dyDescent="0.25">
      <c r="E98" s="100">
        <f t="shared" si="5"/>
        <v>30</v>
      </c>
      <c r="F98" s="700">
        <f>INDEX(_Datos 98:98,,MATCH(_Búsqueda_Fechas_Pago, _Datos _Headers,0))</f>
        <v>44820</v>
      </c>
      <c r="G98" s="736">
        <f>INDEX(_Datos 98:98,,MATCH(_Búsqueda_Duración, _Datos _Headers,0))</f>
        <v>30</v>
      </c>
      <c r="H98" s="735"/>
      <c r="I98" s="78">
        <f t="shared" si="6"/>
        <v>44820</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43600</v>
      </c>
      <c r="P98" s="32">
        <f>_DPP _Quincenal</f>
        <v>15</v>
      </c>
      <c r="Q98" s="735"/>
      <c r="R98" s="78">
        <f>IF(DAY(R97 + 1) &lt;= _DPP _Decenal,
DATE(YEAR(R97 + 1),MONTH(R97 + 1),_DPP _Decenal),
IF(DAY(R97 + 1) &lt;= (_DPP _Decenal*2),
DATE(YEAR(R97 + 1),MONTH(R97 + 1),(_DPP _Decenal*2)),EOMONTH(R97 + 1,0)))</f>
        <v>43190</v>
      </c>
      <c r="S98" s="32">
        <f>_DPP _Decenal</f>
        <v>10</v>
      </c>
      <c r="T98" s="735"/>
      <c r="U98" s="78">
        <f t="shared" si="7"/>
        <v>44787</v>
      </c>
      <c r="V98" s="32">
        <f t="shared" si="9"/>
        <v>30</v>
      </c>
    </row>
    <row r="99" spans="5:22" x14ac:dyDescent="0.25">
      <c r="E99" s="100">
        <f t="shared" si="5"/>
        <v>30</v>
      </c>
      <c r="F99" s="700">
        <f>INDEX(_Datos 99:99,,MATCH(_Búsqueda_Fechas_Pago, _Datos _Headers,0))</f>
        <v>44850</v>
      </c>
      <c r="G99" s="736">
        <f>INDEX(_Datos 99:99,,MATCH(_Búsqueda_Duración, _Datos _Headers,0))</f>
        <v>30</v>
      </c>
      <c r="H99" s="735"/>
      <c r="I99" s="78">
        <f t="shared" si="6"/>
        <v>44850</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43616</v>
      </c>
      <c r="P99" s="32">
        <f>_DPP _Quincenal</f>
        <v>15</v>
      </c>
      <c r="Q99" s="735"/>
      <c r="R99" s="78">
        <f>IF(DAY(R98 + 1) &lt;= _DPP _Decenal,
DATE(YEAR(R98 + 1),MONTH(R98 + 1),_DPP _Decenal),
IF(DAY(R98 + 1) &lt;= (_DPP _Decenal*2),
DATE(YEAR(R98 + 1),MONTH(R98 + 1),(_DPP _Decenal*2)),EOMONTH(R98 + 1,0)))</f>
        <v>43200</v>
      </c>
      <c r="S99" s="32">
        <f>_DPP _Decenal</f>
        <v>10</v>
      </c>
      <c r="T99" s="735"/>
      <c r="U99" s="78">
        <f t="shared" si="7"/>
        <v>44817</v>
      </c>
      <c r="V99" s="32">
        <f t="shared" si="9"/>
        <v>30</v>
      </c>
    </row>
    <row r="100" spans="5:22" x14ac:dyDescent="0.25">
      <c r="E100" s="100">
        <f t="shared" si="5"/>
        <v>30</v>
      </c>
      <c r="F100" s="700">
        <f>INDEX(_Datos 100:100,,MATCH(_Búsqueda_Fechas_Pago, _Datos _Headers,0))</f>
        <v>44881</v>
      </c>
      <c r="G100" s="736">
        <f>INDEX(_Datos 100:100,,MATCH(_Búsqueda_Duración, _Datos _Headers,0))</f>
        <v>30</v>
      </c>
      <c r="H100" s="735"/>
      <c r="I100" s="78">
        <f t="shared" si="6"/>
        <v>44881</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43631</v>
      </c>
      <c r="P100" s="32">
        <f>_DPP _Quincenal</f>
        <v>15</v>
      </c>
      <c r="Q100" s="735"/>
      <c r="R100" s="78">
        <f>IF(DAY(R99 + 1) &lt;= _DPP _Decenal,
DATE(YEAR(R99 + 1),MONTH(R99 + 1),_DPP _Decenal),
IF(DAY(R99 + 1) &lt;= (_DPP _Decenal*2),
DATE(YEAR(R99 + 1),MONTH(R99 + 1),(_DPP _Decenal*2)),EOMONTH(R99 + 1,0)))</f>
        <v>43210</v>
      </c>
      <c r="S100" s="32">
        <f>_DPP _Decenal</f>
        <v>10</v>
      </c>
      <c r="T100" s="735"/>
      <c r="U100" s="78">
        <f t="shared" si="7"/>
        <v>44847</v>
      </c>
      <c r="V100" s="32">
        <f t="shared" si="9"/>
        <v>30</v>
      </c>
    </row>
    <row r="101" spans="5:22" x14ac:dyDescent="0.25">
      <c r="E101" s="100">
        <f t="shared" si="5"/>
        <v>30</v>
      </c>
      <c r="F101" s="700">
        <f>INDEX(_Datos 101:101,,MATCH(_Búsqueda_Fechas_Pago, _Datos _Headers,0))</f>
        <v>44911</v>
      </c>
      <c r="G101" s="736">
        <f>INDEX(_Datos 101:101,,MATCH(_Búsqueda_Duración, _Datos _Headers,0))</f>
        <v>30</v>
      </c>
      <c r="H101" s="735"/>
      <c r="I101" s="78">
        <f t="shared" si="6"/>
        <v>44911</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43646</v>
      </c>
      <c r="P101" s="32">
        <f>_DPP _Quincenal</f>
        <v>15</v>
      </c>
      <c r="Q101" s="735"/>
      <c r="R101" s="78">
        <f>IF(DAY(R100 + 1) &lt;= _DPP _Decenal,
DATE(YEAR(R100 + 1),MONTH(R100 + 1),_DPP _Decenal),
IF(DAY(R100 + 1) &lt;= (_DPP _Decenal*2),
DATE(YEAR(R100 + 1),MONTH(R100 + 1),(_DPP _Decenal*2)),EOMONTH(R100 + 1,0)))</f>
        <v>43220</v>
      </c>
      <c r="S101" s="32">
        <f>_DPP _Decenal</f>
        <v>10</v>
      </c>
      <c r="T101" s="735"/>
      <c r="U101" s="78">
        <f t="shared" si="7"/>
        <v>44877</v>
      </c>
      <c r="V101" s="32">
        <f t="shared" si="9"/>
        <v>30</v>
      </c>
    </row>
    <row r="102" spans="5:22" x14ac:dyDescent="0.25">
      <c r="E102" s="100">
        <f t="shared" si="5"/>
        <v>30</v>
      </c>
      <c r="F102" s="700">
        <f>INDEX(_Datos 102:102,,MATCH(_Búsqueda_Fechas_Pago, _Datos _Headers,0))</f>
        <v>44942</v>
      </c>
      <c r="G102" s="736">
        <f>INDEX(_Datos 102:102,,MATCH(_Búsqueda_Duración, _Datos _Headers,0))</f>
        <v>30</v>
      </c>
      <c r="H102" s="735"/>
      <c r="I102" s="78">
        <f t="shared" si="6"/>
        <v>44942</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43661</v>
      </c>
      <c r="P102" s="32">
        <f>_DPP _Quincenal</f>
        <v>15</v>
      </c>
      <c r="Q102" s="735"/>
      <c r="R102" s="78">
        <f>IF(DAY(R101 + 1) &lt;= _DPP _Decenal,
DATE(YEAR(R101 + 1),MONTH(R101 + 1),_DPP _Decenal),
IF(DAY(R101 + 1) &lt;= (_DPP _Decenal*2),
DATE(YEAR(R101 + 1),MONTH(R101 + 1),(_DPP _Decenal*2)),EOMONTH(R101 + 1,0)))</f>
        <v>43230</v>
      </c>
      <c r="S102" s="32">
        <f>_DPP _Decenal</f>
        <v>10</v>
      </c>
      <c r="T102" s="735"/>
      <c r="U102" s="78">
        <f t="shared" si="7"/>
        <v>44907</v>
      </c>
      <c r="V102" s="32">
        <f t="shared" si="9"/>
        <v>30</v>
      </c>
    </row>
    <row r="103" spans="5:22" x14ac:dyDescent="0.25">
      <c r="E103" s="100">
        <f t="shared" si="5"/>
        <v>30</v>
      </c>
      <c r="F103" s="700">
        <f>INDEX(_Datos 103:103,,MATCH(_Búsqueda_Fechas_Pago, _Datos _Headers,0))</f>
        <v>44973</v>
      </c>
      <c r="G103" s="736">
        <f>INDEX(_Datos 103:103,,MATCH(_Búsqueda_Duración, _Datos _Headers,0))</f>
        <v>30</v>
      </c>
      <c r="H103" s="735"/>
      <c r="I103" s="78">
        <f t="shared" si="6"/>
        <v>44973</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43677</v>
      </c>
      <c r="P103" s="32">
        <f>_DPP _Quincenal</f>
        <v>15</v>
      </c>
      <c r="Q103" s="735"/>
      <c r="R103" s="78">
        <f>IF(DAY(R102 + 1) &lt;= _DPP _Decenal,
DATE(YEAR(R102 + 1),MONTH(R102 + 1),_DPP _Decenal),
IF(DAY(R102 + 1) &lt;= (_DPP _Decenal*2),
DATE(YEAR(R102 + 1),MONTH(R102 + 1),(_DPP _Decenal*2)),EOMONTH(R102 + 1,0)))</f>
        <v>43240</v>
      </c>
      <c r="S103" s="32">
        <f>_DPP _Decenal</f>
        <v>10</v>
      </c>
      <c r="T103" s="735"/>
      <c r="U103" s="78">
        <f t="shared" si="7"/>
        <v>44937</v>
      </c>
      <c r="V103" s="32">
        <f t="shared" si="9"/>
        <v>30</v>
      </c>
    </row>
    <row r="104" spans="5:22" x14ac:dyDescent="0.25">
      <c r="E104" s="100">
        <f t="shared" si="5"/>
        <v>30</v>
      </c>
      <c r="F104" s="700">
        <f>INDEX(_Datos 104:104,,MATCH(_Búsqueda_Fechas_Pago, _Datos _Headers,0))</f>
        <v>45001</v>
      </c>
      <c r="G104" s="736">
        <f>INDEX(_Datos 104:104,,MATCH(_Búsqueda_Duración, _Datos _Headers,0))</f>
        <v>30</v>
      </c>
      <c r="H104" s="735"/>
      <c r="I104" s="78">
        <f t="shared" si="6"/>
        <v>45001</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43692</v>
      </c>
      <c r="P104" s="32">
        <f>_DPP _Quincenal</f>
        <v>15</v>
      </c>
      <c r="Q104" s="735"/>
      <c r="R104" s="78">
        <f>IF(DAY(R103 + 1) &lt;= _DPP _Decenal,
DATE(YEAR(R103 + 1),MONTH(R103 + 1),_DPP _Decenal),
IF(DAY(R103 + 1) &lt;= (_DPP _Decenal*2),
DATE(YEAR(R103 + 1),MONTH(R103 + 1),(_DPP _Decenal*2)),EOMONTH(R103 + 1,0)))</f>
        <v>43251</v>
      </c>
      <c r="S104" s="32">
        <f>_DPP _Decenal</f>
        <v>10</v>
      </c>
      <c r="T104" s="735"/>
      <c r="U104" s="78">
        <f t="shared" si="7"/>
        <v>44967</v>
      </c>
      <c r="V104" s="32">
        <f t="shared" si="9"/>
        <v>30</v>
      </c>
    </row>
    <row r="105" spans="5:22" x14ac:dyDescent="0.25">
      <c r="E105" s="100">
        <f t="shared" si="5"/>
        <v>30</v>
      </c>
      <c r="F105" s="700">
        <f>INDEX(_Datos 105:105,,MATCH(_Búsqueda_Fechas_Pago, _Datos _Headers,0))</f>
        <v>45032</v>
      </c>
      <c r="G105" s="736">
        <f>INDEX(_Datos 105:105,,MATCH(_Búsqueda_Duración, _Datos _Headers,0))</f>
        <v>30</v>
      </c>
      <c r="H105" s="735"/>
      <c r="I105" s="78">
        <f t="shared" si="6"/>
        <v>45032</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43708</v>
      </c>
      <c r="P105" s="32">
        <f>_DPP _Quincenal</f>
        <v>15</v>
      </c>
      <c r="Q105" s="735"/>
      <c r="R105" s="78">
        <f>IF(DAY(R104 + 1) &lt;= _DPP _Decenal,
DATE(YEAR(R104 + 1),MONTH(R104 + 1),_DPP _Decenal),
IF(DAY(R104 + 1) &lt;= (_DPP _Decenal*2),
DATE(YEAR(R104 + 1),MONTH(R104 + 1),(_DPP _Decenal*2)),EOMONTH(R104 + 1,0)))</f>
        <v>43261</v>
      </c>
      <c r="S105" s="32">
        <f>_DPP _Decenal</f>
        <v>10</v>
      </c>
      <c r="T105" s="735"/>
      <c r="U105" s="78">
        <f t="shared" si="7"/>
        <v>44997</v>
      </c>
      <c r="V105" s="32">
        <f t="shared" si="9"/>
        <v>30</v>
      </c>
    </row>
    <row r="106" spans="5:22" x14ac:dyDescent="0.25">
      <c r="E106" s="100">
        <f t="shared" si="5"/>
        <v>30</v>
      </c>
      <c r="F106" s="700">
        <f>INDEX(_Datos 106:106,,MATCH(_Búsqueda_Fechas_Pago, _Datos _Headers,0))</f>
        <v>45062</v>
      </c>
      <c r="G106" s="736">
        <f>INDEX(_Datos 106:106,,MATCH(_Búsqueda_Duración, _Datos _Headers,0))</f>
        <v>30</v>
      </c>
      <c r="H106" s="735"/>
      <c r="I106" s="78">
        <f t="shared" si="6"/>
        <v>45062</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43723</v>
      </c>
      <c r="P106" s="32">
        <f>_DPP _Quincenal</f>
        <v>15</v>
      </c>
      <c r="Q106" s="735"/>
      <c r="R106" s="78">
        <f>IF(DAY(R105 + 1) &lt;= _DPP _Decenal,
DATE(YEAR(R105 + 1),MONTH(R105 + 1),_DPP _Decenal),
IF(DAY(R105 + 1) &lt;= (_DPP _Decenal*2),
DATE(YEAR(R105 + 1),MONTH(R105 + 1),(_DPP _Decenal*2)),EOMONTH(R105 + 1,0)))</f>
        <v>43271</v>
      </c>
      <c r="S106" s="32">
        <f>_DPP _Decenal</f>
        <v>10</v>
      </c>
      <c r="T106" s="735"/>
      <c r="U106" s="78">
        <f t="shared" si="7"/>
        <v>45027</v>
      </c>
      <c r="V106" s="32">
        <f t="shared" si="9"/>
        <v>30</v>
      </c>
    </row>
    <row r="107" spans="5:22" x14ac:dyDescent="0.25">
      <c r="E107" s="100">
        <f t="shared" si="5"/>
        <v>30</v>
      </c>
      <c r="F107" s="700">
        <f>INDEX(_Datos 107:107,,MATCH(_Búsqueda_Fechas_Pago, _Datos _Headers,0))</f>
        <v>45093</v>
      </c>
      <c r="G107" s="736">
        <f>INDEX(_Datos 107:107,,MATCH(_Búsqueda_Duración, _Datos _Headers,0))</f>
        <v>30</v>
      </c>
      <c r="H107" s="735"/>
      <c r="I107" s="78">
        <f t="shared" si="6"/>
        <v>45093</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43738</v>
      </c>
      <c r="P107" s="32">
        <f>_DPP _Quincenal</f>
        <v>15</v>
      </c>
      <c r="Q107" s="735"/>
      <c r="R107" s="78">
        <f>IF(DAY(R106 + 1) &lt;= _DPP _Decenal,
DATE(YEAR(R106 + 1),MONTH(R106 + 1),_DPP _Decenal),
IF(DAY(R106 + 1) &lt;= (_DPP _Decenal*2),
DATE(YEAR(R106 + 1),MONTH(R106 + 1),(_DPP _Decenal*2)),EOMONTH(R106 + 1,0)))</f>
        <v>43281</v>
      </c>
      <c r="S107" s="32">
        <f>_DPP _Decenal</f>
        <v>10</v>
      </c>
      <c r="T107" s="735"/>
      <c r="U107" s="78">
        <f t="shared" si="7"/>
        <v>45057</v>
      </c>
      <c r="V107" s="32">
        <f t="shared" si="9"/>
        <v>30</v>
      </c>
    </row>
    <row r="108" spans="5:22" x14ac:dyDescent="0.25">
      <c r="E108" s="100">
        <f t="shared" si="5"/>
        <v>30</v>
      </c>
      <c r="F108" s="700">
        <f>INDEX(_Datos 108:108,,MATCH(_Búsqueda_Fechas_Pago, _Datos _Headers,0))</f>
        <v>45123</v>
      </c>
      <c r="G108" s="736">
        <f>INDEX(_Datos 108:108,,MATCH(_Búsqueda_Duración, _Datos _Headers,0))</f>
        <v>30</v>
      </c>
      <c r="H108" s="735"/>
      <c r="I108" s="78">
        <f t="shared" si="6"/>
        <v>45123</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43753</v>
      </c>
      <c r="P108" s="32">
        <f>_DPP _Quincenal</f>
        <v>15</v>
      </c>
      <c r="Q108" s="735"/>
      <c r="R108" s="78">
        <f>IF(DAY(R107 + 1) &lt;= _DPP _Decenal,
DATE(YEAR(R107 + 1),MONTH(R107 + 1),_DPP _Decenal),
IF(DAY(R107 + 1) &lt;= (_DPP _Decenal*2),
DATE(YEAR(R107 + 1),MONTH(R107 + 1),(_DPP _Decenal*2)),EOMONTH(R107 + 1,0)))</f>
        <v>43291</v>
      </c>
      <c r="S108" s="32">
        <f>_DPP _Decenal</f>
        <v>10</v>
      </c>
      <c r="T108" s="735"/>
      <c r="U108" s="78">
        <f t="shared" si="7"/>
        <v>45087</v>
      </c>
      <c r="V108" s="32">
        <f t="shared" si="9"/>
        <v>30</v>
      </c>
    </row>
    <row r="109" spans="5:22" x14ac:dyDescent="0.25">
      <c r="E109" s="100">
        <f t="shared" si="5"/>
        <v>30</v>
      </c>
      <c r="F109" s="700">
        <f>INDEX(_Datos 109:109,,MATCH(_Búsqueda_Fechas_Pago, _Datos _Headers,0))</f>
        <v>45154</v>
      </c>
      <c r="G109" s="736">
        <f>INDEX(_Datos 109:109,,MATCH(_Búsqueda_Duración, _Datos _Headers,0))</f>
        <v>30</v>
      </c>
      <c r="H109" s="735"/>
      <c r="I109" s="78">
        <f t="shared" si="6"/>
        <v>45154</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43769</v>
      </c>
      <c r="P109" s="32">
        <f>_DPP _Quincenal</f>
        <v>15</v>
      </c>
      <c r="Q109" s="735"/>
      <c r="R109" s="78">
        <f>IF(DAY(R108 + 1) &lt;= _DPP _Decenal,
DATE(YEAR(R108 + 1),MONTH(R108 + 1),_DPP _Decenal),
IF(DAY(R108 + 1) &lt;= (_DPP _Decenal*2),
DATE(YEAR(R108 + 1),MONTH(R108 + 1),(_DPP _Decenal*2)),EOMONTH(R108 + 1,0)))</f>
        <v>43301</v>
      </c>
      <c r="S109" s="32">
        <f>_DPP _Decenal</f>
        <v>10</v>
      </c>
      <c r="T109" s="735"/>
      <c r="U109" s="78">
        <f t="shared" si="7"/>
        <v>45117</v>
      </c>
      <c r="V109" s="32">
        <f t="shared" si="9"/>
        <v>30</v>
      </c>
    </row>
    <row r="110" spans="5:22" x14ac:dyDescent="0.25">
      <c r="E110" s="100">
        <f t="shared" si="5"/>
        <v>30</v>
      </c>
      <c r="F110" s="700">
        <f>INDEX(_Datos 110:110,,MATCH(_Búsqueda_Fechas_Pago, _Datos _Headers,0))</f>
        <v>45185</v>
      </c>
      <c r="G110" s="736">
        <f>INDEX(_Datos 110:110,,MATCH(_Búsqueda_Duración, _Datos _Headers,0))</f>
        <v>30</v>
      </c>
      <c r="H110" s="735"/>
      <c r="I110" s="78">
        <f t="shared" si="6"/>
        <v>45185</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43784</v>
      </c>
      <c r="P110" s="32">
        <f>_DPP _Quincenal</f>
        <v>15</v>
      </c>
      <c r="Q110" s="735"/>
      <c r="R110" s="78">
        <f>IF(DAY(R109 + 1) &lt;= _DPP _Decenal,
DATE(YEAR(R109 + 1),MONTH(R109 + 1),_DPP _Decenal),
IF(DAY(R109 + 1) &lt;= (_DPP _Decenal*2),
DATE(YEAR(R109 + 1),MONTH(R109 + 1),(_DPP _Decenal*2)),EOMONTH(R109 + 1,0)))</f>
        <v>43312</v>
      </c>
      <c r="S110" s="32">
        <f>_DPP _Decenal</f>
        <v>10</v>
      </c>
      <c r="T110" s="735"/>
      <c r="U110" s="78">
        <f t="shared" si="7"/>
        <v>45147</v>
      </c>
      <c r="V110" s="32">
        <f t="shared" si="9"/>
        <v>30</v>
      </c>
    </row>
    <row r="111" spans="5:22" x14ac:dyDescent="0.25">
      <c r="E111" s="100">
        <f t="shared" si="5"/>
        <v>30</v>
      </c>
      <c r="F111" s="700">
        <f>INDEX(_Datos 111:111,,MATCH(_Búsqueda_Fechas_Pago, _Datos _Headers,0))</f>
        <v>45215</v>
      </c>
      <c r="G111" s="736">
        <f>INDEX(_Datos 111:111,,MATCH(_Búsqueda_Duración, _Datos _Headers,0))</f>
        <v>30</v>
      </c>
      <c r="H111" s="735"/>
      <c r="I111" s="78">
        <f t="shared" si="6"/>
        <v>45215</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43799</v>
      </c>
      <c r="P111" s="32">
        <f>_DPP _Quincenal</f>
        <v>15</v>
      </c>
      <c r="Q111" s="735"/>
      <c r="R111" s="78">
        <f>IF(DAY(R110 + 1) &lt;= _DPP _Decenal,
DATE(YEAR(R110 + 1),MONTH(R110 + 1),_DPP _Decenal),
IF(DAY(R110 + 1) &lt;= (_DPP _Decenal*2),
DATE(YEAR(R110 + 1),MONTH(R110 + 1),(_DPP _Decenal*2)),EOMONTH(R110 + 1,0)))</f>
        <v>43322</v>
      </c>
      <c r="S111" s="32">
        <f>_DPP _Decenal</f>
        <v>10</v>
      </c>
      <c r="T111" s="735"/>
      <c r="U111" s="78">
        <f t="shared" si="7"/>
        <v>45177</v>
      </c>
      <c r="V111" s="32">
        <f t="shared" si="9"/>
        <v>30</v>
      </c>
    </row>
    <row r="112" spans="5:22" x14ac:dyDescent="0.25">
      <c r="E112" s="100">
        <f t="shared" si="5"/>
        <v>30</v>
      </c>
      <c r="F112" s="700">
        <f>INDEX(_Datos 112:112,,MATCH(_Búsqueda_Fechas_Pago, _Datos _Headers,0))</f>
        <v>45246</v>
      </c>
      <c r="G112" s="736">
        <f>INDEX(_Datos 112:112,,MATCH(_Búsqueda_Duración, _Datos _Headers,0))</f>
        <v>30</v>
      </c>
      <c r="H112" s="735"/>
      <c r="I112" s="78">
        <f t="shared" si="6"/>
        <v>45246</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43814</v>
      </c>
      <c r="P112" s="32">
        <f>_DPP _Quincenal</f>
        <v>15</v>
      </c>
      <c r="Q112" s="735"/>
      <c r="R112" s="78">
        <f>IF(DAY(R111 + 1) &lt;= _DPP _Decenal,
DATE(YEAR(R111 + 1),MONTH(R111 + 1),_DPP _Decenal),
IF(DAY(R111 + 1) &lt;= (_DPP _Decenal*2),
DATE(YEAR(R111 + 1),MONTH(R111 + 1),(_DPP _Decenal*2)),EOMONTH(R111 + 1,0)))</f>
        <v>43332</v>
      </c>
      <c r="S112" s="32">
        <f>_DPP _Decenal</f>
        <v>10</v>
      </c>
      <c r="T112" s="735"/>
      <c r="U112" s="78">
        <f t="shared" si="7"/>
        <v>45207</v>
      </c>
      <c r="V112" s="32">
        <f t="shared" si="9"/>
        <v>30</v>
      </c>
    </row>
    <row r="113" spans="5:22" x14ac:dyDescent="0.25">
      <c r="E113" s="100">
        <f t="shared" si="5"/>
        <v>30</v>
      </c>
      <c r="F113" s="700">
        <f>INDEX(_Datos 113:113,,MATCH(_Búsqueda_Fechas_Pago, _Datos _Headers,0))</f>
        <v>45276</v>
      </c>
      <c r="G113" s="736">
        <f>INDEX(_Datos 113:113,,MATCH(_Búsqueda_Duración, _Datos _Headers,0))</f>
        <v>30</v>
      </c>
      <c r="H113" s="735"/>
      <c r="I113" s="78">
        <f t="shared" si="6"/>
        <v>45276</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43830</v>
      </c>
      <c r="P113" s="32">
        <f>_DPP _Quincenal</f>
        <v>15</v>
      </c>
      <c r="Q113" s="735"/>
      <c r="R113" s="78">
        <f>IF(DAY(R112 + 1) &lt;= _DPP _Decenal,
DATE(YEAR(R112 + 1),MONTH(R112 + 1),_DPP _Decenal),
IF(DAY(R112 + 1) &lt;= (_DPP _Decenal*2),
DATE(YEAR(R112 + 1),MONTH(R112 + 1),(_DPP _Decenal*2)),EOMONTH(R112 + 1,0)))</f>
        <v>43343</v>
      </c>
      <c r="S113" s="32">
        <f>_DPP _Decenal</f>
        <v>10</v>
      </c>
      <c r="T113" s="735"/>
      <c r="U113" s="78">
        <f t="shared" si="7"/>
        <v>45237</v>
      </c>
      <c r="V113" s="32">
        <f t="shared" si="9"/>
        <v>30</v>
      </c>
    </row>
    <row r="114" spans="5:22" x14ac:dyDescent="0.25">
      <c r="E114" s="100">
        <f t="shared" si="5"/>
        <v>30</v>
      </c>
      <c r="F114" s="700">
        <f>INDEX(_Datos 114:114,,MATCH(_Búsqueda_Fechas_Pago, _Datos _Headers,0))</f>
        <v>45307</v>
      </c>
      <c r="G114" s="736">
        <f>INDEX(_Datos 114:114,,MATCH(_Búsqueda_Duración, _Datos _Headers,0))</f>
        <v>30</v>
      </c>
      <c r="H114" s="735"/>
      <c r="I114" s="78">
        <f t="shared" si="6"/>
        <v>45307</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43845</v>
      </c>
      <c r="P114" s="32">
        <f>_DPP _Quincenal</f>
        <v>15</v>
      </c>
      <c r="Q114" s="735"/>
      <c r="R114" s="78">
        <f>IF(DAY(R113 + 1) &lt;= _DPP _Decenal,
DATE(YEAR(R113 + 1),MONTH(R113 + 1),_DPP _Decenal),
IF(DAY(R113 + 1) &lt;= (_DPP _Decenal*2),
DATE(YEAR(R113 + 1),MONTH(R113 + 1),(_DPP _Decenal*2)),EOMONTH(R113 + 1,0)))</f>
        <v>43353</v>
      </c>
      <c r="S114" s="32">
        <f>_DPP _Decenal</f>
        <v>10</v>
      </c>
      <c r="T114" s="735"/>
      <c r="U114" s="78">
        <f t="shared" si="7"/>
        <v>45267</v>
      </c>
      <c r="V114" s="32">
        <f t="shared" si="9"/>
        <v>30</v>
      </c>
    </row>
    <row r="115" spans="5:22" x14ac:dyDescent="0.25">
      <c r="E115" s="100">
        <f t="shared" si="5"/>
        <v>30</v>
      </c>
      <c r="F115" s="700">
        <f>INDEX(_Datos 115:115,,MATCH(_Búsqueda_Fechas_Pago, _Datos _Headers,0))</f>
        <v>45338</v>
      </c>
      <c r="G115" s="736">
        <f>INDEX(_Datos 115:115,,MATCH(_Búsqueda_Duración, _Datos _Headers,0))</f>
        <v>30</v>
      </c>
      <c r="H115" s="735"/>
      <c r="I115" s="78">
        <f t="shared" si="6"/>
        <v>45338</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43861</v>
      </c>
      <c r="P115" s="32">
        <f>_DPP _Quincenal</f>
        <v>15</v>
      </c>
      <c r="Q115" s="735"/>
      <c r="R115" s="78">
        <f>IF(DAY(R114 + 1) &lt;= _DPP _Decenal,
DATE(YEAR(R114 + 1),MONTH(R114 + 1),_DPP _Decenal),
IF(DAY(R114 + 1) &lt;= (_DPP _Decenal*2),
DATE(YEAR(R114 + 1),MONTH(R114 + 1),(_DPP _Decenal*2)),EOMONTH(R114 + 1,0)))</f>
        <v>43363</v>
      </c>
      <c r="S115" s="32">
        <f>_DPP _Decenal</f>
        <v>10</v>
      </c>
      <c r="T115" s="735"/>
      <c r="U115" s="78">
        <f t="shared" si="7"/>
        <v>45297</v>
      </c>
      <c r="V115" s="32">
        <f t="shared" si="9"/>
        <v>30</v>
      </c>
    </row>
    <row r="116" spans="5:22" x14ac:dyDescent="0.25">
      <c r="E116" s="100">
        <f t="shared" si="5"/>
        <v>30</v>
      </c>
      <c r="F116" s="700">
        <f>INDEX(_Datos 116:116,,MATCH(_Búsqueda_Fechas_Pago, _Datos _Headers,0))</f>
        <v>45367</v>
      </c>
      <c r="G116" s="736">
        <f>INDEX(_Datos 116:116,,MATCH(_Búsqueda_Duración, _Datos _Headers,0))</f>
        <v>30</v>
      </c>
      <c r="H116" s="735"/>
      <c r="I116" s="78">
        <f t="shared" si="6"/>
        <v>45367</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43876</v>
      </c>
      <c r="P116" s="32">
        <f>_DPP _Quincenal</f>
        <v>15</v>
      </c>
      <c r="Q116" s="735"/>
      <c r="R116" s="78">
        <f>IF(DAY(R115 + 1) &lt;= _DPP _Decenal,
DATE(YEAR(R115 + 1),MONTH(R115 + 1),_DPP _Decenal),
IF(DAY(R115 + 1) &lt;= (_DPP _Decenal*2),
DATE(YEAR(R115 + 1),MONTH(R115 + 1),(_DPP _Decenal*2)),EOMONTH(R115 + 1,0)))</f>
        <v>43373</v>
      </c>
      <c r="S116" s="32">
        <f>_DPP _Decenal</f>
        <v>10</v>
      </c>
      <c r="T116" s="735"/>
      <c r="U116" s="78">
        <f t="shared" si="7"/>
        <v>45327</v>
      </c>
      <c r="V116" s="32">
        <f t="shared" si="9"/>
        <v>30</v>
      </c>
    </row>
    <row r="117" spans="5:22" x14ac:dyDescent="0.25">
      <c r="E117" s="100">
        <f t="shared" si="5"/>
        <v>30</v>
      </c>
      <c r="F117" s="700">
        <f>INDEX(_Datos 117:117,,MATCH(_Búsqueda_Fechas_Pago, _Datos _Headers,0))</f>
        <v>45398</v>
      </c>
      <c r="G117" s="736">
        <f>INDEX(_Datos 117:117,,MATCH(_Búsqueda_Duración, _Datos _Headers,0))</f>
        <v>30</v>
      </c>
      <c r="H117" s="735"/>
      <c r="I117" s="78">
        <f t="shared" si="6"/>
        <v>45398</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43890</v>
      </c>
      <c r="P117" s="32">
        <f>_DPP _Quincenal</f>
        <v>15</v>
      </c>
      <c r="Q117" s="735"/>
      <c r="R117" s="78">
        <f>IF(DAY(R116 + 1) &lt;= _DPP _Decenal,
DATE(YEAR(R116 + 1),MONTH(R116 + 1),_DPP _Decenal),
IF(DAY(R116 + 1) &lt;= (_DPP _Decenal*2),
DATE(YEAR(R116 + 1),MONTH(R116 + 1),(_DPP _Decenal*2)),EOMONTH(R116 + 1,0)))</f>
        <v>43383</v>
      </c>
      <c r="S117" s="32">
        <f>_DPP _Decenal</f>
        <v>10</v>
      </c>
      <c r="T117" s="735"/>
      <c r="U117" s="78">
        <f t="shared" si="7"/>
        <v>45357</v>
      </c>
      <c r="V117" s="32">
        <f t="shared" si="9"/>
        <v>30</v>
      </c>
    </row>
    <row r="118" spans="5:22" x14ac:dyDescent="0.25">
      <c r="E118" s="100">
        <f t="shared" si="5"/>
        <v>30</v>
      </c>
      <c r="F118" s="700">
        <f>INDEX(_Datos 118:118,,MATCH(_Búsqueda_Fechas_Pago, _Datos _Headers,0))</f>
        <v>45428</v>
      </c>
      <c r="G118" s="736">
        <f>INDEX(_Datos 118:118,,MATCH(_Búsqueda_Duración, _Datos _Headers,0))</f>
        <v>30</v>
      </c>
      <c r="H118" s="735"/>
      <c r="I118" s="78">
        <f t="shared" si="6"/>
        <v>45428</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43905</v>
      </c>
      <c r="P118" s="32">
        <f>_DPP _Quincenal</f>
        <v>15</v>
      </c>
      <c r="Q118" s="735"/>
      <c r="R118" s="78">
        <f>IF(DAY(R117 + 1) &lt;= _DPP _Decenal,
DATE(YEAR(R117 + 1),MONTH(R117 + 1),_DPP _Decenal),
IF(DAY(R117 + 1) &lt;= (_DPP _Decenal*2),
DATE(YEAR(R117 + 1),MONTH(R117 + 1),(_DPP _Decenal*2)),EOMONTH(R117 + 1,0)))</f>
        <v>43393</v>
      </c>
      <c r="S118" s="32">
        <f>_DPP _Decenal</f>
        <v>10</v>
      </c>
      <c r="T118" s="735"/>
      <c r="U118" s="78">
        <f t="shared" si="7"/>
        <v>45387</v>
      </c>
      <c r="V118" s="32">
        <f t="shared" si="9"/>
        <v>30</v>
      </c>
    </row>
    <row r="119" spans="5:22" x14ac:dyDescent="0.25">
      <c r="E119" s="100">
        <f t="shared" si="5"/>
        <v>30</v>
      </c>
      <c r="F119" s="700">
        <f>INDEX(_Datos 119:119,,MATCH(_Búsqueda_Fechas_Pago, _Datos _Headers,0))</f>
        <v>45459</v>
      </c>
      <c r="G119" s="736">
        <f>INDEX(_Datos 119:119,,MATCH(_Búsqueda_Duración, _Datos _Headers,0))</f>
        <v>30</v>
      </c>
      <c r="H119" s="735"/>
      <c r="I119" s="78">
        <f t="shared" si="6"/>
        <v>45459</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43921</v>
      </c>
      <c r="P119" s="32">
        <f>_DPP _Quincenal</f>
        <v>15</v>
      </c>
      <c r="Q119" s="735"/>
      <c r="R119" s="78">
        <f>IF(DAY(R118 + 1) &lt;= _DPP _Decenal,
DATE(YEAR(R118 + 1),MONTH(R118 + 1),_DPP _Decenal),
IF(DAY(R118 + 1) &lt;= (_DPP _Decenal*2),
DATE(YEAR(R118 + 1),MONTH(R118 + 1),(_DPP _Decenal*2)),EOMONTH(R118 + 1,0)))</f>
        <v>43404</v>
      </c>
      <c r="S119" s="32">
        <f>_DPP _Decenal</f>
        <v>10</v>
      </c>
      <c r="T119" s="735"/>
      <c r="U119" s="78">
        <f t="shared" si="7"/>
        <v>45417</v>
      </c>
      <c r="V119" s="32">
        <f t="shared" si="9"/>
        <v>30</v>
      </c>
    </row>
    <row r="120" spans="5:22" x14ac:dyDescent="0.25">
      <c r="E120" s="100">
        <f t="shared" si="5"/>
        <v>30</v>
      </c>
      <c r="F120" s="700">
        <f>INDEX(_Datos 120:120,,MATCH(_Búsqueda_Fechas_Pago, _Datos _Headers,0))</f>
        <v>45489</v>
      </c>
      <c r="G120" s="736">
        <f>INDEX(_Datos 120:120,,MATCH(_Búsqueda_Duración, _Datos _Headers,0))</f>
        <v>30</v>
      </c>
      <c r="H120" s="735"/>
      <c r="I120" s="78">
        <f t="shared" si="6"/>
        <v>45489</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43936</v>
      </c>
      <c r="P120" s="32">
        <f>_DPP _Quincenal</f>
        <v>15</v>
      </c>
      <c r="Q120" s="735"/>
      <c r="R120" s="78">
        <f>IF(DAY(R119 + 1) &lt;= _DPP _Decenal,
DATE(YEAR(R119 + 1),MONTH(R119 + 1),_DPP _Decenal),
IF(DAY(R119 + 1) &lt;= (_DPP _Decenal*2),
DATE(YEAR(R119 + 1),MONTH(R119 + 1),(_DPP _Decenal*2)),EOMONTH(R119 + 1,0)))</f>
        <v>43414</v>
      </c>
      <c r="S120" s="32">
        <f>_DPP _Decenal</f>
        <v>10</v>
      </c>
      <c r="T120" s="735"/>
      <c r="U120" s="78">
        <f t="shared" si="7"/>
        <v>45447</v>
      </c>
      <c r="V120" s="32">
        <f t="shared" si="9"/>
        <v>30</v>
      </c>
    </row>
    <row r="121" spans="5:22" x14ac:dyDescent="0.25">
      <c r="E121" s="100">
        <f t="shared" si="5"/>
        <v>30</v>
      </c>
      <c r="F121" s="700">
        <f>INDEX(_Datos 121:121,,MATCH(_Búsqueda_Fechas_Pago, _Datos _Headers,0))</f>
        <v>45520</v>
      </c>
      <c r="G121" s="736">
        <f>INDEX(_Datos 121:121,,MATCH(_Búsqueda_Duración, _Datos _Headers,0))</f>
        <v>30</v>
      </c>
      <c r="H121" s="735"/>
      <c r="I121" s="78">
        <f t="shared" si="6"/>
        <v>45520</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43951</v>
      </c>
      <c r="P121" s="32">
        <f>_DPP _Quincenal</f>
        <v>15</v>
      </c>
      <c r="Q121" s="735"/>
      <c r="R121" s="78">
        <f>IF(DAY(R120 + 1) &lt;= _DPP _Decenal,
DATE(YEAR(R120 + 1),MONTH(R120 + 1),_DPP _Decenal),
IF(DAY(R120 + 1) &lt;= (_DPP _Decenal*2),
DATE(YEAR(R120 + 1),MONTH(R120 + 1),(_DPP _Decenal*2)),EOMONTH(R120 + 1,0)))</f>
        <v>43424</v>
      </c>
      <c r="S121" s="32">
        <f>_DPP _Decenal</f>
        <v>10</v>
      </c>
      <c r="T121" s="735"/>
      <c r="U121" s="78">
        <f t="shared" si="7"/>
        <v>45477</v>
      </c>
      <c r="V121" s="32">
        <f t="shared" si="9"/>
        <v>30</v>
      </c>
    </row>
    <row r="122" spans="5:22" x14ac:dyDescent="0.25">
      <c r="E122" s="100">
        <f t="shared" si="5"/>
        <v>30</v>
      </c>
      <c r="F122" s="700">
        <f>INDEX(_Datos 122:122,,MATCH(_Búsqueda_Fechas_Pago, _Datos _Headers,0))</f>
        <v>45551</v>
      </c>
      <c r="G122" s="736">
        <f>INDEX(_Datos 122:122,,MATCH(_Búsqueda_Duración, _Datos _Headers,0))</f>
        <v>30</v>
      </c>
      <c r="H122" s="735"/>
      <c r="I122" s="78">
        <f t="shared" si="6"/>
        <v>45551</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43966</v>
      </c>
      <c r="P122" s="32">
        <f>_DPP _Quincenal</f>
        <v>15</v>
      </c>
      <c r="Q122" s="735"/>
      <c r="R122" s="78">
        <f>IF(DAY(R121 + 1) &lt;= _DPP _Decenal,
DATE(YEAR(R121 + 1),MONTH(R121 + 1),_DPP _Decenal),
IF(DAY(R121 + 1) &lt;= (_DPP _Decenal*2),
DATE(YEAR(R121 + 1),MONTH(R121 + 1),(_DPP _Decenal*2)),EOMONTH(R121 + 1,0)))</f>
        <v>43434</v>
      </c>
      <c r="S122" s="32">
        <f>_DPP _Decenal</f>
        <v>10</v>
      </c>
      <c r="T122" s="735"/>
      <c r="U122" s="78">
        <f t="shared" si="7"/>
        <v>45507</v>
      </c>
      <c r="V122" s="32">
        <f t="shared" si="9"/>
        <v>30</v>
      </c>
    </row>
    <row r="123" spans="5:22" x14ac:dyDescent="0.25">
      <c r="E123" s="100">
        <f t="shared" si="5"/>
        <v>30</v>
      </c>
      <c r="F123" s="700">
        <f>INDEX(_Datos 123:123,,MATCH(_Búsqueda_Fechas_Pago, _Datos _Headers,0))</f>
        <v>45581</v>
      </c>
      <c r="G123" s="736">
        <f>INDEX(_Datos 123:123,,MATCH(_Búsqueda_Duración, _Datos _Headers,0))</f>
        <v>30</v>
      </c>
      <c r="H123" s="735"/>
      <c r="I123" s="78">
        <f t="shared" si="6"/>
        <v>45581</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43982</v>
      </c>
      <c r="P123" s="32">
        <f>_DPP _Quincenal</f>
        <v>15</v>
      </c>
      <c r="Q123" s="735"/>
      <c r="R123" s="78">
        <f>IF(DAY(R122 + 1) &lt;= _DPP _Decenal,
DATE(YEAR(R122 + 1),MONTH(R122 + 1),_DPP _Decenal),
IF(DAY(R122 + 1) &lt;= (_DPP _Decenal*2),
DATE(YEAR(R122 + 1),MONTH(R122 + 1),(_DPP _Decenal*2)),EOMONTH(R122 + 1,0)))</f>
        <v>43444</v>
      </c>
      <c r="S123" s="32">
        <f>_DPP _Decenal</f>
        <v>10</v>
      </c>
      <c r="T123" s="735"/>
      <c r="U123" s="78">
        <f t="shared" si="7"/>
        <v>45537</v>
      </c>
      <c r="V123" s="32">
        <f t="shared" si="9"/>
        <v>30</v>
      </c>
    </row>
    <row r="124" spans="5:22" x14ac:dyDescent="0.25">
      <c r="E124" s="100">
        <f t="shared" si="5"/>
        <v>30</v>
      </c>
      <c r="F124" s="700">
        <f>INDEX(_Datos 124:124,,MATCH(_Búsqueda_Fechas_Pago, _Datos _Headers,0))</f>
        <v>45612</v>
      </c>
      <c r="G124" s="736">
        <f>INDEX(_Datos 124:124,,MATCH(_Búsqueda_Duración, _Datos _Headers,0))</f>
        <v>30</v>
      </c>
      <c r="H124" s="735"/>
      <c r="I124" s="78">
        <f t="shared" si="6"/>
        <v>45612</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43997</v>
      </c>
      <c r="P124" s="32">
        <f>_DPP _Quincenal</f>
        <v>15</v>
      </c>
      <c r="Q124" s="735"/>
      <c r="R124" s="78">
        <f>IF(DAY(R123 + 1) &lt;= _DPP _Decenal,
DATE(YEAR(R123 + 1),MONTH(R123 + 1),_DPP _Decenal),
IF(DAY(R123 + 1) &lt;= (_DPP _Decenal*2),
DATE(YEAR(R123 + 1),MONTH(R123 + 1),(_DPP _Decenal*2)),EOMONTH(R123 + 1,0)))</f>
        <v>43454</v>
      </c>
      <c r="S124" s="32">
        <f>_DPP _Decenal</f>
        <v>10</v>
      </c>
      <c r="T124" s="735"/>
      <c r="U124" s="78">
        <f t="shared" si="7"/>
        <v>45567</v>
      </c>
      <c r="V124" s="32">
        <f t="shared" si="9"/>
        <v>30</v>
      </c>
    </row>
    <row r="125" spans="5:22" x14ac:dyDescent="0.25">
      <c r="E125" s="100">
        <f t="shared" si="5"/>
        <v>30</v>
      </c>
      <c r="F125" s="700">
        <f>INDEX(_Datos 125:125,,MATCH(_Búsqueda_Fechas_Pago, _Datos _Headers,0))</f>
        <v>45642</v>
      </c>
      <c r="G125" s="736">
        <f>INDEX(_Datos 125:125,,MATCH(_Búsqueda_Duración, _Datos _Headers,0))</f>
        <v>30</v>
      </c>
      <c r="H125" s="735"/>
      <c r="I125" s="78">
        <f t="shared" si="6"/>
        <v>45642</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44012</v>
      </c>
      <c r="P125" s="32">
        <f>_DPP _Quincenal</f>
        <v>15</v>
      </c>
      <c r="Q125" s="735"/>
      <c r="R125" s="78">
        <f>IF(DAY(R124 + 1) &lt;= _DPP _Decenal,
DATE(YEAR(R124 + 1),MONTH(R124 + 1),_DPP _Decenal),
IF(DAY(R124 + 1) &lt;= (_DPP _Decenal*2),
DATE(YEAR(R124 + 1),MONTH(R124 + 1),(_DPP _Decenal*2)),EOMONTH(R124 + 1,0)))</f>
        <v>43465</v>
      </c>
      <c r="S125" s="32">
        <f>_DPP _Decenal</f>
        <v>10</v>
      </c>
      <c r="T125" s="735"/>
      <c r="U125" s="78">
        <f t="shared" si="7"/>
        <v>45597</v>
      </c>
      <c r="V125" s="32">
        <f t="shared" si="9"/>
        <v>30</v>
      </c>
    </row>
    <row r="126" spans="5:22" x14ac:dyDescent="0.25">
      <c r="E126" s="100">
        <f t="shared" si="5"/>
        <v>30</v>
      </c>
      <c r="F126" s="700">
        <f>INDEX(_Datos 126:126,,MATCH(_Búsqueda_Fechas_Pago, _Datos _Headers,0))</f>
        <v>45673</v>
      </c>
      <c r="G126" s="736">
        <f>INDEX(_Datos 126:126,,MATCH(_Búsqueda_Duración, _Datos _Headers,0))</f>
        <v>30</v>
      </c>
      <c r="H126" s="735"/>
      <c r="I126" s="78">
        <f t="shared" si="6"/>
        <v>45673</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44027</v>
      </c>
      <c r="P126" s="32">
        <f>_DPP _Quincenal</f>
        <v>15</v>
      </c>
      <c r="Q126" s="735"/>
      <c r="R126" s="78">
        <f>IF(DAY(R125 + 1) &lt;= _DPP _Decenal,
DATE(YEAR(R125 + 1),MONTH(R125 + 1),_DPP _Decenal),
IF(DAY(R125 + 1) &lt;= (_DPP _Decenal*2),
DATE(YEAR(R125 + 1),MONTH(R125 + 1),(_DPP _Decenal*2)),EOMONTH(R125 + 1,0)))</f>
        <v>43475</v>
      </c>
      <c r="S126" s="32">
        <f>_DPP _Decenal</f>
        <v>10</v>
      </c>
      <c r="T126" s="735"/>
      <c r="U126" s="78">
        <f t="shared" si="7"/>
        <v>45627</v>
      </c>
      <c r="V126" s="32">
        <f t="shared" si="9"/>
        <v>30</v>
      </c>
    </row>
    <row r="127" spans="5:22" x14ac:dyDescent="0.25">
      <c r="E127" s="100">
        <f t="shared" si="5"/>
        <v>30</v>
      </c>
      <c r="F127" s="700">
        <f>INDEX(_Datos 127:127,,MATCH(_Búsqueda_Fechas_Pago, _Datos _Headers,0))</f>
        <v>45704</v>
      </c>
      <c r="G127" s="736">
        <f>INDEX(_Datos 127:127,,MATCH(_Búsqueda_Duración, _Datos _Headers,0))</f>
        <v>30</v>
      </c>
      <c r="H127" s="735"/>
      <c r="I127" s="78">
        <f t="shared" si="6"/>
        <v>45704</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44043</v>
      </c>
      <c r="P127" s="32">
        <f>_DPP _Quincenal</f>
        <v>15</v>
      </c>
      <c r="Q127" s="735"/>
      <c r="R127" s="78">
        <f>IF(DAY(R126 + 1) &lt;= _DPP _Decenal,
DATE(YEAR(R126 + 1),MONTH(R126 + 1),_DPP _Decenal),
IF(DAY(R126 + 1) &lt;= (_DPP _Decenal*2),
DATE(YEAR(R126 + 1),MONTH(R126 + 1),(_DPP _Decenal*2)),EOMONTH(R126 + 1,0)))</f>
        <v>43485</v>
      </c>
      <c r="S127" s="32">
        <f>_DPP _Decenal</f>
        <v>10</v>
      </c>
      <c r="T127" s="735"/>
      <c r="U127" s="78">
        <f t="shared" si="7"/>
        <v>45657</v>
      </c>
      <c r="V127" s="32">
        <f t="shared" si="9"/>
        <v>30</v>
      </c>
    </row>
    <row r="128" spans="5:22" x14ac:dyDescent="0.25">
      <c r="E128" s="100">
        <f t="shared" si="5"/>
        <v>30</v>
      </c>
      <c r="F128" s="700">
        <f>INDEX(_Datos 128:128,,MATCH(_Búsqueda_Fechas_Pago, _Datos _Headers,0))</f>
        <v>45732</v>
      </c>
      <c r="G128" s="736">
        <f>INDEX(_Datos 128:128,,MATCH(_Búsqueda_Duración, _Datos _Headers,0))</f>
        <v>30</v>
      </c>
      <c r="H128" s="735"/>
      <c r="I128" s="78">
        <f t="shared" si="6"/>
        <v>45732</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44058</v>
      </c>
      <c r="P128" s="32">
        <f>_DPP _Quincenal</f>
        <v>15</v>
      </c>
      <c r="Q128" s="735"/>
      <c r="R128" s="78">
        <f>IF(DAY(R127 + 1) &lt;= _DPP _Decenal,
DATE(YEAR(R127 + 1),MONTH(R127 + 1),_DPP _Decenal),
IF(DAY(R127 + 1) &lt;= (_DPP _Decenal*2),
DATE(YEAR(R127 + 1),MONTH(R127 + 1),(_DPP _Decenal*2)),EOMONTH(R127 + 1,0)))</f>
        <v>43496</v>
      </c>
      <c r="S128" s="32">
        <f>_DPP _Decenal</f>
        <v>10</v>
      </c>
      <c r="T128" s="735"/>
      <c r="U128" s="78">
        <f t="shared" si="7"/>
        <v>45687</v>
      </c>
      <c r="V128" s="32">
        <f t="shared" si="9"/>
        <v>30</v>
      </c>
    </row>
    <row r="129" spans="5:22" x14ac:dyDescent="0.25">
      <c r="E129" s="100">
        <f t="shared" si="5"/>
        <v>30</v>
      </c>
      <c r="F129" s="700">
        <f>INDEX(_Datos 129:129,,MATCH(_Búsqueda_Fechas_Pago, _Datos _Headers,0))</f>
        <v>45763</v>
      </c>
      <c r="G129" s="736">
        <f>INDEX(_Datos 129:129,,MATCH(_Búsqueda_Duración, _Datos _Headers,0))</f>
        <v>30</v>
      </c>
      <c r="H129" s="735"/>
      <c r="I129" s="78">
        <f t="shared" si="6"/>
        <v>45763</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44074</v>
      </c>
      <c r="P129" s="32">
        <f>_DPP _Quincenal</f>
        <v>15</v>
      </c>
      <c r="Q129" s="735"/>
      <c r="R129" s="78">
        <f>IF(DAY(R128 + 1) &lt;= _DPP _Decenal,
DATE(YEAR(R128 + 1),MONTH(R128 + 1),_DPP _Decenal),
IF(DAY(R128 + 1) &lt;= (_DPP _Decenal*2),
DATE(YEAR(R128 + 1),MONTH(R128 + 1),(_DPP _Decenal*2)),EOMONTH(R128 + 1,0)))</f>
        <v>43506</v>
      </c>
      <c r="S129" s="32">
        <f>_DPP _Decenal</f>
        <v>10</v>
      </c>
      <c r="T129" s="735"/>
      <c r="U129" s="78">
        <f t="shared" si="7"/>
        <v>45717</v>
      </c>
      <c r="V129" s="32">
        <f t="shared" si="9"/>
        <v>30</v>
      </c>
    </row>
    <row r="130" spans="5:22" x14ac:dyDescent="0.25">
      <c r="E130" s="100">
        <f t="shared" si="5"/>
        <v>30</v>
      </c>
      <c r="F130" s="700">
        <f>INDEX(_Datos 130:130,,MATCH(_Búsqueda_Fechas_Pago, _Datos _Headers,0))</f>
        <v>45793</v>
      </c>
      <c r="G130" s="736">
        <f>INDEX(_Datos 130:130,,MATCH(_Búsqueda_Duración, _Datos _Headers,0))</f>
        <v>30</v>
      </c>
      <c r="H130" s="735"/>
      <c r="I130" s="78">
        <f t="shared" si="6"/>
        <v>45793</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44089</v>
      </c>
      <c r="P130" s="32">
        <f>_DPP _Quincenal</f>
        <v>15</v>
      </c>
      <c r="Q130" s="735"/>
      <c r="R130" s="78">
        <f>IF(DAY(R129 + 1) &lt;= _DPP _Decenal,
DATE(YEAR(R129 + 1),MONTH(R129 + 1),_DPP _Decenal),
IF(DAY(R129 + 1) &lt;= (_DPP _Decenal*2),
DATE(YEAR(R129 + 1),MONTH(R129 + 1),(_DPP _Decenal*2)),EOMONTH(R129 + 1,0)))</f>
        <v>43516</v>
      </c>
      <c r="S130" s="32">
        <f>_DPP _Decenal</f>
        <v>10</v>
      </c>
      <c r="T130" s="735"/>
      <c r="U130" s="78">
        <f t="shared" si="7"/>
        <v>45747</v>
      </c>
      <c r="V130" s="32">
        <f t="shared" si="9"/>
        <v>30</v>
      </c>
    </row>
    <row r="131" spans="5:22" x14ac:dyDescent="0.25">
      <c r="E131" s="100">
        <f t="shared" si="5"/>
        <v>30</v>
      </c>
      <c r="F131" s="700">
        <f>INDEX(_Datos 131:131,,MATCH(_Búsqueda_Fechas_Pago, _Datos _Headers,0))</f>
        <v>45824</v>
      </c>
      <c r="G131" s="736">
        <f>INDEX(_Datos 131:131,,MATCH(_Búsqueda_Duración, _Datos _Headers,0))</f>
        <v>30</v>
      </c>
      <c r="H131" s="735"/>
      <c r="I131" s="78">
        <f t="shared" si="6"/>
        <v>45824</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44104</v>
      </c>
      <c r="P131" s="32">
        <f>_DPP _Quincenal</f>
        <v>15</v>
      </c>
      <c r="Q131" s="735"/>
      <c r="R131" s="78">
        <f>IF(DAY(R130 + 1) &lt;= _DPP _Decenal,
DATE(YEAR(R130 + 1),MONTH(R130 + 1),_DPP _Decenal),
IF(DAY(R130 + 1) &lt;= (_DPP _Decenal*2),
DATE(YEAR(R130 + 1),MONTH(R130 + 1),(_DPP _Decenal*2)),EOMONTH(R130 + 1,0)))</f>
        <v>43524</v>
      </c>
      <c r="S131" s="32">
        <f>_DPP _Decenal</f>
        <v>10</v>
      </c>
      <c r="T131" s="735"/>
      <c r="U131" s="78">
        <f t="shared" si="7"/>
        <v>45777</v>
      </c>
      <c r="V131" s="32">
        <f t="shared" si="9"/>
        <v>30</v>
      </c>
    </row>
    <row r="132" spans="5:22" x14ac:dyDescent="0.25">
      <c r="E132" s="100">
        <f t="shared" si="5"/>
        <v>30</v>
      </c>
      <c r="F132" s="700">
        <f>INDEX(_Datos 132:132,,MATCH(_Búsqueda_Fechas_Pago, _Datos _Headers,0))</f>
        <v>45854</v>
      </c>
      <c r="G132" s="736">
        <f>INDEX(_Datos 132:132,,MATCH(_Búsqueda_Duración, _Datos _Headers,0))</f>
        <v>30</v>
      </c>
      <c r="H132" s="735"/>
      <c r="I132" s="78">
        <f t="shared" si="6"/>
        <v>45854</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44119</v>
      </c>
      <c r="P132" s="32">
        <f>_DPP _Quincenal</f>
        <v>15</v>
      </c>
      <c r="Q132" s="735"/>
      <c r="R132" s="78">
        <f>IF(DAY(R131 + 1) &lt;= _DPP _Decenal,
DATE(YEAR(R131 + 1),MONTH(R131 + 1),_DPP _Decenal),
IF(DAY(R131 + 1) &lt;= (_DPP _Decenal*2),
DATE(YEAR(R131 + 1),MONTH(R131 + 1),(_DPP _Decenal*2)),EOMONTH(R131 + 1,0)))</f>
        <v>43534</v>
      </c>
      <c r="S132" s="32">
        <f>_DPP _Decenal</f>
        <v>10</v>
      </c>
      <c r="T132" s="735"/>
      <c r="U132" s="78">
        <f t="shared" si="7"/>
        <v>45807</v>
      </c>
      <c r="V132" s="32">
        <f t="shared" si="9"/>
        <v>30</v>
      </c>
    </row>
    <row r="133" spans="5:22" x14ac:dyDescent="0.25">
      <c r="E133" s="100">
        <f t="shared" si="5"/>
        <v>30</v>
      </c>
      <c r="F133" s="700">
        <f>INDEX(_Datos 133:133,,MATCH(_Búsqueda_Fechas_Pago, _Datos _Headers,0))</f>
        <v>45885</v>
      </c>
      <c r="G133" s="736">
        <f>INDEX(_Datos 133:133,,MATCH(_Búsqueda_Duración, _Datos _Headers,0))</f>
        <v>30</v>
      </c>
      <c r="H133" s="735"/>
      <c r="I133" s="78">
        <f t="shared" si="6"/>
        <v>45885</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44135</v>
      </c>
      <c r="P133" s="32">
        <f>_DPP _Quincenal</f>
        <v>15</v>
      </c>
      <c r="Q133" s="735"/>
      <c r="R133" s="78">
        <f>IF(DAY(R132 + 1) &lt;= _DPP _Decenal,
DATE(YEAR(R132 + 1),MONTH(R132 + 1),_DPP _Decenal),
IF(DAY(R132 + 1) &lt;= (_DPP _Decenal*2),
DATE(YEAR(R132 + 1),MONTH(R132 + 1),(_DPP _Decenal*2)),EOMONTH(R132 + 1,0)))</f>
        <v>43544</v>
      </c>
      <c r="S133" s="32">
        <f>_DPP _Decenal</f>
        <v>10</v>
      </c>
      <c r="T133" s="735"/>
      <c r="U133" s="78">
        <f t="shared" si="7"/>
        <v>45837</v>
      </c>
      <c r="V133" s="32">
        <f t="shared" si="9"/>
        <v>30</v>
      </c>
    </row>
    <row r="134" spans="5:22" x14ac:dyDescent="0.25">
      <c r="E134" s="100">
        <f t="shared" si="5"/>
        <v>30</v>
      </c>
      <c r="F134" s="700">
        <f>INDEX(_Datos 134:134,,MATCH(_Búsqueda_Fechas_Pago, _Datos _Headers,0))</f>
        <v>45916</v>
      </c>
      <c r="G134" s="736">
        <f>INDEX(_Datos 134:134,,MATCH(_Búsqueda_Duración, _Datos _Headers,0))</f>
        <v>30</v>
      </c>
      <c r="H134" s="735"/>
      <c r="I134" s="78">
        <f t="shared" si="6"/>
        <v>45916</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44150</v>
      </c>
      <c r="P134" s="32">
        <f>_DPP _Quincenal</f>
        <v>15</v>
      </c>
      <c r="Q134" s="735"/>
      <c r="R134" s="78">
        <f>IF(DAY(R133 + 1) &lt;= _DPP _Decenal,
DATE(YEAR(R133 + 1),MONTH(R133 + 1),_DPP _Decenal),
IF(DAY(R133 + 1) &lt;= (_DPP _Decenal*2),
DATE(YEAR(R133 + 1),MONTH(R133 + 1),(_DPP _Decenal*2)),EOMONTH(R133 + 1,0)))</f>
        <v>43555</v>
      </c>
      <c r="S134" s="32">
        <f>_DPP _Decenal</f>
        <v>10</v>
      </c>
      <c r="T134" s="735"/>
      <c r="U134" s="78">
        <f t="shared" si="7"/>
        <v>45867</v>
      </c>
      <c r="V134" s="32">
        <f t="shared" si="9"/>
        <v>30</v>
      </c>
    </row>
    <row r="135" spans="5:22" x14ac:dyDescent="0.25">
      <c r="E135" s="100">
        <f t="shared" si="5"/>
        <v>30</v>
      </c>
      <c r="F135" s="700">
        <f>INDEX(_Datos 135:135,,MATCH(_Búsqueda_Fechas_Pago, _Datos _Headers,0))</f>
        <v>45946</v>
      </c>
      <c r="G135" s="736">
        <f>INDEX(_Datos 135:135,,MATCH(_Búsqueda_Duración, _Datos _Headers,0))</f>
        <v>30</v>
      </c>
      <c r="H135" s="735"/>
      <c r="I135" s="78">
        <f t="shared" si="6"/>
        <v>45946</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44165</v>
      </c>
      <c r="P135" s="32">
        <f>_DPP _Quincenal</f>
        <v>15</v>
      </c>
      <c r="Q135" s="735"/>
      <c r="R135" s="78">
        <f>IF(DAY(R134 + 1) &lt;= _DPP _Decenal,
DATE(YEAR(R134 + 1),MONTH(R134 + 1),_DPP _Decenal),
IF(DAY(R134 + 1) &lt;= (_DPP _Decenal*2),
DATE(YEAR(R134 + 1),MONTH(R134 + 1),(_DPP _Decenal*2)),EOMONTH(R134 + 1,0)))</f>
        <v>43565</v>
      </c>
      <c r="S135" s="32">
        <f>_DPP _Decenal</f>
        <v>10</v>
      </c>
      <c r="T135" s="735"/>
      <c r="U135" s="78">
        <f t="shared" si="7"/>
        <v>45897</v>
      </c>
      <c r="V135" s="32">
        <f t="shared" si="9"/>
        <v>30</v>
      </c>
    </row>
    <row r="136" spans="5:22" x14ac:dyDescent="0.25">
      <c r="E136" s="100">
        <f t="shared" si="5"/>
        <v>30</v>
      </c>
      <c r="F136" s="700">
        <f>INDEX(_Datos 136:136,,MATCH(_Búsqueda_Fechas_Pago, _Datos _Headers,0))</f>
        <v>45977</v>
      </c>
      <c r="G136" s="736">
        <f>INDEX(_Datos 136:136,,MATCH(_Búsqueda_Duración, _Datos _Headers,0))</f>
        <v>30</v>
      </c>
      <c r="H136" s="735"/>
      <c r="I136" s="78">
        <f t="shared" si="6"/>
        <v>45977</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44180</v>
      </c>
      <c r="P136" s="32">
        <f>_DPP _Quincenal</f>
        <v>15</v>
      </c>
      <c r="Q136" s="735"/>
      <c r="R136" s="78">
        <f>IF(DAY(R135 + 1) &lt;= _DPP _Decenal,
DATE(YEAR(R135 + 1),MONTH(R135 + 1),_DPP _Decenal),
IF(DAY(R135 + 1) &lt;= (_DPP _Decenal*2),
DATE(YEAR(R135 + 1),MONTH(R135 + 1),(_DPP _Decenal*2)),EOMONTH(R135 + 1,0)))</f>
        <v>43575</v>
      </c>
      <c r="S136" s="32">
        <f>_DPP _Decenal</f>
        <v>10</v>
      </c>
      <c r="T136" s="735"/>
      <c r="U136" s="78">
        <f t="shared" si="7"/>
        <v>45927</v>
      </c>
      <c r="V136" s="32">
        <f t="shared" si="9"/>
        <v>30</v>
      </c>
    </row>
    <row r="137" spans="5:22" x14ac:dyDescent="0.25">
      <c r="E137" s="100">
        <f t="shared" si="5"/>
        <v>30</v>
      </c>
      <c r="F137" s="700">
        <f>INDEX(_Datos 137:137,,MATCH(_Búsqueda_Fechas_Pago, _Datos _Headers,0))</f>
        <v>46007</v>
      </c>
      <c r="G137" s="736">
        <f>INDEX(_Datos 137:137,,MATCH(_Búsqueda_Duración, _Datos _Headers,0))</f>
        <v>30</v>
      </c>
      <c r="H137" s="735"/>
      <c r="I137" s="78">
        <f t="shared" si="6"/>
        <v>46007</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44196</v>
      </c>
      <c r="P137" s="32">
        <f>_DPP _Quincenal</f>
        <v>15</v>
      </c>
      <c r="Q137" s="735"/>
      <c r="R137" s="78">
        <f>IF(DAY(R136 + 1) &lt;= _DPP _Decenal,
DATE(YEAR(R136 + 1),MONTH(R136 + 1),_DPP _Decenal),
IF(DAY(R136 + 1) &lt;= (_DPP _Decenal*2),
DATE(YEAR(R136 + 1),MONTH(R136 + 1),(_DPP _Decenal*2)),EOMONTH(R136 + 1,0)))</f>
        <v>43585</v>
      </c>
      <c r="S137" s="32">
        <f>_DPP _Decenal</f>
        <v>10</v>
      </c>
      <c r="T137" s="735"/>
      <c r="U137" s="78">
        <f t="shared" si="7"/>
        <v>45957</v>
      </c>
      <c r="V137" s="32">
        <f t="shared" si="9"/>
        <v>30</v>
      </c>
    </row>
    <row r="138" spans="5:22" x14ac:dyDescent="0.25">
      <c r="E138" s="100">
        <f t="shared" si="5"/>
        <v>30</v>
      </c>
      <c r="F138" s="700">
        <f>INDEX(_Datos 138:138,,MATCH(_Búsqueda_Fechas_Pago, _Datos _Headers,0))</f>
        <v>46038</v>
      </c>
      <c r="G138" s="736">
        <f>INDEX(_Datos 138:138,,MATCH(_Búsqueda_Duración, _Datos _Headers,0))</f>
        <v>30</v>
      </c>
      <c r="H138" s="735"/>
      <c r="I138" s="78">
        <f t="shared" si="6"/>
        <v>46038</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44211</v>
      </c>
      <c r="P138" s="32">
        <f>_DPP _Quincenal</f>
        <v>15</v>
      </c>
      <c r="Q138" s="735"/>
      <c r="R138" s="78">
        <f>IF(DAY(R137 + 1) &lt;= _DPP _Decenal,
DATE(YEAR(R137 + 1),MONTH(R137 + 1),_DPP _Decenal),
IF(DAY(R137 + 1) &lt;= (_DPP _Decenal*2),
DATE(YEAR(R137 + 1),MONTH(R137 + 1),(_DPP _Decenal*2)),EOMONTH(R137 + 1,0)))</f>
        <v>43595</v>
      </c>
      <c r="S138" s="32">
        <f>_DPP _Decenal</f>
        <v>10</v>
      </c>
      <c r="T138" s="735"/>
      <c r="U138" s="78">
        <f t="shared" si="7"/>
        <v>45987</v>
      </c>
      <c r="V138" s="32">
        <f t="shared" si="9"/>
        <v>30</v>
      </c>
    </row>
    <row r="139" spans="5:22" x14ac:dyDescent="0.25">
      <c r="E139" s="100">
        <f t="shared" si="5"/>
        <v>30</v>
      </c>
      <c r="F139" s="700">
        <f>INDEX(_Datos 139:139,,MATCH(_Búsqueda_Fechas_Pago, _Datos _Headers,0))</f>
        <v>46069</v>
      </c>
      <c r="G139" s="736">
        <f>INDEX(_Datos 139:139,,MATCH(_Búsqueda_Duración, _Datos _Headers,0))</f>
        <v>30</v>
      </c>
      <c r="H139" s="735"/>
      <c r="I139" s="78">
        <f t="shared" si="6"/>
        <v>46069</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44227</v>
      </c>
      <c r="P139" s="32">
        <f>_DPP _Quincenal</f>
        <v>15</v>
      </c>
      <c r="Q139" s="735"/>
      <c r="R139" s="78">
        <f>IF(DAY(R138 + 1) &lt;= _DPP _Decenal,
DATE(YEAR(R138 + 1),MONTH(R138 + 1),_DPP _Decenal),
IF(DAY(R138 + 1) &lt;= (_DPP _Decenal*2),
DATE(YEAR(R138 + 1),MONTH(R138 + 1),(_DPP _Decenal*2)),EOMONTH(R138 + 1,0)))</f>
        <v>43605</v>
      </c>
      <c r="S139" s="32">
        <f>_DPP _Decenal</f>
        <v>10</v>
      </c>
      <c r="T139" s="735"/>
      <c r="U139" s="78">
        <f t="shared" si="7"/>
        <v>46017</v>
      </c>
      <c r="V139" s="32">
        <f t="shared" si="9"/>
        <v>30</v>
      </c>
    </row>
    <row r="140" spans="5:22" x14ac:dyDescent="0.25">
      <c r="E140" s="100">
        <f t="shared" si="5"/>
        <v>30</v>
      </c>
      <c r="F140" s="700">
        <f>INDEX(_Datos 140:140,,MATCH(_Búsqueda_Fechas_Pago, _Datos _Headers,0))</f>
        <v>46097</v>
      </c>
      <c r="G140" s="736">
        <f>INDEX(_Datos 140:140,,MATCH(_Búsqueda_Duración, _Datos _Headers,0))</f>
        <v>30</v>
      </c>
      <c r="H140" s="735"/>
      <c r="I140" s="78">
        <f t="shared" si="6"/>
        <v>46097</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44242</v>
      </c>
      <c r="P140" s="32">
        <f>_DPP _Quincenal</f>
        <v>15</v>
      </c>
      <c r="Q140" s="735"/>
      <c r="R140" s="78">
        <f>IF(DAY(R139 + 1) &lt;= _DPP _Decenal,
DATE(YEAR(R139 + 1),MONTH(R139 + 1),_DPP _Decenal),
IF(DAY(R139 + 1) &lt;= (_DPP _Decenal*2),
DATE(YEAR(R139 + 1),MONTH(R139 + 1),(_DPP _Decenal*2)),EOMONTH(R139 + 1,0)))</f>
        <v>43616</v>
      </c>
      <c r="S140" s="32">
        <f>_DPP _Decenal</f>
        <v>10</v>
      </c>
      <c r="T140" s="735"/>
      <c r="U140" s="78">
        <f t="shared" si="7"/>
        <v>46047</v>
      </c>
      <c r="V140" s="32">
        <f t="shared" si="9"/>
        <v>30</v>
      </c>
    </row>
    <row r="141" spans="5:22" x14ac:dyDescent="0.25">
      <c r="E141" s="100">
        <f t="shared" si="5"/>
        <v>30</v>
      </c>
      <c r="F141" s="700">
        <f>INDEX(_Datos 141:141,,MATCH(_Búsqueda_Fechas_Pago, _Datos _Headers,0))</f>
        <v>46128</v>
      </c>
      <c r="G141" s="736">
        <f>INDEX(_Datos 141:141,,MATCH(_Búsqueda_Duración, _Datos _Headers,0))</f>
        <v>30</v>
      </c>
      <c r="H141" s="735"/>
      <c r="I141" s="78">
        <f t="shared" si="6"/>
        <v>46128</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44255</v>
      </c>
      <c r="P141" s="32">
        <f>_DPP _Quincenal</f>
        <v>15</v>
      </c>
      <c r="Q141" s="735"/>
      <c r="R141" s="78">
        <f>IF(DAY(R140 + 1) &lt;= _DPP _Decenal,
DATE(YEAR(R140 + 1),MONTH(R140 + 1),_DPP _Decenal),
IF(DAY(R140 + 1) &lt;= (_DPP _Decenal*2),
DATE(YEAR(R140 + 1),MONTH(R140 + 1),(_DPP _Decenal*2)),EOMONTH(R140 + 1,0)))</f>
        <v>43626</v>
      </c>
      <c r="S141" s="32">
        <f>_DPP _Decenal</f>
        <v>10</v>
      </c>
      <c r="T141" s="735"/>
      <c r="U141" s="78">
        <f t="shared" si="7"/>
        <v>46077</v>
      </c>
      <c r="V141" s="32">
        <f t="shared" si="9"/>
        <v>30</v>
      </c>
    </row>
    <row r="142" spans="5:22" x14ac:dyDescent="0.25">
      <c r="E142" s="100">
        <f t="shared" si="5"/>
        <v>30</v>
      </c>
      <c r="F142" s="700">
        <f>INDEX(_Datos 142:142,,MATCH(_Búsqueda_Fechas_Pago, _Datos _Headers,0))</f>
        <v>46158</v>
      </c>
      <c r="G142" s="736">
        <f>INDEX(_Datos 142:142,,MATCH(_Búsqueda_Duración, _Datos _Headers,0))</f>
        <v>30</v>
      </c>
      <c r="H142" s="735"/>
      <c r="I142" s="78">
        <f t="shared" si="6"/>
        <v>46158</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44270</v>
      </c>
      <c r="P142" s="32">
        <f>_DPP _Quincenal</f>
        <v>15</v>
      </c>
      <c r="Q142" s="735"/>
      <c r="R142" s="78">
        <f>IF(DAY(R141 + 1) &lt;= _DPP _Decenal,
DATE(YEAR(R141 + 1),MONTH(R141 + 1),_DPP _Decenal),
IF(DAY(R141 + 1) &lt;= (_DPP _Decenal*2),
DATE(YEAR(R141 + 1),MONTH(R141 + 1),(_DPP _Decenal*2)),EOMONTH(R141 + 1,0)))</f>
        <v>43636</v>
      </c>
      <c r="S142" s="32">
        <f>_DPP _Decenal</f>
        <v>10</v>
      </c>
      <c r="T142" s="735"/>
      <c r="U142" s="78">
        <f t="shared" si="7"/>
        <v>46107</v>
      </c>
      <c r="V142" s="32">
        <f t="shared" si="9"/>
        <v>30</v>
      </c>
    </row>
    <row r="143" spans="5:22" x14ac:dyDescent="0.25">
      <c r="E143" s="100">
        <f t="shared" si="5"/>
        <v>30</v>
      </c>
      <c r="F143" s="700">
        <f>INDEX(_Datos 143:143,,MATCH(_Búsqueda_Fechas_Pago, _Datos _Headers,0))</f>
        <v>46189</v>
      </c>
      <c r="G143" s="736">
        <f>INDEX(_Datos 143:143,,MATCH(_Búsqueda_Duración, _Datos _Headers,0))</f>
        <v>30</v>
      </c>
      <c r="H143" s="735"/>
      <c r="I143" s="78">
        <f t="shared" si="6"/>
        <v>46189</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44286</v>
      </c>
      <c r="P143" s="32">
        <f>_DPP _Quincenal</f>
        <v>15</v>
      </c>
      <c r="Q143" s="735"/>
      <c r="R143" s="78">
        <f>IF(DAY(R142 + 1) &lt;= _DPP _Decenal,
DATE(YEAR(R142 + 1),MONTH(R142 + 1),_DPP _Decenal),
IF(DAY(R142 + 1) &lt;= (_DPP _Decenal*2),
DATE(YEAR(R142 + 1),MONTH(R142 + 1),(_DPP _Decenal*2)),EOMONTH(R142 + 1,0)))</f>
        <v>43646</v>
      </c>
      <c r="S143" s="32">
        <f>_DPP _Decenal</f>
        <v>10</v>
      </c>
      <c r="T143" s="735"/>
      <c r="U143" s="78">
        <f t="shared" si="7"/>
        <v>46137</v>
      </c>
      <c r="V143" s="32">
        <f t="shared" si="9"/>
        <v>30</v>
      </c>
    </row>
    <row r="144" spans="5:22" x14ac:dyDescent="0.25">
      <c r="E144" s="100">
        <f t="shared" si="5"/>
        <v>30</v>
      </c>
      <c r="F144" s="700">
        <f>INDEX(_Datos 144:144,,MATCH(_Búsqueda_Fechas_Pago, _Datos _Headers,0))</f>
        <v>46219</v>
      </c>
      <c r="G144" s="736">
        <f>INDEX(_Datos 144:144,,MATCH(_Búsqueda_Duración, _Datos _Headers,0))</f>
        <v>30</v>
      </c>
      <c r="H144" s="735"/>
      <c r="I144" s="78">
        <f t="shared" si="6"/>
        <v>46219</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44301</v>
      </c>
      <c r="P144" s="32">
        <f>_DPP _Quincenal</f>
        <v>15</v>
      </c>
      <c r="Q144" s="735"/>
      <c r="R144" s="78">
        <f>IF(DAY(R143 + 1) &lt;= _DPP _Decenal,
DATE(YEAR(R143 + 1),MONTH(R143 + 1),_DPP _Decenal),
IF(DAY(R143 + 1) &lt;= (_DPP _Decenal*2),
DATE(YEAR(R143 + 1),MONTH(R143 + 1),(_DPP _Decenal*2)),EOMONTH(R143 + 1,0)))</f>
        <v>43656</v>
      </c>
      <c r="S144" s="32">
        <f>_DPP _Decenal</f>
        <v>10</v>
      </c>
      <c r="T144" s="735"/>
      <c r="U144" s="78">
        <f t="shared" si="7"/>
        <v>46167</v>
      </c>
      <c r="V144" s="32">
        <f t="shared" si="9"/>
        <v>30</v>
      </c>
    </row>
    <row r="145" spans="5:22" x14ac:dyDescent="0.25">
      <c r="E145" s="100">
        <f t="shared" si="5"/>
        <v>30</v>
      </c>
      <c r="F145" s="700">
        <f>INDEX(_Datos 145:145,,MATCH(_Búsqueda_Fechas_Pago, _Datos _Headers,0))</f>
        <v>46250</v>
      </c>
      <c r="G145" s="736">
        <f>INDEX(_Datos 145:145,,MATCH(_Búsqueda_Duración, _Datos _Headers,0))</f>
        <v>30</v>
      </c>
      <c r="H145" s="735"/>
      <c r="I145" s="78">
        <f t="shared" si="6"/>
        <v>46250</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44316</v>
      </c>
      <c r="P145" s="32">
        <f>_DPP _Quincenal</f>
        <v>15</v>
      </c>
      <c r="Q145" s="735"/>
      <c r="R145" s="78">
        <f>IF(DAY(R144 + 1) &lt;= _DPP _Decenal,
DATE(YEAR(R144 + 1),MONTH(R144 + 1),_DPP _Decenal),
IF(DAY(R144 + 1) &lt;= (_DPP _Decenal*2),
DATE(YEAR(R144 + 1),MONTH(R144 + 1),(_DPP _Decenal*2)),EOMONTH(R144 + 1,0)))</f>
        <v>43666</v>
      </c>
      <c r="S145" s="32">
        <f>_DPP _Decenal</f>
        <v>10</v>
      </c>
      <c r="T145" s="735"/>
      <c r="U145" s="78">
        <f t="shared" si="7"/>
        <v>46197</v>
      </c>
      <c r="V145" s="32">
        <f t="shared" si="9"/>
        <v>30</v>
      </c>
    </row>
    <row r="146" spans="5:22" x14ac:dyDescent="0.25">
      <c r="E146" s="100">
        <f t="shared" si="5"/>
        <v>30</v>
      </c>
      <c r="F146" s="700">
        <f>INDEX(_Datos 146:146,,MATCH(_Búsqueda_Fechas_Pago, _Datos _Headers,0))</f>
        <v>46281</v>
      </c>
      <c r="G146" s="736">
        <f>INDEX(_Datos 146:146,,MATCH(_Búsqueda_Duración, _Datos _Headers,0))</f>
        <v>30</v>
      </c>
      <c r="H146" s="735"/>
      <c r="I146" s="78">
        <f t="shared" si="6"/>
        <v>46281</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44331</v>
      </c>
      <c r="P146" s="32">
        <f>_DPP _Quincenal</f>
        <v>15</v>
      </c>
      <c r="Q146" s="735"/>
      <c r="R146" s="78">
        <f>IF(DAY(R145 + 1) &lt;= _DPP _Decenal,
DATE(YEAR(R145 + 1),MONTH(R145 + 1),_DPP _Decenal),
IF(DAY(R145 + 1) &lt;= (_DPP _Decenal*2),
DATE(YEAR(R145 + 1),MONTH(R145 + 1),(_DPP _Decenal*2)),EOMONTH(R145 + 1,0)))</f>
        <v>43677</v>
      </c>
      <c r="S146" s="32">
        <f>_DPP _Decenal</f>
        <v>10</v>
      </c>
      <c r="T146" s="735"/>
      <c r="U146" s="78">
        <f t="shared" si="7"/>
        <v>46227</v>
      </c>
      <c r="V146" s="32">
        <f t="shared" si="9"/>
        <v>30</v>
      </c>
    </row>
    <row r="147" spans="5:22" x14ac:dyDescent="0.25">
      <c r="E147" s="100">
        <f t="shared" ref="E147:E210" si="10">_Días_por_Periodo</f>
        <v>30</v>
      </c>
      <c r="F147" s="700">
        <f>INDEX(_Datos 147:147,,MATCH(_Búsqueda_Fechas_Pago, _Datos _Headers,0))</f>
        <v>46311</v>
      </c>
      <c r="G147" s="736">
        <f>INDEX(_Datos 147:147,,MATCH(_Búsqueda_Duración, _Datos _Headers,0))</f>
        <v>30</v>
      </c>
      <c r="H147" s="735"/>
      <c r="I147" s="78">
        <f t="shared" si="6"/>
        <v>46311</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44347</v>
      </c>
      <c r="P147" s="32">
        <f>_DPP _Quincenal</f>
        <v>15</v>
      </c>
      <c r="Q147" s="735"/>
      <c r="R147" s="78">
        <f>IF(DAY(R146 + 1) &lt;= _DPP _Decenal,
DATE(YEAR(R146 + 1),MONTH(R146 + 1),_DPP _Decenal),
IF(DAY(R146 + 1) &lt;= (_DPP _Decenal*2),
DATE(YEAR(R146 + 1),MONTH(R146 + 1),(_DPP _Decenal*2)),EOMONTH(R146 + 1,0)))</f>
        <v>43687</v>
      </c>
      <c r="S147" s="32">
        <f>_DPP _Decenal</f>
        <v>10</v>
      </c>
      <c r="T147" s="735"/>
      <c r="U147" s="78">
        <f t="shared" si="7"/>
        <v>46257</v>
      </c>
      <c r="V147" s="32">
        <f t="shared" si="9"/>
        <v>30</v>
      </c>
    </row>
    <row r="148" spans="5:22" x14ac:dyDescent="0.25">
      <c r="E148" s="100">
        <f t="shared" si="10"/>
        <v>30</v>
      </c>
      <c r="F148" s="700">
        <f>INDEX(_Datos 148:148,,MATCH(_Búsqueda_Fechas_Pago, _Datos _Headers,0))</f>
        <v>46342</v>
      </c>
      <c r="G148" s="736">
        <f>INDEX(_Datos 148:148,,MATCH(_Búsqueda_Duración, _Datos _Headers,0))</f>
        <v>30</v>
      </c>
      <c r="H148" s="735"/>
      <c r="I148" s="78">
        <f t="shared" ref="I148:I211" si="11">IF(DAY(I147)&gt;=Const_Dia_Corte_Aniversario,FinMesPropia(I147,1)+1,FinMesPropia(I147,0)+DAY(I147))</f>
        <v>46342</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44362</v>
      </c>
      <c r="P148" s="32">
        <f>_DPP _Quincenal</f>
        <v>15</v>
      </c>
      <c r="Q148" s="735"/>
      <c r="R148" s="78">
        <f>IF(DAY(R147 + 1) &lt;= _DPP _Decenal,
DATE(YEAR(R147 + 1),MONTH(R147 + 1),_DPP _Decenal),
IF(DAY(R147 + 1) &lt;= (_DPP _Decenal*2),
DATE(YEAR(R147 + 1),MONTH(R147 + 1),(_DPP _Decenal*2)),EOMONTH(R147 + 1,0)))</f>
        <v>43697</v>
      </c>
      <c r="S148" s="32">
        <f>_DPP _Decenal</f>
        <v>10</v>
      </c>
      <c r="T148" s="735"/>
      <c r="U148" s="78">
        <f t="shared" ref="U148:U211" si="12">U147 + _Días_por_Periodo</f>
        <v>46287</v>
      </c>
      <c r="V148" s="32">
        <f t="shared" si="9"/>
        <v>30</v>
      </c>
    </row>
    <row r="149" spans="5:22" x14ac:dyDescent="0.25">
      <c r="E149" s="100">
        <f t="shared" si="10"/>
        <v>30</v>
      </c>
      <c r="F149" s="700">
        <f>INDEX(_Datos 149:149,,MATCH(_Búsqueda_Fechas_Pago, _Datos _Headers,0))</f>
        <v>46372</v>
      </c>
      <c r="G149" s="736">
        <f>INDEX(_Datos 149:149,,MATCH(_Búsqueda_Duración, _Datos _Headers,0))</f>
        <v>30</v>
      </c>
      <c r="H149" s="735"/>
      <c r="I149" s="78">
        <f t="shared" si="11"/>
        <v>46372</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44377</v>
      </c>
      <c r="P149" s="32">
        <f>_DPP _Quincenal</f>
        <v>15</v>
      </c>
      <c r="Q149" s="735"/>
      <c r="R149" s="78">
        <f>IF(DAY(R148 + 1) &lt;= _DPP _Decenal,
DATE(YEAR(R148 + 1),MONTH(R148 + 1),_DPP _Decenal),
IF(DAY(R148 + 1) &lt;= (_DPP _Decenal*2),
DATE(YEAR(R148 + 1),MONTH(R148 + 1),(_DPP _Decenal*2)),EOMONTH(R148 + 1,0)))</f>
        <v>43708</v>
      </c>
      <c r="S149" s="32">
        <f>_DPP _Decenal</f>
        <v>10</v>
      </c>
      <c r="T149" s="735"/>
      <c r="U149" s="78">
        <f t="shared" si="12"/>
        <v>46317</v>
      </c>
      <c r="V149" s="32">
        <f t="shared" ref="V149:V212" si="14">U149 - U148</f>
        <v>30</v>
      </c>
    </row>
    <row r="150" spans="5:22" x14ac:dyDescent="0.25">
      <c r="E150" s="100">
        <f t="shared" si="10"/>
        <v>30</v>
      </c>
      <c r="F150" s="700">
        <f>INDEX(_Datos 150:150,,MATCH(_Búsqueda_Fechas_Pago, _Datos _Headers,0))</f>
        <v>46403</v>
      </c>
      <c r="G150" s="736">
        <f>INDEX(_Datos 150:150,,MATCH(_Búsqueda_Duración, _Datos _Headers,0))</f>
        <v>30</v>
      </c>
      <c r="H150" s="735"/>
      <c r="I150" s="78">
        <f t="shared" si="11"/>
        <v>46403</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44392</v>
      </c>
      <c r="P150" s="32">
        <f>_DPP _Quincenal</f>
        <v>15</v>
      </c>
      <c r="Q150" s="735"/>
      <c r="R150" s="78">
        <f>IF(DAY(R149 + 1) &lt;= _DPP _Decenal,
DATE(YEAR(R149 + 1),MONTH(R149 + 1),_DPP _Decenal),
IF(DAY(R149 + 1) &lt;= (_DPP _Decenal*2),
DATE(YEAR(R149 + 1),MONTH(R149 + 1),(_DPP _Decenal*2)),EOMONTH(R149 + 1,0)))</f>
        <v>43718</v>
      </c>
      <c r="S150" s="32">
        <f>_DPP _Decenal</f>
        <v>10</v>
      </c>
      <c r="T150" s="735"/>
      <c r="U150" s="78">
        <f t="shared" si="12"/>
        <v>46347</v>
      </c>
      <c r="V150" s="32">
        <f t="shared" si="14"/>
        <v>30</v>
      </c>
    </row>
    <row r="151" spans="5:22" x14ac:dyDescent="0.25">
      <c r="E151" s="100">
        <f t="shared" si="10"/>
        <v>30</v>
      </c>
      <c r="F151" s="700">
        <f>INDEX(_Datos 151:151,,MATCH(_Búsqueda_Fechas_Pago, _Datos _Headers,0))</f>
        <v>46434</v>
      </c>
      <c r="G151" s="736">
        <f>INDEX(_Datos 151:151,,MATCH(_Búsqueda_Duración, _Datos _Headers,0))</f>
        <v>30</v>
      </c>
      <c r="H151" s="735"/>
      <c r="I151" s="78">
        <f t="shared" si="11"/>
        <v>46434</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44408</v>
      </c>
      <c r="P151" s="32">
        <f>_DPP _Quincenal</f>
        <v>15</v>
      </c>
      <c r="Q151" s="735"/>
      <c r="R151" s="78">
        <f>IF(DAY(R150 + 1) &lt;= _DPP _Decenal,
DATE(YEAR(R150 + 1),MONTH(R150 + 1),_DPP _Decenal),
IF(DAY(R150 + 1) &lt;= (_DPP _Decenal*2),
DATE(YEAR(R150 + 1),MONTH(R150 + 1),(_DPP _Decenal*2)),EOMONTH(R150 + 1,0)))</f>
        <v>43728</v>
      </c>
      <c r="S151" s="32">
        <f>_DPP _Decenal</f>
        <v>10</v>
      </c>
      <c r="T151" s="735"/>
      <c r="U151" s="78">
        <f t="shared" si="12"/>
        <v>46377</v>
      </c>
      <c r="V151" s="32">
        <f t="shared" si="14"/>
        <v>30</v>
      </c>
    </row>
    <row r="152" spans="5:22" x14ac:dyDescent="0.25">
      <c r="E152" s="100">
        <f t="shared" si="10"/>
        <v>30</v>
      </c>
      <c r="F152" s="700">
        <f>INDEX(_Datos 152:152,,MATCH(_Búsqueda_Fechas_Pago, _Datos _Headers,0))</f>
        <v>46462</v>
      </c>
      <c r="G152" s="736">
        <f>INDEX(_Datos 152:152,,MATCH(_Búsqueda_Duración, _Datos _Headers,0))</f>
        <v>30</v>
      </c>
      <c r="H152" s="735"/>
      <c r="I152" s="78">
        <f t="shared" si="11"/>
        <v>46462</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44423</v>
      </c>
      <c r="P152" s="32">
        <f>_DPP _Quincenal</f>
        <v>15</v>
      </c>
      <c r="Q152" s="735"/>
      <c r="R152" s="78">
        <f>IF(DAY(R151 + 1) &lt;= _DPP _Decenal,
DATE(YEAR(R151 + 1),MONTH(R151 + 1),_DPP _Decenal),
IF(DAY(R151 + 1) &lt;= (_DPP _Decenal*2),
DATE(YEAR(R151 + 1),MONTH(R151 + 1),(_DPP _Decenal*2)),EOMONTH(R151 + 1,0)))</f>
        <v>43738</v>
      </c>
      <c r="S152" s="32">
        <f>_DPP _Decenal</f>
        <v>10</v>
      </c>
      <c r="T152" s="735"/>
      <c r="U152" s="78">
        <f t="shared" si="12"/>
        <v>46407</v>
      </c>
      <c r="V152" s="32">
        <f t="shared" si="14"/>
        <v>30</v>
      </c>
    </row>
    <row r="153" spans="5:22" x14ac:dyDescent="0.25">
      <c r="E153" s="100">
        <f t="shared" si="10"/>
        <v>30</v>
      </c>
      <c r="F153" s="700">
        <f>INDEX(_Datos 153:153,,MATCH(_Búsqueda_Fechas_Pago, _Datos _Headers,0))</f>
        <v>46493</v>
      </c>
      <c r="G153" s="736">
        <f>INDEX(_Datos 153:153,,MATCH(_Búsqueda_Duración, _Datos _Headers,0))</f>
        <v>30</v>
      </c>
      <c r="H153" s="735"/>
      <c r="I153" s="78">
        <f t="shared" si="11"/>
        <v>46493</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44439</v>
      </c>
      <c r="P153" s="32">
        <f>_DPP _Quincenal</f>
        <v>15</v>
      </c>
      <c r="Q153" s="735"/>
      <c r="R153" s="78">
        <f>IF(DAY(R152 + 1) &lt;= _DPP _Decenal,
DATE(YEAR(R152 + 1),MONTH(R152 + 1),_DPP _Decenal),
IF(DAY(R152 + 1) &lt;= (_DPP _Decenal*2),
DATE(YEAR(R152 + 1),MONTH(R152 + 1),(_DPP _Decenal*2)),EOMONTH(R152 + 1,0)))</f>
        <v>43748</v>
      </c>
      <c r="S153" s="32">
        <f>_DPP _Decenal</f>
        <v>10</v>
      </c>
      <c r="T153" s="735"/>
      <c r="U153" s="78">
        <f t="shared" si="12"/>
        <v>46437</v>
      </c>
      <c r="V153" s="32">
        <f t="shared" si="14"/>
        <v>30</v>
      </c>
    </row>
    <row r="154" spans="5:22" x14ac:dyDescent="0.25">
      <c r="E154" s="100">
        <f t="shared" si="10"/>
        <v>30</v>
      </c>
      <c r="F154" s="700">
        <f>INDEX(_Datos 154:154,,MATCH(_Búsqueda_Fechas_Pago, _Datos _Headers,0))</f>
        <v>46523</v>
      </c>
      <c r="G154" s="736">
        <f>INDEX(_Datos 154:154,,MATCH(_Búsqueda_Duración, _Datos _Headers,0))</f>
        <v>30</v>
      </c>
      <c r="H154" s="735"/>
      <c r="I154" s="78">
        <f t="shared" si="11"/>
        <v>46523</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44454</v>
      </c>
      <c r="P154" s="32">
        <f>_DPP _Quincenal</f>
        <v>15</v>
      </c>
      <c r="Q154" s="735"/>
      <c r="R154" s="78">
        <f>IF(DAY(R153 + 1) &lt;= _DPP _Decenal,
DATE(YEAR(R153 + 1),MONTH(R153 + 1),_DPP _Decenal),
IF(DAY(R153 + 1) &lt;= (_DPP _Decenal*2),
DATE(YEAR(R153 + 1),MONTH(R153 + 1),(_DPP _Decenal*2)),EOMONTH(R153 + 1,0)))</f>
        <v>43758</v>
      </c>
      <c r="S154" s="32">
        <f>_DPP _Decenal</f>
        <v>10</v>
      </c>
      <c r="T154" s="735"/>
      <c r="U154" s="78">
        <f t="shared" si="12"/>
        <v>46467</v>
      </c>
      <c r="V154" s="32">
        <f t="shared" si="14"/>
        <v>30</v>
      </c>
    </row>
    <row r="155" spans="5:22" x14ac:dyDescent="0.25">
      <c r="E155" s="100">
        <f t="shared" si="10"/>
        <v>30</v>
      </c>
      <c r="F155" s="700">
        <f>INDEX(_Datos 155:155,,MATCH(_Búsqueda_Fechas_Pago, _Datos _Headers,0))</f>
        <v>46554</v>
      </c>
      <c r="G155" s="736">
        <f>INDEX(_Datos 155:155,,MATCH(_Búsqueda_Duración, _Datos _Headers,0))</f>
        <v>30</v>
      </c>
      <c r="H155" s="735"/>
      <c r="I155" s="78">
        <f t="shared" si="11"/>
        <v>46554</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44469</v>
      </c>
      <c r="P155" s="32">
        <f>_DPP _Quincenal</f>
        <v>15</v>
      </c>
      <c r="Q155" s="735"/>
      <c r="R155" s="78">
        <f>IF(DAY(R154 + 1) &lt;= _DPP _Decenal,
DATE(YEAR(R154 + 1),MONTH(R154 + 1),_DPP _Decenal),
IF(DAY(R154 + 1) &lt;= (_DPP _Decenal*2),
DATE(YEAR(R154 + 1),MONTH(R154 + 1),(_DPP _Decenal*2)),EOMONTH(R154 + 1,0)))</f>
        <v>43769</v>
      </c>
      <c r="S155" s="32">
        <f>_DPP _Decenal</f>
        <v>10</v>
      </c>
      <c r="T155" s="735"/>
      <c r="U155" s="78">
        <f t="shared" si="12"/>
        <v>46497</v>
      </c>
      <c r="V155" s="32">
        <f t="shared" si="14"/>
        <v>30</v>
      </c>
    </row>
    <row r="156" spans="5:22" x14ac:dyDescent="0.25">
      <c r="E156" s="100">
        <f t="shared" si="10"/>
        <v>30</v>
      </c>
      <c r="F156" s="700">
        <f>INDEX(_Datos 156:156,,MATCH(_Búsqueda_Fechas_Pago, _Datos _Headers,0))</f>
        <v>46584</v>
      </c>
      <c r="G156" s="736">
        <f>INDEX(_Datos 156:156,,MATCH(_Búsqueda_Duración, _Datos _Headers,0))</f>
        <v>30</v>
      </c>
      <c r="H156" s="735"/>
      <c r="I156" s="78">
        <f t="shared" si="11"/>
        <v>46584</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44484</v>
      </c>
      <c r="P156" s="32">
        <f>_DPP _Quincenal</f>
        <v>15</v>
      </c>
      <c r="Q156" s="735"/>
      <c r="R156" s="78">
        <f>IF(DAY(R155 + 1) &lt;= _DPP _Decenal,
DATE(YEAR(R155 + 1),MONTH(R155 + 1),_DPP _Decenal),
IF(DAY(R155 + 1) &lt;= (_DPP _Decenal*2),
DATE(YEAR(R155 + 1),MONTH(R155 + 1),(_DPP _Decenal*2)),EOMONTH(R155 + 1,0)))</f>
        <v>43779</v>
      </c>
      <c r="S156" s="32">
        <f>_DPP _Decenal</f>
        <v>10</v>
      </c>
      <c r="T156" s="735"/>
      <c r="U156" s="78">
        <f t="shared" si="12"/>
        <v>46527</v>
      </c>
      <c r="V156" s="32">
        <f t="shared" si="14"/>
        <v>30</v>
      </c>
    </row>
    <row r="157" spans="5:22" x14ac:dyDescent="0.25">
      <c r="E157" s="100">
        <f t="shared" si="10"/>
        <v>30</v>
      </c>
      <c r="F157" s="700">
        <f>INDEX(_Datos 157:157,,MATCH(_Búsqueda_Fechas_Pago, _Datos _Headers,0))</f>
        <v>46615</v>
      </c>
      <c r="G157" s="736">
        <f>INDEX(_Datos 157:157,,MATCH(_Búsqueda_Duración, _Datos _Headers,0))</f>
        <v>30</v>
      </c>
      <c r="H157" s="735"/>
      <c r="I157" s="78">
        <f t="shared" si="11"/>
        <v>46615</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44500</v>
      </c>
      <c r="P157" s="32">
        <f>_DPP _Quincenal</f>
        <v>15</v>
      </c>
      <c r="Q157" s="735"/>
      <c r="R157" s="78">
        <f>IF(DAY(R156 + 1) &lt;= _DPP _Decenal,
DATE(YEAR(R156 + 1),MONTH(R156 + 1),_DPP _Decenal),
IF(DAY(R156 + 1) &lt;= (_DPP _Decenal*2),
DATE(YEAR(R156 + 1),MONTH(R156 + 1),(_DPP _Decenal*2)),EOMONTH(R156 + 1,0)))</f>
        <v>43789</v>
      </c>
      <c r="S157" s="32">
        <f>_DPP _Decenal</f>
        <v>10</v>
      </c>
      <c r="T157" s="735"/>
      <c r="U157" s="78">
        <f t="shared" si="12"/>
        <v>46557</v>
      </c>
      <c r="V157" s="32">
        <f t="shared" si="14"/>
        <v>30</v>
      </c>
    </row>
    <row r="158" spans="5:22" x14ac:dyDescent="0.25">
      <c r="E158" s="100">
        <f t="shared" si="10"/>
        <v>30</v>
      </c>
      <c r="F158" s="700">
        <f>INDEX(_Datos 158:158,,MATCH(_Búsqueda_Fechas_Pago, _Datos _Headers,0))</f>
        <v>46646</v>
      </c>
      <c r="G158" s="736">
        <f>INDEX(_Datos 158:158,,MATCH(_Búsqueda_Duración, _Datos _Headers,0))</f>
        <v>30</v>
      </c>
      <c r="H158" s="735"/>
      <c r="I158" s="78">
        <f t="shared" si="11"/>
        <v>46646</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44515</v>
      </c>
      <c r="P158" s="32">
        <f>_DPP _Quincenal</f>
        <v>15</v>
      </c>
      <c r="Q158" s="735"/>
      <c r="R158" s="78">
        <f>IF(DAY(R157 + 1) &lt;= _DPP _Decenal,
DATE(YEAR(R157 + 1),MONTH(R157 + 1),_DPP _Decenal),
IF(DAY(R157 + 1) &lt;= (_DPP _Decenal*2),
DATE(YEAR(R157 + 1),MONTH(R157 + 1),(_DPP _Decenal*2)),EOMONTH(R157 + 1,0)))</f>
        <v>43799</v>
      </c>
      <c r="S158" s="32">
        <f>_DPP _Decenal</f>
        <v>10</v>
      </c>
      <c r="T158" s="735"/>
      <c r="U158" s="78">
        <f t="shared" si="12"/>
        <v>46587</v>
      </c>
      <c r="V158" s="32">
        <f t="shared" si="14"/>
        <v>30</v>
      </c>
    </row>
    <row r="159" spans="5:22" x14ac:dyDescent="0.25">
      <c r="E159" s="100">
        <f t="shared" si="10"/>
        <v>30</v>
      </c>
      <c r="F159" s="700">
        <f>INDEX(_Datos 159:159,,MATCH(_Búsqueda_Fechas_Pago, _Datos _Headers,0))</f>
        <v>46676</v>
      </c>
      <c r="G159" s="736">
        <f>INDEX(_Datos 159:159,,MATCH(_Búsqueda_Duración, _Datos _Headers,0))</f>
        <v>30</v>
      </c>
      <c r="H159" s="735"/>
      <c r="I159" s="78">
        <f t="shared" si="11"/>
        <v>46676</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44530</v>
      </c>
      <c r="P159" s="32">
        <f>_DPP _Quincenal</f>
        <v>15</v>
      </c>
      <c r="Q159" s="735"/>
      <c r="R159" s="78">
        <f>IF(DAY(R158 + 1) &lt;= _DPP _Decenal,
DATE(YEAR(R158 + 1),MONTH(R158 + 1),_DPP _Decenal),
IF(DAY(R158 + 1) &lt;= (_DPP _Decenal*2),
DATE(YEAR(R158 + 1),MONTH(R158 + 1),(_DPP _Decenal*2)),EOMONTH(R158 + 1,0)))</f>
        <v>43809</v>
      </c>
      <c r="S159" s="32">
        <f>_DPP _Decenal</f>
        <v>10</v>
      </c>
      <c r="T159" s="735"/>
      <c r="U159" s="78">
        <f t="shared" si="12"/>
        <v>46617</v>
      </c>
      <c r="V159" s="32">
        <f t="shared" si="14"/>
        <v>30</v>
      </c>
    </row>
    <row r="160" spans="5:22" x14ac:dyDescent="0.25">
      <c r="E160" s="100">
        <f t="shared" si="10"/>
        <v>30</v>
      </c>
      <c r="F160" s="700">
        <f>INDEX(_Datos 160:160,,MATCH(_Búsqueda_Fechas_Pago, _Datos _Headers,0))</f>
        <v>46707</v>
      </c>
      <c r="G160" s="736">
        <f>INDEX(_Datos 160:160,,MATCH(_Búsqueda_Duración, _Datos _Headers,0))</f>
        <v>30</v>
      </c>
      <c r="H160" s="735"/>
      <c r="I160" s="78">
        <f t="shared" si="11"/>
        <v>46707</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44545</v>
      </c>
      <c r="P160" s="32">
        <f>_DPP _Quincenal</f>
        <v>15</v>
      </c>
      <c r="Q160" s="735"/>
      <c r="R160" s="78">
        <f>IF(DAY(R159 + 1) &lt;= _DPP _Decenal,
DATE(YEAR(R159 + 1),MONTH(R159 + 1),_DPP _Decenal),
IF(DAY(R159 + 1) &lt;= (_DPP _Decenal*2),
DATE(YEAR(R159 + 1),MONTH(R159 + 1),(_DPP _Decenal*2)),EOMONTH(R159 + 1,0)))</f>
        <v>43819</v>
      </c>
      <c r="S160" s="32">
        <f>_DPP _Decenal</f>
        <v>10</v>
      </c>
      <c r="T160" s="735"/>
      <c r="U160" s="78">
        <f t="shared" si="12"/>
        <v>46647</v>
      </c>
      <c r="V160" s="32">
        <f t="shared" si="14"/>
        <v>30</v>
      </c>
    </row>
    <row r="161" spans="5:22" x14ac:dyDescent="0.25">
      <c r="E161" s="100">
        <f t="shared" si="10"/>
        <v>30</v>
      </c>
      <c r="F161" s="700">
        <f>INDEX(_Datos 161:161,,MATCH(_Búsqueda_Fechas_Pago, _Datos _Headers,0))</f>
        <v>46737</v>
      </c>
      <c r="G161" s="736">
        <f>INDEX(_Datos 161:161,,MATCH(_Búsqueda_Duración, _Datos _Headers,0))</f>
        <v>30</v>
      </c>
      <c r="H161" s="735"/>
      <c r="I161" s="78">
        <f t="shared" si="11"/>
        <v>46737</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44561</v>
      </c>
      <c r="P161" s="32">
        <f>_DPP _Quincenal</f>
        <v>15</v>
      </c>
      <c r="Q161" s="735"/>
      <c r="R161" s="78">
        <f>IF(DAY(R160 + 1) &lt;= _DPP _Decenal,
DATE(YEAR(R160 + 1),MONTH(R160 + 1),_DPP _Decenal),
IF(DAY(R160 + 1) &lt;= (_DPP _Decenal*2),
DATE(YEAR(R160 + 1),MONTH(R160 + 1),(_DPP _Decenal*2)),EOMONTH(R160 + 1,0)))</f>
        <v>43830</v>
      </c>
      <c r="S161" s="32">
        <f>_DPP _Decenal</f>
        <v>10</v>
      </c>
      <c r="T161" s="735"/>
      <c r="U161" s="78">
        <f t="shared" si="12"/>
        <v>46677</v>
      </c>
      <c r="V161" s="32">
        <f t="shared" si="14"/>
        <v>30</v>
      </c>
    </row>
    <row r="162" spans="5:22" x14ac:dyDescent="0.25">
      <c r="E162" s="100">
        <f t="shared" si="10"/>
        <v>30</v>
      </c>
      <c r="F162" s="700">
        <f>INDEX(_Datos 162:162,,MATCH(_Búsqueda_Fechas_Pago, _Datos _Headers,0))</f>
        <v>46768</v>
      </c>
      <c r="G162" s="736">
        <f>INDEX(_Datos 162:162,,MATCH(_Búsqueda_Duración, _Datos _Headers,0))</f>
        <v>30</v>
      </c>
      <c r="H162" s="735"/>
      <c r="I162" s="78">
        <f t="shared" si="11"/>
        <v>46768</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44576</v>
      </c>
      <c r="P162" s="32">
        <f>_DPP _Quincenal</f>
        <v>15</v>
      </c>
      <c r="Q162" s="735"/>
      <c r="R162" s="78">
        <f>IF(DAY(R161 + 1) &lt;= _DPP _Decenal,
DATE(YEAR(R161 + 1),MONTH(R161 + 1),_DPP _Decenal),
IF(DAY(R161 + 1) &lt;= (_DPP _Decenal*2),
DATE(YEAR(R161 + 1),MONTH(R161 + 1),(_DPP _Decenal*2)),EOMONTH(R161 + 1,0)))</f>
        <v>43840</v>
      </c>
      <c r="S162" s="32">
        <f>_DPP _Decenal</f>
        <v>10</v>
      </c>
      <c r="T162" s="735"/>
      <c r="U162" s="78">
        <f t="shared" si="12"/>
        <v>46707</v>
      </c>
      <c r="V162" s="32">
        <f t="shared" si="14"/>
        <v>30</v>
      </c>
    </row>
    <row r="163" spans="5:22" x14ac:dyDescent="0.25">
      <c r="E163" s="100">
        <f t="shared" si="10"/>
        <v>30</v>
      </c>
      <c r="F163" s="700">
        <f>INDEX(_Datos 163:163,,MATCH(_Búsqueda_Fechas_Pago, _Datos _Headers,0))</f>
        <v>46799</v>
      </c>
      <c r="G163" s="736">
        <f>INDEX(_Datos 163:163,,MATCH(_Búsqueda_Duración, _Datos _Headers,0))</f>
        <v>30</v>
      </c>
      <c r="H163" s="735"/>
      <c r="I163" s="78">
        <f t="shared" si="11"/>
        <v>46799</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44592</v>
      </c>
      <c r="P163" s="32">
        <f>_DPP _Quincenal</f>
        <v>15</v>
      </c>
      <c r="Q163" s="735"/>
      <c r="R163" s="78">
        <f>IF(DAY(R162 + 1) &lt;= _DPP _Decenal,
DATE(YEAR(R162 + 1),MONTH(R162 + 1),_DPP _Decenal),
IF(DAY(R162 + 1) &lt;= (_DPP _Decenal*2),
DATE(YEAR(R162 + 1),MONTH(R162 + 1),(_DPP _Decenal*2)),EOMONTH(R162 + 1,0)))</f>
        <v>43850</v>
      </c>
      <c r="S163" s="32">
        <f>_DPP _Decenal</f>
        <v>10</v>
      </c>
      <c r="T163" s="735"/>
      <c r="U163" s="78">
        <f t="shared" si="12"/>
        <v>46737</v>
      </c>
      <c r="V163" s="32">
        <f t="shared" si="14"/>
        <v>30</v>
      </c>
    </row>
    <row r="164" spans="5:22" x14ac:dyDescent="0.25">
      <c r="E164" s="100">
        <f t="shared" si="10"/>
        <v>30</v>
      </c>
      <c r="F164" s="700">
        <f>INDEX(_Datos 164:164,,MATCH(_Búsqueda_Fechas_Pago, _Datos _Headers,0))</f>
        <v>46828</v>
      </c>
      <c r="G164" s="736">
        <f>INDEX(_Datos 164:164,,MATCH(_Búsqueda_Duración, _Datos _Headers,0))</f>
        <v>30</v>
      </c>
      <c r="H164" s="735"/>
      <c r="I164" s="78">
        <f t="shared" si="11"/>
        <v>46828</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44607</v>
      </c>
      <c r="P164" s="32">
        <f>_DPP _Quincenal</f>
        <v>15</v>
      </c>
      <c r="Q164" s="735"/>
      <c r="R164" s="78">
        <f>IF(DAY(R163 + 1) &lt;= _DPP _Decenal,
DATE(YEAR(R163 + 1),MONTH(R163 + 1),_DPP _Decenal),
IF(DAY(R163 + 1) &lt;= (_DPP _Decenal*2),
DATE(YEAR(R163 + 1),MONTH(R163 + 1),(_DPP _Decenal*2)),EOMONTH(R163 + 1,0)))</f>
        <v>43861</v>
      </c>
      <c r="S164" s="32">
        <f>_DPP _Decenal</f>
        <v>10</v>
      </c>
      <c r="T164" s="735"/>
      <c r="U164" s="78">
        <f t="shared" si="12"/>
        <v>46767</v>
      </c>
      <c r="V164" s="32">
        <f t="shared" si="14"/>
        <v>30</v>
      </c>
    </row>
    <row r="165" spans="5:22" x14ac:dyDescent="0.25">
      <c r="E165" s="100">
        <f t="shared" si="10"/>
        <v>30</v>
      </c>
      <c r="F165" s="700">
        <f>INDEX(_Datos 165:165,,MATCH(_Búsqueda_Fechas_Pago, _Datos _Headers,0))</f>
        <v>46859</v>
      </c>
      <c r="G165" s="736">
        <f>INDEX(_Datos 165:165,,MATCH(_Búsqueda_Duración, _Datos _Headers,0))</f>
        <v>30</v>
      </c>
      <c r="H165" s="735"/>
      <c r="I165" s="78">
        <f t="shared" si="11"/>
        <v>46859</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44620</v>
      </c>
      <c r="P165" s="32">
        <f>_DPP _Quincenal</f>
        <v>15</v>
      </c>
      <c r="Q165" s="735"/>
      <c r="R165" s="78">
        <f>IF(DAY(R164 + 1) &lt;= _DPP _Decenal,
DATE(YEAR(R164 + 1),MONTH(R164 + 1),_DPP _Decenal),
IF(DAY(R164 + 1) &lt;= (_DPP _Decenal*2),
DATE(YEAR(R164 + 1),MONTH(R164 + 1),(_DPP _Decenal*2)),EOMONTH(R164 + 1,0)))</f>
        <v>43871</v>
      </c>
      <c r="S165" s="32">
        <f>_DPP _Decenal</f>
        <v>10</v>
      </c>
      <c r="T165" s="735"/>
      <c r="U165" s="78">
        <f t="shared" si="12"/>
        <v>46797</v>
      </c>
      <c r="V165" s="32">
        <f t="shared" si="14"/>
        <v>30</v>
      </c>
    </row>
    <row r="166" spans="5:22" x14ac:dyDescent="0.25">
      <c r="E166" s="100">
        <f t="shared" si="10"/>
        <v>30</v>
      </c>
      <c r="F166" s="700">
        <f>INDEX(_Datos 166:166,,MATCH(_Búsqueda_Fechas_Pago, _Datos _Headers,0))</f>
        <v>46889</v>
      </c>
      <c r="G166" s="736">
        <f>INDEX(_Datos 166:166,,MATCH(_Búsqueda_Duración, _Datos _Headers,0))</f>
        <v>30</v>
      </c>
      <c r="H166" s="735"/>
      <c r="I166" s="78">
        <f t="shared" si="11"/>
        <v>46889</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44635</v>
      </c>
      <c r="P166" s="32">
        <f>_DPP _Quincenal</f>
        <v>15</v>
      </c>
      <c r="Q166" s="735"/>
      <c r="R166" s="78">
        <f>IF(DAY(R165 + 1) &lt;= _DPP _Decenal,
DATE(YEAR(R165 + 1),MONTH(R165 + 1),_DPP _Decenal),
IF(DAY(R165 + 1) &lt;= (_DPP _Decenal*2),
DATE(YEAR(R165 + 1),MONTH(R165 + 1),(_DPP _Decenal*2)),EOMONTH(R165 + 1,0)))</f>
        <v>43881</v>
      </c>
      <c r="S166" s="32">
        <f>_DPP _Decenal</f>
        <v>10</v>
      </c>
      <c r="T166" s="735"/>
      <c r="U166" s="78">
        <f t="shared" si="12"/>
        <v>46827</v>
      </c>
      <c r="V166" s="32">
        <f t="shared" si="14"/>
        <v>30</v>
      </c>
    </row>
    <row r="167" spans="5:22" x14ac:dyDescent="0.25">
      <c r="E167" s="100">
        <f t="shared" si="10"/>
        <v>30</v>
      </c>
      <c r="F167" s="700">
        <f>INDEX(_Datos 167:167,,MATCH(_Búsqueda_Fechas_Pago, _Datos _Headers,0))</f>
        <v>46920</v>
      </c>
      <c r="G167" s="736">
        <f>INDEX(_Datos 167:167,,MATCH(_Búsqueda_Duración, _Datos _Headers,0))</f>
        <v>30</v>
      </c>
      <c r="H167" s="735"/>
      <c r="I167" s="78">
        <f t="shared" si="11"/>
        <v>46920</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44651</v>
      </c>
      <c r="P167" s="32">
        <f>_DPP _Quincenal</f>
        <v>15</v>
      </c>
      <c r="Q167" s="735"/>
      <c r="R167" s="78">
        <f>IF(DAY(R166 + 1) &lt;= _DPP _Decenal,
DATE(YEAR(R166 + 1),MONTH(R166 + 1),_DPP _Decenal),
IF(DAY(R166 + 1) &lt;= (_DPP _Decenal*2),
DATE(YEAR(R166 + 1),MONTH(R166 + 1),(_DPP _Decenal*2)),EOMONTH(R166 + 1,0)))</f>
        <v>43890</v>
      </c>
      <c r="S167" s="32">
        <f>_DPP _Decenal</f>
        <v>10</v>
      </c>
      <c r="T167" s="735"/>
      <c r="U167" s="78">
        <f t="shared" si="12"/>
        <v>46857</v>
      </c>
      <c r="V167" s="32">
        <f t="shared" si="14"/>
        <v>30</v>
      </c>
    </row>
    <row r="168" spans="5:22" x14ac:dyDescent="0.25">
      <c r="E168" s="100">
        <f t="shared" si="10"/>
        <v>30</v>
      </c>
      <c r="F168" s="700">
        <f>INDEX(_Datos 168:168,,MATCH(_Búsqueda_Fechas_Pago, _Datos _Headers,0))</f>
        <v>46950</v>
      </c>
      <c r="G168" s="736">
        <f>INDEX(_Datos 168:168,,MATCH(_Búsqueda_Duración, _Datos _Headers,0))</f>
        <v>30</v>
      </c>
      <c r="H168" s="735"/>
      <c r="I168" s="78">
        <f t="shared" si="11"/>
        <v>46950</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44666</v>
      </c>
      <c r="P168" s="32">
        <f>_DPP _Quincenal</f>
        <v>15</v>
      </c>
      <c r="Q168" s="735"/>
      <c r="R168" s="78">
        <f>IF(DAY(R167 + 1) &lt;= _DPP _Decenal,
DATE(YEAR(R167 + 1),MONTH(R167 + 1),_DPP _Decenal),
IF(DAY(R167 + 1) &lt;= (_DPP _Decenal*2),
DATE(YEAR(R167 + 1),MONTH(R167 + 1),(_DPP _Decenal*2)),EOMONTH(R167 + 1,0)))</f>
        <v>43900</v>
      </c>
      <c r="S168" s="32">
        <f>_DPP _Decenal</f>
        <v>10</v>
      </c>
      <c r="T168" s="735"/>
      <c r="U168" s="78">
        <f t="shared" si="12"/>
        <v>46887</v>
      </c>
      <c r="V168" s="32">
        <f t="shared" si="14"/>
        <v>30</v>
      </c>
    </row>
    <row r="169" spans="5:22" x14ac:dyDescent="0.25">
      <c r="E169" s="100">
        <f t="shared" si="10"/>
        <v>30</v>
      </c>
      <c r="F169" s="700">
        <f>INDEX(_Datos 169:169,,MATCH(_Búsqueda_Fechas_Pago, _Datos _Headers,0))</f>
        <v>46981</v>
      </c>
      <c r="G169" s="736">
        <f>INDEX(_Datos 169:169,,MATCH(_Búsqueda_Duración, _Datos _Headers,0))</f>
        <v>30</v>
      </c>
      <c r="H169" s="735"/>
      <c r="I169" s="78">
        <f t="shared" si="11"/>
        <v>46981</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44681</v>
      </c>
      <c r="P169" s="32">
        <f>_DPP _Quincenal</f>
        <v>15</v>
      </c>
      <c r="Q169" s="735"/>
      <c r="R169" s="78">
        <f>IF(DAY(R168 + 1) &lt;= _DPP _Decenal,
DATE(YEAR(R168 + 1),MONTH(R168 + 1),_DPP _Decenal),
IF(DAY(R168 + 1) &lt;= (_DPP _Decenal*2),
DATE(YEAR(R168 + 1),MONTH(R168 + 1),(_DPP _Decenal*2)),EOMONTH(R168 + 1,0)))</f>
        <v>43910</v>
      </c>
      <c r="S169" s="32">
        <f>_DPP _Decenal</f>
        <v>10</v>
      </c>
      <c r="T169" s="735"/>
      <c r="U169" s="78">
        <f t="shared" si="12"/>
        <v>46917</v>
      </c>
      <c r="V169" s="32">
        <f t="shared" si="14"/>
        <v>30</v>
      </c>
    </row>
    <row r="170" spans="5:22" x14ac:dyDescent="0.25">
      <c r="E170" s="100">
        <f t="shared" si="10"/>
        <v>30</v>
      </c>
      <c r="F170" s="700">
        <f>INDEX(_Datos 170:170,,MATCH(_Búsqueda_Fechas_Pago, _Datos _Headers,0))</f>
        <v>47012</v>
      </c>
      <c r="G170" s="736">
        <f>INDEX(_Datos 170:170,,MATCH(_Búsqueda_Duración, _Datos _Headers,0))</f>
        <v>30</v>
      </c>
      <c r="H170" s="735"/>
      <c r="I170" s="78">
        <f t="shared" si="11"/>
        <v>47012</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44696</v>
      </c>
      <c r="P170" s="32">
        <f>_DPP _Quincenal</f>
        <v>15</v>
      </c>
      <c r="Q170" s="735"/>
      <c r="R170" s="78">
        <f>IF(DAY(R169 + 1) &lt;= _DPP _Decenal,
DATE(YEAR(R169 + 1),MONTH(R169 + 1),_DPP _Decenal),
IF(DAY(R169 + 1) &lt;= (_DPP _Decenal*2),
DATE(YEAR(R169 + 1),MONTH(R169 + 1),(_DPP _Decenal*2)),EOMONTH(R169 + 1,0)))</f>
        <v>43921</v>
      </c>
      <c r="S170" s="32">
        <f>_DPP _Decenal</f>
        <v>10</v>
      </c>
      <c r="T170" s="735"/>
      <c r="U170" s="78">
        <f t="shared" si="12"/>
        <v>46947</v>
      </c>
      <c r="V170" s="32">
        <f t="shared" si="14"/>
        <v>30</v>
      </c>
    </row>
    <row r="171" spans="5:22" x14ac:dyDescent="0.25">
      <c r="E171" s="100">
        <f t="shared" si="10"/>
        <v>30</v>
      </c>
      <c r="F171" s="700">
        <f>INDEX(_Datos 171:171,,MATCH(_Búsqueda_Fechas_Pago, _Datos _Headers,0))</f>
        <v>47042</v>
      </c>
      <c r="G171" s="736">
        <f>INDEX(_Datos 171:171,,MATCH(_Búsqueda_Duración, _Datos _Headers,0))</f>
        <v>30</v>
      </c>
      <c r="H171" s="735"/>
      <c r="I171" s="78">
        <f t="shared" si="11"/>
        <v>47042</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44712</v>
      </c>
      <c r="P171" s="32">
        <f>_DPP _Quincenal</f>
        <v>15</v>
      </c>
      <c r="Q171" s="735"/>
      <c r="R171" s="78">
        <f>IF(DAY(R170 + 1) &lt;= _DPP _Decenal,
DATE(YEAR(R170 + 1),MONTH(R170 + 1),_DPP _Decenal),
IF(DAY(R170 + 1) &lt;= (_DPP _Decenal*2),
DATE(YEAR(R170 + 1),MONTH(R170 + 1),(_DPP _Decenal*2)),EOMONTH(R170 + 1,0)))</f>
        <v>43931</v>
      </c>
      <c r="S171" s="32">
        <f>_DPP _Decenal</f>
        <v>10</v>
      </c>
      <c r="T171" s="735"/>
      <c r="U171" s="78">
        <f t="shared" si="12"/>
        <v>46977</v>
      </c>
      <c r="V171" s="32">
        <f t="shared" si="14"/>
        <v>30</v>
      </c>
    </row>
    <row r="172" spans="5:22" x14ac:dyDescent="0.25">
      <c r="E172" s="100">
        <f t="shared" si="10"/>
        <v>30</v>
      </c>
      <c r="F172" s="700">
        <f>INDEX(_Datos 172:172,,MATCH(_Búsqueda_Fechas_Pago, _Datos _Headers,0))</f>
        <v>47073</v>
      </c>
      <c r="G172" s="736">
        <f>INDEX(_Datos 172:172,,MATCH(_Búsqueda_Duración, _Datos _Headers,0))</f>
        <v>30</v>
      </c>
      <c r="H172" s="735"/>
      <c r="I172" s="78">
        <f t="shared" si="11"/>
        <v>47073</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44727</v>
      </c>
      <c r="P172" s="32">
        <f>_DPP _Quincenal</f>
        <v>15</v>
      </c>
      <c r="Q172" s="735"/>
      <c r="R172" s="78">
        <f>IF(DAY(R171 + 1) &lt;= _DPP _Decenal,
DATE(YEAR(R171 + 1),MONTH(R171 + 1),_DPP _Decenal),
IF(DAY(R171 + 1) &lt;= (_DPP _Decenal*2),
DATE(YEAR(R171 + 1),MONTH(R171 + 1),(_DPP _Decenal*2)),EOMONTH(R171 + 1,0)))</f>
        <v>43941</v>
      </c>
      <c r="S172" s="32">
        <f>_DPP _Decenal</f>
        <v>10</v>
      </c>
      <c r="T172" s="735"/>
      <c r="U172" s="78">
        <f t="shared" si="12"/>
        <v>47007</v>
      </c>
      <c r="V172" s="32">
        <f t="shared" si="14"/>
        <v>30</v>
      </c>
    </row>
    <row r="173" spans="5:22" x14ac:dyDescent="0.25">
      <c r="E173" s="100">
        <f t="shared" si="10"/>
        <v>30</v>
      </c>
      <c r="F173" s="700">
        <f>INDEX(_Datos 173:173,,MATCH(_Búsqueda_Fechas_Pago, _Datos _Headers,0))</f>
        <v>47103</v>
      </c>
      <c r="G173" s="736">
        <f>INDEX(_Datos 173:173,,MATCH(_Búsqueda_Duración, _Datos _Headers,0))</f>
        <v>30</v>
      </c>
      <c r="H173" s="735"/>
      <c r="I173" s="78">
        <f t="shared" si="11"/>
        <v>47103</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44742</v>
      </c>
      <c r="P173" s="32">
        <f>_DPP _Quincenal</f>
        <v>15</v>
      </c>
      <c r="Q173" s="735"/>
      <c r="R173" s="78">
        <f>IF(DAY(R172 + 1) &lt;= _DPP _Decenal,
DATE(YEAR(R172 + 1),MONTH(R172 + 1),_DPP _Decenal),
IF(DAY(R172 + 1) &lt;= (_DPP _Decenal*2),
DATE(YEAR(R172 + 1),MONTH(R172 + 1),(_DPP _Decenal*2)),EOMONTH(R172 + 1,0)))</f>
        <v>43951</v>
      </c>
      <c r="S173" s="32">
        <f>_DPP _Decenal</f>
        <v>10</v>
      </c>
      <c r="T173" s="735"/>
      <c r="U173" s="78">
        <f t="shared" si="12"/>
        <v>47037</v>
      </c>
      <c r="V173" s="32">
        <f t="shared" si="14"/>
        <v>30</v>
      </c>
    </row>
    <row r="174" spans="5:22" x14ac:dyDescent="0.25">
      <c r="E174" s="100">
        <f t="shared" si="10"/>
        <v>30</v>
      </c>
      <c r="F174" s="700">
        <f>INDEX(_Datos 174:174,,MATCH(_Búsqueda_Fechas_Pago, _Datos _Headers,0))</f>
        <v>47134</v>
      </c>
      <c r="G174" s="736">
        <f>INDEX(_Datos 174:174,,MATCH(_Búsqueda_Duración, _Datos _Headers,0))</f>
        <v>30</v>
      </c>
      <c r="H174" s="735"/>
      <c r="I174" s="78">
        <f t="shared" si="11"/>
        <v>47134</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44757</v>
      </c>
      <c r="P174" s="32">
        <f>_DPP _Quincenal</f>
        <v>15</v>
      </c>
      <c r="Q174" s="735"/>
      <c r="R174" s="78">
        <f>IF(DAY(R173 + 1) &lt;= _DPP _Decenal,
DATE(YEAR(R173 + 1),MONTH(R173 + 1),_DPP _Decenal),
IF(DAY(R173 + 1) &lt;= (_DPP _Decenal*2),
DATE(YEAR(R173 + 1),MONTH(R173 + 1),(_DPP _Decenal*2)),EOMONTH(R173 + 1,0)))</f>
        <v>43961</v>
      </c>
      <c r="S174" s="32">
        <f>_DPP _Decenal</f>
        <v>10</v>
      </c>
      <c r="T174" s="735"/>
      <c r="U174" s="78">
        <f t="shared" si="12"/>
        <v>47067</v>
      </c>
      <c r="V174" s="32">
        <f t="shared" si="14"/>
        <v>30</v>
      </c>
    </row>
    <row r="175" spans="5:22" x14ac:dyDescent="0.25">
      <c r="E175" s="100">
        <f t="shared" si="10"/>
        <v>30</v>
      </c>
      <c r="F175" s="700">
        <f>INDEX(_Datos 175:175,,MATCH(_Búsqueda_Fechas_Pago, _Datos _Headers,0))</f>
        <v>47165</v>
      </c>
      <c r="G175" s="736">
        <f>INDEX(_Datos 175:175,,MATCH(_Búsqueda_Duración, _Datos _Headers,0))</f>
        <v>30</v>
      </c>
      <c r="H175" s="735"/>
      <c r="I175" s="78">
        <f t="shared" si="11"/>
        <v>47165</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44773</v>
      </c>
      <c r="P175" s="32">
        <f>_DPP _Quincenal</f>
        <v>15</v>
      </c>
      <c r="Q175" s="735"/>
      <c r="R175" s="78">
        <f>IF(DAY(R174 + 1) &lt;= _DPP _Decenal,
DATE(YEAR(R174 + 1),MONTH(R174 + 1),_DPP _Decenal),
IF(DAY(R174 + 1) &lt;= (_DPP _Decenal*2),
DATE(YEAR(R174 + 1),MONTH(R174 + 1),(_DPP _Decenal*2)),EOMONTH(R174 + 1,0)))</f>
        <v>43971</v>
      </c>
      <c r="S175" s="32">
        <f>_DPP _Decenal</f>
        <v>10</v>
      </c>
      <c r="T175" s="735"/>
      <c r="U175" s="78">
        <f t="shared" si="12"/>
        <v>47097</v>
      </c>
      <c r="V175" s="32">
        <f t="shared" si="14"/>
        <v>30</v>
      </c>
    </row>
    <row r="176" spans="5:22" x14ac:dyDescent="0.25">
      <c r="E176" s="100">
        <f t="shared" si="10"/>
        <v>30</v>
      </c>
      <c r="F176" s="700">
        <f>INDEX(_Datos 176:176,,MATCH(_Búsqueda_Fechas_Pago, _Datos _Headers,0))</f>
        <v>47193</v>
      </c>
      <c r="G176" s="736">
        <f>INDEX(_Datos 176:176,,MATCH(_Búsqueda_Duración, _Datos _Headers,0))</f>
        <v>30</v>
      </c>
      <c r="H176" s="735"/>
      <c r="I176" s="78">
        <f t="shared" si="11"/>
        <v>47193</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44788</v>
      </c>
      <c r="P176" s="32">
        <f>_DPP _Quincenal</f>
        <v>15</v>
      </c>
      <c r="Q176" s="735"/>
      <c r="R176" s="78">
        <f>IF(DAY(R175 + 1) &lt;= _DPP _Decenal,
DATE(YEAR(R175 + 1),MONTH(R175 + 1),_DPP _Decenal),
IF(DAY(R175 + 1) &lt;= (_DPP _Decenal*2),
DATE(YEAR(R175 + 1),MONTH(R175 + 1),(_DPP _Decenal*2)),EOMONTH(R175 + 1,0)))</f>
        <v>43982</v>
      </c>
      <c r="S176" s="32">
        <f>_DPP _Decenal</f>
        <v>10</v>
      </c>
      <c r="T176" s="735"/>
      <c r="U176" s="78">
        <f t="shared" si="12"/>
        <v>47127</v>
      </c>
      <c r="V176" s="32">
        <f t="shared" si="14"/>
        <v>30</v>
      </c>
    </row>
    <row r="177" spans="5:22" x14ac:dyDescent="0.25">
      <c r="E177" s="100">
        <f t="shared" si="10"/>
        <v>30</v>
      </c>
      <c r="F177" s="700">
        <f>INDEX(_Datos 177:177,,MATCH(_Búsqueda_Fechas_Pago, _Datos _Headers,0))</f>
        <v>47224</v>
      </c>
      <c r="G177" s="736">
        <f>INDEX(_Datos 177:177,,MATCH(_Búsqueda_Duración, _Datos _Headers,0))</f>
        <v>30</v>
      </c>
      <c r="H177" s="735"/>
      <c r="I177" s="78">
        <f t="shared" si="11"/>
        <v>47224</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44804</v>
      </c>
      <c r="P177" s="32">
        <f>_DPP _Quincenal</f>
        <v>15</v>
      </c>
      <c r="Q177" s="735"/>
      <c r="R177" s="78">
        <f>IF(DAY(R176 + 1) &lt;= _DPP _Decenal,
DATE(YEAR(R176 + 1),MONTH(R176 + 1),_DPP _Decenal),
IF(DAY(R176 + 1) &lt;= (_DPP _Decenal*2),
DATE(YEAR(R176 + 1),MONTH(R176 + 1),(_DPP _Decenal*2)),EOMONTH(R176 + 1,0)))</f>
        <v>43992</v>
      </c>
      <c r="S177" s="32">
        <f>_DPP _Decenal</f>
        <v>10</v>
      </c>
      <c r="T177" s="735"/>
      <c r="U177" s="78">
        <f t="shared" si="12"/>
        <v>47157</v>
      </c>
      <c r="V177" s="32">
        <f t="shared" si="14"/>
        <v>30</v>
      </c>
    </row>
    <row r="178" spans="5:22" x14ac:dyDescent="0.25">
      <c r="E178" s="100">
        <f t="shared" si="10"/>
        <v>30</v>
      </c>
      <c r="F178" s="700">
        <f>INDEX(_Datos 178:178,,MATCH(_Búsqueda_Fechas_Pago, _Datos _Headers,0))</f>
        <v>47254</v>
      </c>
      <c r="G178" s="736">
        <f>INDEX(_Datos 178:178,,MATCH(_Búsqueda_Duración, _Datos _Headers,0))</f>
        <v>30</v>
      </c>
      <c r="H178" s="735"/>
      <c r="I178" s="78">
        <f t="shared" si="11"/>
        <v>47254</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44819</v>
      </c>
      <c r="P178" s="32">
        <f>_DPP _Quincenal</f>
        <v>15</v>
      </c>
      <c r="Q178" s="735"/>
      <c r="R178" s="78">
        <f>IF(DAY(R177 + 1) &lt;= _DPP _Decenal,
DATE(YEAR(R177 + 1),MONTH(R177 + 1),_DPP _Decenal),
IF(DAY(R177 + 1) &lt;= (_DPP _Decenal*2),
DATE(YEAR(R177 + 1),MONTH(R177 + 1),(_DPP _Decenal*2)),EOMONTH(R177 + 1,0)))</f>
        <v>44002</v>
      </c>
      <c r="S178" s="32">
        <f>_DPP _Decenal</f>
        <v>10</v>
      </c>
      <c r="T178" s="735"/>
      <c r="U178" s="78">
        <f t="shared" si="12"/>
        <v>47187</v>
      </c>
      <c r="V178" s="32">
        <f t="shared" si="14"/>
        <v>30</v>
      </c>
    </row>
    <row r="179" spans="5:22" x14ac:dyDescent="0.25">
      <c r="E179" s="100">
        <f t="shared" si="10"/>
        <v>30</v>
      </c>
      <c r="F179" s="700">
        <f>INDEX(_Datos 179:179,,MATCH(_Búsqueda_Fechas_Pago, _Datos _Headers,0))</f>
        <v>47285</v>
      </c>
      <c r="G179" s="736">
        <f>INDEX(_Datos 179:179,,MATCH(_Búsqueda_Duración, _Datos _Headers,0))</f>
        <v>30</v>
      </c>
      <c r="H179" s="735"/>
      <c r="I179" s="78">
        <f t="shared" si="11"/>
        <v>47285</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44834</v>
      </c>
      <c r="P179" s="32">
        <f>_DPP _Quincenal</f>
        <v>15</v>
      </c>
      <c r="Q179" s="735"/>
      <c r="R179" s="78">
        <f>IF(DAY(R178 + 1) &lt;= _DPP _Decenal,
DATE(YEAR(R178 + 1),MONTH(R178 + 1),_DPP _Decenal),
IF(DAY(R178 + 1) &lt;= (_DPP _Decenal*2),
DATE(YEAR(R178 + 1),MONTH(R178 + 1),(_DPP _Decenal*2)),EOMONTH(R178 + 1,0)))</f>
        <v>44012</v>
      </c>
      <c r="S179" s="32">
        <f>_DPP _Decenal</f>
        <v>10</v>
      </c>
      <c r="T179" s="735"/>
      <c r="U179" s="78">
        <f t="shared" si="12"/>
        <v>47217</v>
      </c>
      <c r="V179" s="32">
        <f t="shared" si="14"/>
        <v>30</v>
      </c>
    </row>
    <row r="180" spans="5:22" x14ac:dyDescent="0.25">
      <c r="E180" s="100">
        <f t="shared" si="10"/>
        <v>30</v>
      </c>
      <c r="F180" s="700">
        <f>INDEX(_Datos 180:180,,MATCH(_Búsqueda_Fechas_Pago, _Datos _Headers,0))</f>
        <v>47315</v>
      </c>
      <c r="G180" s="736">
        <f>INDEX(_Datos 180:180,,MATCH(_Búsqueda_Duración, _Datos _Headers,0))</f>
        <v>30</v>
      </c>
      <c r="H180" s="735"/>
      <c r="I180" s="78">
        <f t="shared" si="11"/>
        <v>47315</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44849</v>
      </c>
      <c r="P180" s="32">
        <f>_DPP _Quincenal</f>
        <v>15</v>
      </c>
      <c r="Q180" s="735"/>
      <c r="R180" s="78">
        <f>IF(DAY(R179 + 1) &lt;= _DPP _Decenal,
DATE(YEAR(R179 + 1),MONTH(R179 + 1),_DPP _Decenal),
IF(DAY(R179 + 1) &lt;= (_DPP _Decenal*2),
DATE(YEAR(R179 + 1),MONTH(R179 + 1),(_DPP _Decenal*2)),EOMONTH(R179 + 1,0)))</f>
        <v>44022</v>
      </c>
      <c r="S180" s="32">
        <f>_DPP _Decenal</f>
        <v>10</v>
      </c>
      <c r="T180" s="735"/>
      <c r="U180" s="78">
        <f t="shared" si="12"/>
        <v>47247</v>
      </c>
      <c r="V180" s="32">
        <f t="shared" si="14"/>
        <v>30</v>
      </c>
    </row>
    <row r="181" spans="5:22" x14ac:dyDescent="0.25">
      <c r="E181" s="100">
        <f t="shared" si="10"/>
        <v>30</v>
      </c>
      <c r="F181" s="700">
        <f>INDEX(_Datos 181:181,,MATCH(_Búsqueda_Fechas_Pago, _Datos _Headers,0))</f>
        <v>47346</v>
      </c>
      <c r="G181" s="736">
        <f>INDEX(_Datos 181:181,,MATCH(_Búsqueda_Duración, _Datos _Headers,0))</f>
        <v>30</v>
      </c>
      <c r="H181" s="735"/>
      <c r="I181" s="78">
        <f t="shared" si="11"/>
        <v>47346</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44865</v>
      </c>
      <c r="P181" s="32">
        <f>_DPP _Quincenal</f>
        <v>15</v>
      </c>
      <c r="Q181" s="735"/>
      <c r="R181" s="78">
        <f>IF(DAY(R180 + 1) &lt;= _DPP _Decenal,
DATE(YEAR(R180 + 1),MONTH(R180 + 1),_DPP _Decenal),
IF(DAY(R180 + 1) &lt;= (_DPP _Decenal*2),
DATE(YEAR(R180 + 1),MONTH(R180 + 1),(_DPP _Decenal*2)),EOMONTH(R180 + 1,0)))</f>
        <v>44032</v>
      </c>
      <c r="S181" s="32">
        <f>_DPP _Decenal</f>
        <v>10</v>
      </c>
      <c r="T181" s="735"/>
      <c r="U181" s="78">
        <f t="shared" si="12"/>
        <v>47277</v>
      </c>
      <c r="V181" s="32">
        <f t="shared" si="14"/>
        <v>30</v>
      </c>
    </row>
    <row r="182" spans="5:22" x14ac:dyDescent="0.25">
      <c r="E182" s="100">
        <f t="shared" si="10"/>
        <v>30</v>
      </c>
      <c r="F182" s="700">
        <f>INDEX(_Datos 182:182,,MATCH(_Búsqueda_Fechas_Pago, _Datos _Headers,0))</f>
        <v>47377</v>
      </c>
      <c r="G182" s="736">
        <f>INDEX(_Datos 182:182,,MATCH(_Búsqueda_Duración, _Datos _Headers,0))</f>
        <v>30</v>
      </c>
      <c r="H182" s="735"/>
      <c r="I182" s="78">
        <f t="shared" si="11"/>
        <v>47377</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44880</v>
      </c>
      <c r="P182" s="32">
        <f>_DPP _Quincenal</f>
        <v>15</v>
      </c>
      <c r="Q182" s="735"/>
      <c r="R182" s="78">
        <f>IF(DAY(R181 + 1) &lt;= _DPP _Decenal,
DATE(YEAR(R181 + 1),MONTH(R181 + 1),_DPP _Decenal),
IF(DAY(R181 + 1) &lt;= (_DPP _Decenal*2),
DATE(YEAR(R181 + 1),MONTH(R181 + 1),(_DPP _Decenal*2)),EOMONTH(R181 + 1,0)))</f>
        <v>44043</v>
      </c>
      <c r="S182" s="32">
        <f>_DPP _Decenal</f>
        <v>10</v>
      </c>
      <c r="T182" s="735"/>
      <c r="U182" s="78">
        <f t="shared" si="12"/>
        <v>47307</v>
      </c>
      <c r="V182" s="32">
        <f t="shared" si="14"/>
        <v>30</v>
      </c>
    </row>
    <row r="183" spans="5:22" x14ac:dyDescent="0.25">
      <c r="E183" s="100">
        <f t="shared" si="10"/>
        <v>30</v>
      </c>
      <c r="F183" s="700">
        <f>INDEX(_Datos 183:183,,MATCH(_Búsqueda_Fechas_Pago, _Datos _Headers,0))</f>
        <v>47407</v>
      </c>
      <c r="G183" s="736">
        <f>INDEX(_Datos 183:183,,MATCH(_Búsqueda_Duración, _Datos _Headers,0))</f>
        <v>30</v>
      </c>
      <c r="H183" s="735"/>
      <c r="I183" s="78">
        <f t="shared" si="11"/>
        <v>47407</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44895</v>
      </c>
      <c r="P183" s="32">
        <f>_DPP _Quincenal</f>
        <v>15</v>
      </c>
      <c r="Q183" s="735"/>
      <c r="R183" s="78">
        <f>IF(DAY(R182 + 1) &lt;= _DPP _Decenal,
DATE(YEAR(R182 + 1),MONTH(R182 + 1),_DPP _Decenal),
IF(DAY(R182 + 1) &lt;= (_DPP _Decenal*2),
DATE(YEAR(R182 + 1),MONTH(R182 + 1),(_DPP _Decenal*2)),EOMONTH(R182 + 1,0)))</f>
        <v>44053</v>
      </c>
      <c r="S183" s="32">
        <f>_DPP _Decenal</f>
        <v>10</v>
      </c>
      <c r="T183" s="735"/>
      <c r="U183" s="78">
        <f t="shared" si="12"/>
        <v>47337</v>
      </c>
      <c r="V183" s="32">
        <f t="shared" si="14"/>
        <v>30</v>
      </c>
    </row>
    <row r="184" spans="5:22" x14ac:dyDescent="0.25">
      <c r="E184" s="100">
        <f t="shared" si="10"/>
        <v>30</v>
      </c>
      <c r="F184" s="700">
        <f>INDEX(_Datos 184:184,,MATCH(_Búsqueda_Fechas_Pago, _Datos _Headers,0))</f>
        <v>47438</v>
      </c>
      <c r="G184" s="736">
        <f>INDEX(_Datos 184:184,,MATCH(_Búsqueda_Duración, _Datos _Headers,0))</f>
        <v>30</v>
      </c>
      <c r="H184" s="735"/>
      <c r="I184" s="78">
        <f t="shared" si="11"/>
        <v>47438</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44910</v>
      </c>
      <c r="P184" s="32">
        <f>_DPP _Quincenal</f>
        <v>15</v>
      </c>
      <c r="Q184" s="735"/>
      <c r="R184" s="78">
        <f>IF(DAY(R183 + 1) &lt;= _DPP _Decenal,
DATE(YEAR(R183 + 1),MONTH(R183 + 1),_DPP _Decenal),
IF(DAY(R183 + 1) &lt;= (_DPP _Decenal*2),
DATE(YEAR(R183 + 1),MONTH(R183 + 1),(_DPP _Decenal*2)),EOMONTH(R183 + 1,0)))</f>
        <v>44063</v>
      </c>
      <c r="S184" s="32">
        <f>_DPP _Decenal</f>
        <v>10</v>
      </c>
      <c r="T184" s="735"/>
      <c r="U184" s="78">
        <f t="shared" si="12"/>
        <v>47367</v>
      </c>
      <c r="V184" s="32">
        <f t="shared" si="14"/>
        <v>30</v>
      </c>
    </row>
    <row r="185" spans="5:22" x14ac:dyDescent="0.25">
      <c r="E185" s="100">
        <f t="shared" si="10"/>
        <v>30</v>
      </c>
      <c r="F185" s="700">
        <f>INDEX(_Datos 185:185,,MATCH(_Búsqueda_Fechas_Pago, _Datos _Headers,0))</f>
        <v>47468</v>
      </c>
      <c r="G185" s="736">
        <f>INDEX(_Datos 185:185,,MATCH(_Búsqueda_Duración, _Datos _Headers,0))</f>
        <v>30</v>
      </c>
      <c r="H185" s="735"/>
      <c r="I185" s="78">
        <f t="shared" si="11"/>
        <v>47468</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44926</v>
      </c>
      <c r="P185" s="32">
        <f>_DPP _Quincenal</f>
        <v>15</v>
      </c>
      <c r="Q185" s="735"/>
      <c r="R185" s="78">
        <f>IF(DAY(R184 + 1) &lt;= _DPP _Decenal,
DATE(YEAR(R184 + 1),MONTH(R184 + 1),_DPP _Decenal),
IF(DAY(R184 + 1) &lt;= (_DPP _Decenal*2),
DATE(YEAR(R184 + 1),MONTH(R184 + 1),(_DPP _Decenal*2)),EOMONTH(R184 + 1,0)))</f>
        <v>44074</v>
      </c>
      <c r="S185" s="32">
        <f>_DPP _Decenal</f>
        <v>10</v>
      </c>
      <c r="T185" s="735"/>
      <c r="U185" s="78">
        <f t="shared" si="12"/>
        <v>47397</v>
      </c>
      <c r="V185" s="32">
        <f t="shared" si="14"/>
        <v>30</v>
      </c>
    </row>
    <row r="186" spans="5:22" x14ac:dyDescent="0.25">
      <c r="E186" s="100">
        <f t="shared" si="10"/>
        <v>30</v>
      </c>
      <c r="F186" s="700">
        <f>INDEX(_Datos 186:186,,MATCH(_Búsqueda_Fechas_Pago, _Datos _Headers,0))</f>
        <v>47499</v>
      </c>
      <c r="G186" s="736">
        <f>INDEX(_Datos 186:186,,MATCH(_Búsqueda_Duración, _Datos _Headers,0))</f>
        <v>30</v>
      </c>
      <c r="H186" s="735"/>
      <c r="I186" s="78">
        <f t="shared" si="11"/>
        <v>47499</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44941</v>
      </c>
      <c r="P186" s="32">
        <f>_DPP _Quincenal</f>
        <v>15</v>
      </c>
      <c r="Q186" s="735"/>
      <c r="R186" s="78">
        <f>IF(DAY(R185 + 1) &lt;= _DPP _Decenal,
DATE(YEAR(R185 + 1),MONTH(R185 + 1),_DPP _Decenal),
IF(DAY(R185 + 1) &lt;= (_DPP _Decenal*2),
DATE(YEAR(R185 + 1),MONTH(R185 + 1),(_DPP _Decenal*2)),EOMONTH(R185 + 1,0)))</f>
        <v>44084</v>
      </c>
      <c r="S186" s="32">
        <f>_DPP _Decenal</f>
        <v>10</v>
      </c>
      <c r="T186" s="735"/>
      <c r="U186" s="78">
        <f t="shared" si="12"/>
        <v>47427</v>
      </c>
      <c r="V186" s="32">
        <f t="shared" si="14"/>
        <v>30</v>
      </c>
    </row>
    <row r="187" spans="5:22" x14ac:dyDescent="0.25">
      <c r="E187" s="100">
        <f t="shared" si="10"/>
        <v>30</v>
      </c>
      <c r="F187" s="700">
        <f>INDEX(_Datos 187:187,,MATCH(_Búsqueda_Fechas_Pago, _Datos _Headers,0))</f>
        <v>47530</v>
      </c>
      <c r="G187" s="736">
        <f>INDEX(_Datos 187:187,,MATCH(_Búsqueda_Duración, _Datos _Headers,0))</f>
        <v>30</v>
      </c>
      <c r="H187" s="735"/>
      <c r="I187" s="78">
        <f t="shared" si="11"/>
        <v>47530</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44957</v>
      </c>
      <c r="P187" s="32">
        <f>_DPP _Quincenal</f>
        <v>15</v>
      </c>
      <c r="Q187" s="735"/>
      <c r="R187" s="78">
        <f>IF(DAY(R186 + 1) &lt;= _DPP _Decenal,
DATE(YEAR(R186 + 1),MONTH(R186 + 1),_DPP _Decenal),
IF(DAY(R186 + 1) &lt;= (_DPP _Decenal*2),
DATE(YEAR(R186 + 1),MONTH(R186 + 1),(_DPP _Decenal*2)),EOMONTH(R186 + 1,0)))</f>
        <v>44094</v>
      </c>
      <c r="S187" s="32">
        <f>_DPP _Decenal</f>
        <v>10</v>
      </c>
      <c r="T187" s="735"/>
      <c r="U187" s="78">
        <f t="shared" si="12"/>
        <v>47457</v>
      </c>
      <c r="V187" s="32">
        <f t="shared" si="14"/>
        <v>30</v>
      </c>
    </row>
    <row r="188" spans="5:22" x14ac:dyDescent="0.25">
      <c r="E188" s="100">
        <f t="shared" si="10"/>
        <v>30</v>
      </c>
      <c r="F188" s="700">
        <f>INDEX(_Datos 188:188,,MATCH(_Búsqueda_Fechas_Pago, _Datos _Headers,0))</f>
        <v>47558</v>
      </c>
      <c r="G188" s="736">
        <f>INDEX(_Datos 188:188,,MATCH(_Búsqueda_Duración, _Datos _Headers,0))</f>
        <v>30</v>
      </c>
      <c r="H188" s="735"/>
      <c r="I188" s="78">
        <f t="shared" si="11"/>
        <v>47558</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44972</v>
      </c>
      <c r="P188" s="32">
        <f>_DPP _Quincenal</f>
        <v>15</v>
      </c>
      <c r="Q188" s="735"/>
      <c r="R188" s="78">
        <f>IF(DAY(R187 + 1) &lt;= _DPP _Decenal,
DATE(YEAR(R187 + 1),MONTH(R187 + 1),_DPP _Decenal),
IF(DAY(R187 + 1) &lt;= (_DPP _Decenal*2),
DATE(YEAR(R187 + 1),MONTH(R187 + 1),(_DPP _Decenal*2)),EOMONTH(R187 + 1,0)))</f>
        <v>44104</v>
      </c>
      <c r="S188" s="32">
        <f>_DPP _Decenal</f>
        <v>10</v>
      </c>
      <c r="T188" s="735"/>
      <c r="U188" s="78">
        <f t="shared" si="12"/>
        <v>47487</v>
      </c>
      <c r="V188" s="32">
        <f t="shared" si="14"/>
        <v>30</v>
      </c>
    </row>
    <row r="189" spans="5:22" x14ac:dyDescent="0.25">
      <c r="E189" s="100">
        <f t="shared" si="10"/>
        <v>30</v>
      </c>
      <c r="F189" s="700">
        <f>INDEX(_Datos 189:189,,MATCH(_Búsqueda_Fechas_Pago, _Datos _Headers,0))</f>
        <v>47589</v>
      </c>
      <c r="G189" s="736">
        <f>INDEX(_Datos 189:189,,MATCH(_Búsqueda_Duración, _Datos _Headers,0))</f>
        <v>30</v>
      </c>
      <c r="H189" s="735"/>
      <c r="I189" s="78">
        <f t="shared" si="11"/>
        <v>47589</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44985</v>
      </c>
      <c r="P189" s="32">
        <f>_DPP _Quincenal</f>
        <v>15</v>
      </c>
      <c r="Q189" s="735"/>
      <c r="R189" s="78">
        <f>IF(DAY(R188 + 1) &lt;= _DPP _Decenal,
DATE(YEAR(R188 + 1),MONTH(R188 + 1),_DPP _Decenal),
IF(DAY(R188 + 1) &lt;= (_DPP _Decenal*2),
DATE(YEAR(R188 + 1),MONTH(R188 + 1),(_DPP _Decenal*2)),EOMONTH(R188 + 1,0)))</f>
        <v>44114</v>
      </c>
      <c r="S189" s="32">
        <f>_DPP _Decenal</f>
        <v>10</v>
      </c>
      <c r="T189" s="735"/>
      <c r="U189" s="78">
        <f t="shared" si="12"/>
        <v>47517</v>
      </c>
      <c r="V189" s="32">
        <f t="shared" si="14"/>
        <v>30</v>
      </c>
    </row>
    <row r="190" spans="5:22" x14ac:dyDescent="0.25">
      <c r="E190" s="100">
        <f t="shared" si="10"/>
        <v>30</v>
      </c>
      <c r="F190" s="700">
        <f>INDEX(_Datos 190:190,,MATCH(_Búsqueda_Fechas_Pago, _Datos _Headers,0))</f>
        <v>47619</v>
      </c>
      <c r="G190" s="736">
        <f>INDEX(_Datos 190:190,,MATCH(_Búsqueda_Duración, _Datos _Headers,0))</f>
        <v>30</v>
      </c>
      <c r="H190" s="735"/>
      <c r="I190" s="78">
        <f t="shared" si="11"/>
        <v>47619</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45000</v>
      </c>
      <c r="P190" s="32">
        <f>_DPP _Quincenal</f>
        <v>15</v>
      </c>
      <c r="Q190" s="735"/>
      <c r="R190" s="78">
        <f>IF(DAY(R189 + 1) &lt;= _DPP _Decenal,
DATE(YEAR(R189 + 1),MONTH(R189 + 1),_DPP _Decenal),
IF(DAY(R189 + 1) &lt;= (_DPP _Decenal*2),
DATE(YEAR(R189 + 1),MONTH(R189 + 1),(_DPP _Decenal*2)),EOMONTH(R189 + 1,0)))</f>
        <v>44124</v>
      </c>
      <c r="S190" s="32">
        <f>_DPP _Decenal</f>
        <v>10</v>
      </c>
      <c r="T190" s="735"/>
      <c r="U190" s="78">
        <f t="shared" si="12"/>
        <v>47547</v>
      </c>
      <c r="V190" s="32">
        <f t="shared" si="14"/>
        <v>30</v>
      </c>
    </row>
    <row r="191" spans="5:22" x14ac:dyDescent="0.25">
      <c r="E191" s="100">
        <f t="shared" si="10"/>
        <v>30</v>
      </c>
      <c r="F191" s="700">
        <f>INDEX(_Datos 191:191,,MATCH(_Búsqueda_Fechas_Pago, _Datos _Headers,0))</f>
        <v>47650</v>
      </c>
      <c r="G191" s="736">
        <f>INDEX(_Datos 191:191,,MATCH(_Búsqueda_Duración, _Datos _Headers,0))</f>
        <v>30</v>
      </c>
      <c r="H191" s="735"/>
      <c r="I191" s="78">
        <f t="shared" si="11"/>
        <v>47650</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45016</v>
      </c>
      <c r="P191" s="32">
        <f>_DPP _Quincenal</f>
        <v>15</v>
      </c>
      <c r="Q191" s="735"/>
      <c r="R191" s="78">
        <f>IF(DAY(R190 + 1) &lt;= _DPP _Decenal,
DATE(YEAR(R190 + 1),MONTH(R190 + 1),_DPP _Decenal),
IF(DAY(R190 + 1) &lt;= (_DPP _Decenal*2),
DATE(YEAR(R190 + 1),MONTH(R190 + 1),(_DPP _Decenal*2)),EOMONTH(R190 + 1,0)))</f>
        <v>44135</v>
      </c>
      <c r="S191" s="32">
        <f>_DPP _Decenal</f>
        <v>10</v>
      </c>
      <c r="T191" s="735"/>
      <c r="U191" s="78">
        <f t="shared" si="12"/>
        <v>47577</v>
      </c>
      <c r="V191" s="32">
        <f t="shared" si="14"/>
        <v>30</v>
      </c>
    </row>
    <row r="192" spans="5:22" x14ac:dyDescent="0.25">
      <c r="E192" s="100">
        <f t="shared" si="10"/>
        <v>30</v>
      </c>
      <c r="F192" s="700">
        <f>INDEX(_Datos 192:192,,MATCH(_Búsqueda_Fechas_Pago, _Datos _Headers,0))</f>
        <v>47680</v>
      </c>
      <c r="G192" s="736">
        <f>INDEX(_Datos 192:192,,MATCH(_Búsqueda_Duración, _Datos _Headers,0))</f>
        <v>30</v>
      </c>
      <c r="H192" s="735"/>
      <c r="I192" s="78">
        <f t="shared" si="11"/>
        <v>47680</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45031</v>
      </c>
      <c r="P192" s="32">
        <f>_DPP _Quincenal</f>
        <v>15</v>
      </c>
      <c r="Q192" s="735"/>
      <c r="R192" s="78">
        <f>IF(DAY(R191 + 1) &lt;= _DPP _Decenal,
DATE(YEAR(R191 + 1),MONTH(R191 + 1),_DPP _Decenal),
IF(DAY(R191 + 1) &lt;= (_DPP _Decenal*2),
DATE(YEAR(R191 + 1),MONTH(R191 + 1),(_DPP _Decenal*2)),EOMONTH(R191 + 1,0)))</f>
        <v>44145</v>
      </c>
      <c r="S192" s="32">
        <f>_DPP _Decenal</f>
        <v>10</v>
      </c>
      <c r="T192" s="735"/>
      <c r="U192" s="78">
        <f t="shared" si="12"/>
        <v>47607</v>
      </c>
      <c r="V192" s="32">
        <f t="shared" si="14"/>
        <v>30</v>
      </c>
    </row>
    <row r="193" spans="5:22" x14ac:dyDescent="0.25">
      <c r="E193" s="100">
        <f t="shared" si="10"/>
        <v>30</v>
      </c>
      <c r="F193" s="700">
        <f>INDEX(_Datos 193:193,,MATCH(_Búsqueda_Fechas_Pago, _Datos _Headers,0))</f>
        <v>47711</v>
      </c>
      <c r="G193" s="736">
        <f>INDEX(_Datos 193:193,,MATCH(_Búsqueda_Duración, _Datos _Headers,0))</f>
        <v>30</v>
      </c>
      <c r="H193" s="735"/>
      <c r="I193" s="78">
        <f t="shared" si="11"/>
        <v>47711</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45046</v>
      </c>
      <c r="P193" s="32">
        <f>_DPP _Quincenal</f>
        <v>15</v>
      </c>
      <c r="Q193" s="735"/>
      <c r="R193" s="78">
        <f>IF(DAY(R192 + 1) &lt;= _DPP _Decenal,
DATE(YEAR(R192 + 1),MONTH(R192 + 1),_DPP _Decenal),
IF(DAY(R192 + 1) &lt;= (_DPP _Decenal*2),
DATE(YEAR(R192 + 1),MONTH(R192 + 1),(_DPP _Decenal*2)),EOMONTH(R192 + 1,0)))</f>
        <v>44155</v>
      </c>
      <c r="S193" s="32">
        <f>_DPP _Decenal</f>
        <v>10</v>
      </c>
      <c r="T193" s="735"/>
      <c r="U193" s="78">
        <f t="shared" si="12"/>
        <v>47637</v>
      </c>
      <c r="V193" s="32">
        <f t="shared" si="14"/>
        <v>30</v>
      </c>
    </row>
    <row r="194" spans="5:22" x14ac:dyDescent="0.25">
      <c r="E194" s="100">
        <f t="shared" si="10"/>
        <v>30</v>
      </c>
      <c r="F194" s="700">
        <f>INDEX(_Datos 194:194,,MATCH(_Búsqueda_Fechas_Pago, _Datos _Headers,0))</f>
        <v>47742</v>
      </c>
      <c r="G194" s="736">
        <f>INDEX(_Datos 194:194,,MATCH(_Búsqueda_Duración, _Datos _Headers,0))</f>
        <v>30</v>
      </c>
      <c r="H194" s="735"/>
      <c r="I194" s="78">
        <f t="shared" si="11"/>
        <v>47742</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45061</v>
      </c>
      <c r="P194" s="32">
        <f>_DPP _Quincenal</f>
        <v>15</v>
      </c>
      <c r="Q194" s="735"/>
      <c r="R194" s="78">
        <f>IF(DAY(R193 + 1) &lt;= _DPP _Decenal,
DATE(YEAR(R193 + 1),MONTH(R193 + 1),_DPP _Decenal),
IF(DAY(R193 + 1) &lt;= (_DPP _Decenal*2),
DATE(YEAR(R193 + 1),MONTH(R193 + 1),(_DPP _Decenal*2)),EOMONTH(R193 + 1,0)))</f>
        <v>44165</v>
      </c>
      <c r="S194" s="32">
        <f>_DPP _Decenal</f>
        <v>10</v>
      </c>
      <c r="T194" s="735"/>
      <c r="U194" s="78">
        <f t="shared" si="12"/>
        <v>47667</v>
      </c>
      <c r="V194" s="32">
        <f t="shared" si="14"/>
        <v>30</v>
      </c>
    </row>
    <row r="195" spans="5:22" x14ac:dyDescent="0.25">
      <c r="E195" s="100">
        <f t="shared" si="10"/>
        <v>30</v>
      </c>
      <c r="F195" s="700">
        <f>INDEX(_Datos 195:195,,MATCH(_Búsqueda_Fechas_Pago, _Datos _Headers,0))</f>
        <v>47772</v>
      </c>
      <c r="G195" s="736">
        <f>INDEX(_Datos 195:195,,MATCH(_Búsqueda_Duración, _Datos _Headers,0))</f>
        <v>30</v>
      </c>
      <c r="H195" s="735"/>
      <c r="I195" s="78">
        <f t="shared" si="11"/>
        <v>47772</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45077</v>
      </c>
      <c r="P195" s="32">
        <f>_DPP _Quincenal</f>
        <v>15</v>
      </c>
      <c r="Q195" s="735"/>
      <c r="R195" s="78">
        <f>IF(DAY(R194 + 1) &lt;= _DPP _Decenal,
DATE(YEAR(R194 + 1),MONTH(R194 + 1),_DPP _Decenal),
IF(DAY(R194 + 1) &lt;= (_DPP _Decenal*2),
DATE(YEAR(R194 + 1),MONTH(R194 + 1),(_DPP _Decenal*2)),EOMONTH(R194 + 1,0)))</f>
        <v>44175</v>
      </c>
      <c r="S195" s="32">
        <f>_DPP _Decenal</f>
        <v>10</v>
      </c>
      <c r="T195" s="735"/>
      <c r="U195" s="78">
        <f t="shared" si="12"/>
        <v>47697</v>
      </c>
      <c r="V195" s="32">
        <f t="shared" si="14"/>
        <v>30</v>
      </c>
    </row>
    <row r="196" spans="5:22" x14ac:dyDescent="0.25">
      <c r="E196" s="100">
        <f t="shared" si="10"/>
        <v>30</v>
      </c>
      <c r="F196" s="700">
        <f>INDEX(_Datos 196:196,,MATCH(_Búsqueda_Fechas_Pago, _Datos _Headers,0))</f>
        <v>47803</v>
      </c>
      <c r="G196" s="736">
        <f>INDEX(_Datos 196:196,,MATCH(_Búsqueda_Duración, _Datos _Headers,0))</f>
        <v>30</v>
      </c>
      <c r="H196" s="735"/>
      <c r="I196" s="78">
        <f t="shared" si="11"/>
        <v>47803</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45092</v>
      </c>
      <c r="P196" s="32">
        <f>_DPP _Quincenal</f>
        <v>15</v>
      </c>
      <c r="Q196" s="735"/>
      <c r="R196" s="78">
        <f>IF(DAY(R195 + 1) &lt;= _DPP _Decenal,
DATE(YEAR(R195 + 1),MONTH(R195 + 1),_DPP _Decenal),
IF(DAY(R195 + 1) &lt;= (_DPP _Decenal*2),
DATE(YEAR(R195 + 1),MONTH(R195 + 1),(_DPP _Decenal*2)),EOMONTH(R195 + 1,0)))</f>
        <v>44185</v>
      </c>
      <c r="S196" s="32">
        <f>_DPP _Decenal</f>
        <v>10</v>
      </c>
      <c r="T196" s="735"/>
      <c r="U196" s="78">
        <f t="shared" si="12"/>
        <v>47727</v>
      </c>
      <c r="V196" s="32">
        <f t="shared" si="14"/>
        <v>30</v>
      </c>
    </row>
    <row r="197" spans="5:22" x14ac:dyDescent="0.25">
      <c r="E197" s="100">
        <f t="shared" si="10"/>
        <v>30</v>
      </c>
      <c r="F197" s="700">
        <f>INDEX(_Datos 197:197,,MATCH(_Búsqueda_Fechas_Pago, _Datos _Headers,0))</f>
        <v>47833</v>
      </c>
      <c r="G197" s="736">
        <f>INDEX(_Datos 197:197,,MATCH(_Búsqueda_Duración, _Datos _Headers,0))</f>
        <v>30</v>
      </c>
      <c r="H197" s="735"/>
      <c r="I197" s="78">
        <f t="shared" si="11"/>
        <v>47833</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45107</v>
      </c>
      <c r="P197" s="32">
        <f>_DPP _Quincenal</f>
        <v>15</v>
      </c>
      <c r="Q197" s="735"/>
      <c r="R197" s="78">
        <f>IF(DAY(R196 + 1) &lt;= _DPP _Decenal,
DATE(YEAR(R196 + 1),MONTH(R196 + 1),_DPP _Decenal),
IF(DAY(R196 + 1) &lt;= (_DPP _Decenal*2),
DATE(YEAR(R196 + 1),MONTH(R196 + 1),(_DPP _Decenal*2)),EOMONTH(R196 + 1,0)))</f>
        <v>44196</v>
      </c>
      <c r="S197" s="32">
        <f>_DPP _Decenal</f>
        <v>10</v>
      </c>
      <c r="T197" s="735"/>
      <c r="U197" s="78">
        <f t="shared" si="12"/>
        <v>47757</v>
      </c>
      <c r="V197" s="32">
        <f t="shared" si="14"/>
        <v>30</v>
      </c>
    </row>
    <row r="198" spans="5:22" x14ac:dyDescent="0.25">
      <c r="E198" s="100">
        <f t="shared" si="10"/>
        <v>30</v>
      </c>
      <c r="F198" s="700">
        <f>INDEX(_Datos 198:198,,MATCH(_Búsqueda_Fechas_Pago, _Datos _Headers,0))</f>
        <v>47864</v>
      </c>
      <c r="G198" s="736">
        <f>INDEX(_Datos 198:198,,MATCH(_Búsqueda_Duración, _Datos _Headers,0))</f>
        <v>30</v>
      </c>
      <c r="H198" s="735"/>
      <c r="I198" s="78">
        <f t="shared" si="11"/>
        <v>47864</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45122</v>
      </c>
      <c r="P198" s="32">
        <f>_DPP _Quincenal</f>
        <v>15</v>
      </c>
      <c r="Q198" s="735"/>
      <c r="R198" s="78">
        <f>IF(DAY(R197 + 1) &lt;= _DPP _Decenal,
DATE(YEAR(R197 + 1),MONTH(R197 + 1),_DPP _Decenal),
IF(DAY(R197 + 1) &lt;= (_DPP _Decenal*2),
DATE(YEAR(R197 + 1),MONTH(R197 + 1),(_DPP _Decenal*2)),EOMONTH(R197 + 1,0)))</f>
        <v>44206</v>
      </c>
      <c r="S198" s="32">
        <f>_DPP _Decenal</f>
        <v>10</v>
      </c>
      <c r="T198" s="735"/>
      <c r="U198" s="78">
        <f t="shared" si="12"/>
        <v>47787</v>
      </c>
      <c r="V198" s="32">
        <f t="shared" si="14"/>
        <v>30</v>
      </c>
    </row>
    <row r="199" spans="5:22" x14ac:dyDescent="0.25">
      <c r="E199" s="100">
        <f t="shared" si="10"/>
        <v>30</v>
      </c>
      <c r="F199" s="700">
        <f>INDEX(_Datos 199:199,,MATCH(_Búsqueda_Fechas_Pago, _Datos _Headers,0))</f>
        <v>47895</v>
      </c>
      <c r="G199" s="736">
        <f>INDEX(_Datos 199:199,,MATCH(_Búsqueda_Duración, _Datos _Headers,0))</f>
        <v>30</v>
      </c>
      <c r="H199" s="735"/>
      <c r="I199" s="78">
        <f t="shared" si="11"/>
        <v>47895</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45138</v>
      </c>
      <c r="P199" s="32">
        <f>_DPP _Quincenal</f>
        <v>15</v>
      </c>
      <c r="Q199" s="735"/>
      <c r="R199" s="78">
        <f>IF(DAY(R198 + 1) &lt;= _DPP _Decenal,
DATE(YEAR(R198 + 1),MONTH(R198 + 1),_DPP _Decenal),
IF(DAY(R198 + 1) &lt;= (_DPP _Decenal*2),
DATE(YEAR(R198 + 1),MONTH(R198 + 1),(_DPP _Decenal*2)),EOMONTH(R198 + 1,0)))</f>
        <v>44216</v>
      </c>
      <c r="S199" s="32">
        <f>_DPP _Decenal</f>
        <v>10</v>
      </c>
      <c r="T199" s="735"/>
      <c r="U199" s="78">
        <f t="shared" si="12"/>
        <v>47817</v>
      </c>
      <c r="V199" s="32">
        <f t="shared" si="14"/>
        <v>30</v>
      </c>
    </row>
    <row r="200" spans="5:22" x14ac:dyDescent="0.25">
      <c r="E200" s="100">
        <f t="shared" si="10"/>
        <v>30</v>
      </c>
      <c r="F200" s="700">
        <f>INDEX(_Datos 200:200,,MATCH(_Búsqueda_Fechas_Pago, _Datos _Headers,0))</f>
        <v>47923</v>
      </c>
      <c r="G200" s="736">
        <f>INDEX(_Datos 200:200,,MATCH(_Búsqueda_Duración, _Datos _Headers,0))</f>
        <v>30</v>
      </c>
      <c r="H200" s="735"/>
      <c r="I200" s="78">
        <f t="shared" si="11"/>
        <v>47923</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45153</v>
      </c>
      <c r="P200" s="32">
        <f>_DPP _Quincenal</f>
        <v>15</v>
      </c>
      <c r="Q200" s="735"/>
      <c r="R200" s="78">
        <f>IF(DAY(R199 + 1) &lt;= _DPP _Decenal,
DATE(YEAR(R199 + 1),MONTH(R199 + 1),_DPP _Decenal),
IF(DAY(R199 + 1) &lt;= (_DPP _Decenal*2),
DATE(YEAR(R199 + 1),MONTH(R199 + 1),(_DPP _Decenal*2)),EOMONTH(R199 + 1,0)))</f>
        <v>44227</v>
      </c>
      <c r="S200" s="32">
        <f>_DPP _Decenal</f>
        <v>10</v>
      </c>
      <c r="T200" s="735"/>
      <c r="U200" s="78">
        <f t="shared" si="12"/>
        <v>47847</v>
      </c>
      <c r="V200" s="32">
        <f t="shared" si="14"/>
        <v>30</v>
      </c>
    </row>
    <row r="201" spans="5:22" x14ac:dyDescent="0.25">
      <c r="E201" s="100">
        <f t="shared" si="10"/>
        <v>30</v>
      </c>
      <c r="F201" s="700">
        <f>INDEX(_Datos 201:201,,MATCH(_Búsqueda_Fechas_Pago, _Datos _Headers,0))</f>
        <v>47954</v>
      </c>
      <c r="G201" s="736">
        <f>INDEX(_Datos 201:201,,MATCH(_Búsqueda_Duración, _Datos _Headers,0))</f>
        <v>30</v>
      </c>
      <c r="H201" s="735"/>
      <c r="I201" s="78">
        <f t="shared" si="11"/>
        <v>47954</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45169</v>
      </c>
      <c r="P201" s="32">
        <f>_DPP _Quincenal</f>
        <v>15</v>
      </c>
      <c r="Q201" s="735"/>
      <c r="R201" s="78">
        <f>IF(DAY(R200 + 1) &lt;= _DPP _Decenal,
DATE(YEAR(R200 + 1),MONTH(R200 + 1),_DPP _Decenal),
IF(DAY(R200 + 1) &lt;= (_DPP _Decenal*2),
DATE(YEAR(R200 + 1),MONTH(R200 + 1),(_DPP _Decenal*2)),EOMONTH(R200 + 1,0)))</f>
        <v>44237</v>
      </c>
      <c r="S201" s="32">
        <f>_DPP _Decenal</f>
        <v>10</v>
      </c>
      <c r="T201" s="735"/>
      <c r="U201" s="78">
        <f t="shared" si="12"/>
        <v>47877</v>
      </c>
      <c r="V201" s="32">
        <f t="shared" si="14"/>
        <v>30</v>
      </c>
    </row>
    <row r="202" spans="5:22" x14ac:dyDescent="0.25">
      <c r="E202" s="100">
        <f t="shared" si="10"/>
        <v>30</v>
      </c>
      <c r="F202" s="700">
        <f>INDEX(_Datos 202:202,,MATCH(_Búsqueda_Fechas_Pago, _Datos _Headers,0))</f>
        <v>47984</v>
      </c>
      <c r="G202" s="736">
        <f>INDEX(_Datos 202:202,,MATCH(_Búsqueda_Duración, _Datos _Headers,0))</f>
        <v>30</v>
      </c>
      <c r="H202" s="735"/>
      <c r="I202" s="78">
        <f t="shared" si="11"/>
        <v>47984</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45184</v>
      </c>
      <c r="P202" s="32">
        <f>_DPP _Quincenal</f>
        <v>15</v>
      </c>
      <c r="Q202" s="735"/>
      <c r="R202" s="78">
        <f>IF(DAY(R201 + 1) &lt;= _DPP _Decenal,
DATE(YEAR(R201 + 1),MONTH(R201 + 1),_DPP _Decenal),
IF(DAY(R201 + 1) &lt;= (_DPP _Decenal*2),
DATE(YEAR(R201 + 1),MONTH(R201 + 1),(_DPP _Decenal*2)),EOMONTH(R201 + 1,0)))</f>
        <v>44247</v>
      </c>
      <c r="S202" s="32">
        <f>_DPP _Decenal</f>
        <v>10</v>
      </c>
      <c r="T202" s="735"/>
      <c r="U202" s="78">
        <f t="shared" si="12"/>
        <v>47907</v>
      </c>
      <c r="V202" s="32">
        <f t="shared" si="14"/>
        <v>30</v>
      </c>
    </row>
    <row r="203" spans="5:22" x14ac:dyDescent="0.25">
      <c r="E203" s="100">
        <f t="shared" si="10"/>
        <v>30</v>
      </c>
      <c r="F203" s="700">
        <f>INDEX(_Datos 203:203,,MATCH(_Búsqueda_Fechas_Pago, _Datos _Headers,0))</f>
        <v>48015</v>
      </c>
      <c r="G203" s="736">
        <f>INDEX(_Datos 203:203,,MATCH(_Búsqueda_Duración, _Datos _Headers,0))</f>
        <v>30</v>
      </c>
      <c r="H203" s="735"/>
      <c r="I203" s="78">
        <f t="shared" si="11"/>
        <v>48015</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45199</v>
      </c>
      <c r="P203" s="32">
        <f>_DPP _Quincenal</f>
        <v>15</v>
      </c>
      <c r="Q203" s="735"/>
      <c r="R203" s="78">
        <f>IF(DAY(R202 + 1) &lt;= _DPP _Decenal,
DATE(YEAR(R202 + 1),MONTH(R202 + 1),_DPP _Decenal),
IF(DAY(R202 + 1) &lt;= (_DPP _Decenal*2),
DATE(YEAR(R202 + 1),MONTH(R202 + 1),(_DPP _Decenal*2)),EOMONTH(R202 + 1,0)))</f>
        <v>44255</v>
      </c>
      <c r="S203" s="32">
        <f>_DPP _Decenal</f>
        <v>10</v>
      </c>
      <c r="T203" s="735"/>
      <c r="U203" s="78">
        <f t="shared" si="12"/>
        <v>47937</v>
      </c>
      <c r="V203" s="32">
        <f t="shared" si="14"/>
        <v>30</v>
      </c>
    </row>
    <row r="204" spans="5:22" x14ac:dyDescent="0.25">
      <c r="E204" s="100">
        <f t="shared" si="10"/>
        <v>30</v>
      </c>
      <c r="F204" s="700">
        <f>INDEX(_Datos 204:204,,MATCH(_Búsqueda_Fechas_Pago, _Datos _Headers,0))</f>
        <v>48045</v>
      </c>
      <c r="G204" s="736">
        <f>INDEX(_Datos 204:204,,MATCH(_Búsqueda_Duración, _Datos _Headers,0))</f>
        <v>30</v>
      </c>
      <c r="H204" s="735"/>
      <c r="I204" s="78">
        <f t="shared" si="11"/>
        <v>48045</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45214</v>
      </c>
      <c r="P204" s="32">
        <f>_DPP _Quincenal</f>
        <v>15</v>
      </c>
      <c r="Q204" s="735"/>
      <c r="R204" s="78">
        <f>IF(DAY(R203 + 1) &lt;= _DPP _Decenal,
DATE(YEAR(R203 + 1),MONTH(R203 + 1),_DPP _Decenal),
IF(DAY(R203 + 1) &lt;= (_DPP _Decenal*2),
DATE(YEAR(R203 + 1),MONTH(R203 + 1),(_DPP _Decenal*2)),EOMONTH(R203 + 1,0)))</f>
        <v>44265</v>
      </c>
      <c r="S204" s="32">
        <f>_DPP _Decenal</f>
        <v>10</v>
      </c>
      <c r="T204" s="735"/>
      <c r="U204" s="78">
        <f t="shared" si="12"/>
        <v>47967</v>
      </c>
      <c r="V204" s="32">
        <f t="shared" si="14"/>
        <v>30</v>
      </c>
    </row>
    <row r="205" spans="5:22" x14ac:dyDescent="0.25">
      <c r="E205" s="100">
        <f t="shared" si="10"/>
        <v>30</v>
      </c>
      <c r="F205" s="700">
        <f>INDEX(_Datos 205:205,,MATCH(_Búsqueda_Fechas_Pago, _Datos _Headers,0))</f>
        <v>48076</v>
      </c>
      <c r="G205" s="736">
        <f>INDEX(_Datos 205:205,,MATCH(_Búsqueda_Duración, _Datos _Headers,0))</f>
        <v>30</v>
      </c>
      <c r="H205" s="735"/>
      <c r="I205" s="78">
        <f t="shared" si="11"/>
        <v>48076</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45230</v>
      </c>
      <c r="P205" s="32">
        <f>_DPP _Quincenal</f>
        <v>15</v>
      </c>
      <c r="Q205" s="735"/>
      <c r="R205" s="78">
        <f>IF(DAY(R204 + 1) &lt;= _DPP _Decenal,
DATE(YEAR(R204 + 1),MONTH(R204 + 1),_DPP _Decenal),
IF(DAY(R204 + 1) &lt;= (_DPP _Decenal*2),
DATE(YEAR(R204 + 1),MONTH(R204 + 1),(_DPP _Decenal*2)),EOMONTH(R204 + 1,0)))</f>
        <v>44275</v>
      </c>
      <c r="S205" s="32">
        <f>_DPP _Decenal</f>
        <v>10</v>
      </c>
      <c r="T205" s="735"/>
      <c r="U205" s="78">
        <f t="shared" si="12"/>
        <v>47997</v>
      </c>
      <c r="V205" s="32">
        <f t="shared" si="14"/>
        <v>30</v>
      </c>
    </row>
    <row r="206" spans="5:22" x14ac:dyDescent="0.25">
      <c r="E206" s="100">
        <f t="shared" si="10"/>
        <v>30</v>
      </c>
      <c r="F206" s="700">
        <f>INDEX(_Datos 206:206,,MATCH(_Búsqueda_Fechas_Pago, _Datos _Headers,0))</f>
        <v>48107</v>
      </c>
      <c r="G206" s="736">
        <f>INDEX(_Datos 206:206,,MATCH(_Búsqueda_Duración, _Datos _Headers,0))</f>
        <v>30</v>
      </c>
      <c r="H206" s="735"/>
      <c r="I206" s="78">
        <f t="shared" si="11"/>
        <v>48107</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45245</v>
      </c>
      <c r="P206" s="32">
        <f>_DPP _Quincenal</f>
        <v>15</v>
      </c>
      <c r="Q206" s="735"/>
      <c r="R206" s="78">
        <f>IF(DAY(R205 + 1) &lt;= _DPP _Decenal,
DATE(YEAR(R205 + 1),MONTH(R205 + 1),_DPP _Decenal),
IF(DAY(R205 + 1) &lt;= (_DPP _Decenal*2),
DATE(YEAR(R205 + 1),MONTH(R205 + 1),(_DPP _Decenal*2)),EOMONTH(R205 + 1,0)))</f>
        <v>44286</v>
      </c>
      <c r="S206" s="32">
        <f>_DPP _Decenal</f>
        <v>10</v>
      </c>
      <c r="T206" s="735"/>
      <c r="U206" s="78">
        <f t="shared" si="12"/>
        <v>48027</v>
      </c>
      <c r="V206" s="32">
        <f t="shared" si="14"/>
        <v>30</v>
      </c>
    </row>
    <row r="207" spans="5:22" x14ac:dyDescent="0.25">
      <c r="E207" s="100">
        <f t="shared" si="10"/>
        <v>30</v>
      </c>
      <c r="F207" s="700">
        <f>INDEX(_Datos 207:207,,MATCH(_Búsqueda_Fechas_Pago, _Datos _Headers,0))</f>
        <v>48137</v>
      </c>
      <c r="G207" s="736">
        <f>INDEX(_Datos 207:207,,MATCH(_Búsqueda_Duración, _Datos _Headers,0))</f>
        <v>30</v>
      </c>
      <c r="H207" s="735"/>
      <c r="I207" s="78">
        <f t="shared" si="11"/>
        <v>48137</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45260</v>
      </c>
      <c r="P207" s="32">
        <f>_DPP _Quincenal</f>
        <v>15</v>
      </c>
      <c r="Q207" s="735"/>
      <c r="R207" s="78">
        <f>IF(DAY(R206 + 1) &lt;= _DPP _Decenal,
DATE(YEAR(R206 + 1),MONTH(R206 + 1),_DPP _Decenal),
IF(DAY(R206 + 1) &lt;= (_DPP _Decenal*2),
DATE(YEAR(R206 + 1),MONTH(R206 + 1),(_DPP _Decenal*2)),EOMONTH(R206 + 1,0)))</f>
        <v>44296</v>
      </c>
      <c r="S207" s="32">
        <f>_DPP _Decenal</f>
        <v>10</v>
      </c>
      <c r="T207" s="735"/>
      <c r="U207" s="78">
        <f t="shared" si="12"/>
        <v>48057</v>
      </c>
      <c r="V207" s="32">
        <f t="shared" si="14"/>
        <v>30</v>
      </c>
    </row>
    <row r="208" spans="5:22" x14ac:dyDescent="0.25">
      <c r="E208" s="100">
        <f t="shared" si="10"/>
        <v>30</v>
      </c>
      <c r="F208" s="700">
        <f>INDEX(_Datos 208:208,,MATCH(_Búsqueda_Fechas_Pago, _Datos _Headers,0))</f>
        <v>48168</v>
      </c>
      <c r="G208" s="736">
        <f>INDEX(_Datos 208:208,,MATCH(_Búsqueda_Duración, _Datos _Headers,0))</f>
        <v>30</v>
      </c>
      <c r="H208" s="735"/>
      <c r="I208" s="78">
        <f t="shared" si="11"/>
        <v>48168</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45275</v>
      </c>
      <c r="P208" s="32">
        <f>_DPP _Quincenal</f>
        <v>15</v>
      </c>
      <c r="Q208" s="735"/>
      <c r="R208" s="78">
        <f>IF(DAY(R207 + 1) &lt;= _DPP _Decenal,
DATE(YEAR(R207 + 1),MONTH(R207 + 1),_DPP _Decenal),
IF(DAY(R207 + 1) &lt;= (_DPP _Decenal*2),
DATE(YEAR(R207 + 1),MONTH(R207 + 1),(_DPP _Decenal*2)),EOMONTH(R207 + 1,0)))</f>
        <v>44306</v>
      </c>
      <c r="S208" s="32">
        <f>_DPP _Decenal</f>
        <v>10</v>
      </c>
      <c r="T208" s="735"/>
      <c r="U208" s="78">
        <f t="shared" si="12"/>
        <v>48087</v>
      </c>
      <c r="V208" s="32">
        <f t="shared" si="14"/>
        <v>30</v>
      </c>
    </row>
    <row r="209" spans="5:22" x14ac:dyDescent="0.25">
      <c r="E209" s="100">
        <f t="shared" si="10"/>
        <v>30</v>
      </c>
      <c r="F209" s="700">
        <f>INDEX(_Datos 209:209,,MATCH(_Búsqueda_Fechas_Pago, _Datos _Headers,0))</f>
        <v>48198</v>
      </c>
      <c r="G209" s="736">
        <f>INDEX(_Datos 209:209,,MATCH(_Búsqueda_Duración, _Datos _Headers,0))</f>
        <v>30</v>
      </c>
      <c r="H209" s="735"/>
      <c r="I209" s="78">
        <f t="shared" si="11"/>
        <v>48198</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45291</v>
      </c>
      <c r="P209" s="32">
        <f>_DPP _Quincenal</f>
        <v>15</v>
      </c>
      <c r="Q209" s="735"/>
      <c r="R209" s="78">
        <f>IF(DAY(R208 + 1) &lt;= _DPP _Decenal,
DATE(YEAR(R208 + 1),MONTH(R208 + 1),_DPP _Decenal),
IF(DAY(R208 + 1) &lt;= (_DPP _Decenal*2),
DATE(YEAR(R208 + 1),MONTH(R208 + 1),(_DPP _Decenal*2)),EOMONTH(R208 + 1,0)))</f>
        <v>44316</v>
      </c>
      <c r="S209" s="32">
        <f>_DPP _Decenal</f>
        <v>10</v>
      </c>
      <c r="T209" s="735"/>
      <c r="U209" s="78">
        <f t="shared" si="12"/>
        <v>48117</v>
      </c>
      <c r="V209" s="32">
        <f t="shared" si="14"/>
        <v>30</v>
      </c>
    </row>
    <row r="210" spans="5:22" x14ac:dyDescent="0.25">
      <c r="E210" s="100">
        <f t="shared" si="10"/>
        <v>30</v>
      </c>
      <c r="F210" s="700">
        <f>INDEX(_Datos 210:210,,MATCH(_Búsqueda_Fechas_Pago, _Datos _Headers,0))</f>
        <v>48229</v>
      </c>
      <c r="G210" s="736">
        <f>INDEX(_Datos 210:210,,MATCH(_Búsqueda_Duración, _Datos _Headers,0))</f>
        <v>30</v>
      </c>
      <c r="H210" s="735"/>
      <c r="I210" s="78">
        <f t="shared" si="11"/>
        <v>48229</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45306</v>
      </c>
      <c r="P210" s="32">
        <f>_DPP _Quincenal</f>
        <v>15</v>
      </c>
      <c r="Q210" s="735"/>
      <c r="R210" s="78">
        <f>IF(DAY(R209 + 1) &lt;= _DPP _Decenal,
DATE(YEAR(R209 + 1),MONTH(R209 + 1),_DPP _Decenal),
IF(DAY(R209 + 1) &lt;= (_DPP _Decenal*2),
DATE(YEAR(R209 + 1),MONTH(R209 + 1),(_DPP _Decenal*2)),EOMONTH(R209 + 1,0)))</f>
        <v>44326</v>
      </c>
      <c r="S210" s="32">
        <f>_DPP _Decenal</f>
        <v>10</v>
      </c>
      <c r="T210" s="735"/>
      <c r="U210" s="78">
        <f t="shared" si="12"/>
        <v>48147</v>
      </c>
      <c r="V210" s="32">
        <f t="shared" si="14"/>
        <v>30</v>
      </c>
    </row>
    <row r="211" spans="5:22" x14ac:dyDescent="0.25">
      <c r="E211" s="100">
        <f t="shared" ref="E211:E274" si="15">_Días_por_Periodo</f>
        <v>30</v>
      </c>
      <c r="F211" s="700">
        <f>INDEX(_Datos 211:211,,MATCH(_Búsqueda_Fechas_Pago, _Datos _Headers,0))</f>
        <v>48260</v>
      </c>
      <c r="G211" s="736">
        <f>INDEX(_Datos 211:211,,MATCH(_Búsqueda_Duración, _Datos _Headers,0))</f>
        <v>30</v>
      </c>
      <c r="H211" s="735"/>
      <c r="I211" s="78">
        <f t="shared" si="11"/>
        <v>48260</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45322</v>
      </c>
      <c r="P211" s="32">
        <f>_DPP _Quincenal</f>
        <v>15</v>
      </c>
      <c r="Q211" s="735"/>
      <c r="R211" s="78">
        <f>IF(DAY(R210 + 1) &lt;= _DPP _Decenal,
DATE(YEAR(R210 + 1),MONTH(R210 + 1),_DPP _Decenal),
IF(DAY(R210 + 1) &lt;= (_DPP _Decenal*2),
DATE(YEAR(R210 + 1),MONTH(R210 + 1),(_DPP _Decenal*2)),EOMONTH(R210 + 1,0)))</f>
        <v>44336</v>
      </c>
      <c r="S211" s="32">
        <f>_DPP _Decenal</f>
        <v>10</v>
      </c>
      <c r="T211" s="735"/>
      <c r="U211" s="78">
        <f t="shared" si="12"/>
        <v>48177</v>
      </c>
      <c r="V211" s="32">
        <f t="shared" si="14"/>
        <v>30</v>
      </c>
    </row>
    <row r="212" spans="5:22" x14ac:dyDescent="0.25">
      <c r="E212" s="100">
        <f t="shared" si="15"/>
        <v>30</v>
      </c>
      <c r="F212" s="700">
        <f>INDEX(_Datos 212:212,,MATCH(_Búsqueda_Fechas_Pago, _Datos _Headers,0))</f>
        <v>48289</v>
      </c>
      <c r="G212" s="736">
        <f>INDEX(_Datos 212:212,,MATCH(_Búsqueda_Duración, _Datos _Headers,0))</f>
        <v>30</v>
      </c>
      <c r="H212" s="735"/>
      <c r="I212" s="78">
        <f t="shared" ref="I212:I275" si="16">IF(DAY(I211)&gt;=Const_Dia_Corte_Aniversario,FinMesPropia(I211,1)+1,FinMesPropia(I211,0)+DAY(I211))</f>
        <v>48289</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45337</v>
      </c>
      <c r="P212" s="32">
        <f>_DPP _Quincenal</f>
        <v>15</v>
      </c>
      <c r="Q212" s="735"/>
      <c r="R212" s="78">
        <f>IF(DAY(R211 + 1) &lt;= _DPP _Decenal,
DATE(YEAR(R211 + 1),MONTH(R211 + 1),_DPP _Decenal),
IF(DAY(R211 + 1) &lt;= (_DPP _Decenal*2),
DATE(YEAR(R211 + 1),MONTH(R211 + 1),(_DPP _Decenal*2)),EOMONTH(R211 + 1,0)))</f>
        <v>44347</v>
      </c>
      <c r="S212" s="32">
        <f>_DPP _Decenal</f>
        <v>10</v>
      </c>
      <c r="T212" s="735"/>
      <c r="U212" s="78">
        <f t="shared" ref="U212:U275" si="17">U211 + _Días_por_Periodo</f>
        <v>48207</v>
      </c>
      <c r="V212" s="32">
        <f t="shared" si="14"/>
        <v>30</v>
      </c>
    </row>
    <row r="213" spans="5:22" x14ac:dyDescent="0.25">
      <c r="E213" s="100">
        <f t="shared" si="15"/>
        <v>30</v>
      </c>
      <c r="F213" s="700">
        <f>INDEX(_Datos 213:213,,MATCH(_Búsqueda_Fechas_Pago, _Datos _Headers,0))</f>
        <v>48320</v>
      </c>
      <c r="G213" s="736">
        <f>INDEX(_Datos 213:213,,MATCH(_Búsqueda_Duración, _Datos _Headers,0))</f>
        <v>30</v>
      </c>
      <c r="H213" s="735"/>
      <c r="I213" s="78">
        <f t="shared" si="16"/>
        <v>48320</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45351</v>
      </c>
      <c r="P213" s="32">
        <f>_DPP _Quincenal</f>
        <v>15</v>
      </c>
      <c r="Q213" s="735"/>
      <c r="R213" s="78">
        <f>IF(DAY(R212 + 1) &lt;= _DPP _Decenal,
DATE(YEAR(R212 + 1),MONTH(R212 + 1),_DPP _Decenal),
IF(DAY(R212 + 1) &lt;= (_DPP _Decenal*2),
DATE(YEAR(R212 + 1),MONTH(R212 + 1),(_DPP _Decenal*2)),EOMONTH(R212 + 1,0)))</f>
        <v>44357</v>
      </c>
      <c r="S213" s="32">
        <f>_DPP _Decenal</f>
        <v>10</v>
      </c>
      <c r="T213" s="735"/>
      <c r="U213" s="78">
        <f t="shared" si="17"/>
        <v>48237</v>
      </c>
      <c r="V213" s="32">
        <f t="shared" ref="V213:V276" si="19">U213 - U212</f>
        <v>30</v>
      </c>
    </row>
    <row r="214" spans="5:22" x14ac:dyDescent="0.25">
      <c r="E214" s="100">
        <f t="shared" si="15"/>
        <v>30</v>
      </c>
      <c r="F214" s="700">
        <f>INDEX(_Datos 214:214,,MATCH(_Búsqueda_Fechas_Pago, _Datos _Headers,0))</f>
        <v>48350</v>
      </c>
      <c r="G214" s="736">
        <f>INDEX(_Datos 214:214,,MATCH(_Búsqueda_Duración, _Datos _Headers,0))</f>
        <v>30</v>
      </c>
      <c r="H214" s="735"/>
      <c r="I214" s="78">
        <f t="shared" si="16"/>
        <v>48350</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45366</v>
      </c>
      <c r="P214" s="32">
        <f>_DPP _Quincenal</f>
        <v>15</v>
      </c>
      <c r="Q214" s="735"/>
      <c r="R214" s="78">
        <f>IF(DAY(R213 + 1) &lt;= _DPP _Decenal,
DATE(YEAR(R213 + 1),MONTH(R213 + 1),_DPP _Decenal),
IF(DAY(R213 + 1) &lt;= (_DPP _Decenal*2),
DATE(YEAR(R213 + 1),MONTH(R213 + 1),(_DPP _Decenal*2)),EOMONTH(R213 + 1,0)))</f>
        <v>44367</v>
      </c>
      <c r="S214" s="32">
        <f>_DPP _Decenal</f>
        <v>10</v>
      </c>
      <c r="T214" s="735"/>
      <c r="U214" s="78">
        <f t="shared" si="17"/>
        <v>48267</v>
      </c>
      <c r="V214" s="32">
        <f t="shared" si="19"/>
        <v>30</v>
      </c>
    </row>
    <row r="215" spans="5:22" x14ac:dyDescent="0.25">
      <c r="E215" s="100">
        <f t="shared" si="15"/>
        <v>30</v>
      </c>
      <c r="F215" s="700">
        <f>INDEX(_Datos 215:215,,MATCH(_Búsqueda_Fechas_Pago, _Datos _Headers,0))</f>
        <v>48381</v>
      </c>
      <c r="G215" s="736">
        <f>INDEX(_Datos 215:215,,MATCH(_Búsqueda_Duración, _Datos _Headers,0))</f>
        <v>30</v>
      </c>
      <c r="H215" s="735"/>
      <c r="I215" s="78">
        <f t="shared" si="16"/>
        <v>48381</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45382</v>
      </c>
      <c r="P215" s="32">
        <f>_DPP _Quincenal</f>
        <v>15</v>
      </c>
      <c r="Q215" s="735"/>
      <c r="R215" s="78">
        <f>IF(DAY(R214 + 1) &lt;= _DPP _Decenal,
DATE(YEAR(R214 + 1),MONTH(R214 + 1),_DPP _Decenal),
IF(DAY(R214 + 1) &lt;= (_DPP _Decenal*2),
DATE(YEAR(R214 + 1),MONTH(R214 + 1),(_DPP _Decenal*2)),EOMONTH(R214 + 1,0)))</f>
        <v>44377</v>
      </c>
      <c r="S215" s="32">
        <f>_DPP _Decenal</f>
        <v>10</v>
      </c>
      <c r="T215" s="735"/>
      <c r="U215" s="78">
        <f t="shared" si="17"/>
        <v>48297</v>
      </c>
      <c r="V215" s="32">
        <f t="shared" si="19"/>
        <v>30</v>
      </c>
    </row>
    <row r="216" spans="5:22" x14ac:dyDescent="0.25">
      <c r="E216" s="100">
        <f t="shared" si="15"/>
        <v>30</v>
      </c>
      <c r="F216" s="700">
        <f>INDEX(_Datos 216:216,,MATCH(_Búsqueda_Fechas_Pago, _Datos _Headers,0))</f>
        <v>48411</v>
      </c>
      <c r="G216" s="736">
        <f>INDEX(_Datos 216:216,,MATCH(_Búsqueda_Duración, _Datos _Headers,0))</f>
        <v>30</v>
      </c>
      <c r="H216" s="735"/>
      <c r="I216" s="78">
        <f t="shared" si="16"/>
        <v>48411</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45397</v>
      </c>
      <c r="P216" s="32">
        <f>_DPP _Quincenal</f>
        <v>15</v>
      </c>
      <c r="Q216" s="735"/>
      <c r="R216" s="78">
        <f>IF(DAY(R215 + 1) &lt;= _DPP _Decenal,
DATE(YEAR(R215 + 1),MONTH(R215 + 1),_DPP _Decenal),
IF(DAY(R215 + 1) &lt;= (_DPP _Decenal*2),
DATE(YEAR(R215 + 1),MONTH(R215 + 1),(_DPP _Decenal*2)),EOMONTH(R215 + 1,0)))</f>
        <v>44387</v>
      </c>
      <c r="S216" s="32">
        <f>_DPP _Decenal</f>
        <v>10</v>
      </c>
      <c r="T216" s="735"/>
      <c r="U216" s="78">
        <f t="shared" si="17"/>
        <v>48327</v>
      </c>
      <c r="V216" s="32">
        <f t="shared" si="19"/>
        <v>30</v>
      </c>
    </row>
    <row r="217" spans="5:22" x14ac:dyDescent="0.25">
      <c r="E217" s="100">
        <f t="shared" si="15"/>
        <v>30</v>
      </c>
      <c r="F217" s="700">
        <f>INDEX(_Datos 217:217,,MATCH(_Búsqueda_Fechas_Pago, _Datos _Headers,0))</f>
        <v>48442</v>
      </c>
      <c r="G217" s="736">
        <f>INDEX(_Datos 217:217,,MATCH(_Búsqueda_Duración, _Datos _Headers,0))</f>
        <v>30</v>
      </c>
      <c r="H217" s="735"/>
      <c r="I217" s="78">
        <f t="shared" si="16"/>
        <v>48442</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45412</v>
      </c>
      <c r="P217" s="32">
        <f>_DPP _Quincenal</f>
        <v>15</v>
      </c>
      <c r="Q217" s="735"/>
      <c r="R217" s="78">
        <f>IF(DAY(R216 + 1) &lt;= _DPP _Decenal,
DATE(YEAR(R216 + 1),MONTH(R216 + 1),_DPP _Decenal),
IF(DAY(R216 + 1) &lt;= (_DPP _Decenal*2),
DATE(YEAR(R216 + 1),MONTH(R216 + 1),(_DPP _Decenal*2)),EOMONTH(R216 + 1,0)))</f>
        <v>44397</v>
      </c>
      <c r="S217" s="32">
        <f>_DPP _Decenal</f>
        <v>10</v>
      </c>
      <c r="T217" s="735"/>
      <c r="U217" s="78">
        <f t="shared" si="17"/>
        <v>48357</v>
      </c>
      <c r="V217" s="32">
        <f t="shared" si="19"/>
        <v>30</v>
      </c>
    </row>
    <row r="218" spans="5:22" x14ac:dyDescent="0.25">
      <c r="E218" s="100">
        <f t="shared" si="15"/>
        <v>30</v>
      </c>
      <c r="F218" s="700">
        <f>INDEX(_Datos 218:218,,MATCH(_Búsqueda_Fechas_Pago, _Datos _Headers,0))</f>
        <v>48473</v>
      </c>
      <c r="G218" s="736">
        <f>INDEX(_Datos 218:218,,MATCH(_Búsqueda_Duración, _Datos _Headers,0))</f>
        <v>30</v>
      </c>
      <c r="H218" s="735"/>
      <c r="I218" s="78">
        <f t="shared" si="16"/>
        <v>48473</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45427</v>
      </c>
      <c r="P218" s="32">
        <f>_DPP _Quincenal</f>
        <v>15</v>
      </c>
      <c r="Q218" s="735"/>
      <c r="R218" s="78">
        <f>IF(DAY(R217 + 1) &lt;= _DPP _Decenal,
DATE(YEAR(R217 + 1),MONTH(R217 + 1),_DPP _Decenal),
IF(DAY(R217 + 1) &lt;= (_DPP _Decenal*2),
DATE(YEAR(R217 + 1),MONTH(R217 + 1),(_DPP _Decenal*2)),EOMONTH(R217 + 1,0)))</f>
        <v>44408</v>
      </c>
      <c r="S218" s="32">
        <f>_DPP _Decenal</f>
        <v>10</v>
      </c>
      <c r="T218" s="735"/>
      <c r="U218" s="78">
        <f t="shared" si="17"/>
        <v>48387</v>
      </c>
      <c r="V218" s="32">
        <f t="shared" si="19"/>
        <v>30</v>
      </c>
    </row>
    <row r="219" spans="5:22" x14ac:dyDescent="0.25">
      <c r="E219" s="100">
        <f t="shared" si="15"/>
        <v>30</v>
      </c>
      <c r="F219" s="700">
        <f>INDEX(_Datos 219:219,,MATCH(_Búsqueda_Fechas_Pago, _Datos _Headers,0))</f>
        <v>48503</v>
      </c>
      <c r="G219" s="736">
        <f>INDEX(_Datos 219:219,,MATCH(_Búsqueda_Duración, _Datos _Headers,0))</f>
        <v>30</v>
      </c>
      <c r="H219" s="735"/>
      <c r="I219" s="78">
        <f t="shared" si="16"/>
        <v>48503</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45443</v>
      </c>
      <c r="P219" s="32">
        <f>_DPP _Quincenal</f>
        <v>15</v>
      </c>
      <c r="Q219" s="735"/>
      <c r="R219" s="78">
        <f>IF(DAY(R218 + 1) &lt;= _DPP _Decenal,
DATE(YEAR(R218 + 1),MONTH(R218 + 1),_DPP _Decenal),
IF(DAY(R218 + 1) &lt;= (_DPP _Decenal*2),
DATE(YEAR(R218 + 1),MONTH(R218 + 1),(_DPP _Decenal*2)),EOMONTH(R218 + 1,0)))</f>
        <v>44418</v>
      </c>
      <c r="S219" s="32">
        <f>_DPP _Decenal</f>
        <v>10</v>
      </c>
      <c r="T219" s="735"/>
      <c r="U219" s="78">
        <f t="shared" si="17"/>
        <v>48417</v>
      </c>
      <c r="V219" s="32">
        <f t="shared" si="19"/>
        <v>30</v>
      </c>
    </row>
    <row r="220" spans="5:22" x14ac:dyDescent="0.25">
      <c r="E220" s="100">
        <f t="shared" si="15"/>
        <v>30</v>
      </c>
      <c r="F220" s="700">
        <f>INDEX(_Datos 220:220,,MATCH(_Búsqueda_Fechas_Pago, _Datos _Headers,0))</f>
        <v>48534</v>
      </c>
      <c r="G220" s="736">
        <f>INDEX(_Datos 220:220,,MATCH(_Búsqueda_Duración, _Datos _Headers,0))</f>
        <v>30</v>
      </c>
      <c r="H220" s="735"/>
      <c r="I220" s="78">
        <f t="shared" si="16"/>
        <v>48534</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45458</v>
      </c>
      <c r="P220" s="32">
        <f>_DPP _Quincenal</f>
        <v>15</v>
      </c>
      <c r="Q220" s="735"/>
      <c r="R220" s="78">
        <f>IF(DAY(R219 + 1) &lt;= _DPP _Decenal,
DATE(YEAR(R219 + 1),MONTH(R219 + 1),_DPP _Decenal),
IF(DAY(R219 + 1) &lt;= (_DPP _Decenal*2),
DATE(YEAR(R219 + 1),MONTH(R219 + 1),(_DPP _Decenal*2)),EOMONTH(R219 + 1,0)))</f>
        <v>44428</v>
      </c>
      <c r="S220" s="32">
        <f>_DPP _Decenal</f>
        <v>10</v>
      </c>
      <c r="T220" s="735"/>
      <c r="U220" s="78">
        <f t="shared" si="17"/>
        <v>48447</v>
      </c>
      <c r="V220" s="32">
        <f t="shared" si="19"/>
        <v>30</v>
      </c>
    </row>
    <row r="221" spans="5:22" x14ac:dyDescent="0.25">
      <c r="E221" s="100">
        <f t="shared" si="15"/>
        <v>30</v>
      </c>
      <c r="F221" s="700">
        <f>INDEX(_Datos 221:221,,MATCH(_Búsqueda_Fechas_Pago, _Datos _Headers,0))</f>
        <v>48564</v>
      </c>
      <c r="G221" s="736">
        <f>INDEX(_Datos 221:221,,MATCH(_Búsqueda_Duración, _Datos _Headers,0))</f>
        <v>30</v>
      </c>
      <c r="H221" s="735"/>
      <c r="I221" s="78">
        <f t="shared" si="16"/>
        <v>48564</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45473</v>
      </c>
      <c r="P221" s="32">
        <f>_DPP _Quincenal</f>
        <v>15</v>
      </c>
      <c r="Q221" s="735"/>
      <c r="R221" s="78">
        <f>IF(DAY(R220 + 1) &lt;= _DPP _Decenal,
DATE(YEAR(R220 + 1),MONTH(R220 + 1),_DPP _Decenal),
IF(DAY(R220 + 1) &lt;= (_DPP _Decenal*2),
DATE(YEAR(R220 + 1),MONTH(R220 + 1),(_DPP _Decenal*2)),EOMONTH(R220 + 1,0)))</f>
        <v>44439</v>
      </c>
      <c r="S221" s="32">
        <f>_DPP _Decenal</f>
        <v>10</v>
      </c>
      <c r="T221" s="735"/>
      <c r="U221" s="78">
        <f t="shared" si="17"/>
        <v>48477</v>
      </c>
      <c r="V221" s="32">
        <f t="shared" si="19"/>
        <v>30</v>
      </c>
    </row>
    <row r="222" spans="5:22" x14ac:dyDescent="0.25">
      <c r="E222" s="100">
        <f t="shared" si="15"/>
        <v>30</v>
      </c>
      <c r="F222" s="700">
        <f>INDEX(_Datos 222:222,,MATCH(_Búsqueda_Fechas_Pago, _Datos _Headers,0))</f>
        <v>48595</v>
      </c>
      <c r="G222" s="736">
        <f>INDEX(_Datos 222:222,,MATCH(_Búsqueda_Duración, _Datos _Headers,0))</f>
        <v>30</v>
      </c>
      <c r="H222" s="735"/>
      <c r="I222" s="78">
        <f t="shared" si="16"/>
        <v>48595</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45488</v>
      </c>
      <c r="P222" s="32">
        <f>_DPP _Quincenal</f>
        <v>15</v>
      </c>
      <c r="Q222" s="735"/>
      <c r="R222" s="78">
        <f>IF(DAY(R221 + 1) &lt;= _DPP _Decenal,
DATE(YEAR(R221 + 1),MONTH(R221 + 1),_DPP _Decenal),
IF(DAY(R221 + 1) &lt;= (_DPP _Decenal*2),
DATE(YEAR(R221 + 1),MONTH(R221 + 1),(_DPP _Decenal*2)),EOMONTH(R221 + 1,0)))</f>
        <v>44449</v>
      </c>
      <c r="S222" s="32">
        <f>_DPP _Decenal</f>
        <v>10</v>
      </c>
      <c r="T222" s="735"/>
      <c r="U222" s="78">
        <f t="shared" si="17"/>
        <v>48507</v>
      </c>
      <c r="V222" s="32">
        <f t="shared" si="19"/>
        <v>30</v>
      </c>
    </row>
    <row r="223" spans="5:22" x14ac:dyDescent="0.25">
      <c r="E223" s="100">
        <f t="shared" si="15"/>
        <v>30</v>
      </c>
      <c r="F223" s="700">
        <f>INDEX(_Datos 223:223,,MATCH(_Búsqueda_Fechas_Pago, _Datos _Headers,0))</f>
        <v>48626</v>
      </c>
      <c r="G223" s="736">
        <f>INDEX(_Datos 223:223,,MATCH(_Búsqueda_Duración, _Datos _Headers,0))</f>
        <v>30</v>
      </c>
      <c r="H223" s="735"/>
      <c r="I223" s="78">
        <f t="shared" si="16"/>
        <v>48626</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45504</v>
      </c>
      <c r="P223" s="32">
        <f>_DPP _Quincenal</f>
        <v>15</v>
      </c>
      <c r="Q223" s="735"/>
      <c r="R223" s="78">
        <f>IF(DAY(R222 + 1) &lt;= _DPP _Decenal,
DATE(YEAR(R222 + 1),MONTH(R222 + 1),_DPP _Decenal),
IF(DAY(R222 + 1) &lt;= (_DPP _Decenal*2),
DATE(YEAR(R222 + 1),MONTH(R222 + 1),(_DPP _Decenal*2)),EOMONTH(R222 + 1,0)))</f>
        <v>44459</v>
      </c>
      <c r="S223" s="32">
        <f>_DPP _Decenal</f>
        <v>10</v>
      </c>
      <c r="T223" s="735"/>
      <c r="U223" s="78">
        <f t="shared" si="17"/>
        <v>48537</v>
      </c>
      <c r="V223" s="32">
        <f t="shared" si="19"/>
        <v>30</v>
      </c>
    </row>
    <row r="224" spans="5:22" x14ac:dyDescent="0.25">
      <c r="E224" s="100">
        <f t="shared" si="15"/>
        <v>30</v>
      </c>
      <c r="F224" s="700">
        <f>INDEX(_Datos 224:224,,MATCH(_Búsqueda_Fechas_Pago, _Datos _Headers,0))</f>
        <v>48654</v>
      </c>
      <c r="G224" s="736">
        <f>INDEX(_Datos 224:224,,MATCH(_Búsqueda_Duración, _Datos _Headers,0))</f>
        <v>30</v>
      </c>
      <c r="H224" s="735"/>
      <c r="I224" s="78">
        <f t="shared" si="16"/>
        <v>48654</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45519</v>
      </c>
      <c r="P224" s="32">
        <f>_DPP _Quincenal</f>
        <v>15</v>
      </c>
      <c r="Q224" s="735"/>
      <c r="R224" s="78">
        <f>IF(DAY(R223 + 1) &lt;= _DPP _Decenal,
DATE(YEAR(R223 + 1),MONTH(R223 + 1),_DPP _Decenal),
IF(DAY(R223 + 1) &lt;= (_DPP _Decenal*2),
DATE(YEAR(R223 + 1),MONTH(R223 + 1),(_DPP _Decenal*2)),EOMONTH(R223 + 1,0)))</f>
        <v>44469</v>
      </c>
      <c r="S224" s="32">
        <f>_DPP _Decenal</f>
        <v>10</v>
      </c>
      <c r="T224" s="735"/>
      <c r="U224" s="78">
        <f t="shared" si="17"/>
        <v>48567</v>
      </c>
      <c r="V224" s="32">
        <f t="shared" si="19"/>
        <v>30</v>
      </c>
    </row>
    <row r="225" spans="5:22" x14ac:dyDescent="0.25">
      <c r="E225" s="100">
        <f t="shared" si="15"/>
        <v>30</v>
      </c>
      <c r="F225" s="700">
        <f>INDEX(_Datos 225:225,,MATCH(_Búsqueda_Fechas_Pago, _Datos _Headers,0))</f>
        <v>48685</v>
      </c>
      <c r="G225" s="736">
        <f>INDEX(_Datos 225:225,,MATCH(_Búsqueda_Duración, _Datos _Headers,0))</f>
        <v>30</v>
      </c>
      <c r="H225" s="735"/>
      <c r="I225" s="78">
        <f t="shared" si="16"/>
        <v>48685</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45535</v>
      </c>
      <c r="P225" s="32">
        <f>_DPP _Quincenal</f>
        <v>15</v>
      </c>
      <c r="Q225" s="735"/>
      <c r="R225" s="78">
        <f>IF(DAY(R224 + 1) &lt;= _DPP _Decenal,
DATE(YEAR(R224 + 1),MONTH(R224 + 1),_DPP _Decenal),
IF(DAY(R224 + 1) &lt;= (_DPP _Decenal*2),
DATE(YEAR(R224 + 1),MONTH(R224 + 1),(_DPP _Decenal*2)),EOMONTH(R224 + 1,0)))</f>
        <v>44479</v>
      </c>
      <c r="S225" s="32">
        <f>_DPP _Decenal</f>
        <v>10</v>
      </c>
      <c r="T225" s="735"/>
      <c r="U225" s="78">
        <f t="shared" si="17"/>
        <v>48597</v>
      </c>
      <c r="V225" s="32">
        <f t="shared" si="19"/>
        <v>30</v>
      </c>
    </row>
    <row r="226" spans="5:22" x14ac:dyDescent="0.25">
      <c r="E226" s="100">
        <f t="shared" si="15"/>
        <v>30</v>
      </c>
      <c r="F226" s="700">
        <f>INDEX(_Datos 226:226,,MATCH(_Búsqueda_Fechas_Pago, _Datos _Headers,0))</f>
        <v>48715</v>
      </c>
      <c r="G226" s="736">
        <f>INDEX(_Datos 226:226,,MATCH(_Búsqueda_Duración, _Datos _Headers,0))</f>
        <v>30</v>
      </c>
      <c r="H226" s="735"/>
      <c r="I226" s="78">
        <f t="shared" si="16"/>
        <v>48715</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45550</v>
      </c>
      <c r="P226" s="32">
        <f>_DPP _Quincenal</f>
        <v>15</v>
      </c>
      <c r="Q226" s="735"/>
      <c r="R226" s="78">
        <f>IF(DAY(R225 + 1) &lt;= _DPP _Decenal,
DATE(YEAR(R225 + 1),MONTH(R225 + 1),_DPP _Decenal),
IF(DAY(R225 + 1) &lt;= (_DPP _Decenal*2),
DATE(YEAR(R225 + 1),MONTH(R225 + 1),(_DPP _Decenal*2)),EOMONTH(R225 + 1,0)))</f>
        <v>44489</v>
      </c>
      <c r="S226" s="32">
        <f>_DPP _Decenal</f>
        <v>10</v>
      </c>
      <c r="T226" s="735"/>
      <c r="U226" s="78">
        <f t="shared" si="17"/>
        <v>48627</v>
      </c>
      <c r="V226" s="32">
        <f t="shared" si="19"/>
        <v>30</v>
      </c>
    </row>
    <row r="227" spans="5:22" x14ac:dyDescent="0.25">
      <c r="E227" s="100">
        <f t="shared" si="15"/>
        <v>30</v>
      </c>
      <c r="F227" s="700">
        <f>INDEX(_Datos 227:227,,MATCH(_Búsqueda_Fechas_Pago, _Datos _Headers,0))</f>
        <v>48746</v>
      </c>
      <c r="G227" s="736">
        <f>INDEX(_Datos 227:227,,MATCH(_Búsqueda_Duración, _Datos _Headers,0))</f>
        <v>30</v>
      </c>
      <c r="H227" s="735"/>
      <c r="I227" s="78">
        <f t="shared" si="16"/>
        <v>48746</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45565</v>
      </c>
      <c r="P227" s="32">
        <f>_DPP _Quincenal</f>
        <v>15</v>
      </c>
      <c r="Q227" s="735"/>
      <c r="R227" s="78">
        <f>IF(DAY(R226 + 1) &lt;= _DPP _Decenal,
DATE(YEAR(R226 + 1),MONTH(R226 + 1),_DPP _Decenal),
IF(DAY(R226 + 1) &lt;= (_DPP _Decenal*2),
DATE(YEAR(R226 + 1),MONTH(R226 + 1),(_DPP _Decenal*2)),EOMONTH(R226 + 1,0)))</f>
        <v>44500</v>
      </c>
      <c r="S227" s="32">
        <f>_DPP _Decenal</f>
        <v>10</v>
      </c>
      <c r="T227" s="735"/>
      <c r="U227" s="78">
        <f t="shared" si="17"/>
        <v>48657</v>
      </c>
      <c r="V227" s="32">
        <f t="shared" si="19"/>
        <v>30</v>
      </c>
    </row>
    <row r="228" spans="5:22" x14ac:dyDescent="0.25">
      <c r="E228" s="100">
        <f t="shared" si="15"/>
        <v>30</v>
      </c>
      <c r="F228" s="700">
        <f>INDEX(_Datos 228:228,,MATCH(_Búsqueda_Fechas_Pago, _Datos _Headers,0))</f>
        <v>48776</v>
      </c>
      <c r="G228" s="736">
        <f>INDEX(_Datos 228:228,,MATCH(_Búsqueda_Duración, _Datos _Headers,0))</f>
        <v>30</v>
      </c>
      <c r="H228" s="735"/>
      <c r="I228" s="78">
        <f t="shared" si="16"/>
        <v>48776</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45580</v>
      </c>
      <c r="P228" s="32">
        <f>_DPP _Quincenal</f>
        <v>15</v>
      </c>
      <c r="Q228" s="735"/>
      <c r="R228" s="78">
        <f>IF(DAY(R227 + 1) &lt;= _DPP _Decenal,
DATE(YEAR(R227 + 1),MONTH(R227 + 1),_DPP _Decenal),
IF(DAY(R227 + 1) &lt;= (_DPP _Decenal*2),
DATE(YEAR(R227 + 1),MONTH(R227 + 1),(_DPP _Decenal*2)),EOMONTH(R227 + 1,0)))</f>
        <v>44510</v>
      </c>
      <c r="S228" s="32">
        <f>_DPP _Decenal</f>
        <v>10</v>
      </c>
      <c r="T228" s="735"/>
      <c r="U228" s="78">
        <f t="shared" si="17"/>
        <v>48687</v>
      </c>
      <c r="V228" s="32">
        <f t="shared" si="19"/>
        <v>30</v>
      </c>
    </row>
    <row r="229" spans="5:22" x14ac:dyDescent="0.25">
      <c r="E229" s="100">
        <f t="shared" si="15"/>
        <v>30</v>
      </c>
      <c r="F229" s="700">
        <f>INDEX(_Datos 229:229,,MATCH(_Búsqueda_Fechas_Pago, _Datos _Headers,0))</f>
        <v>48807</v>
      </c>
      <c r="G229" s="736">
        <f>INDEX(_Datos 229:229,,MATCH(_Búsqueda_Duración, _Datos _Headers,0))</f>
        <v>30</v>
      </c>
      <c r="H229" s="735"/>
      <c r="I229" s="78">
        <f t="shared" si="16"/>
        <v>48807</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45596</v>
      </c>
      <c r="P229" s="32">
        <f>_DPP _Quincenal</f>
        <v>15</v>
      </c>
      <c r="Q229" s="735"/>
      <c r="R229" s="78">
        <f>IF(DAY(R228 + 1) &lt;= _DPP _Decenal,
DATE(YEAR(R228 + 1),MONTH(R228 + 1),_DPP _Decenal),
IF(DAY(R228 + 1) &lt;= (_DPP _Decenal*2),
DATE(YEAR(R228 + 1),MONTH(R228 + 1),(_DPP _Decenal*2)),EOMONTH(R228 + 1,0)))</f>
        <v>44520</v>
      </c>
      <c r="S229" s="32">
        <f>_DPP _Decenal</f>
        <v>10</v>
      </c>
      <c r="T229" s="735"/>
      <c r="U229" s="78">
        <f t="shared" si="17"/>
        <v>48717</v>
      </c>
      <c r="V229" s="32">
        <f t="shared" si="19"/>
        <v>30</v>
      </c>
    </row>
    <row r="230" spans="5:22" x14ac:dyDescent="0.25">
      <c r="E230" s="100">
        <f t="shared" si="15"/>
        <v>30</v>
      </c>
      <c r="F230" s="700">
        <f>INDEX(_Datos 230:230,,MATCH(_Búsqueda_Fechas_Pago, _Datos _Headers,0))</f>
        <v>48838</v>
      </c>
      <c r="G230" s="736">
        <f>INDEX(_Datos 230:230,,MATCH(_Búsqueda_Duración, _Datos _Headers,0))</f>
        <v>30</v>
      </c>
      <c r="H230" s="735"/>
      <c r="I230" s="78">
        <f t="shared" si="16"/>
        <v>48838</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45611</v>
      </c>
      <c r="P230" s="32">
        <f>_DPP _Quincenal</f>
        <v>15</v>
      </c>
      <c r="Q230" s="735"/>
      <c r="R230" s="78">
        <f>IF(DAY(R229 + 1) &lt;= _DPP _Decenal,
DATE(YEAR(R229 + 1),MONTH(R229 + 1),_DPP _Decenal),
IF(DAY(R229 + 1) &lt;= (_DPP _Decenal*2),
DATE(YEAR(R229 + 1),MONTH(R229 + 1),(_DPP _Decenal*2)),EOMONTH(R229 + 1,0)))</f>
        <v>44530</v>
      </c>
      <c r="S230" s="32">
        <f>_DPP _Decenal</f>
        <v>10</v>
      </c>
      <c r="T230" s="735"/>
      <c r="U230" s="78">
        <f t="shared" si="17"/>
        <v>48747</v>
      </c>
      <c r="V230" s="32">
        <f t="shared" si="19"/>
        <v>30</v>
      </c>
    </row>
    <row r="231" spans="5:22" x14ac:dyDescent="0.25">
      <c r="E231" s="100">
        <f t="shared" si="15"/>
        <v>30</v>
      </c>
      <c r="F231" s="700">
        <f>INDEX(_Datos 231:231,,MATCH(_Búsqueda_Fechas_Pago, _Datos _Headers,0))</f>
        <v>48868</v>
      </c>
      <c r="G231" s="736">
        <f>INDEX(_Datos 231:231,,MATCH(_Búsqueda_Duración, _Datos _Headers,0))</f>
        <v>30</v>
      </c>
      <c r="H231" s="735"/>
      <c r="I231" s="78">
        <f t="shared" si="16"/>
        <v>48868</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45626</v>
      </c>
      <c r="P231" s="32">
        <f>_DPP _Quincenal</f>
        <v>15</v>
      </c>
      <c r="Q231" s="735"/>
      <c r="R231" s="78">
        <f>IF(DAY(R230 + 1) &lt;= _DPP _Decenal,
DATE(YEAR(R230 + 1),MONTH(R230 + 1),_DPP _Decenal),
IF(DAY(R230 + 1) &lt;= (_DPP _Decenal*2),
DATE(YEAR(R230 + 1),MONTH(R230 + 1),(_DPP _Decenal*2)),EOMONTH(R230 + 1,0)))</f>
        <v>44540</v>
      </c>
      <c r="S231" s="32">
        <f>_DPP _Decenal</f>
        <v>10</v>
      </c>
      <c r="T231" s="735"/>
      <c r="U231" s="78">
        <f t="shared" si="17"/>
        <v>48777</v>
      </c>
      <c r="V231" s="32">
        <f t="shared" si="19"/>
        <v>30</v>
      </c>
    </row>
    <row r="232" spans="5:22" x14ac:dyDescent="0.25">
      <c r="E232" s="100">
        <f t="shared" si="15"/>
        <v>30</v>
      </c>
      <c r="F232" s="700">
        <f>INDEX(_Datos 232:232,,MATCH(_Búsqueda_Fechas_Pago, _Datos _Headers,0))</f>
        <v>48899</v>
      </c>
      <c r="G232" s="736">
        <f>INDEX(_Datos 232:232,,MATCH(_Búsqueda_Duración, _Datos _Headers,0))</f>
        <v>30</v>
      </c>
      <c r="H232" s="735"/>
      <c r="I232" s="78">
        <f t="shared" si="16"/>
        <v>48899</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45641</v>
      </c>
      <c r="P232" s="32">
        <f>_DPP _Quincenal</f>
        <v>15</v>
      </c>
      <c r="Q232" s="735"/>
      <c r="R232" s="78">
        <f>IF(DAY(R231 + 1) &lt;= _DPP _Decenal,
DATE(YEAR(R231 + 1),MONTH(R231 + 1),_DPP _Decenal),
IF(DAY(R231 + 1) &lt;= (_DPP _Decenal*2),
DATE(YEAR(R231 + 1),MONTH(R231 + 1),(_DPP _Decenal*2)),EOMONTH(R231 + 1,0)))</f>
        <v>44550</v>
      </c>
      <c r="S232" s="32">
        <f>_DPP _Decenal</f>
        <v>10</v>
      </c>
      <c r="T232" s="735"/>
      <c r="U232" s="78">
        <f t="shared" si="17"/>
        <v>48807</v>
      </c>
      <c r="V232" s="32">
        <f t="shared" si="19"/>
        <v>30</v>
      </c>
    </row>
    <row r="233" spans="5:22" x14ac:dyDescent="0.25">
      <c r="E233" s="100">
        <f t="shared" si="15"/>
        <v>30</v>
      </c>
      <c r="F233" s="700">
        <f>INDEX(_Datos 233:233,,MATCH(_Búsqueda_Fechas_Pago, _Datos _Headers,0))</f>
        <v>48929</v>
      </c>
      <c r="G233" s="736">
        <f>INDEX(_Datos 233:233,,MATCH(_Búsqueda_Duración, _Datos _Headers,0))</f>
        <v>30</v>
      </c>
      <c r="H233" s="735"/>
      <c r="I233" s="78">
        <f t="shared" si="16"/>
        <v>48929</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45657</v>
      </c>
      <c r="P233" s="32">
        <f>_DPP _Quincenal</f>
        <v>15</v>
      </c>
      <c r="Q233" s="735"/>
      <c r="R233" s="78">
        <f>IF(DAY(R232 + 1) &lt;= _DPP _Decenal,
DATE(YEAR(R232 + 1),MONTH(R232 + 1),_DPP _Decenal),
IF(DAY(R232 + 1) &lt;= (_DPP _Decenal*2),
DATE(YEAR(R232 + 1),MONTH(R232 + 1),(_DPP _Decenal*2)),EOMONTH(R232 + 1,0)))</f>
        <v>44561</v>
      </c>
      <c r="S233" s="32">
        <f>_DPP _Decenal</f>
        <v>10</v>
      </c>
      <c r="T233" s="735"/>
      <c r="U233" s="78">
        <f t="shared" si="17"/>
        <v>48837</v>
      </c>
      <c r="V233" s="32">
        <f t="shared" si="19"/>
        <v>30</v>
      </c>
    </row>
    <row r="234" spans="5:22" x14ac:dyDescent="0.25">
      <c r="E234" s="100">
        <f t="shared" si="15"/>
        <v>30</v>
      </c>
      <c r="F234" s="700">
        <f>INDEX(_Datos 234:234,,MATCH(_Búsqueda_Fechas_Pago, _Datos _Headers,0))</f>
        <v>48960</v>
      </c>
      <c r="G234" s="736">
        <f>INDEX(_Datos 234:234,,MATCH(_Búsqueda_Duración, _Datos _Headers,0))</f>
        <v>30</v>
      </c>
      <c r="H234" s="735"/>
      <c r="I234" s="78">
        <f t="shared" si="16"/>
        <v>48960</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45672</v>
      </c>
      <c r="P234" s="32">
        <f>_DPP _Quincenal</f>
        <v>15</v>
      </c>
      <c r="Q234" s="735"/>
      <c r="R234" s="78">
        <f>IF(DAY(R233 + 1) &lt;= _DPP _Decenal,
DATE(YEAR(R233 + 1),MONTH(R233 + 1),_DPP _Decenal),
IF(DAY(R233 + 1) &lt;= (_DPP _Decenal*2),
DATE(YEAR(R233 + 1),MONTH(R233 + 1),(_DPP _Decenal*2)),EOMONTH(R233 + 1,0)))</f>
        <v>44571</v>
      </c>
      <c r="S234" s="32">
        <f>_DPP _Decenal</f>
        <v>10</v>
      </c>
      <c r="T234" s="735"/>
      <c r="U234" s="78">
        <f t="shared" si="17"/>
        <v>48867</v>
      </c>
      <c r="V234" s="32">
        <f t="shared" si="19"/>
        <v>30</v>
      </c>
    </row>
    <row r="235" spans="5:22" x14ac:dyDescent="0.25">
      <c r="E235" s="100">
        <f t="shared" si="15"/>
        <v>30</v>
      </c>
      <c r="F235" s="700">
        <f>INDEX(_Datos 235:235,,MATCH(_Búsqueda_Fechas_Pago, _Datos _Headers,0))</f>
        <v>48991</v>
      </c>
      <c r="G235" s="736">
        <f>INDEX(_Datos 235:235,,MATCH(_Búsqueda_Duración, _Datos _Headers,0))</f>
        <v>30</v>
      </c>
      <c r="H235" s="735"/>
      <c r="I235" s="78">
        <f t="shared" si="16"/>
        <v>48991</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45688</v>
      </c>
      <c r="P235" s="32">
        <f>_DPP _Quincenal</f>
        <v>15</v>
      </c>
      <c r="Q235" s="735"/>
      <c r="R235" s="78">
        <f>IF(DAY(R234 + 1) &lt;= _DPP _Decenal,
DATE(YEAR(R234 + 1),MONTH(R234 + 1),_DPP _Decenal),
IF(DAY(R234 + 1) &lt;= (_DPP _Decenal*2),
DATE(YEAR(R234 + 1),MONTH(R234 + 1),(_DPP _Decenal*2)),EOMONTH(R234 + 1,0)))</f>
        <v>44581</v>
      </c>
      <c r="S235" s="32">
        <f>_DPP _Decenal</f>
        <v>10</v>
      </c>
      <c r="T235" s="735"/>
      <c r="U235" s="78">
        <f t="shared" si="17"/>
        <v>48897</v>
      </c>
      <c r="V235" s="32">
        <f t="shared" si="19"/>
        <v>30</v>
      </c>
    </row>
    <row r="236" spans="5:22" x14ac:dyDescent="0.25">
      <c r="E236" s="100">
        <f t="shared" si="15"/>
        <v>30</v>
      </c>
      <c r="F236" s="700">
        <f>INDEX(_Datos 236:236,,MATCH(_Búsqueda_Fechas_Pago, _Datos _Headers,0))</f>
        <v>49019</v>
      </c>
      <c r="G236" s="736">
        <f>INDEX(_Datos 236:236,,MATCH(_Búsqueda_Duración, _Datos _Headers,0))</f>
        <v>30</v>
      </c>
      <c r="H236" s="735"/>
      <c r="I236" s="78">
        <f t="shared" si="16"/>
        <v>49019</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45703</v>
      </c>
      <c r="P236" s="32">
        <f>_DPP _Quincenal</f>
        <v>15</v>
      </c>
      <c r="Q236" s="735"/>
      <c r="R236" s="78">
        <f>IF(DAY(R235 + 1) &lt;= _DPP _Decenal,
DATE(YEAR(R235 + 1),MONTH(R235 + 1),_DPP _Decenal),
IF(DAY(R235 + 1) &lt;= (_DPP _Decenal*2),
DATE(YEAR(R235 + 1),MONTH(R235 + 1),(_DPP _Decenal*2)),EOMONTH(R235 + 1,0)))</f>
        <v>44592</v>
      </c>
      <c r="S236" s="32">
        <f>_DPP _Decenal</f>
        <v>10</v>
      </c>
      <c r="T236" s="735"/>
      <c r="U236" s="78">
        <f t="shared" si="17"/>
        <v>48927</v>
      </c>
      <c r="V236" s="32">
        <f t="shared" si="19"/>
        <v>30</v>
      </c>
    </row>
    <row r="237" spans="5:22" x14ac:dyDescent="0.25">
      <c r="E237" s="100">
        <f t="shared" si="15"/>
        <v>30</v>
      </c>
      <c r="F237" s="700">
        <f>INDEX(_Datos 237:237,,MATCH(_Búsqueda_Fechas_Pago, _Datos _Headers,0))</f>
        <v>49050</v>
      </c>
      <c r="G237" s="736">
        <f>INDEX(_Datos 237:237,,MATCH(_Búsqueda_Duración, _Datos _Headers,0))</f>
        <v>30</v>
      </c>
      <c r="H237" s="735"/>
      <c r="I237" s="78">
        <f t="shared" si="16"/>
        <v>49050</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45716</v>
      </c>
      <c r="P237" s="32">
        <f>_DPP _Quincenal</f>
        <v>15</v>
      </c>
      <c r="Q237" s="735"/>
      <c r="R237" s="78">
        <f>IF(DAY(R236 + 1) &lt;= _DPP _Decenal,
DATE(YEAR(R236 + 1),MONTH(R236 + 1),_DPP _Decenal),
IF(DAY(R236 + 1) &lt;= (_DPP _Decenal*2),
DATE(YEAR(R236 + 1),MONTH(R236 + 1),(_DPP _Decenal*2)),EOMONTH(R236 + 1,0)))</f>
        <v>44602</v>
      </c>
      <c r="S237" s="32">
        <f>_DPP _Decenal</f>
        <v>10</v>
      </c>
      <c r="T237" s="735"/>
      <c r="U237" s="78">
        <f t="shared" si="17"/>
        <v>48957</v>
      </c>
      <c r="V237" s="32">
        <f t="shared" si="19"/>
        <v>30</v>
      </c>
    </row>
    <row r="238" spans="5:22" x14ac:dyDescent="0.25">
      <c r="E238" s="100">
        <f t="shared" si="15"/>
        <v>30</v>
      </c>
      <c r="F238" s="700">
        <f>INDEX(_Datos 238:238,,MATCH(_Búsqueda_Fechas_Pago, _Datos _Headers,0))</f>
        <v>49080</v>
      </c>
      <c r="G238" s="736">
        <f>INDEX(_Datos 238:238,,MATCH(_Búsqueda_Duración, _Datos _Headers,0))</f>
        <v>30</v>
      </c>
      <c r="H238" s="735"/>
      <c r="I238" s="78">
        <f t="shared" si="16"/>
        <v>49080</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45731</v>
      </c>
      <c r="P238" s="32">
        <f>_DPP _Quincenal</f>
        <v>15</v>
      </c>
      <c r="Q238" s="735"/>
      <c r="R238" s="78">
        <f>IF(DAY(R237 + 1) &lt;= _DPP _Decenal,
DATE(YEAR(R237 + 1),MONTH(R237 + 1),_DPP _Decenal),
IF(DAY(R237 + 1) &lt;= (_DPP _Decenal*2),
DATE(YEAR(R237 + 1),MONTH(R237 + 1),(_DPP _Decenal*2)),EOMONTH(R237 + 1,0)))</f>
        <v>44612</v>
      </c>
      <c r="S238" s="32">
        <f>_DPP _Decenal</f>
        <v>10</v>
      </c>
      <c r="T238" s="735"/>
      <c r="U238" s="78">
        <f t="shared" si="17"/>
        <v>48987</v>
      </c>
      <c r="V238" s="32">
        <f t="shared" si="19"/>
        <v>30</v>
      </c>
    </row>
    <row r="239" spans="5:22" x14ac:dyDescent="0.25">
      <c r="E239" s="100">
        <f t="shared" si="15"/>
        <v>30</v>
      </c>
      <c r="F239" s="700">
        <f>INDEX(_Datos 239:239,,MATCH(_Búsqueda_Fechas_Pago, _Datos _Headers,0))</f>
        <v>49111</v>
      </c>
      <c r="G239" s="736">
        <f>INDEX(_Datos 239:239,,MATCH(_Búsqueda_Duración, _Datos _Headers,0))</f>
        <v>30</v>
      </c>
      <c r="H239" s="735"/>
      <c r="I239" s="78">
        <f t="shared" si="16"/>
        <v>49111</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45747</v>
      </c>
      <c r="P239" s="32">
        <f>_DPP _Quincenal</f>
        <v>15</v>
      </c>
      <c r="Q239" s="735"/>
      <c r="R239" s="78">
        <f>IF(DAY(R238 + 1) &lt;= _DPP _Decenal,
DATE(YEAR(R238 + 1),MONTH(R238 + 1),_DPP _Decenal),
IF(DAY(R238 + 1) &lt;= (_DPP _Decenal*2),
DATE(YEAR(R238 + 1),MONTH(R238 + 1),(_DPP _Decenal*2)),EOMONTH(R238 + 1,0)))</f>
        <v>44620</v>
      </c>
      <c r="S239" s="32">
        <f>_DPP _Decenal</f>
        <v>10</v>
      </c>
      <c r="T239" s="735"/>
      <c r="U239" s="78">
        <f t="shared" si="17"/>
        <v>49017</v>
      </c>
      <c r="V239" s="32">
        <f t="shared" si="19"/>
        <v>30</v>
      </c>
    </row>
    <row r="240" spans="5:22" x14ac:dyDescent="0.25">
      <c r="E240" s="100">
        <f t="shared" si="15"/>
        <v>30</v>
      </c>
      <c r="F240" s="700">
        <f>INDEX(_Datos 240:240,,MATCH(_Búsqueda_Fechas_Pago, _Datos _Headers,0))</f>
        <v>49141</v>
      </c>
      <c r="G240" s="736">
        <f>INDEX(_Datos 240:240,,MATCH(_Búsqueda_Duración, _Datos _Headers,0))</f>
        <v>30</v>
      </c>
      <c r="H240" s="735"/>
      <c r="I240" s="78">
        <f t="shared" si="16"/>
        <v>49141</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45762</v>
      </c>
      <c r="P240" s="32">
        <f>_DPP _Quincenal</f>
        <v>15</v>
      </c>
      <c r="Q240" s="735"/>
      <c r="R240" s="78">
        <f>IF(DAY(R239 + 1) &lt;= _DPP _Decenal,
DATE(YEAR(R239 + 1),MONTH(R239 + 1),_DPP _Decenal),
IF(DAY(R239 + 1) &lt;= (_DPP _Decenal*2),
DATE(YEAR(R239 + 1),MONTH(R239 + 1),(_DPP _Decenal*2)),EOMONTH(R239 + 1,0)))</f>
        <v>44630</v>
      </c>
      <c r="S240" s="32">
        <f>_DPP _Decenal</f>
        <v>10</v>
      </c>
      <c r="T240" s="735"/>
      <c r="U240" s="78">
        <f t="shared" si="17"/>
        <v>49047</v>
      </c>
      <c r="V240" s="32">
        <f t="shared" si="19"/>
        <v>30</v>
      </c>
    </row>
    <row r="241" spans="5:22" x14ac:dyDescent="0.25">
      <c r="E241" s="100">
        <f t="shared" si="15"/>
        <v>30</v>
      </c>
      <c r="F241" s="700">
        <f>INDEX(_Datos 241:241,,MATCH(_Búsqueda_Fechas_Pago, _Datos _Headers,0))</f>
        <v>49172</v>
      </c>
      <c r="G241" s="736">
        <f>INDEX(_Datos 241:241,,MATCH(_Búsqueda_Duración, _Datos _Headers,0))</f>
        <v>30</v>
      </c>
      <c r="H241" s="735"/>
      <c r="I241" s="78">
        <f t="shared" si="16"/>
        <v>49172</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45777</v>
      </c>
      <c r="P241" s="32">
        <f>_DPP _Quincenal</f>
        <v>15</v>
      </c>
      <c r="Q241" s="735"/>
      <c r="R241" s="78">
        <f>IF(DAY(R240 + 1) &lt;= _DPP _Decenal,
DATE(YEAR(R240 + 1),MONTH(R240 + 1),_DPP _Decenal),
IF(DAY(R240 + 1) &lt;= (_DPP _Decenal*2),
DATE(YEAR(R240 + 1),MONTH(R240 + 1),(_DPP _Decenal*2)),EOMONTH(R240 + 1,0)))</f>
        <v>44640</v>
      </c>
      <c r="S241" s="32">
        <f>_DPP _Decenal</f>
        <v>10</v>
      </c>
      <c r="T241" s="735"/>
      <c r="U241" s="78">
        <f t="shared" si="17"/>
        <v>49077</v>
      </c>
      <c r="V241" s="32">
        <f t="shared" si="19"/>
        <v>30</v>
      </c>
    </row>
    <row r="242" spans="5:22" x14ac:dyDescent="0.25">
      <c r="E242" s="100">
        <f t="shared" si="15"/>
        <v>30</v>
      </c>
      <c r="F242" s="700">
        <f>INDEX(_Datos 242:242,,MATCH(_Búsqueda_Fechas_Pago, _Datos _Headers,0))</f>
        <v>49203</v>
      </c>
      <c r="G242" s="736">
        <f>INDEX(_Datos 242:242,,MATCH(_Búsqueda_Duración, _Datos _Headers,0))</f>
        <v>30</v>
      </c>
      <c r="H242" s="735"/>
      <c r="I242" s="78">
        <f t="shared" si="16"/>
        <v>49203</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45792</v>
      </c>
      <c r="P242" s="32">
        <f>_DPP _Quincenal</f>
        <v>15</v>
      </c>
      <c r="Q242" s="735"/>
      <c r="R242" s="78">
        <f>IF(DAY(R241 + 1) &lt;= _DPP _Decenal,
DATE(YEAR(R241 + 1),MONTH(R241 + 1),_DPP _Decenal),
IF(DAY(R241 + 1) &lt;= (_DPP _Decenal*2),
DATE(YEAR(R241 + 1),MONTH(R241 + 1),(_DPP _Decenal*2)),EOMONTH(R241 + 1,0)))</f>
        <v>44651</v>
      </c>
      <c r="S242" s="32">
        <f>_DPP _Decenal</f>
        <v>10</v>
      </c>
      <c r="T242" s="735"/>
      <c r="U242" s="78">
        <f t="shared" si="17"/>
        <v>49107</v>
      </c>
      <c r="V242" s="32">
        <f t="shared" si="19"/>
        <v>30</v>
      </c>
    </row>
    <row r="243" spans="5:22" x14ac:dyDescent="0.25">
      <c r="E243" s="100">
        <f t="shared" si="15"/>
        <v>30</v>
      </c>
      <c r="F243" s="700">
        <f>INDEX(_Datos 243:243,,MATCH(_Búsqueda_Fechas_Pago, _Datos _Headers,0))</f>
        <v>49233</v>
      </c>
      <c r="G243" s="736">
        <f>INDEX(_Datos 243:243,,MATCH(_Búsqueda_Duración, _Datos _Headers,0))</f>
        <v>30</v>
      </c>
      <c r="H243" s="735"/>
      <c r="I243" s="78">
        <f t="shared" si="16"/>
        <v>49233</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45808</v>
      </c>
      <c r="P243" s="32">
        <f>_DPP _Quincenal</f>
        <v>15</v>
      </c>
      <c r="Q243" s="735"/>
      <c r="R243" s="78">
        <f>IF(DAY(R242 + 1) &lt;= _DPP _Decenal,
DATE(YEAR(R242 + 1),MONTH(R242 + 1),_DPP _Decenal),
IF(DAY(R242 + 1) &lt;= (_DPP _Decenal*2),
DATE(YEAR(R242 + 1),MONTH(R242 + 1),(_DPP _Decenal*2)),EOMONTH(R242 + 1,0)))</f>
        <v>44661</v>
      </c>
      <c r="S243" s="32">
        <f>_DPP _Decenal</f>
        <v>10</v>
      </c>
      <c r="T243" s="735"/>
      <c r="U243" s="78">
        <f t="shared" si="17"/>
        <v>49137</v>
      </c>
      <c r="V243" s="32">
        <f t="shared" si="19"/>
        <v>30</v>
      </c>
    </row>
    <row r="244" spans="5:22" x14ac:dyDescent="0.25">
      <c r="E244" s="100">
        <f t="shared" si="15"/>
        <v>30</v>
      </c>
      <c r="F244" s="700">
        <f>INDEX(_Datos 244:244,,MATCH(_Búsqueda_Fechas_Pago, _Datos _Headers,0))</f>
        <v>49264</v>
      </c>
      <c r="G244" s="736">
        <f>INDEX(_Datos 244:244,,MATCH(_Búsqueda_Duración, _Datos _Headers,0))</f>
        <v>30</v>
      </c>
      <c r="H244" s="735"/>
      <c r="I244" s="78">
        <f t="shared" si="16"/>
        <v>49264</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45823</v>
      </c>
      <c r="P244" s="32">
        <f>_DPP _Quincenal</f>
        <v>15</v>
      </c>
      <c r="Q244" s="735"/>
      <c r="R244" s="78">
        <f>IF(DAY(R243 + 1) &lt;= _DPP _Decenal,
DATE(YEAR(R243 + 1),MONTH(R243 + 1),_DPP _Decenal),
IF(DAY(R243 + 1) &lt;= (_DPP _Decenal*2),
DATE(YEAR(R243 + 1),MONTH(R243 + 1),(_DPP _Decenal*2)),EOMONTH(R243 + 1,0)))</f>
        <v>44671</v>
      </c>
      <c r="S244" s="32">
        <f>_DPP _Decenal</f>
        <v>10</v>
      </c>
      <c r="T244" s="735"/>
      <c r="U244" s="78">
        <f t="shared" si="17"/>
        <v>49167</v>
      </c>
      <c r="V244" s="32">
        <f t="shared" si="19"/>
        <v>30</v>
      </c>
    </row>
    <row r="245" spans="5:22" x14ac:dyDescent="0.25">
      <c r="E245" s="100">
        <f t="shared" si="15"/>
        <v>30</v>
      </c>
      <c r="F245" s="700">
        <f>INDEX(_Datos 245:245,,MATCH(_Búsqueda_Fechas_Pago, _Datos _Headers,0))</f>
        <v>49294</v>
      </c>
      <c r="G245" s="736">
        <f>INDEX(_Datos 245:245,,MATCH(_Búsqueda_Duración, _Datos _Headers,0))</f>
        <v>30</v>
      </c>
      <c r="H245" s="735"/>
      <c r="I245" s="78">
        <f t="shared" si="16"/>
        <v>49294</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45838</v>
      </c>
      <c r="P245" s="32">
        <f>_DPP _Quincenal</f>
        <v>15</v>
      </c>
      <c r="Q245" s="735"/>
      <c r="R245" s="78">
        <f>IF(DAY(R244 + 1) &lt;= _DPP _Decenal,
DATE(YEAR(R244 + 1),MONTH(R244 + 1),_DPP _Decenal),
IF(DAY(R244 + 1) &lt;= (_DPP _Decenal*2),
DATE(YEAR(R244 + 1),MONTH(R244 + 1),(_DPP _Decenal*2)),EOMONTH(R244 + 1,0)))</f>
        <v>44681</v>
      </c>
      <c r="S245" s="32">
        <f>_DPP _Decenal</f>
        <v>10</v>
      </c>
      <c r="T245" s="735"/>
      <c r="U245" s="78">
        <f t="shared" si="17"/>
        <v>49197</v>
      </c>
      <c r="V245" s="32">
        <f t="shared" si="19"/>
        <v>30</v>
      </c>
    </row>
    <row r="246" spans="5:22" x14ac:dyDescent="0.25">
      <c r="E246" s="100">
        <f t="shared" si="15"/>
        <v>30</v>
      </c>
      <c r="F246" s="700">
        <f>INDEX(_Datos 246:246,,MATCH(_Búsqueda_Fechas_Pago, _Datos _Headers,0))</f>
        <v>49325</v>
      </c>
      <c r="G246" s="736">
        <f>INDEX(_Datos 246:246,,MATCH(_Búsqueda_Duración, _Datos _Headers,0))</f>
        <v>30</v>
      </c>
      <c r="H246" s="735"/>
      <c r="I246" s="78">
        <f t="shared" si="16"/>
        <v>49325</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45853</v>
      </c>
      <c r="P246" s="32">
        <f>_DPP _Quincenal</f>
        <v>15</v>
      </c>
      <c r="Q246" s="735"/>
      <c r="R246" s="78">
        <f>IF(DAY(R245 + 1) &lt;= _DPP _Decenal,
DATE(YEAR(R245 + 1),MONTH(R245 + 1),_DPP _Decenal),
IF(DAY(R245 + 1) &lt;= (_DPP _Decenal*2),
DATE(YEAR(R245 + 1),MONTH(R245 + 1),(_DPP _Decenal*2)),EOMONTH(R245 + 1,0)))</f>
        <v>44691</v>
      </c>
      <c r="S246" s="32">
        <f>_DPP _Decenal</f>
        <v>10</v>
      </c>
      <c r="T246" s="735"/>
      <c r="U246" s="78">
        <f t="shared" si="17"/>
        <v>49227</v>
      </c>
      <c r="V246" s="32">
        <f t="shared" si="19"/>
        <v>30</v>
      </c>
    </row>
    <row r="247" spans="5:22" x14ac:dyDescent="0.25">
      <c r="E247" s="100">
        <f t="shared" si="15"/>
        <v>30</v>
      </c>
      <c r="F247" s="700">
        <f>INDEX(_Datos 247:247,,MATCH(_Búsqueda_Fechas_Pago, _Datos _Headers,0))</f>
        <v>49356</v>
      </c>
      <c r="G247" s="736">
        <f>INDEX(_Datos 247:247,,MATCH(_Búsqueda_Duración, _Datos _Headers,0))</f>
        <v>30</v>
      </c>
      <c r="H247" s="735"/>
      <c r="I247" s="78">
        <f t="shared" si="16"/>
        <v>49356</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45869</v>
      </c>
      <c r="P247" s="32">
        <f>_DPP _Quincenal</f>
        <v>15</v>
      </c>
      <c r="Q247" s="735"/>
      <c r="R247" s="78">
        <f>IF(DAY(R246 + 1) &lt;= _DPP _Decenal,
DATE(YEAR(R246 + 1),MONTH(R246 + 1),_DPP _Decenal),
IF(DAY(R246 + 1) &lt;= (_DPP _Decenal*2),
DATE(YEAR(R246 + 1),MONTH(R246 + 1),(_DPP _Decenal*2)),EOMONTH(R246 + 1,0)))</f>
        <v>44701</v>
      </c>
      <c r="S247" s="32">
        <f>_DPP _Decenal</f>
        <v>10</v>
      </c>
      <c r="T247" s="735"/>
      <c r="U247" s="78">
        <f t="shared" si="17"/>
        <v>49257</v>
      </c>
      <c r="V247" s="32">
        <f t="shared" si="19"/>
        <v>30</v>
      </c>
    </row>
    <row r="248" spans="5:22" x14ac:dyDescent="0.25">
      <c r="E248" s="100">
        <f t="shared" si="15"/>
        <v>30</v>
      </c>
      <c r="F248" s="700">
        <f>INDEX(_Datos 248:248,,MATCH(_Búsqueda_Fechas_Pago, _Datos _Headers,0))</f>
        <v>49384</v>
      </c>
      <c r="G248" s="736">
        <f>INDEX(_Datos 248:248,,MATCH(_Búsqueda_Duración, _Datos _Headers,0))</f>
        <v>30</v>
      </c>
      <c r="H248" s="735"/>
      <c r="I248" s="78">
        <f t="shared" si="16"/>
        <v>49384</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45884</v>
      </c>
      <c r="P248" s="32">
        <f>_DPP _Quincenal</f>
        <v>15</v>
      </c>
      <c r="Q248" s="735"/>
      <c r="R248" s="78">
        <f>IF(DAY(R247 + 1) &lt;= _DPP _Decenal,
DATE(YEAR(R247 + 1),MONTH(R247 + 1),_DPP _Decenal),
IF(DAY(R247 + 1) &lt;= (_DPP _Decenal*2),
DATE(YEAR(R247 + 1),MONTH(R247 + 1),(_DPP _Decenal*2)),EOMONTH(R247 + 1,0)))</f>
        <v>44712</v>
      </c>
      <c r="S248" s="32">
        <f>_DPP _Decenal</f>
        <v>10</v>
      </c>
      <c r="T248" s="735"/>
      <c r="U248" s="78">
        <f t="shared" si="17"/>
        <v>49287</v>
      </c>
      <c r="V248" s="32">
        <f t="shared" si="19"/>
        <v>30</v>
      </c>
    </row>
    <row r="249" spans="5:22" x14ac:dyDescent="0.25">
      <c r="E249" s="100">
        <f t="shared" si="15"/>
        <v>30</v>
      </c>
      <c r="F249" s="700">
        <f>INDEX(_Datos 249:249,,MATCH(_Búsqueda_Fechas_Pago, _Datos _Headers,0))</f>
        <v>49415</v>
      </c>
      <c r="G249" s="736">
        <f>INDEX(_Datos 249:249,,MATCH(_Búsqueda_Duración, _Datos _Headers,0))</f>
        <v>30</v>
      </c>
      <c r="H249" s="735"/>
      <c r="I249" s="78">
        <f t="shared" si="16"/>
        <v>49415</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45900</v>
      </c>
      <c r="P249" s="32">
        <f>_DPP _Quincenal</f>
        <v>15</v>
      </c>
      <c r="Q249" s="735"/>
      <c r="R249" s="78">
        <f>IF(DAY(R248 + 1) &lt;= _DPP _Decenal,
DATE(YEAR(R248 + 1),MONTH(R248 + 1),_DPP _Decenal),
IF(DAY(R248 + 1) &lt;= (_DPP _Decenal*2),
DATE(YEAR(R248 + 1),MONTH(R248 + 1),(_DPP _Decenal*2)),EOMONTH(R248 + 1,0)))</f>
        <v>44722</v>
      </c>
      <c r="S249" s="32">
        <f>_DPP _Decenal</f>
        <v>10</v>
      </c>
      <c r="T249" s="735"/>
      <c r="U249" s="78">
        <f t="shared" si="17"/>
        <v>49317</v>
      </c>
      <c r="V249" s="32">
        <f t="shared" si="19"/>
        <v>30</v>
      </c>
    </row>
    <row r="250" spans="5:22" x14ac:dyDescent="0.25">
      <c r="E250" s="100">
        <f t="shared" si="15"/>
        <v>30</v>
      </c>
      <c r="F250" s="700">
        <f>INDEX(_Datos 250:250,,MATCH(_Búsqueda_Fechas_Pago, _Datos _Headers,0))</f>
        <v>49445</v>
      </c>
      <c r="G250" s="736">
        <f>INDEX(_Datos 250:250,,MATCH(_Búsqueda_Duración, _Datos _Headers,0))</f>
        <v>30</v>
      </c>
      <c r="H250" s="735"/>
      <c r="I250" s="78">
        <f t="shared" si="16"/>
        <v>49445</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45915</v>
      </c>
      <c r="P250" s="32">
        <f>_DPP _Quincenal</f>
        <v>15</v>
      </c>
      <c r="Q250" s="735"/>
      <c r="R250" s="78">
        <f>IF(DAY(R249 + 1) &lt;= _DPP _Decenal,
DATE(YEAR(R249 + 1),MONTH(R249 + 1),_DPP _Decenal),
IF(DAY(R249 + 1) &lt;= (_DPP _Decenal*2),
DATE(YEAR(R249 + 1),MONTH(R249 + 1),(_DPP _Decenal*2)),EOMONTH(R249 + 1,0)))</f>
        <v>44732</v>
      </c>
      <c r="S250" s="32">
        <f>_DPP _Decenal</f>
        <v>10</v>
      </c>
      <c r="T250" s="735"/>
      <c r="U250" s="78">
        <f t="shared" si="17"/>
        <v>49347</v>
      </c>
      <c r="V250" s="32">
        <f t="shared" si="19"/>
        <v>30</v>
      </c>
    </row>
    <row r="251" spans="5:22" x14ac:dyDescent="0.25">
      <c r="E251" s="100">
        <f t="shared" si="15"/>
        <v>30</v>
      </c>
      <c r="F251" s="700">
        <f>INDEX(_Datos 251:251,,MATCH(_Búsqueda_Fechas_Pago, _Datos _Headers,0))</f>
        <v>49476</v>
      </c>
      <c r="G251" s="736">
        <f>INDEX(_Datos 251:251,,MATCH(_Búsqueda_Duración, _Datos _Headers,0))</f>
        <v>30</v>
      </c>
      <c r="H251" s="735"/>
      <c r="I251" s="78">
        <f t="shared" si="16"/>
        <v>49476</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45930</v>
      </c>
      <c r="P251" s="32">
        <f>_DPP _Quincenal</f>
        <v>15</v>
      </c>
      <c r="Q251" s="735"/>
      <c r="R251" s="78">
        <f>IF(DAY(R250 + 1) &lt;= _DPP _Decenal,
DATE(YEAR(R250 + 1),MONTH(R250 + 1),_DPP _Decenal),
IF(DAY(R250 + 1) &lt;= (_DPP _Decenal*2),
DATE(YEAR(R250 + 1),MONTH(R250 + 1),(_DPP _Decenal*2)),EOMONTH(R250 + 1,0)))</f>
        <v>44742</v>
      </c>
      <c r="S251" s="32">
        <f>_DPP _Decenal</f>
        <v>10</v>
      </c>
      <c r="T251" s="735"/>
      <c r="U251" s="78">
        <f t="shared" si="17"/>
        <v>49377</v>
      </c>
      <c r="V251" s="32">
        <f t="shared" si="19"/>
        <v>30</v>
      </c>
    </row>
    <row r="252" spans="5:22" x14ac:dyDescent="0.25">
      <c r="E252" s="100">
        <f t="shared" si="15"/>
        <v>30</v>
      </c>
      <c r="F252" s="700">
        <f>INDEX(_Datos 252:252,,MATCH(_Búsqueda_Fechas_Pago, _Datos _Headers,0))</f>
        <v>49506</v>
      </c>
      <c r="G252" s="736">
        <f>INDEX(_Datos 252:252,,MATCH(_Búsqueda_Duración, _Datos _Headers,0))</f>
        <v>30</v>
      </c>
      <c r="H252" s="735"/>
      <c r="I252" s="78">
        <f t="shared" si="16"/>
        <v>49506</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45945</v>
      </c>
      <c r="P252" s="32">
        <f>_DPP _Quincenal</f>
        <v>15</v>
      </c>
      <c r="Q252" s="735"/>
      <c r="R252" s="78">
        <f>IF(DAY(R251 + 1) &lt;= _DPP _Decenal,
DATE(YEAR(R251 + 1),MONTH(R251 + 1),_DPP _Decenal),
IF(DAY(R251 + 1) &lt;= (_DPP _Decenal*2),
DATE(YEAR(R251 + 1),MONTH(R251 + 1),(_DPP _Decenal*2)),EOMONTH(R251 + 1,0)))</f>
        <v>44752</v>
      </c>
      <c r="S252" s="32">
        <f>_DPP _Decenal</f>
        <v>10</v>
      </c>
      <c r="T252" s="735"/>
      <c r="U252" s="78">
        <f t="shared" si="17"/>
        <v>49407</v>
      </c>
      <c r="V252" s="32">
        <f t="shared" si="19"/>
        <v>30</v>
      </c>
    </row>
    <row r="253" spans="5:22" x14ac:dyDescent="0.25">
      <c r="E253" s="100">
        <f t="shared" si="15"/>
        <v>30</v>
      </c>
      <c r="F253" s="700">
        <f>INDEX(_Datos 253:253,,MATCH(_Búsqueda_Fechas_Pago, _Datos _Headers,0))</f>
        <v>49537</v>
      </c>
      <c r="G253" s="736">
        <f>INDEX(_Datos 253:253,,MATCH(_Búsqueda_Duración, _Datos _Headers,0))</f>
        <v>30</v>
      </c>
      <c r="H253" s="735"/>
      <c r="I253" s="78">
        <f t="shared" si="16"/>
        <v>49537</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45961</v>
      </c>
      <c r="P253" s="32">
        <f>_DPP _Quincenal</f>
        <v>15</v>
      </c>
      <c r="Q253" s="735"/>
      <c r="R253" s="78">
        <f>IF(DAY(R252 + 1) &lt;= _DPP _Decenal,
DATE(YEAR(R252 + 1),MONTH(R252 + 1),_DPP _Decenal),
IF(DAY(R252 + 1) &lt;= (_DPP _Decenal*2),
DATE(YEAR(R252 + 1),MONTH(R252 + 1),(_DPP _Decenal*2)),EOMONTH(R252 + 1,0)))</f>
        <v>44762</v>
      </c>
      <c r="S253" s="32">
        <f>_DPP _Decenal</f>
        <v>10</v>
      </c>
      <c r="T253" s="735"/>
      <c r="U253" s="78">
        <f t="shared" si="17"/>
        <v>49437</v>
      </c>
      <c r="V253" s="32">
        <f t="shared" si="19"/>
        <v>30</v>
      </c>
    </row>
    <row r="254" spans="5:22" x14ac:dyDescent="0.25">
      <c r="E254" s="100">
        <f t="shared" si="15"/>
        <v>30</v>
      </c>
      <c r="F254" s="700">
        <f>INDEX(_Datos 254:254,,MATCH(_Búsqueda_Fechas_Pago, _Datos _Headers,0))</f>
        <v>49568</v>
      </c>
      <c r="G254" s="736">
        <f>INDEX(_Datos 254:254,,MATCH(_Búsqueda_Duración, _Datos _Headers,0))</f>
        <v>30</v>
      </c>
      <c r="H254" s="735"/>
      <c r="I254" s="78">
        <f t="shared" si="16"/>
        <v>49568</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45976</v>
      </c>
      <c r="P254" s="32">
        <f>_DPP _Quincenal</f>
        <v>15</v>
      </c>
      <c r="Q254" s="735"/>
      <c r="R254" s="78">
        <f>IF(DAY(R253 + 1) &lt;= _DPP _Decenal,
DATE(YEAR(R253 + 1),MONTH(R253 + 1),_DPP _Decenal),
IF(DAY(R253 + 1) &lt;= (_DPP _Decenal*2),
DATE(YEAR(R253 + 1),MONTH(R253 + 1),(_DPP _Decenal*2)),EOMONTH(R253 + 1,0)))</f>
        <v>44773</v>
      </c>
      <c r="S254" s="32">
        <f>_DPP _Decenal</f>
        <v>10</v>
      </c>
      <c r="T254" s="735"/>
      <c r="U254" s="78">
        <f t="shared" si="17"/>
        <v>49467</v>
      </c>
      <c r="V254" s="32">
        <f t="shared" si="19"/>
        <v>30</v>
      </c>
    </row>
    <row r="255" spans="5:22" x14ac:dyDescent="0.25">
      <c r="E255" s="100">
        <f t="shared" si="15"/>
        <v>30</v>
      </c>
      <c r="F255" s="700">
        <f>INDEX(_Datos 255:255,,MATCH(_Búsqueda_Fechas_Pago, _Datos _Headers,0))</f>
        <v>49598</v>
      </c>
      <c r="G255" s="736">
        <f>INDEX(_Datos 255:255,,MATCH(_Búsqueda_Duración, _Datos _Headers,0))</f>
        <v>30</v>
      </c>
      <c r="H255" s="735"/>
      <c r="I255" s="78">
        <f t="shared" si="16"/>
        <v>49598</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45991</v>
      </c>
      <c r="P255" s="32">
        <f>_DPP _Quincenal</f>
        <v>15</v>
      </c>
      <c r="Q255" s="735"/>
      <c r="R255" s="78">
        <f>IF(DAY(R254 + 1) &lt;= _DPP _Decenal,
DATE(YEAR(R254 + 1),MONTH(R254 + 1),_DPP _Decenal),
IF(DAY(R254 + 1) &lt;= (_DPP _Decenal*2),
DATE(YEAR(R254 + 1),MONTH(R254 + 1),(_DPP _Decenal*2)),EOMONTH(R254 + 1,0)))</f>
        <v>44783</v>
      </c>
      <c r="S255" s="32">
        <f>_DPP _Decenal</f>
        <v>10</v>
      </c>
      <c r="T255" s="735"/>
      <c r="U255" s="78">
        <f t="shared" si="17"/>
        <v>49497</v>
      </c>
      <c r="V255" s="32">
        <f t="shared" si="19"/>
        <v>30</v>
      </c>
    </row>
    <row r="256" spans="5:22" x14ac:dyDescent="0.25">
      <c r="E256" s="100">
        <f t="shared" si="15"/>
        <v>30</v>
      </c>
      <c r="F256" s="700">
        <f>INDEX(_Datos 256:256,,MATCH(_Búsqueda_Fechas_Pago, _Datos _Headers,0))</f>
        <v>49629</v>
      </c>
      <c r="G256" s="736">
        <f>INDEX(_Datos 256:256,,MATCH(_Búsqueda_Duración, _Datos _Headers,0))</f>
        <v>30</v>
      </c>
      <c r="H256" s="735"/>
      <c r="I256" s="78">
        <f t="shared" si="16"/>
        <v>49629</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46006</v>
      </c>
      <c r="P256" s="32">
        <f>_DPP _Quincenal</f>
        <v>15</v>
      </c>
      <c r="Q256" s="735"/>
      <c r="R256" s="78">
        <f>IF(DAY(R255 + 1) &lt;= _DPP _Decenal,
DATE(YEAR(R255 + 1),MONTH(R255 + 1),_DPP _Decenal),
IF(DAY(R255 + 1) &lt;= (_DPP _Decenal*2),
DATE(YEAR(R255 + 1),MONTH(R255 + 1),(_DPP _Decenal*2)),EOMONTH(R255 + 1,0)))</f>
        <v>44793</v>
      </c>
      <c r="S256" s="32">
        <f>_DPP _Decenal</f>
        <v>10</v>
      </c>
      <c r="T256" s="735"/>
      <c r="U256" s="78">
        <f t="shared" si="17"/>
        <v>49527</v>
      </c>
      <c r="V256" s="32">
        <f t="shared" si="19"/>
        <v>30</v>
      </c>
    </row>
    <row r="257" spans="5:22" x14ac:dyDescent="0.25">
      <c r="E257" s="100">
        <f t="shared" si="15"/>
        <v>30</v>
      </c>
      <c r="F257" s="700">
        <f>INDEX(_Datos 257:257,,MATCH(_Búsqueda_Fechas_Pago, _Datos _Headers,0))</f>
        <v>49659</v>
      </c>
      <c r="G257" s="736">
        <f>INDEX(_Datos 257:257,,MATCH(_Búsqueda_Duración, _Datos _Headers,0))</f>
        <v>30</v>
      </c>
      <c r="H257" s="735"/>
      <c r="I257" s="78">
        <f t="shared" si="16"/>
        <v>49659</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46022</v>
      </c>
      <c r="P257" s="32">
        <f>_DPP _Quincenal</f>
        <v>15</v>
      </c>
      <c r="Q257" s="735"/>
      <c r="R257" s="78">
        <f>IF(DAY(R256 + 1) &lt;= _DPP _Decenal,
DATE(YEAR(R256 + 1),MONTH(R256 + 1),_DPP _Decenal),
IF(DAY(R256 + 1) &lt;= (_DPP _Decenal*2),
DATE(YEAR(R256 + 1),MONTH(R256 + 1),(_DPP _Decenal*2)),EOMONTH(R256 + 1,0)))</f>
        <v>44804</v>
      </c>
      <c r="S257" s="32">
        <f>_DPP _Decenal</f>
        <v>10</v>
      </c>
      <c r="T257" s="735"/>
      <c r="U257" s="78">
        <f t="shared" si="17"/>
        <v>49557</v>
      </c>
      <c r="V257" s="32">
        <f t="shared" si="19"/>
        <v>30</v>
      </c>
    </row>
    <row r="258" spans="5:22" x14ac:dyDescent="0.25">
      <c r="E258" s="100">
        <f t="shared" si="15"/>
        <v>30</v>
      </c>
      <c r="F258" s="700">
        <f>INDEX(_Datos 258:258,,MATCH(_Búsqueda_Fechas_Pago, _Datos _Headers,0))</f>
        <v>49690</v>
      </c>
      <c r="G258" s="736">
        <f>INDEX(_Datos 258:258,,MATCH(_Búsqueda_Duración, _Datos _Headers,0))</f>
        <v>30</v>
      </c>
      <c r="H258" s="735"/>
      <c r="I258" s="78">
        <f t="shared" si="16"/>
        <v>49690</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46037</v>
      </c>
      <c r="P258" s="32">
        <f>_DPP _Quincenal</f>
        <v>15</v>
      </c>
      <c r="Q258" s="735"/>
      <c r="R258" s="78">
        <f>IF(DAY(R257 + 1) &lt;= _DPP _Decenal,
DATE(YEAR(R257 + 1),MONTH(R257 + 1),_DPP _Decenal),
IF(DAY(R257 + 1) &lt;= (_DPP _Decenal*2),
DATE(YEAR(R257 + 1),MONTH(R257 + 1),(_DPP _Decenal*2)),EOMONTH(R257 + 1,0)))</f>
        <v>44814</v>
      </c>
      <c r="S258" s="32">
        <f>_DPP _Decenal</f>
        <v>10</v>
      </c>
      <c r="T258" s="735"/>
      <c r="U258" s="78">
        <f t="shared" si="17"/>
        <v>49587</v>
      </c>
      <c r="V258" s="32">
        <f t="shared" si="19"/>
        <v>30</v>
      </c>
    </row>
    <row r="259" spans="5:22" x14ac:dyDescent="0.25">
      <c r="E259" s="100">
        <f t="shared" si="15"/>
        <v>30</v>
      </c>
      <c r="F259" s="700">
        <f>INDEX(_Datos 259:259,,MATCH(_Búsqueda_Fechas_Pago, _Datos _Headers,0))</f>
        <v>49721</v>
      </c>
      <c r="G259" s="736">
        <f>INDEX(_Datos 259:259,,MATCH(_Búsqueda_Duración, _Datos _Headers,0))</f>
        <v>30</v>
      </c>
      <c r="H259" s="735"/>
      <c r="I259" s="78">
        <f t="shared" si="16"/>
        <v>49721</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46053</v>
      </c>
      <c r="P259" s="32">
        <f>_DPP _Quincenal</f>
        <v>15</v>
      </c>
      <c r="Q259" s="735"/>
      <c r="R259" s="78">
        <f>IF(DAY(R258 + 1) &lt;= _DPP _Decenal,
DATE(YEAR(R258 + 1),MONTH(R258 + 1),_DPP _Decenal),
IF(DAY(R258 + 1) &lt;= (_DPP _Decenal*2),
DATE(YEAR(R258 + 1),MONTH(R258 + 1),(_DPP _Decenal*2)),EOMONTH(R258 + 1,0)))</f>
        <v>44824</v>
      </c>
      <c r="S259" s="32">
        <f>_DPP _Decenal</f>
        <v>10</v>
      </c>
      <c r="T259" s="735"/>
      <c r="U259" s="78">
        <f t="shared" si="17"/>
        <v>49617</v>
      </c>
      <c r="V259" s="32">
        <f t="shared" si="19"/>
        <v>30</v>
      </c>
    </row>
    <row r="260" spans="5:22" x14ac:dyDescent="0.25">
      <c r="E260" s="100">
        <f t="shared" si="15"/>
        <v>30</v>
      </c>
      <c r="F260" s="700">
        <f>INDEX(_Datos 260:260,,MATCH(_Búsqueda_Fechas_Pago, _Datos _Headers,0))</f>
        <v>49750</v>
      </c>
      <c r="G260" s="736">
        <f>INDEX(_Datos 260:260,,MATCH(_Búsqueda_Duración, _Datos _Headers,0))</f>
        <v>30</v>
      </c>
      <c r="H260" s="735"/>
      <c r="I260" s="78">
        <f t="shared" si="16"/>
        <v>49750</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46068</v>
      </c>
      <c r="P260" s="32">
        <f>_DPP _Quincenal</f>
        <v>15</v>
      </c>
      <c r="Q260" s="735"/>
      <c r="R260" s="78">
        <f>IF(DAY(R259 + 1) &lt;= _DPP _Decenal,
DATE(YEAR(R259 + 1),MONTH(R259 + 1),_DPP _Decenal),
IF(DAY(R259 + 1) &lt;= (_DPP _Decenal*2),
DATE(YEAR(R259 + 1),MONTH(R259 + 1),(_DPP _Decenal*2)),EOMONTH(R259 + 1,0)))</f>
        <v>44834</v>
      </c>
      <c r="S260" s="32">
        <f>_DPP _Decenal</f>
        <v>10</v>
      </c>
      <c r="T260" s="735"/>
      <c r="U260" s="78">
        <f t="shared" si="17"/>
        <v>49647</v>
      </c>
      <c r="V260" s="32">
        <f t="shared" si="19"/>
        <v>30</v>
      </c>
    </row>
    <row r="261" spans="5:22" x14ac:dyDescent="0.25">
      <c r="E261" s="100">
        <f t="shared" si="15"/>
        <v>30</v>
      </c>
      <c r="F261" s="700">
        <f>INDEX(_Datos 261:261,,MATCH(_Búsqueda_Fechas_Pago, _Datos _Headers,0))</f>
        <v>49781</v>
      </c>
      <c r="G261" s="736">
        <f>INDEX(_Datos 261:261,,MATCH(_Búsqueda_Duración, _Datos _Headers,0))</f>
        <v>30</v>
      </c>
      <c r="H261" s="735"/>
      <c r="I261" s="78">
        <f t="shared" si="16"/>
        <v>49781</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46081</v>
      </c>
      <c r="P261" s="32">
        <f>_DPP _Quincenal</f>
        <v>15</v>
      </c>
      <c r="Q261" s="735"/>
      <c r="R261" s="78">
        <f>IF(DAY(R260 + 1) &lt;= _DPP _Decenal,
DATE(YEAR(R260 + 1),MONTH(R260 + 1),_DPP _Decenal),
IF(DAY(R260 + 1) &lt;= (_DPP _Decenal*2),
DATE(YEAR(R260 + 1),MONTH(R260 + 1),(_DPP _Decenal*2)),EOMONTH(R260 + 1,0)))</f>
        <v>44844</v>
      </c>
      <c r="S261" s="32">
        <f>_DPP _Decenal</f>
        <v>10</v>
      </c>
      <c r="T261" s="735"/>
      <c r="U261" s="78">
        <f t="shared" si="17"/>
        <v>49677</v>
      </c>
      <c r="V261" s="32">
        <f t="shared" si="19"/>
        <v>30</v>
      </c>
    </row>
    <row r="262" spans="5:22" x14ac:dyDescent="0.25">
      <c r="E262" s="100">
        <f t="shared" si="15"/>
        <v>30</v>
      </c>
      <c r="F262" s="700">
        <f>INDEX(_Datos 262:262,,MATCH(_Búsqueda_Fechas_Pago, _Datos _Headers,0))</f>
        <v>49811</v>
      </c>
      <c r="G262" s="736">
        <f>INDEX(_Datos 262:262,,MATCH(_Búsqueda_Duración, _Datos _Headers,0))</f>
        <v>30</v>
      </c>
      <c r="H262" s="735"/>
      <c r="I262" s="78">
        <f t="shared" si="16"/>
        <v>49811</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46096</v>
      </c>
      <c r="P262" s="32">
        <f>_DPP _Quincenal</f>
        <v>15</v>
      </c>
      <c r="Q262" s="735"/>
      <c r="R262" s="78">
        <f>IF(DAY(R261 + 1) &lt;= _DPP _Decenal,
DATE(YEAR(R261 + 1),MONTH(R261 + 1),_DPP _Decenal),
IF(DAY(R261 + 1) &lt;= (_DPP _Decenal*2),
DATE(YEAR(R261 + 1),MONTH(R261 + 1),(_DPP _Decenal*2)),EOMONTH(R261 + 1,0)))</f>
        <v>44854</v>
      </c>
      <c r="S262" s="32">
        <f>_DPP _Decenal</f>
        <v>10</v>
      </c>
      <c r="T262" s="735"/>
      <c r="U262" s="78">
        <f t="shared" si="17"/>
        <v>49707</v>
      </c>
      <c r="V262" s="32">
        <f t="shared" si="19"/>
        <v>30</v>
      </c>
    </row>
    <row r="263" spans="5:22" x14ac:dyDescent="0.25">
      <c r="E263" s="100">
        <f t="shared" si="15"/>
        <v>30</v>
      </c>
      <c r="F263" s="700">
        <f>INDEX(_Datos 263:263,,MATCH(_Búsqueda_Fechas_Pago, _Datos _Headers,0))</f>
        <v>49842</v>
      </c>
      <c r="G263" s="736">
        <f>INDEX(_Datos 263:263,,MATCH(_Búsqueda_Duración, _Datos _Headers,0))</f>
        <v>30</v>
      </c>
      <c r="H263" s="735"/>
      <c r="I263" s="78">
        <f t="shared" si="16"/>
        <v>49842</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46112</v>
      </c>
      <c r="P263" s="32">
        <f>_DPP _Quincenal</f>
        <v>15</v>
      </c>
      <c r="Q263" s="735"/>
      <c r="R263" s="78">
        <f>IF(DAY(R262 + 1) &lt;= _DPP _Decenal,
DATE(YEAR(R262 + 1),MONTH(R262 + 1),_DPP _Decenal),
IF(DAY(R262 + 1) &lt;= (_DPP _Decenal*2),
DATE(YEAR(R262 + 1),MONTH(R262 + 1),(_DPP _Decenal*2)),EOMONTH(R262 + 1,0)))</f>
        <v>44865</v>
      </c>
      <c r="S263" s="32">
        <f>_DPP _Decenal</f>
        <v>10</v>
      </c>
      <c r="T263" s="735"/>
      <c r="U263" s="78">
        <f t="shared" si="17"/>
        <v>49737</v>
      </c>
      <c r="V263" s="32">
        <f t="shared" si="19"/>
        <v>30</v>
      </c>
    </row>
    <row r="264" spans="5:22" x14ac:dyDescent="0.25">
      <c r="E264" s="100">
        <f t="shared" si="15"/>
        <v>30</v>
      </c>
      <c r="F264" s="700">
        <f>INDEX(_Datos 264:264,,MATCH(_Búsqueda_Fechas_Pago, _Datos _Headers,0))</f>
        <v>49872</v>
      </c>
      <c r="G264" s="736">
        <f>INDEX(_Datos 264:264,,MATCH(_Búsqueda_Duración, _Datos _Headers,0))</f>
        <v>30</v>
      </c>
      <c r="H264" s="735"/>
      <c r="I264" s="78">
        <f t="shared" si="16"/>
        <v>49872</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46127</v>
      </c>
      <c r="P264" s="32">
        <f>_DPP _Quincenal</f>
        <v>15</v>
      </c>
      <c r="Q264" s="735"/>
      <c r="R264" s="78">
        <f>IF(DAY(R263 + 1) &lt;= _DPP _Decenal,
DATE(YEAR(R263 + 1),MONTH(R263 + 1),_DPP _Decenal),
IF(DAY(R263 + 1) &lt;= (_DPP _Decenal*2),
DATE(YEAR(R263 + 1),MONTH(R263 + 1),(_DPP _Decenal*2)),EOMONTH(R263 + 1,0)))</f>
        <v>44875</v>
      </c>
      <c r="S264" s="32">
        <f>_DPP _Decenal</f>
        <v>10</v>
      </c>
      <c r="T264" s="735"/>
      <c r="U264" s="78">
        <f t="shared" si="17"/>
        <v>49767</v>
      </c>
      <c r="V264" s="32">
        <f t="shared" si="19"/>
        <v>30</v>
      </c>
    </row>
    <row r="265" spans="5:22" x14ac:dyDescent="0.25">
      <c r="E265" s="100">
        <f t="shared" si="15"/>
        <v>30</v>
      </c>
      <c r="F265" s="700">
        <f>INDEX(_Datos 265:265,,MATCH(_Búsqueda_Fechas_Pago, _Datos _Headers,0))</f>
        <v>49903</v>
      </c>
      <c r="G265" s="736">
        <f>INDEX(_Datos 265:265,,MATCH(_Búsqueda_Duración, _Datos _Headers,0))</f>
        <v>30</v>
      </c>
      <c r="H265" s="735"/>
      <c r="I265" s="78">
        <f t="shared" si="16"/>
        <v>49903</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46142</v>
      </c>
      <c r="P265" s="32">
        <f>_DPP _Quincenal</f>
        <v>15</v>
      </c>
      <c r="Q265" s="735"/>
      <c r="R265" s="78">
        <f>IF(DAY(R264 + 1) &lt;= _DPP _Decenal,
DATE(YEAR(R264 + 1),MONTH(R264 + 1),_DPP _Decenal),
IF(DAY(R264 + 1) &lt;= (_DPP _Decenal*2),
DATE(YEAR(R264 + 1),MONTH(R264 + 1),(_DPP _Decenal*2)),EOMONTH(R264 + 1,0)))</f>
        <v>44885</v>
      </c>
      <c r="S265" s="32">
        <f>_DPP _Decenal</f>
        <v>10</v>
      </c>
      <c r="T265" s="735"/>
      <c r="U265" s="78">
        <f t="shared" si="17"/>
        <v>49797</v>
      </c>
      <c r="V265" s="32">
        <f t="shared" si="19"/>
        <v>30</v>
      </c>
    </row>
    <row r="266" spans="5:22" x14ac:dyDescent="0.25">
      <c r="E266" s="100">
        <f t="shared" si="15"/>
        <v>30</v>
      </c>
      <c r="F266" s="700">
        <f>INDEX(_Datos 266:266,,MATCH(_Búsqueda_Fechas_Pago, _Datos _Headers,0))</f>
        <v>49934</v>
      </c>
      <c r="G266" s="736">
        <f>INDEX(_Datos 266:266,,MATCH(_Búsqueda_Duración, _Datos _Headers,0))</f>
        <v>30</v>
      </c>
      <c r="H266" s="735"/>
      <c r="I266" s="78">
        <f t="shared" si="16"/>
        <v>49934</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46157</v>
      </c>
      <c r="P266" s="32">
        <f>_DPP _Quincenal</f>
        <v>15</v>
      </c>
      <c r="Q266" s="735"/>
      <c r="R266" s="78">
        <f>IF(DAY(R265 + 1) &lt;= _DPP _Decenal,
DATE(YEAR(R265 + 1),MONTH(R265 + 1),_DPP _Decenal),
IF(DAY(R265 + 1) &lt;= (_DPP _Decenal*2),
DATE(YEAR(R265 + 1),MONTH(R265 + 1),(_DPP _Decenal*2)),EOMONTH(R265 + 1,0)))</f>
        <v>44895</v>
      </c>
      <c r="S266" s="32">
        <f>_DPP _Decenal</f>
        <v>10</v>
      </c>
      <c r="T266" s="735"/>
      <c r="U266" s="78">
        <f t="shared" si="17"/>
        <v>49827</v>
      </c>
      <c r="V266" s="32">
        <f t="shared" si="19"/>
        <v>30</v>
      </c>
    </row>
    <row r="267" spans="5:22" x14ac:dyDescent="0.25">
      <c r="E267" s="100">
        <f t="shared" si="15"/>
        <v>30</v>
      </c>
      <c r="F267" s="700">
        <f>INDEX(_Datos 267:267,,MATCH(_Búsqueda_Fechas_Pago, _Datos _Headers,0))</f>
        <v>49964</v>
      </c>
      <c r="G267" s="736">
        <f>INDEX(_Datos 267:267,,MATCH(_Búsqueda_Duración, _Datos _Headers,0))</f>
        <v>30</v>
      </c>
      <c r="H267" s="735"/>
      <c r="I267" s="78">
        <f t="shared" si="16"/>
        <v>49964</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46173</v>
      </c>
      <c r="P267" s="32">
        <f>_DPP _Quincenal</f>
        <v>15</v>
      </c>
      <c r="Q267" s="735"/>
      <c r="R267" s="78">
        <f>IF(DAY(R266 + 1) &lt;= _DPP _Decenal,
DATE(YEAR(R266 + 1),MONTH(R266 + 1),_DPP _Decenal),
IF(DAY(R266 + 1) &lt;= (_DPP _Decenal*2),
DATE(YEAR(R266 + 1),MONTH(R266 + 1),(_DPP _Decenal*2)),EOMONTH(R266 + 1,0)))</f>
        <v>44905</v>
      </c>
      <c r="S267" s="32">
        <f>_DPP _Decenal</f>
        <v>10</v>
      </c>
      <c r="T267" s="735"/>
      <c r="U267" s="78">
        <f t="shared" si="17"/>
        <v>49857</v>
      </c>
      <c r="V267" s="32">
        <f t="shared" si="19"/>
        <v>30</v>
      </c>
    </row>
    <row r="268" spans="5:22" x14ac:dyDescent="0.25">
      <c r="E268" s="100">
        <f t="shared" si="15"/>
        <v>30</v>
      </c>
      <c r="F268" s="700">
        <f>INDEX(_Datos 268:268,,MATCH(_Búsqueda_Fechas_Pago, _Datos _Headers,0))</f>
        <v>49995</v>
      </c>
      <c r="G268" s="736">
        <f>INDEX(_Datos 268:268,,MATCH(_Búsqueda_Duración, _Datos _Headers,0))</f>
        <v>30</v>
      </c>
      <c r="H268" s="735"/>
      <c r="I268" s="78">
        <f t="shared" si="16"/>
        <v>49995</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46188</v>
      </c>
      <c r="P268" s="32">
        <f>_DPP _Quincenal</f>
        <v>15</v>
      </c>
      <c r="Q268" s="735"/>
      <c r="R268" s="78">
        <f>IF(DAY(R267 + 1) &lt;= _DPP _Decenal,
DATE(YEAR(R267 + 1),MONTH(R267 + 1),_DPP _Decenal),
IF(DAY(R267 + 1) &lt;= (_DPP _Decenal*2),
DATE(YEAR(R267 + 1),MONTH(R267 + 1),(_DPP _Decenal*2)),EOMONTH(R267 + 1,0)))</f>
        <v>44915</v>
      </c>
      <c r="S268" s="32">
        <f>_DPP _Decenal</f>
        <v>10</v>
      </c>
      <c r="T268" s="735"/>
      <c r="U268" s="78">
        <f t="shared" si="17"/>
        <v>49887</v>
      </c>
      <c r="V268" s="32">
        <f t="shared" si="19"/>
        <v>30</v>
      </c>
    </row>
    <row r="269" spans="5:22" x14ac:dyDescent="0.25">
      <c r="E269" s="100">
        <f t="shared" si="15"/>
        <v>30</v>
      </c>
      <c r="F269" s="700">
        <f>INDEX(_Datos 269:269,,MATCH(_Búsqueda_Fechas_Pago, _Datos _Headers,0))</f>
        <v>50025</v>
      </c>
      <c r="G269" s="736">
        <f>INDEX(_Datos 269:269,,MATCH(_Búsqueda_Duración, _Datos _Headers,0))</f>
        <v>30</v>
      </c>
      <c r="H269" s="735"/>
      <c r="I269" s="78">
        <f t="shared" si="16"/>
        <v>50025</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46203</v>
      </c>
      <c r="P269" s="32">
        <f>_DPP _Quincenal</f>
        <v>15</v>
      </c>
      <c r="Q269" s="735"/>
      <c r="R269" s="78">
        <f>IF(DAY(R268 + 1) &lt;= _DPP _Decenal,
DATE(YEAR(R268 + 1),MONTH(R268 + 1),_DPP _Decenal),
IF(DAY(R268 + 1) &lt;= (_DPP _Decenal*2),
DATE(YEAR(R268 + 1),MONTH(R268 + 1),(_DPP _Decenal*2)),EOMONTH(R268 + 1,0)))</f>
        <v>44926</v>
      </c>
      <c r="S269" s="32">
        <f>_DPP _Decenal</f>
        <v>10</v>
      </c>
      <c r="T269" s="735"/>
      <c r="U269" s="78">
        <f t="shared" si="17"/>
        <v>49917</v>
      </c>
      <c r="V269" s="32">
        <f t="shared" si="19"/>
        <v>30</v>
      </c>
    </row>
    <row r="270" spans="5:22" x14ac:dyDescent="0.25">
      <c r="E270" s="100">
        <f t="shared" si="15"/>
        <v>30</v>
      </c>
      <c r="F270" s="700">
        <f>INDEX(_Datos 270:270,,MATCH(_Búsqueda_Fechas_Pago, _Datos _Headers,0))</f>
        <v>50056</v>
      </c>
      <c r="G270" s="736">
        <f>INDEX(_Datos 270:270,,MATCH(_Búsqueda_Duración, _Datos _Headers,0))</f>
        <v>30</v>
      </c>
      <c r="H270" s="735"/>
      <c r="I270" s="78">
        <f t="shared" si="16"/>
        <v>50056</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46218</v>
      </c>
      <c r="P270" s="32">
        <f>_DPP _Quincenal</f>
        <v>15</v>
      </c>
      <c r="Q270" s="735"/>
      <c r="R270" s="78">
        <f>IF(DAY(R269 + 1) &lt;= _DPP _Decenal,
DATE(YEAR(R269 + 1),MONTH(R269 + 1),_DPP _Decenal),
IF(DAY(R269 + 1) &lt;= (_DPP _Decenal*2),
DATE(YEAR(R269 + 1),MONTH(R269 + 1),(_DPP _Decenal*2)),EOMONTH(R269 + 1,0)))</f>
        <v>44936</v>
      </c>
      <c r="S270" s="32">
        <f>_DPP _Decenal</f>
        <v>10</v>
      </c>
      <c r="T270" s="735"/>
      <c r="U270" s="78">
        <f t="shared" si="17"/>
        <v>49947</v>
      </c>
      <c r="V270" s="32">
        <f t="shared" si="19"/>
        <v>30</v>
      </c>
    </row>
    <row r="271" spans="5:22" x14ac:dyDescent="0.25">
      <c r="E271" s="100">
        <f t="shared" si="15"/>
        <v>30</v>
      </c>
      <c r="F271" s="700">
        <f>INDEX(_Datos 271:271,,MATCH(_Búsqueda_Fechas_Pago, _Datos _Headers,0))</f>
        <v>50087</v>
      </c>
      <c r="G271" s="736">
        <f>INDEX(_Datos 271:271,,MATCH(_Búsqueda_Duración, _Datos _Headers,0))</f>
        <v>30</v>
      </c>
      <c r="H271" s="735"/>
      <c r="I271" s="78">
        <f t="shared" si="16"/>
        <v>50087</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46234</v>
      </c>
      <c r="P271" s="32">
        <f>_DPP _Quincenal</f>
        <v>15</v>
      </c>
      <c r="Q271" s="735"/>
      <c r="R271" s="78">
        <f>IF(DAY(R270 + 1) &lt;= _DPP _Decenal,
DATE(YEAR(R270 + 1),MONTH(R270 + 1),_DPP _Decenal),
IF(DAY(R270 + 1) &lt;= (_DPP _Decenal*2),
DATE(YEAR(R270 + 1),MONTH(R270 + 1),(_DPP _Decenal*2)),EOMONTH(R270 + 1,0)))</f>
        <v>44946</v>
      </c>
      <c r="S271" s="32">
        <f>_DPP _Decenal</f>
        <v>10</v>
      </c>
      <c r="T271" s="735"/>
      <c r="U271" s="78">
        <f t="shared" si="17"/>
        <v>49977</v>
      </c>
      <c r="V271" s="32">
        <f t="shared" si="19"/>
        <v>30</v>
      </c>
    </row>
    <row r="272" spans="5:22" x14ac:dyDescent="0.25">
      <c r="E272" s="100">
        <f t="shared" si="15"/>
        <v>30</v>
      </c>
      <c r="F272" s="700">
        <f>INDEX(_Datos 272:272,,MATCH(_Búsqueda_Fechas_Pago, _Datos _Headers,0))</f>
        <v>50115</v>
      </c>
      <c r="G272" s="736">
        <f>INDEX(_Datos 272:272,,MATCH(_Búsqueda_Duración, _Datos _Headers,0))</f>
        <v>30</v>
      </c>
      <c r="H272" s="735"/>
      <c r="I272" s="78">
        <f t="shared" si="16"/>
        <v>50115</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46249</v>
      </c>
      <c r="P272" s="32">
        <f>_DPP _Quincenal</f>
        <v>15</v>
      </c>
      <c r="Q272" s="735"/>
      <c r="R272" s="78">
        <f>IF(DAY(R271 + 1) &lt;= _DPP _Decenal,
DATE(YEAR(R271 + 1),MONTH(R271 + 1),_DPP _Decenal),
IF(DAY(R271 + 1) &lt;= (_DPP _Decenal*2),
DATE(YEAR(R271 + 1),MONTH(R271 + 1),(_DPP _Decenal*2)),EOMONTH(R271 + 1,0)))</f>
        <v>44957</v>
      </c>
      <c r="S272" s="32">
        <f>_DPP _Decenal</f>
        <v>10</v>
      </c>
      <c r="T272" s="735"/>
      <c r="U272" s="78">
        <f t="shared" si="17"/>
        <v>50007</v>
      </c>
      <c r="V272" s="32">
        <f t="shared" si="19"/>
        <v>30</v>
      </c>
    </row>
    <row r="273" spans="5:22" x14ac:dyDescent="0.25">
      <c r="E273" s="100">
        <f t="shared" si="15"/>
        <v>30</v>
      </c>
      <c r="F273" s="700">
        <f>INDEX(_Datos 273:273,,MATCH(_Búsqueda_Fechas_Pago, _Datos _Headers,0))</f>
        <v>50146</v>
      </c>
      <c r="G273" s="736">
        <f>INDEX(_Datos 273:273,,MATCH(_Búsqueda_Duración, _Datos _Headers,0))</f>
        <v>30</v>
      </c>
      <c r="H273" s="735"/>
      <c r="I273" s="78">
        <f t="shared" si="16"/>
        <v>50146</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46265</v>
      </c>
      <c r="P273" s="32">
        <f>_DPP _Quincenal</f>
        <v>15</v>
      </c>
      <c r="Q273" s="735"/>
      <c r="R273" s="78">
        <f>IF(DAY(R272 + 1) &lt;= _DPP _Decenal,
DATE(YEAR(R272 + 1),MONTH(R272 + 1),_DPP _Decenal),
IF(DAY(R272 + 1) &lt;= (_DPP _Decenal*2),
DATE(YEAR(R272 + 1),MONTH(R272 + 1),(_DPP _Decenal*2)),EOMONTH(R272 + 1,0)))</f>
        <v>44967</v>
      </c>
      <c r="S273" s="32">
        <f>_DPP _Decenal</f>
        <v>10</v>
      </c>
      <c r="T273" s="735"/>
      <c r="U273" s="78">
        <f t="shared" si="17"/>
        <v>50037</v>
      </c>
      <c r="V273" s="32">
        <f t="shared" si="19"/>
        <v>30</v>
      </c>
    </row>
    <row r="274" spans="5:22" x14ac:dyDescent="0.25">
      <c r="E274" s="100">
        <f t="shared" si="15"/>
        <v>30</v>
      </c>
      <c r="F274" s="700">
        <f>INDEX(_Datos 274:274,,MATCH(_Búsqueda_Fechas_Pago, _Datos _Headers,0))</f>
        <v>50176</v>
      </c>
      <c r="G274" s="736">
        <f>INDEX(_Datos 274:274,,MATCH(_Búsqueda_Duración, _Datos _Headers,0))</f>
        <v>30</v>
      </c>
      <c r="H274" s="735"/>
      <c r="I274" s="78">
        <f t="shared" si="16"/>
        <v>50176</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46280</v>
      </c>
      <c r="P274" s="32">
        <f>_DPP _Quincenal</f>
        <v>15</v>
      </c>
      <c r="Q274" s="735"/>
      <c r="R274" s="78">
        <f>IF(DAY(R273 + 1) &lt;= _DPP _Decenal,
DATE(YEAR(R273 + 1),MONTH(R273 + 1),_DPP _Decenal),
IF(DAY(R273 + 1) &lt;= (_DPP _Decenal*2),
DATE(YEAR(R273 + 1),MONTH(R273 + 1),(_DPP _Decenal*2)),EOMONTH(R273 + 1,0)))</f>
        <v>44977</v>
      </c>
      <c r="S274" s="32">
        <f>_DPP _Decenal</f>
        <v>10</v>
      </c>
      <c r="T274" s="735"/>
      <c r="U274" s="78">
        <f t="shared" si="17"/>
        <v>50067</v>
      </c>
      <c r="V274" s="32">
        <f t="shared" si="19"/>
        <v>30</v>
      </c>
    </row>
    <row r="275" spans="5:22" x14ac:dyDescent="0.25">
      <c r="E275" s="100">
        <f t="shared" ref="E275:E278" si="20">_Días_por_Periodo</f>
        <v>30</v>
      </c>
      <c r="F275" s="700">
        <f>INDEX(_Datos 275:275,,MATCH(_Búsqueda_Fechas_Pago, _Datos _Headers,0))</f>
        <v>50207</v>
      </c>
      <c r="G275" s="736">
        <f>INDEX(_Datos 275:275,,MATCH(_Búsqueda_Duración, _Datos _Headers,0))</f>
        <v>30</v>
      </c>
      <c r="H275" s="735"/>
      <c r="I275" s="78">
        <f t="shared" si="16"/>
        <v>50207</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46295</v>
      </c>
      <c r="P275" s="32">
        <f>_DPP _Quincenal</f>
        <v>15</v>
      </c>
      <c r="Q275" s="735"/>
      <c r="R275" s="78">
        <f>IF(DAY(R274 + 1) &lt;= _DPP _Decenal,
DATE(YEAR(R274 + 1),MONTH(R274 + 1),_DPP _Decenal),
IF(DAY(R274 + 1) &lt;= (_DPP _Decenal*2),
DATE(YEAR(R274 + 1),MONTH(R274 + 1),(_DPP _Decenal*2)),EOMONTH(R274 + 1,0)))</f>
        <v>44985</v>
      </c>
      <c r="S275" s="32">
        <f>_DPP _Decenal</f>
        <v>10</v>
      </c>
      <c r="T275" s="735"/>
      <c r="U275" s="78">
        <f t="shared" si="17"/>
        <v>50097</v>
      </c>
      <c r="V275" s="32">
        <f t="shared" si="19"/>
        <v>30</v>
      </c>
    </row>
    <row r="276" spans="5:22" x14ac:dyDescent="0.25">
      <c r="E276" s="100">
        <f t="shared" si="20"/>
        <v>30</v>
      </c>
      <c r="F276" s="700">
        <f>INDEX(_Datos 276:276,,MATCH(_Búsqueda_Fechas_Pago, _Datos _Headers,0))</f>
        <v>50237</v>
      </c>
      <c r="G276" s="736">
        <f>INDEX(_Datos 276:276,,MATCH(_Búsqueda_Duración, _Datos _Headers,0))</f>
        <v>30</v>
      </c>
      <c r="H276" s="735"/>
      <c r="I276" s="78">
        <f t="shared" ref="I276:I278" si="21">IF(DAY(I275)&gt;=Const_Dia_Corte_Aniversario,FinMesPropia(I275,1)+1,FinMesPropia(I275,0)+DAY(I275))</f>
        <v>50237</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46310</v>
      </c>
      <c r="P276" s="32">
        <f>_DPP _Quincenal</f>
        <v>15</v>
      </c>
      <c r="Q276" s="735"/>
      <c r="R276" s="78">
        <f>IF(DAY(R275 + 1) &lt;= _DPP _Decenal,
DATE(YEAR(R275 + 1),MONTH(R275 + 1),_DPP _Decenal),
IF(DAY(R275 + 1) &lt;= (_DPP _Decenal*2),
DATE(YEAR(R275 + 1),MONTH(R275 + 1),(_DPP _Decenal*2)),EOMONTH(R275 + 1,0)))</f>
        <v>44995</v>
      </c>
      <c r="S276" s="32">
        <f>_DPP _Decenal</f>
        <v>10</v>
      </c>
      <c r="T276" s="735"/>
      <c r="U276" s="78">
        <f t="shared" ref="U276:U278" si="22">U275 + _Días_por_Periodo</f>
        <v>50127</v>
      </c>
      <c r="V276" s="32">
        <f t="shared" si="19"/>
        <v>30</v>
      </c>
    </row>
    <row r="277" spans="5:22" x14ac:dyDescent="0.25">
      <c r="E277" s="100">
        <f t="shared" si="20"/>
        <v>30</v>
      </c>
      <c r="F277" s="700">
        <f>INDEX(_Datos 277:277,,MATCH(_Búsqueda_Fechas_Pago, _Datos _Headers,0))</f>
        <v>50268</v>
      </c>
      <c r="G277" s="736">
        <f>INDEX(_Datos 277:277,,MATCH(_Búsqueda_Duración, _Datos _Headers,0))</f>
        <v>30</v>
      </c>
      <c r="H277" s="735"/>
      <c r="I277" s="78">
        <f t="shared" si="21"/>
        <v>50268</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46326</v>
      </c>
      <c r="P277" s="32">
        <f>_DPP _Quincenal</f>
        <v>15</v>
      </c>
      <c r="Q277" s="735"/>
      <c r="R277" s="78">
        <f>IF(DAY(R276 + 1) &lt;= _DPP _Decenal,
DATE(YEAR(R276 + 1),MONTH(R276 + 1),_DPP _Decenal),
IF(DAY(R276 + 1) &lt;= (_DPP _Decenal*2),
DATE(YEAR(R276 + 1),MONTH(R276 + 1),(_DPP _Decenal*2)),EOMONTH(R276 + 1,0)))</f>
        <v>45005</v>
      </c>
      <c r="S277" s="32">
        <f>_DPP _Decenal</f>
        <v>10</v>
      </c>
      <c r="T277" s="735"/>
      <c r="U277" s="78">
        <f t="shared" si="22"/>
        <v>50157</v>
      </c>
      <c r="V277" s="32">
        <f t="shared" ref="V277:V278" si="24">U277 - U276</f>
        <v>30</v>
      </c>
    </row>
    <row r="278" spans="5:22" x14ac:dyDescent="0.25">
      <c r="E278" s="100">
        <f t="shared" si="20"/>
        <v>30</v>
      </c>
      <c r="F278" s="700">
        <f>INDEX(_Datos 278:278,,MATCH(_Búsqueda_Fechas_Pago, _Datos _Headers,0))</f>
        <v>50299</v>
      </c>
      <c r="G278" s="690">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1" workbookViewId="0">
      <selection activeCell="H36" sqref="H36"/>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704">
        <f>FREC.DiasPorPeriodo</f>
        <v>30</v>
      </c>
    </row>
    <row r="9" spans="1:11" x14ac:dyDescent="0.25">
      <c r="A9" s="252" t="s">
        <v>27</v>
      </c>
      <c r="B9" s="702">
        <f>FREC.DiasPorPeriodo</f>
        <v>30</v>
      </c>
      <c r="D9" s="563"/>
      <c r="E9" s="563"/>
      <c r="F9" s="563"/>
      <c r="G9" s="252" t="s">
        <v>27</v>
      </c>
      <c r="H9" s="702">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703" t="b">
        <v>0</v>
      </c>
      <c r="D16" s="563"/>
      <c r="E16" s="563"/>
      <c r="F16" s="563"/>
      <c r="G16" s="253" t="s">
        <v>50</v>
      </c>
      <c r="H16" s="38" t="b">
        <v>1</v>
      </c>
      <c r="J16" s="253" t="s">
        <v>127</v>
      </c>
      <c r="K16" s="73" t="s">
        <v>112</v>
      </c>
    </row>
    <row r="17" spans="1:11" x14ac:dyDescent="0.25">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5386</v>
      </c>
      <c r="D19" s="563"/>
      <c r="E19" s="563"/>
      <c r="F19" s="563"/>
      <c r="G19" s="253" t="s">
        <v>109</v>
      </c>
      <c r="H19" s="73" t="s">
        <v>5387</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35" t="s">
        <v>506</v>
      </c>
      <c r="D25" s="13" t="s">
        <v>82</v>
      </c>
      <c r="E25" s="13" t="s">
        <v>80</v>
      </c>
      <c r="F25" s="735" t="s">
        <v>506</v>
      </c>
      <c r="G25" s="13" t="s">
        <v>83</v>
      </c>
      <c r="H25" s="13" t="s">
        <v>80</v>
      </c>
      <c r="I25" s="735" t="s">
        <v>506</v>
      </c>
      <c r="J25" s="13" t="s">
        <v>2428</v>
      </c>
      <c r="K25" s="268" t="s">
        <v>2429</v>
      </c>
    </row>
    <row r="27" spans="1:11" x14ac:dyDescent="0.25">
      <c r="A27" s="33" t="s">
        <v>26</v>
      </c>
      <c r="B27" s="71">
        <f ca="1">MontoFinanciarAutoYGtiaExt</f>
        <v>141000</v>
      </c>
      <c r="D27" s="33" t="s">
        <v>26</v>
      </c>
      <c r="E27" s="841">
        <f ca="1">MontoFinanciarSeguros * SeguroEsMultianual?</f>
        <v>0</v>
      </c>
      <c r="G27" s="33" t="s">
        <v>26</v>
      </c>
      <c r="H27" s="841">
        <f ca="1">( MontoFinanciarSeguros - DañosValFac1erAño ) * SeguroEsAnual? * SeguroEsFinanciado?</f>
        <v>7860.1283999999996</v>
      </c>
      <c r="J27" s="33" t="s">
        <v>2423</v>
      </c>
      <c r="K27" s="841">
        <f ca="1">( PrimaTotalSeguros - DañosValFac1erAño ) * SeguroEsAnual?</f>
        <v>7860.1283999999996</v>
      </c>
    </row>
    <row r="28" spans="1:11" x14ac:dyDescent="0.25">
      <c r="A28" s="35" t="s">
        <v>27</v>
      </c>
      <c r="B28" s="702">
        <f>FREC.DiasPorPeriodo</f>
        <v>30</v>
      </c>
      <c r="D28" s="35" t="s">
        <v>27</v>
      </c>
      <c r="E28" s="702">
        <f>FREC.DiasPorPeriodo</f>
        <v>30</v>
      </c>
      <c r="G28" s="35" t="s">
        <v>27</v>
      </c>
      <c r="H28" s="702">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749" t="s">
        <v>5378</v>
      </c>
      <c r="C2" s="735"/>
      <c r="D2" s="279"/>
      <c r="E2" s="496"/>
      <c r="F2" s="235"/>
      <c r="G2" s="498"/>
      <c r="H2" s="498"/>
      <c r="I2" s="498"/>
      <c r="J2" s="498"/>
      <c r="K2" s="498"/>
      <c r="L2" s="498"/>
      <c r="M2" s="498"/>
      <c r="N2" s="498"/>
    </row>
    <row r="3" spans="1:31" s="496" customFormat="1" x14ac:dyDescent="0.25">
      <c r="A3" s="735"/>
      <c r="B3" s="735"/>
      <c r="C3" s="735"/>
    </row>
    <row r="4" spans="1:31" s="497" customFormat="1" hidden="1" x14ac:dyDescent="0.25">
      <c r="A4" s="735"/>
      <c r="B4" s="735"/>
      <c r="C4" s="735"/>
    </row>
    <row r="5" spans="1:31" hidden="1" x14ac:dyDescent="0.25">
      <c r="A5" s="735"/>
      <c r="B5" s="735"/>
      <c r="D5" s="496"/>
      <c r="E5" s="496"/>
      <c r="F5" s="496"/>
      <c r="G5" s="236"/>
      <c r="H5" s="236"/>
      <c r="I5" s="236"/>
      <c r="J5" s="236"/>
      <c r="K5" s="236"/>
      <c r="L5" s="236"/>
      <c r="M5" s="236"/>
      <c r="N5" s="236"/>
    </row>
    <row r="6" spans="1:31" hidden="1" x14ac:dyDescent="0.25">
      <c r="A6" s="735"/>
      <c r="B6" s="735"/>
      <c r="E6" s="36"/>
      <c r="F6" s="37"/>
      <c r="H6" s="784"/>
      <c r="I6" s="784"/>
    </row>
    <row r="7" spans="1:31" hidden="1" x14ac:dyDescent="0.25">
      <c r="A7" s="735"/>
      <c r="B7" s="735"/>
      <c r="E7" s="36"/>
      <c r="F7" s="37"/>
      <c r="H7" s="784"/>
      <c r="I7" s="784"/>
      <c r="J7" s="92"/>
    </row>
    <row r="8" spans="1:31" hidden="1" x14ac:dyDescent="0.25">
      <c r="A8" s="735"/>
      <c r="B8" s="735"/>
      <c r="E8" s="36"/>
      <c r="F8" s="37"/>
      <c r="H8" s="784"/>
      <c r="I8" s="784"/>
      <c r="J8" s="92"/>
      <c r="M8" s="88"/>
    </row>
    <row r="9" spans="1:31" hidden="1" x14ac:dyDescent="0.25">
      <c r="A9" s="735"/>
      <c r="B9" s="735"/>
      <c r="E9" s="36"/>
      <c r="F9" s="37"/>
      <c r="H9" s="784"/>
      <c r="I9" s="784"/>
      <c r="M9" s="88"/>
    </row>
    <row r="10" spans="1:31" hidden="1" x14ac:dyDescent="0.25">
      <c r="A10" s="735"/>
      <c r="B10" s="735"/>
      <c r="E10" s="36"/>
      <c r="F10" s="37"/>
      <c r="H10" s="784"/>
      <c r="I10" s="784"/>
      <c r="J10" s="92"/>
      <c r="L10" s="93"/>
    </row>
    <row r="11" spans="1:31" hidden="1" x14ac:dyDescent="0.25">
      <c r="A11" s="735"/>
      <c r="B11" s="735"/>
      <c r="E11" s="36"/>
      <c r="F11" s="37"/>
      <c r="H11" s="784"/>
      <c r="I11" s="784"/>
    </row>
    <row r="12" spans="1:31" hidden="1" x14ac:dyDescent="0.25">
      <c r="A12" s="735"/>
      <c r="B12" s="735"/>
      <c r="E12" s="36"/>
      <c r="F12" s="37"/>
    </row>
    <row r="13" spans="1:31" x14ac:dyDescent="0.25">
      <c r="A13" s="735"/>
      <c r="B13" s="735"/>
      <c r="K13" s="92"/>
      <c r="R13" s="954" t="s">
        <v>1651</v>
      </c>
      <c r="S13" s="955"/>
      <c r="T13" s="956"/>
      <c r="V13" s="783" t="s">
        <v>115</v>
      </c>
      <c r="W13" s="782"/>
      <c r="X13" s="957" t="s">
        <v>116</v>
      </c>
      <c r="Y13" s="957"/>
      <c r="Z13" s="782"/>
      <c r="AA13" s="957" t="s">
        <v>117</v>
      </c>
      <c r="AB13" s="957"/>
      <c r="AC13" s="782"/>
      <c r="AD13" s="957" t="s">
        <v>118</v>
      </c>
      <c r="AE13" s="958"/>
    </row>
    <row r="14" spans="1:31" s="497" customFormat="1" ht="15" customHeight="1" x14ac:dyDescent="0.25">
      <c r="A14" s="735"/>
      <c r="B14" s="735"/>
      <c r="C14" s="735"/>
      <c r="F14" s="777"/>
      <c r="G14" s="498"/>
      <c r="H14" s="498"/>
      <c r="I14" s="498"/>
      <c r="J14" s="498"/>
      <c r="K14" s="498"/>
      <c r="L14" s="498"/>
      <c r="M14" s="498"/>
      <c r="N14" s="498"/>
    </row>
    <row r="15" spans="1:31" s="82" customFormat="1" ht="45" customHeight="1" x14ac:dyDescent="0.25">
      <c r="A15" s="747" t="s">
        <v>5277</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x14ac:dyDescent="0.25">
      <c r="A16" s="255" t="s">
        <v>27</v>
      </c>
      <c r="B16" s="743">
        <f>'Configuración de Tablas'!K8</f>
        <v>30</v>
      </c>
      <c r="C16" s="474"/>
    </row>
    <row r="17" spans="1:36" x14ac:dyDescent="0.25">
      <c r="A17" s="257" t="s">
        <v>28</v>
      </c>
      <c r="B17" s="743">
        <f ca="1">'Configuración de Tablas'!K9</f>
        <v>12</v>
      </c>
      <c r="C17" s="474"/>
      <c r="D17" s="737" t="s">
        <v>1661</v>
      </c>
      <c r="G17" s="292">
        <f ca="1">SUM(__Capital)</f>
        <v>149041.75685999999</v>
      </c>
      <c r="H17" s="292"/>
      <c r="I17" s="292"/>
      <c r="J17" s="292">
        <f ca="1">SUM(__Interes)</f>
        <v>10589.31236983493</v>
      </c>
      <c r="K17" s="292">
        <f ca="1">SUM(__IVA)</f>
        <v>1270.7174843801918</v>
      </c>
      <c r="M17" s="292">
        <f>SUM(__Abono_Anticipado)</f>
        <v>0</v>
      </c>
      <c r="X17" s="959" t="s">
        <v>123</v>
      </c>
      <c r="Y17" s="959"/>
      <c r="AH17" s="766" t="s">
        <v>63</v>
      </c>
    </row>
    <row r="18" spans="1:36" x14ac:dyDescent="0.25">
      <c r="A18" s="257" t="s">
        <v>29</v>
      </c>
      <c r="B18" s="743">
        <f ca="1">'Configuración de Tablas'!K10</f>
        <v>12</v>
      </c>
      <c r="C18" s="474"/>
      <c r="P18" s="735"/>
      <c r="R18" s="735"/>
      <c r="S18" s="735"/>
      <c r="T18" s="735"/>
      <c r="W18" s="735"/>
      <c r="X18" s="735"/>
      <c r="Y18" s="735"/>
      <c r="Z18" s="735"/>
      <c r="AA18" s="735"/>
      <c r="AB18" s="735"/>
      <c r="AC18" s="735"/>
      <c r="AD18" s="735"/>
      <c r="AE18" s="735"/>
    </row>
    <row r="19" spans="1:36" x14ac:dyDescent="0.25">
      <c r="A19" s="257" t="s">
        <v>1679</v>
      </c>
      <c r="B19" s="750">
        <f ca="1">'Configuración de Tablas'!K11</f>
        <v>0.12</v>
      </c>
      <c r="C19" s="474"/>
      <c r="D19" s="736">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13353.651419855316</v>
      </c>
      <c r="M19" s="763">
        <f>INDEX(TablaCliente!_CapturaAbonoAnticipadoTablaCliente,__Amortizacion)</f>
        <v>0</v>
      </c>
      <c r="N19" s="86">
        <f t="shared" ref="N19:N82" ca="1" si="4">MAX( __Saldo_Inicial-__Capital-__Abono_Anticipado, 0)</f>
        <v>137422.75276765259</v>
      </c>
      <c r="P19" s="735"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x14ac:dyDescent="0.25">
      <c r="A20" s="257" t="s">
        <v>31</v>
      </c>
      <c r="B20" s="750">
        <f ca="1">'Configuración de Tablas'!K12</f>
        <v>0.129</v>
      </c>
      <c r="C20" s="474"/>
      <c r="D20" s="736">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63">
        <f>INDEX(TablaCliente!_CapturaAbonoAnticipadoTablaCliente,__Amortizacion)</f>
        <v>0</v>
      </c>
      <c r="N20" s="86">
        <f t="shared" ca="1" si="4"/>
        <v>125663.85586603334</v>
      </c>
      <c r="P20" s="735"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x14ac:dyDescent="0.25">
      <c r="A21" s="257" t="s">
        <v>21</v>
      </c>
      <c r="B21" s="744">
        <f>'Configuración de Tablas'!K13</f>
        <v>360</v>
      </c>
      <c r="C21" s="474"/>
      <c r="D21" s="736">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63">
        <f>INDEX(TablaCliente!_CapturaAbonoAnticipadoTablaCliente,__Amortizacion)</f>
        <v>0</v>
      </c>
      <c r="N21" s="86">
        <f t="shared" ca="1" si="4"/>
        <v>113763.38184571858</v>
      </c>
      <c r="P21" s="735"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x14ac:dyDescent="0.25">
      <c r="A22" s="257" t="s">
        <v>32</v>
      </c>
      <c r="B22" s="744">
        <f ca="1">'Configuración de Tablas'!K14</f>
        <v>2</v>
      </c>
      <c r="C22" s="474"/>
      <c r="D22" s="736">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63">
        <f>INDEX(TablaCliente!_CapturaAbonoAnticipadoTablaCliente,__Amortizacion)</f>
        <v>0</v>
      </c>
      <c r="N22" s="86">
        <f t="shared" ca="1" si="4"/>
        <v>101719.62611819924</v>
      </c>
      <c r="P22" s="735"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x14ac:dyDescent="0.25">
      <c r="A23" s="91" t="s">
        <v>126</v>
      </c>
      <c r="B23" s="100" t="str">
        <f>'Configuración de Tablas'!K15</f>
        <v>T_AutoYSeguroMulti</v>
      </c>
      <c r="C23" s="474"/>
      <c r="D23" s="736">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63">
        <f>INDEX(TablaCliente!_CapturaAbonoAnticipadoTablaCliente,__Amortizacion)</f>
        <v>0</v>
      </c>
      <c r="N23" s="86">
        <f t="shared" ca="1" si="4"/>
        <v>89530.863571720576</v>
      </c>
      <c r="P23" s="735"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x14ac:dyDescent="0.25">
      <c r="A24" s="91" t="s">
        <v>127</v>
      </c>
      <c r="B24" s="100" t="str">
        <f>'Configuración de Tablas'!K16</f>
        <v>T_SeguroAnual</v>
      </c>
      <c r="C24" s="474"/>
      <c r="D24" s="736">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63">
        <f>INDEX(TablaCliente!_CapturaAbonoAnticipadoTablaCliente,__Amortizacion)</f>
        <v>0</v>
      </c>
      <c r="N24" s="86">
        <f t="shared" ca="1" si="4"/>
        <v>77195.348324182298</v>
      </c>
      <c r="P24" s="735"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65">
        <v>0</v>
      </c>
      <c r="W24" s="735"/>
      <c r="X24" s="86">
        <v>0</v>
      </c>
      <c r="Y24" s="86">
        <v>0</v>
      </c>
      <c r="Z24" s="86"/>
      <c r="AA24" s="86">
        <f ca="1" xml:space="preserve"> T_SeguroAnual!__Abono_Sobrante</f>
        <v>0</v>
      </c>
      <c r="AB24" s="86">
        <f t="shared" si="6"/>
        <v>0</v>
      </c>
      <c r="AC24" s="735"/>
      <c r="AD24" s="86">
        <f ca="1"/>
        <v>0</v>
      </c>
      <c r="AE24" s="86">
        <f ca="1"/>
        <v>0</v>
      </c>
      <c r="AH24" s="737" t="s">
        <v>5378</v>
      </c>
      <c r="AI24" s="294">
        <v>42271</v>
      </c>
      <c r="AJ24" s="91" t="s">
        <v>5377</v>
      </c>
    </row>
    <row r="25" spans="1:36" x14ac:dyDescent="0.25">
      <c r="A25" s="91" t="s">
        <v>109</v>
      </c>
      <c r="B25" s="100" t="str">
        <f>'Configuración de Tablas'!K17</f>
        <v>TablaCliente!_CapturaAbonoAnticipadoTablaCliente</v>
      </c>
      <c r="C25" s="474"/>
      <c r="D25" s="736">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63">
        <f>INDEX(TablaCliente!_CapturaAbonoAnticipadoTablaCliente,__Amortizacion)</f>
        <v>0</v>
      </c>
      <c r="N25" s="86">
        <f t="shared" ca="1" si="4"/>
        <v>64711.313473063659</v>
      </c>
      <c r="P25" s="735"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x14ac:dyDescent="0.25">
      <c r="A26" s="242"/>
      <c r="B26" s="770"/>
      <c r="C26" s="474"/>
      <c r="D26" s="736">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63">
        <f>INDEX(TablaCliente!_CapturaAbonoAnticipadoTablaCliente,__Amortizacion)</f>
        <v>0</v>
      </c>
      <c r="N26" s="86">
        <f t="shared" ca="1" si="4"/>
        <v>52076.970842337549</v>
      </c>
      <c r="P26" s="735"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x14ac:dyDescent="0.25">
      <c r="A27" s="286" t="s">
        <v>440</v>
      </c>
      <c r="B27" s="278"/>
      <c r="C27" s="474"/>
      <c r="D27" s="736">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63">
        <f>INDEX(TablaCliente!_CapturaAbonoAnticipadoTablaCliente,__Amortizacion)</f>
        <v>0</v>
      </c>
      <c r="N27" s="86">
        <f t="shared" ca="1" si="4"/>
        <v>39290.510726337496</v>
      </c>
      <c r="P27" s="735"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x14ac:dyDescent="0.25">
      <c r="A28" s="241" t="s">
        <v>24</v>
      </c>
      <c r="B28" s="256">
        <f ca="1">i.Tasa.Interes/i.Periodos.Por.Año</f>
        <v>1.0750000000000001E-2</v>
      </c>
      <c r="C28" s="474"/>
      <c r="D28" s="736">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63">
        <f>INDEX(TablaCliente!_CapturaAbonoAnticipadoTablaCliente,__Amortizacion)</f>
        <v>0</v>
      </c>
      <c r="N28" s="86">
        <f t="shared" ca="1" si="4"/>
        <v>26350.101630540805</v>
      </c>
      <c r="P28" s="735"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x14ac:dyDescent="0.25">
      <c r="A29" s="241" t="s">
        <v>20</v>
      </c>
      <c r="B29" s="256">
        <f ca="1">i.Tasa.Interes/i.Dias.En.Año</f>
        <v>3.5833333333333333E-4</v>
      </c>
      <c r="C29" s="474"/>
      <c r="D29" s="736">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63">
        <f>INDEX(TablaCliente!_CapturaAbonoAnticipadoTablaCliente,__Amortizacion)</f>
        <v>0</v>
      </c>
      <c r="N29" s="86">
        <f t="shared" ca="1" si="4"/>
        <v>13253.890009230721</v>
      </c>
      <c r="P29" s="735"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x14ac:dyDescent="0.25">
      <c r="A30" s="258" t="s">
        <v>30</v>
      </c>
      <c r="B30" s="259">
        <f ca="1" xml:space="preserve"> _Tasa.Diaria * i.Dias.Por.Periodo</f>
        <v>1.0749999999999999E-2</v>
      </c>
      <c r="D30" s="736">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63">
        <f>INDEX(TablaCliente!_CapturaAbonoAnticipadoTablaCliente,__Amortizacion)</f>
        <v>0</v>
      </c>
      <c r="N30" s="86">
        <f t="shared" ca="1" si="4"/>
        <v>7.2759576141834259E-12</v>
      </c>
      <c r="P30" s="735"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x14ac:dyDescent="0.25">
      <c r="A31" s="242"/>
      <c r="B31" s="260"/>
      <c r="D31" s="736">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63">
        <f>INDEX(TablaCliente!_CapturaAbonoAnticipadoTablaCliente,__Amortizacion)</f>
        <v>0</v>
      </c>
      <c r="N31" s="86">
        <f t="shared" ca="1" si="4"/>
        <v>7.2759576141834259E-12</v>
      </c>
      <c r="P31" s="735"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x14ac:dyDescent="0.25">
      <c r="A32" s="735" t="s">
        <v>5385</v>
      </c>
      <c r="B32" s="735" t="str">
        <f>CONCATENATE(i.Nombre.Tabla.Estandar,"!",A32)</f>
        <v>T_AutoYSeguroMulti!i.Monto.Financiar</v>
      </c>
      <c r="D32" s="736">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63">
        <f>INDEX(TablaCliente!_CapturaAbonoAnticipadoTablaCliente,__Amortizacion)</f>
        <v>0</v>
      </c>
      <c r="N32" s="86">
        <f t="shared" ca="1" si="4"/>
        <v>7.2759576141834259E-12</v>
      </c>
      <c r="P32" s="735"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x14ac:dyDescent="0.25">
      <c r="A33" s="735" t="s">
        <v>5379</v>
      </c>
      <c r="B33" s="735" t="str">
        <f>CONCATENATE(i.Nombre.Tabla.Estandar,"!",A33)</f>
        <v>T_AutoYSeguroMulti!_Pago.Fijo</v>
      </c>
      <c r="D33" s="736">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63">
        <f>INDEX(TablaCliente!_CapturaAbonoAnticipadoTablaCliente,__Amortizacion)</f>
        <v>0</v>
      </c>
      <c r="N33" s="86">
        <f t="shared" ca="1" si="4"/>
        <v>7.2759576141834259E-12</v>
      </c>
      <c r="P33" s="735"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x14ac:dyDescent="0.25">
      <c r="A34" s="735" t="s">
        <v>5380</v>
      </c>
      <c r="B34" s="735" t="str">
        <f>CONCATENATE(i.Nombre.Tabla.Estandar,"!",A34)</f>
        <v>T_AutoYSeguroMulti!__Capital</v>
      </c>
      <c r="D34" s="736">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63">
        <f>INDEX(TablaCliente!_CapturaAbonoAnticipadoTablaCliente,__Amortizacion)</f>
        <v>0</v>
      </c>
      <c r="N34" s="86">
        <f t="shared" ca="1" si="4"/>
        <v>7.2759576141834259E-12</v>
      </c>
      <c r="P34" s="735"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x14ac:dyDescent="0.25">
      <c r="A35" s="735" t="s">
        <v>5381</v>
      </c>
      <c r="B35" s="735" t="str">
        <f>CONCATENATE(i.Nombre.Tabla.Estandar,"!",A35)</f>
        <v>T_AutoYSeguroMulti!__Dias_Interes_Periodo</v>
      </c>
      <c r="D35" s="736">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63">
        <f>INDEX(TablaCliente!_CapturaAbonoAnticipadoTablaCliente,__Amortizacion)</f>
        <v>0</v>
      </c>
      <c r="N35" s="86">
        <f t="shared" ca="1" si="4"/>
        <v>7.2759576141834259E-12</v>
      </c>
      <c r="P35" s="735"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x14ac:dyDescent="0.25">
      <c r="A36" s="735" t="s">
        <v>5382</v>
      </c>
      <c r="B36" s="735" t="str">
        <f>CONCATENATE(i.Nombre.Tabla.Ciclica,"!",A36)</f>
        <v>T_SeguroAnual!__Saldo_Ciclico</v>
      </c>
      <c r="D36" s="736">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63">
        <f>INDEX(TablaCliente!_CapturaAbonoAnticipadoTablaCliente,__Amortizacion)</f>
        <v>0</v>
      </c>
      <c r="N36" s="86">
        <f t="shared" ca="1" si="4"/>
        <v>7.2759576141834259E-12</v>
      </c>
      <c r="P36" s="735"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x14ac:dyDescent="0.25">
      <c r="A37" s="735" t="s">
        <v>5383</v>
      </c>
      <c r="B37" s="735" t="str">
        <f>CONCATENATE(i.Nombre.Tabla.Ciclica,"!",A37)</f>
        <v>T_SeguroAnual!__Pago_Fijo</v>
      </c>
      <c r="D37" s="736">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63">
        <f>INDEX(TablaCliente!_CapturaAbonoAnticipadoTablaCliente,__Amortizacion)</f>
        <v>0</v>
      </c>
      <c r="N37" s="86">
        <f t="shared" ca="1" si="4"/>
        <v>7.2759576141834259E-12</v>
      </c>
      <c r="P37" s="735"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x14ac:dyDescent="0.25">
      <c r="A38" s="735" t="s">
        <v>5380</v>
      </c>
      <c r="B38" s="735" t="str">
        <f>CONCATENATE(i.Nombre.Tabla.Ciclica,"!",A38)</f>
        <v>T_SeguroAnual!__Capital</v>
      </c>
      <c r="D38" s="736">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63">
        <f>INDEX(TablaCliente!_CapturaAbonoAnticipadoTablaCliente,__Amortizacion)</f>
        <v>0</v>
      </c>
      <c r="N38" s="86">
        <f t="shared" ca="1" si="4"/>
        <v>7.2759576141834259E-12</v>
      </c>
      <c r="P38" s="735"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x14ac:dyDescent="0.25">
      <c r="A39" s="735" t="s">
        <v>5384</v>
      </c>
      <c r="B39" s="735" t="str">
        <f>CONCATENATE(i.Nombre.Tabla.Ciclica,"!",A39)</f>
        <v>T_SeguroAnual!__Abono_Sobrante</v>
      </c>
      <c r="D39" s="736">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63">
        <f>INDEX(TablaCliente!_CapturaAbonoAnticipadoTablaCliente,__Amortizacion)</f>
        <v>0</v>
      </c>
      <c r="N39" s="86">
        <f t="shared" ca="1" si="4"/>
        <v>7.2759576141834259E-12</v>
      </c>
      <c r="P39" s="735"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x14ac:dyDescent="0.25">
      <c r="D40" s="736">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63">
        <f>INDEX(TablaCliente!_CapturaAbonoAnticipadoTablaCliente,__Amortizacion)</f>
        <v>0</v>
      </c>
      <c r="N40" s="86">
        <f t="shared" ca="1" si="4"/>
        <v>7.2759576141834259E-12</v>
      </c>
      <c r="P40" s="735"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x14ac:dyDescent="0.25">
      <c r="A41" s="258" t="s">
        <v>128</v>
      </c>
      <c r="B41" s="262" t="e">
        <f ca="1">MIN( MATCH(0, __Saldo_Final,0), i.Numero.pagos )</f>
        <v>#N/A</v>
      </c>
      <c r="D41" s="736">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63">
        <f>INDEX(TablaCliente!_CapturaAbonoAnticipadoTablaCliente,__Amortizacion)</f>
        <v>0</v>
      </c>
      <c r="N41" s="86">
        <f t="shared" ca="1" si="4"/>
        <v>7.2759576141834259E-12</v>
      </c>
      <c r="P41" s="735"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x14ac:dyDescent="0.25">
      <c r="D42" s="736">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63">
        <f>INDEX(TablaCliente!_CapturaAbonoAnticipadoTablaCliente,__Amortizacion)</f>
        <v>0</v>
      </c>
      <c r="N42" s="86">
        <f t="shared" ca="1" si="4"/>
        <v>7.2759576141834259E-12</v>
      </c>
      <c r="P42" s="735"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x14ac:dyDescent="0.25">
      <c r="A43" s="768" t="s">
        <v>5356</v>
      </c>
      <c r="B43" s="767"/>
      <c r="C43" s="735"/>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63">
        <f>INDEX(TablaCliente!_CapturaAbonoAnticipadoTablaCliente,__Amortizacion)</f>
        <v>0</v>
      </c>
      <c r="N43" s="86">
        <f t="shared" ca="1" si="4"/>
        <v>7.2759576141834259E-12</v>
      </c>
      <c r="P43" s="735"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x14ac:dyDescent="0.25">
      <c r="A44" s="780" t="s">
        <v>5364</v>
      </c>
      <c r="B44" s="246"/>
      <c r="D44" s="736">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63">
        <f>INDEX(TablaCliente!_CapturaAbonoAnticipadoTablaCliente,__Amortizacion)</f>
        <v>0</v>
      </c>
      <c r="N44" s="86">
        <f t="shared" ca="1" si="4"/>
        <v>7.2759576141834259E-12</v>
      </c>
      <c r="P44" s="735"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x14ac:dyDescent="0.25">
      <c r="A45" s="779" t="s">
        <v>5358</v>
      </c>
      <c r="B45" s="779" t="s">
        <v>474</v>
      </c>
      <c r="D45" s="736">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63">
        <f>INDEX(TablaCliente!_CapturaAbonoAnticipadoTablaCliente,__Amortizacion)</f>
        <v>0</v>
      </c>
      <c r="N45" s="86">
        <f t="shared" ca="1" si="4"/>
        <v>7.2759576141834259E-12</v>
      </c>
      <c r="P45" s="735"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x14ac:dyDescent="0.25">
      <c r="A46" s="736" t="s">
        <v>5376</v>
      </c>
      <c r="B46" s="32" t="str">
        <f>_Rango.Ciclico.Abono.Sobrante</f>
        <v>T_SeguroAnual!__Abono_Sobrante</v>
      </c>
      <c r="D46" s="736">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63">
        <f>INDEX(TablaCliente!_CapturaAbonoAnticipadoTablaCliente,__Amortizacion)</f>
        <v>0</v>
      </c>
      <c r="N46" s="86">
        <f t="shared" ca="1" si="4"/>
        <v>7.2759576141834259E-12</v>
      </c>
      <c r="P46" s="735"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x14ac:dyDescent="0.25">
      <c r="A47" s="736" t="s">
        <v>5375</v>
      </c>
      <c r="B47" s="32" t="str">
        <f>_Rango.Ciclico.Capital</f>
        <v>T_SeguroAnual!__Capital</v>
      </c>
      <c r="D47" s="736">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63">
        <f>INDEX(TablaCliente!_CapturaAbonoAnticipadoTablaCliente,__Amortizacion)</f>
        <v>0</v>
      </c>
      <c r="N47" s="86">
        <f t="shared" ca="1" si="4"/>
        <v>7.2759576141834259E-12</v>
      </c>
      <c r="P47" s="735"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x14ac:dyDescent="0.25">
      <c r="A48" s="736" t="s">
        <v>5374</v>
      </c>
      <c r="B48" s="32" t="str">
        <f>_Rango.Ciclico.Pago</f>
        <v>T_SeguroAnual!__Pago_Fijo</v>
      </c>
      <c r="D48" s="736">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63">
        <f>INDEX(TablaCliente!_CapturaAbonoAnticipadoTablaCliente,__Amortizacion)</f>
        <v>0</v>
      </c>
      <c r="N48" s="86">
        <f t="shared" ca="1" si="4"/>
        <v>7.2759576141834259E-12</v>
      </c>
      <c r="P48" s="735"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x14ac:dyDescent="0.25">
      <c r="A49" s="736" t="s">
        <v>5373</v>
      </c>
      <c r="B49" s="32" t="str">
        <f>_Rango.Ciclico.Saldo</f>
        <v>T_SeguroAnual!__Saldo_Ciclico</v>
      </c>
      <c r="D49" s="736">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63">
        <f>INDEX(TablaCliente!_CapturaAbonoAnticipadoTablaCliente,__Amortizacion)</f>
        <v>0</v>
      </c>
      <c r="N49" s="86">
        <f t="shared" ca="1" si="4"/>
        <v>7.2759576141834259E-12</v>
      </c>
      <c r="P49" s="735"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x14ac:dyDescent="0.25">
      <c r="A50" s="736" t="s">
        <v>5372</v>
      </c>
      <c r="B50" s="32" t="str">
        <f>_Rango.Estandar.Capital</f>
        <v>T_AutoYSeguroMulti!__Capital</v>
      </c>
      <c r="D50" s="736">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63">
        <f>INDEX(TablaCliente!_CapturaAbonoAnticipadoTablaCliente,__Amortizacion)</f>
        <v>0</v>
      </c>
      <c r="N50" s="86">
        <f t="shared" ca="1" si="4"/>
        <v>7.2759576141834259E-12</v>
      </c>
      <c r="P50" s="735"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x14ac:dyDescent="0.25">
      <c r="A51" s="736" t="s">
        <v>5371</v>
      </c>
      <c r="B51" s="32" t="str">
        <f>_Rango.Estandar.Pago</f>
        <v>T_AutoYSeguroMulti!_Pago.Fijo</v>
      </c>
      <c r="D51" s="736">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63">
        <f>INDEX(TablaCliente!_CapturaAbonoAnticipadoTablaCliente,__Amortizacion)</f>
        <v>0</v>
      </c>
      <c r="N51" s="86">
        <f t="shared" ca="1" si="4"/>
        <v>7.2759576141834259E-12</v>
      </c>
      <c r="P51" s="735"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x14ac:dyDescent="0.25">
      <c r="A52" s="736" t="s">
        <v>5370</v>
      </c>
      <c r="B52" s="32" t="str">
        <f>_Rango.Estandar.Saldo</f>
        <v>T_AutoYSeguroMulti!i.Monto.Financiar</v>
      </c>
      <c r="D52" s="736">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63">
        <f>INDEX(TablaCliente!_CapturaAbonoAnticipadoTablaCliente,__Amortizacion)</f>
        <v>0</v>
      </c>
      <c r="N52" s="86">
        <f t="shared" ca="1" si="4"/>
        <v>7.2759576141834259E-12</v>
      </c>
      <c r="P52" s="735"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x14ac:dyDescent="0.25">
      <c r="A53" s="736" t="s">
        <v>5369</v>
      </c>
      <c r="B53" s="32" t="str">
        <f>_Rango.Estandar.Dias.Periodo</f>
        <v>T_AutoYSeguroMulti!__Dias_Interes_Periodo</v>
      </c>
      <c r="D53" s="736">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63">
        <f>INDEX(TablaCliente!_CapturaAbonoAnticipadoTablaCliente,__Amortizacion)</f>
        <v>0</v>
      </c>
      <c r="N53" s="86">
        <f t="shared" ca="1" si="4"/>
        <v>7.2759576141834259E-12</v>
      </c>
      <c r="P53" s="735"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x14ac:dyDescent="0.25">
      <c r="A54" s="736" t="s">
        <v>5397</v>
      </c>
      <c r="B54" s="32" t="str">
        <f>i.Rango.Abono.Anticipado</f>
        <v>TablaCliente!_CapturaAbonoAnticipadoTablaCliente</v>
      </c>
      <c r="D54" s="736">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63">
        <f>INDEX(TablaCliente!_CapturaAbonoAnticipadoTablaCliente,__Amortizacion)</f>
        <v>0</v>
      </c>
      <c r="N54" s="86">
        <f t="shared" ca="1" si="4"/>
        <v>7.2759576141834259E-12</v>
      </c>
      <c r="P54" s="735"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x14ac:dyDescent="0.25">
      <c r="A55" s="32"/>
      <c r="B55" s="32"/>
      <c r="D55" s="736">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63">
        <f>INDEX(TablaCliente!_CapturaAbonoAnticipadoTablaCliente,__Amortizacion)</f>
        <v>0</v>
      </c>
      <c r="N55" s="86">
        <f t="shared" ca="1" si="4"/>
        <v>7.2759576141834259E-12</v>
      </c>
      <c r="P55" s="735"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x14ac:dyDescent="0.25">
      <c r="B56" s="735"/>
      <c r="D56" s="736">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63">
        <f>INDEX(TablaCliente!_CapturaAbonoAnticipadoTablaCliente,__Amortizacion)</f>
        <v>0</v>
      </c>
      <c r="N56" s="86">
        <f t="shared" ca="1" si="4"/>
        <v>7.2759576141834259E-12</v>
      </c>
      <c r="P56" s="735"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x14ac:dyDescent="0.25">
      <c r="B57" s="735"/>
      <c r="D57" s="736">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63">
        <f>INDEX(TablaCliente!_CapturaAbonoAnticipadoTablaCliente,__Amortizacion)</f>
        <v>0</v>
      </c>
      <c r="N57" s="86">
        <f t="shared" ca="1" si="4"/>
        <v>7.2759576141834259E-12</v>
      </c>
      <c r="P57" s="735"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x14ac:dyDescent="0.25">
      <c r="B58" s="735"/>
      <c r="D58" s="736">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63">
        <f>INDEX(TablaCliente!_CapturaAbonoAnticipadoTablaCliente,__Amortizacion)</f>
        <v>0</v>
      </c>
      <c r="N58" s="86">
        <f t="shared" ca="1" si="4"/>
        <v>7.2759576141834259E-12</v>
      </c>
      <c r="P58" s="735"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x14ac:dyDescent="0.25">
      <c r="B59" s="735"/>
      <c r="D59" s="736">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63">
        <f>INDEX(TablaCliente!_CapturaAbonoAnticipadoTablaCliente,__Amortizacion)</f>
        <v>0</v>
      </c>
      <c r="N59" s="86">
        <f t="shared" ca="1" si="4"/>
        <v>7.2759576141834259E-12</v>
      </c>
      <c r="P59" s="735"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x14ac:dyDescent="0.25">
      <c r="A60" s="32"/>
      <c r="B60" s="735"/>
      <c r="D60" s="736">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63">
        <f>INDEX(TablaCliente!_CapturaAbonoAnticipadoTablaCliente,__Amortizacion)</f>
        <v>0</v>
      </c>
      <c r="N60" s="86">
        <f t="shared" ca="1" si="4"/>
        <v>7.2759576141834259E-12</v>
      </c>
      <c r="P60" s="735"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x14ac:dyDescent="0.25">
      <c r="A61" s="32"/>
      <c r="B61" s="735"/>
      <c r="D61" s="736">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63">
        <f>INDEX(TablaCliente!_CapturaAbonoAnticipadoTablaCliente,__Amortizacion)</f>
        <v>0</v>
      </c>
      <c r="N61" s="86">
        <f t="shared" ca="1" si="4"/>
        <v>7.2759576141834259E-12</v>
      </c>
      <c r="P61" s="735"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x14ac:dyDescent="0.25">
      <c r="A62" s="32"/>
      <c r="B62" s="735"/>
      <c r="D62" s="736">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63">
        <f>INDEX(TablaCliente!_CapturaAbonoAnticipadoTablaCliente,__Amortizacion)</f>
        <v>0</v>
      </c>
      <c r="N62" s="86">
        <f t="shared" ca="1" si="4"/>
        <v>7.2759576141834259E-12</v>
      </c>
      <c r="P62" s="735"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x14ac:dyDescent="0.25">
      <c r="A63" s="32"/>
      <c r="B63" s="735"/>
      <c r="D63" s="736">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63">
        <f>INDEX(TablaCliente!_CapturaAbonoAnticipadoTablaCliente,__Amortizacion)</f>
        <v>0</v>
      </c>
      <c r="N63" s="86">
        <f t="shared" ca="1" si="4"/>
        <v>7.2759576141834259E-12</v>
      </c>
      <c r="P63" s="735"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x14ac:dyDescent="0.25">
      <c r="A64" s="32"/>
      <c r="B64" s="735"/>
      <c r="D64" s="736">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63">
        <f>INDEX(TablaCliente!_CapturaAbonoAnticipadoTablaCliente,__Amortizacion)</f>
        <v>0</v>
      </c>
      <c r="N64" s="86">
        <f t="shared" ca="1" si="4"/>
        <v>7.2759576141834259E-12</v>
      </c>
      <c r="P64" s="735"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x14ac:dyDescent="0.25">
      <c r="B65" s="735"/>
      <c r="D65" s="736">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63">
        <f>INDEX(TablaCliente!_CapturaAbonoAnticipadoTablaCliente,__Amortizacion)</f>
        <v>0</v>
      </c>
      <c r="N65" s="86">
        <f t="shared" ca="1" si="4"/>
        <v>7.2759576141834259E-12</v>
      </c>
      <c r="P65" s="735"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x14ac:dyDescent="0.25">
      <c r="B66" s="735"/>
      <c r="D66" s="736">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63">
        <f>INDEX(TablaCliente!_CapturaAbonoAnticipadoTablaCliente,__Amortizacion)</f>
        <v>0</v>
      </c>
      <c r="N66" s="86">
        <f t="shared" ca="1" si="4"/>
        <v>7.2759576141834259E-12</v>
      </c>
      <c r="P66" s="735"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x14ac:dyDescent="0.25">
      <c r="A67" s="32"/>
      <c r="B67" s="32"/>
      <c r="D67" s="736">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63">
        <f>INDEX(TablaCliente!_CapturaAbonoAnticipadoTablaCliente,__Amortizacion)</f>
        <v>0</v>
      </c>
      <c r="N67" s="86">
        <f t="shared" ca="1" si="4"/>
        <v>7.2759576141834259E-12</v>
      </c>
      <c r="P67" s="735"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x14ac:dyDescent="0.25">
      <c r="A68" s="32"/>
      <c r="B68" s="32"/>
      <c r="D68" s="736">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63">
        <f>INDEX(TablaCliente!_CapturaAbonoAnticipadoTablaCliente,__Amortizacion)</f>
        <v>0</v>
      </c>
      <c r="N68" s="86">
        <f t="shared" ca="1" si="4"/>
        <v>7.2759576141834259E-12</v>
      </c>
      <c r="P68" s="735"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x14ac:dyDescent="0.25">
      <c r="A69" s="32"/>
      <c r="B69" s="32"/>
      <c r="D69" s="736">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63">
        <f>INDEX(TablaCliente!_CapturaAbonoAnticipadoTablaCliente,__Amortizacion)</f>
        <v>0</v>
      </c>
      <c r="N69" s="86">
        <f t="shared" ca="1" si="4"/>
        <v>7.2759576141834259E-12</v>
      </c>
      <c r="P69" s="735"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x14ac:dyDescent="0.25">
      <c r="A70" s="32"/>
      <c r="B70" s="32"/>
      <c r="D70" s="736">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63">
        <f>INDEX(TablaCliente!_CapturaAbonoAnticipadoTablaCliente,__Amortizacion)</f>
        <v>0</v>
      </c>
      <c r="N70" s="86">
        <f t="shared" ca="1" si="4"/>
        <v>7.2759576141834259E-12</v>
      </c>
      <c r="P70" s="735"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x14ac:dyDescent="0.25">
      <c r="A71" s="32"/>
      <c r="B71" s="32"/>
      <c r="D71" s="736">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63">
        <f>INDEX(TablaCliente!_CapturaAbonoAnticipadoTablaCliente,__Amortizacion)</f>
        <v>0</v>
      </c>
      <c r="N71" s="86">
        <f t="shared" ca="1" si="4"/>
        <v>7.2759576141834259E-12</v>
      </c>
      <c r="P71" s="735"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x14ac:dyDescent="0.25">
      <c r="A72" s="32"/>
      <c r="B72" s="32"/>
      <c r="D72" s="736">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63">
        <f>INDEX(TablaCliente!_CapturaAbonoAnticipadoTablaCliente,__Amortizacion)</f>
        <v>0</v>
      </c>
      <c r="N72" s="86">
        <f t="shared" ca="1" si="4"/>
        <v>7.2759576141834259E-12</v>
      </c>
      <c r="P72" s="735"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x14ac:dyDescent="0.25">
      <c r="A73" s="32"/>
      <c r="B73" s="32"/>
      <c r="D73" s="736">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63">
        <f>INDEX(TablaCliente!_CapturaAbonoAnticipadoTablaCliente,__Amortizacion)</f>
        <v>0</v>
      </c>
      <c r="N73" s="86">
        <f t="shared" ca="1" si="4"/>
        <v>7.2759576141834259E-12</v>
      </c>
      <c r="P73" s="735"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x14ac:dyDescent="0.25">
      <c r="A74" s="32"/>
      <c r="B74" s="32"/>
      <c r="D74" s="736">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63">
        <f>INDEX(TablaCliente!_CapturaAbonoAnticipadoTablaCliente,__Amortizacion)</f>
        <v>0</v>
      </c>
      <c r="N74" s="86">
        <f t="shared" ca="1" si="4"/>
        <v>7.2759576141834259E-12</v>
      </c>
      <c r="P74" s="735"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x14ac:dyDescent="0.25">
      <c r="A75" s="32"/>
      <c r="B75" s="32"/>
      <c r="D75" s="736">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63">
        <f>INDEX(TablaCliente!_CapturaAbonoAnticipadoTablaCliente,__Amortizacion)</f>
        <v>0</v>
      </c>
      <c r="N75" s="86">
        <f t="shared" ca="1" si="4"/>
        <v>7.2759576141834259E-12</v>
      </c>
      <c r="P75" s="735"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x14ac:dyDescent="0.25">
      <c r="A76" s="32"/>
      <c r="B76" s="32"/>
      <c r="D76" s="736">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63">
        <f>INDEX(TablaCliente!_CapturaAbonoAnticipadoTablaCliente,__Amortizacion)</f>
        <v>0</v>
      </c>
      <c r="N76" s="86">
        <f t="shared" ca="1" si="4"/>
        <v>7.2759576141834259E-12</v>
      </c>
      <c r="P76" s="735"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x14ac:dyDescent="0.25">
      <c r="A77" s="32"/>
      <c r="B77" s="32"/>
      <c r="D77" s="736">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63">
        <f>INDEX(TablaCliente!_CapturaAbonoAnticipadoTablaCliente,__Amortizacion)</f>
        <v>0</v>
      </c>
      <c r="N77" s="86">
        <f t="shared" ca="1" si="4"/>
        <v>7.2759576141834259E-12</v>
      </c>
      <c r="P77" s="735"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x14ac:dyDescent="0.25">
      <c r="A78" s="32"/>
      <c r="B78" s="32"/>
      <c r="D78" s="736">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63">
        <f>INDEX(TablaCliente!_CapturaAbonoAnticipadoTablaCliente,__Amortizacion)</f>
        <v>0</v>
      </c>
      <c r="N78" s="86">
        <f t="shared" ca="1" si="4"/>
        <v>7.2759576141834259E-12</v>
      </c>
      <c r="P78" s="735"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x14ac:dyDescent="0.25">
      <c r="A79" s="32"/>
      <c r="B79" s="32"/>
      <c r="D79" s="736">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63">
        <f>INDEX(TablaCliente!_CapturaAbonoAnticipadoTablaCliente,__Amortizacion)</f>
        <v>0</v>
      </c>
      <c r="N79" s="86">
        <f t="shared" ca="1" si="4"/>
        <v>7.2759576141834259E-12</v>
      </c>
      <c r="P79" s="735"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x14ac:dyDescent="0.25">
      <c r="A80" s="32"/>
      <c r="B80" s="32"/>
      <c r="D80" s="736">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63">
        <f>INDEX(TablaCliente!_CapturaAbonoAnticipadoTablaCliente,__Amortizacion)</f>
        <v>0</v>
      </c>
      <c r="N80" s="86">
        <f t="shared" ca="1" si="4"/>
        <v>7.2759576141834259E-12</v>
      </c>
      <c r="P80" s="735"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x14ac:dyDescent="0.25">
      <c r="A81" s="32"/>
      <c r="B81" s="32"/>
      <c r="D81" s="736">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63">
        <f>INDEX(TablaCliente!_CapturaAbonoAnticipadoTablaCliente,__Amortizacion)</f>
        <v>0</v>
      </c>
      <c r="N81" s="86">
        <f t="shared" ca="1" si="4"/>
        <v>7.2759576141834259E-12</v>
      </c>
      <c r="P81" s="735"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x14ac:dyDescent="0.25">
      <c r="A82" s="32"/>
      <c r="B82" s="32"/>
      <c r="D82" s="736">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63">
        <f>INDEX(TablaCliente!_CapturaAbonoAnticipadoTablaCliente,__Amortizacion)</f>
        <v>0</v>
      </c>
      <c r="N82" s="86">
        <f t="shared" ca="1" si="4"/>
        <v>7.2759576141834259E-12</v>
      </c>
      <c r="P82" s="735"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x14ac:dyDescent="0.25">
      <c r="A83" s="32"/>
      <c r="B83" s="32"/>
      <c r="D83" s="736">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63">
        <f>INDEX(TablaCliente!_CapturaAbonoAnticipadoTablaCliente,__Amortizacion)</f>
        <v>0</v>
      </c>
      <c r="N83" s="86">
        <f t="shared" ref="N83:N146" ca="1" si="11">MAX( __Saldo_Inicial-__Capital-__Abono_Anticipado, 0)</f>
        <v>7.2759576141834259E-12</v>
      </c>
      <c r="P83" s="735"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x14ac:dyDescent="0.25">
      <c r="A84" s="32"/>
      <c r="B84" s="32"/>
      <c r="D84" s="736">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63">
        <f>INDEX(TablaCliente!_CapturaAbonoAnticipadoTablaCliente,__Amortizacion)</f>
        <v>0</v>
      </c>
      <c r="N84" s="86">
        <f t="shared" ca="1" si="11"/>
        <v>7.2759576141834259E-12</v>
      </c>
      <c r="P84" s="735"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x14ac:dyDescent="0.25">
      <c r="A85" s="32"/>
      <c r="B85" s="32"/>
      <c r="D85" s="736">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63">
        <f>INDEX(TablaCliente!_CapturaAbonoAnticipadoTablaCliente,__Amortizacion)</f>
        <v>0</v>
      </c>
      <c r="N85" s="86">
        <f t="shared" ca="1" si="11"/>
        <v>7.2759576141834259E-12</v>
      </c>
      <c r="P85" s="735"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x14ac:dyDescent="0.25">
      <c r="A86" s="32"/>
      <c r="B86" s="32"/>
      <c r="D86" s="736">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63">
        <f>INDEX(TablaCliente!_CapturaAbonoAnticipadoTablaCliente,__Amortizacion)</f>
        <v>0</v>
      </c>
      <c r="N86" s="86">
        <f t="shared" ca="1" si="11"/>
        <v>7.2759576141834259E-12</v>
      </c>
      <c r="P86" s="735"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x14ac:dyDescent="0.25">
      <c r="A87" s="32"/>
      <c r="B87" s="32"/>
      <c r="D87" s="736">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63">
        <f>INDEX(TablaCliente!_CapturaAbonoAnticipadoTablaCliente,__Amortizacion)</f>
        <v>0</v>
      </c>
      <c r="N87" s="86">
        <f t="shared" ca="1" si="11"/>
        <v>7.2759576141834259E-12</v>
      </c>
      <c r="P87" s="735"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x14ac:dyDescent="0.25">
      <c r="D88" s="736">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63">
        <f>INDEX(TablaCliente!_CapturaAbonoAnticipadoTablaCliente,__Amortizacion)</f>
        <v>0</v>
      </c>
      <c r="N88" s="86">
        <f t="shared" ca="1" si="11"/>
        <v>7.2759576141834259E-12</v>
      </c>
      <c r="P88" s="735"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x14ac:dyDescent="0.25">
      <c r="D89" s="736">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63">
        <f>INDEX(TablaCliente!_CapturaAbonoAnticipadoTablaCliente,__Amortizacion)</f>
        <v>0</v>
      </c>
      <c r="N89" s="86">
        <f t="shared" ca="1" si="11"/>
        <v>7.2759576141834259E-12</v>
      </c>
      <c r="P89" s="735"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x14ac:dyDescent="0.25">
      <c r="D90" s="736">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63">
        <f>INDEX(TablaCliente!_CapturaAbonoAnticipadoTablaCliente,__Amortizacion)</f>
        <v>0</v>
      </c>
      <c r="N90" s="86">
        <f t="shared" ca="1" si="11"/>
        <v>7.2759576141834259E-12</v>
      </c>
      <c r="P90" s="735"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x14ac:dyDescent="0.25">
      <c r="D91" s="736">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63">
        <f>INDEX(TablaCliente!_CapturaAbonoAnticipadoTablaCliente,__Amortizacion)</f>
        <v>0</v>
      </c>
      <c r="N91" s="86">
        <f t="shared" ca="1" si="11"/>
        <v>7.2759576141834259E-12</v>
      </c>
      <c r="P91" s="735"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65">
        <v>0</v>
      </c>
      <c r="W91" s="735"/>
      <c r="X91" s="86">
        <v>0</v>
      </c>
      <c r="Y91" s="86">
        <v>0</v>
      </c>
      <c r="Z91" s="86"/>
      <c r="AA91" s="86">
        <f ca="1" xml:space="preserve"> T_SeguroAnual!__Abono_Sobrante</f>
        <v>0</v>
      </c>
      <c r="AB91" s="86">
        <f t="shared" si="13"/>
        <v>0</v>
      </c>
      <c r="AD91" s="86">
        <f ca="1"/>
        <v>0</v>
      </c>
      <c r="AE91" s="86">
        <f ca="1"/>
        <v>0</v>
      </c>
    </row>
    <row r="92" spans="1:35" x14ac:dyDescent="0.25">
      <c r="D92" s="736">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63">
        <f>INDEX(TablaCliente!_CapturaAbonoAnticipadoTablaCliente,__Amortizacion)</f>
        <v>0</v>
      </c>
      <c r="N92" s="86">
        <f t="shared" ca="1" si="11"/>
        <v>7.2759576141834259E-12</v>
      </c>
      <c r="P92" s="735"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65">
        <v>0</v>
      </c>
      <c r="W92" s="735"/>
      <c r="X92" s="86">
        <v>0</v>
      </c>
      <c r="Y92" s="86">
        <v>0</v>
      </c>
      <c r="Z92" s="86"/>
      <c r="AA92" s="86">
        <f ca="1" xml:space="preserve"> T_SeguroAnual!__Abono_Sobrante</f>
        <v>0</v>
      </c>
      <c r="AB92" s="86">
        <f t="shared" si="13"/>
        <v>0</v>
      </c>
      <c r="AD92" s="86">
        <f ca="1"/>
        <v>0</v>
      </c>
      <c r="AE92" s="86">
        <f ca="1"/>
        <v>0</v>
      </c>
    </row>
    <row r="93" spans="1:35" x14ac:dyDescent="0.25">
      <c r="D93" s="736">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63">
        <f>INDEX(TablaCliente!_CapturaAbonoAnticipadoTablaCliente,__Amortizacion)</f>
        <v>0</v>
      </c>
      <c r="N93" s="86">
        <f t="shared" ca="1" si="11"/>
        <v>7.2759576141834259E-12</v>
      </c>
      <c r="P93" s="735"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65">
        <v>0</v>
      </c>
      <c r="W93" s="735"/>
      <c r="X93" s="86">
        <v>0</v>
      </c>
      <c r="Y93" s="86">
        <v>0</v>
      </c>
      <c r="Z93" s="86"/>
      <c r="AA93" s="86">
        <f ca="1" xml:space="preserve"> T_SeguroAnual!__Abono_Sobrante</f>
        <v>0</v>
      </c>
      <c r="AB93" s="86">
        <f t="shared" si="13"/>
        <v>0</v>
      </c>
      <c r="AD93" s="86">
        <f ca="1"/>
        <v>0</v>
      </c>
      <c r="AE93" s="86">
        <f ca="1"/>
        <v>0</v>
      </c>
    </row>
    <row r="94" spans="1:35" x14ac:dyDescent="0.25">
      <c r="D94" s="736">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63">
        <f>INDEX(TablaCliente!_CapturaAbonoAnticipadoTablaCliente,__Amortizacion)</f>
        <v>0</v>
      </c>
      <c r="N94" s="86">
        <f t="shared" ca="1" si="11"/>
        <v>7.2759576141834259E-12</v>
      </c>
      <c r="P94" s="735"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65">
        <v>0</v>
      </c>
      <c r="W94" s="735"/>
      <c r="X94" s="86">
        <v>0</v>
      </c>
      <c r="Y94" s="86">
        <v>0</v>
      </c>
      <c r="Z94" s="86"/>
      <c r="AA94" s="86">
        <f ca="1" xml:space="preserve"> T_SeguroAnual!__Abono_Sobrante</f>
        <v>0</v>
      </c>
      <c r="AB94" s="86">
        <f t="shared" si="13"/>
        <v>0</v>
      </c>
      <c r="AD94" s="86">
        <f ca="1"/>
        <v>0</v>
      </c>
      <c r="AE94" s="86">
        <f ca="1"/>
        <v>0</v>
      </c>
    </row>
    <row r="95" spans="1:35" x14ac:dyDescent="0.25">
      <c r="D95" s="736">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63">
        <f>INDEX(TablaCliente!_CapturaAbonoAnticipadoTablaCliente,__Amortizacion)</f>
        <v>0</v>
      </c>
      <c r="N95" s="86">
        <f t="shared" ca="1" si="11"/>
        <v>7.2759576141834259E-12</v>
      </c>
      <c r="P95" s="735"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65">
        <v>0</v>
      </c>
      <c r="W95" s="735"/>
      <c r="X95" s="86">
        <v>0</v>
      </c>
      <c r="Y95" s="86">
        <v>0</v>
      </c>
      <c r="Z95" s="86"/>
      <c r="AA95" s="86">
        <f ca="1" xml:space="preserve"> T_SeguroAnual!__Abono_Sobrante</f>
        <v>0</v>
      </c>
      <c r="AB95" s="86">
        <f t="shared" si="13"/>
        <v>0</v>
      </c>
      <c r="AD95" s="86">
        <f ca="1"/>
        <v>0</v>
      </c>
      <c r="AE95" s="86">
        <f ca="1"/>
        <v>0</v>
      </c>
    </row>
    <row r="96" spans="1:35" x14ac:dyDescent="0.25">
      <c r="D96" s="736">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63">
        <f>INDEX(TablaCliente!_CapturaAbonoAnticipadoTablaCliente,__Amortizacion)</f>
        <v>0</v>
      </c>
      <c r="N96" s="86">
        <f t="shared" ca="1" si="11"/>
        <v>7.2759576141834259E-12</v>
      </c>
      <c r="P96" s="735"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x14ac:dyDescent="0.25">
      <c r="D97" s="736">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63">
        <f>INDEX(TablaCliente!_CapturaAbonoAnticipadoTablaCliente,__Amortizacion)</f>
        <v>0</v>
      </c>
      <c r="N97" s="86">
        <f t="shared" ca="1" si="11"/>
        <v>7.2759576141834259E-12</v>
      </c>
      <c r="P97" s="735"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63">
        <f>INDEX(TablaCliente!_CapturaAbonoAnticipadoTablaCliente,__Amortizacion)</f>
        <v>0</v>
      </c>
      <c r="N98" s="86">
        <f t="shared" ca="1" si="11"/>
        <v>7.2759576141834259E-12</v>
      </c>
      <c r="P98" s="735"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x14ac:dyDescent="0.25">
      <c r="D99" s="736">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63">
        <f>INDEX(TablaCliente!_CapturaAbonoAnticipadoTablaCliente,__Amortizacion)</f>
        <v>0</v>
      </c>
      <c r="N99" s="86">
        <f t="shared" ca="1" si="11"/>
        <v>7.2759576141834259E-12</v>
      </c>
      <c r="P99" s="735"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x14ac:dyDescent="0.25">
      <c r="D100" s="736">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63">
        <f>INDEX(TablaCliente!_CapturaAbonoAnticipadoTablaCliente,__Amortizacion)</f>
        <v>0</v>
      </c>
      <c r="N100" s="86">
        <f t="shared" ca="1" si="11"/>
        <v>7.2759576141834259E-12</v>
      </c>
      <c r="P100" s="735"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x14ac:dyDescent="0.25">
      <c r="D101" s="736">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63">
        <f>INDEX(TablaCliente!_CapturaAbonoAnticipadoTablaCliente,__Amortizacion)</f>
        <v>0</v>
      </c>
      <c r="N101" s="86">
        <f t="shared" ca="1" si="11"/>
        <v>7.2759576141834259E-12</v>
      </c>
      <c r="P101" s="735"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x14ac:dyDescent="0.25">
      <c r="D102" s="736">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63">
        <f>INDEX(TablaCliente!_CapturaAbonoAnticipadoTablaCliente,__Amortizacion)</f>
        <v>0</v>
      </c>
      <c r="N102" s="86">
        <f t="shared" ca="1" si="11"/>
        <v>7.2759576141834259E-12</v>
      </c>
      <c r="P102" s="735"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x14ac:dyDescent="0.25">
      <c r="D103" s="736">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63">
        <f>INDEX(TablaCliente!_CapturaAbonoAnticipadoTablaCliente,__Amortizacion)</f>
        <v>0</v>
      </c>
      <c r="N103" s="86">
        <f t="shared" ca="1" si="11"/>
        <v>7.2759576141834259E-12</v>
      </c>
      <c r="P103" s="735"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x14ac:dyDescent="0.25">
      <c r="D104" s="736">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63">
        <f>INDEX(TablaCliente!_CapturaAbonoAnticipadoTablaCliente,__Amortizacion)</f>
        <v>0</v>
      </c>
      <c r="N104" s="86">
        <f t="shared" ca="1" si="11"/>
        <v>7.2759576141834259E-12</v>
      </c>
      <c r="P104" s="735"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x14ac:dyDescent="0.25">
      <c r="D105" s="736">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63">
        <f>INDEX(TablaCliente!_CapturaAbonoAnticipadoTablaCliente,__Amortizacion)</f>
        <v>0</v>
      </c>
      <c r="N105" s="86">
        <f t="shared" ca="1" si="11"/>
        <v>7.2759576141834259E-12</v>
      </c>
      <c r="P105" s="735"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x14ac:dyDescent="0.25">
      <c r="D106" s="736">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63">
        <f>INDEX(TablaCliente!_CapturaAbonoAnticipadoTablaCliente,__Amortizacion)</f>
        <v>0</v>
      </c>
      <c r="N106" s="86">
        <f t="shared" ca="1" si="11"/>
        <v>7.2759576141834259E-12</v>
      </c>
      <c r="P106" s="735"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x14ac:dyDescent="0.25">
      <c r="D107" s="736">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63">
        <f>INDEX(TablaCliente!_CapturaAbonoAnticipadoTablaCliente,__Amortizacion)</f>
        <v>0</v>
      </c>
      <c r="N107" s="86">
        <f t="shared" ca="1" si="11"/>
        <v>7.2759576141834259E-12</v>
      </c>
      <c r="P107" s="735"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x14ac:dyDescent="0.25">
      <c r="D108" s="736">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63">
        <f>INDEX(TablaCliente!_CapturaAbonoAnticipadoTablaCliente,__Amortizacion)</f>
        <v>0</v>
      </c>
      <c r="N108" s="86">
        <f t="shared" ca="1" si="11"/>
        <v>7.2759576141834259E-12</v>
      </c>
      <c r="P108" s="735"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x14ac:dyDescent="0.25">
      <c r="D109" s="736">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63">
        <f>INDEX(TablaCliente!_CapturaAbonoAnticipadoTablaCliente,__Amortizacion)</f>
        <v>0</v>
      </c>
      <c r="N109" s="86">
        <f t="shared" ca="1" si="11"/>
        <v>7.2759576141834259E-12</v>
      </c>
      <c r="P109" s="735"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x14ac:dyDescent="0.25">
      <c r="D110" s="736">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63">
        <f>INDEX(TablaCliente!_CapturaAbonoAnticipadoTablaCliente,__Amortizacion)</f>
        <v>0</v>
      </c>
      <c r="N110" s="86">
        <f t="shared" ca="1" si="11"/>
        <v>7.2759576141834259E-12</v>
      </c>
      <c r="P110" s="735"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x14ac:dyDescent="0.25">
      <c r="D111" s="736">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63">
        <f>INDEX(TablaCliente!_CapturaAbonoAnticipadoTablaCliente,__Amortizacion)</f>
        <v>0</v>
      </c>
      <c r="N111" s="86">
        <f t="shared" ca="1" si="11"/>
        <v>7.2759576141834259E-12</v>
      </c>
      <c r="P111" s="735"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x14ac:dyDescent="0.25">
      <c r="D112" s="736">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63">
        <f>INDEX(TablaCliente!_CapturaAbonoAnticipadoTablaCliente,__Amortizacion)</f>
        <v>0</v>
      </c>
      <c r="N112" s="86">
        <f t="shared" ca="1" si="11"/>
        <v>7.2759576141834259E-12</v>
      </c>
      <c r="P112" s="735"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x14ac:dyDescent="0.25">
      <c r="D113" s="736">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63">
        <f>INDEX(TablaCliente!_CapturaAbonoAnticipadoTablaCliente,__Amortizacion)</f>
        <v>0</v>
      </c>
      <c r="N113" s="86">
        <f t="shared" ca="1" si="11"/>
        <v>7.2759576141834259E-12</v>
      </c>
      <c r="P113" s="735"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x14ac:dyDescent="0.25">
      <c r="D114" s="736">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63">
        <f>INDEX(TablaCliente!_CapturaAbonoAnticipadoTablaCliente,__Amortizacion)</f>
        <v>0</v>
      </c>
      <c r="N114" s="86">
        <f t="shared" ca="1" si="11"/>
        <v>7.2759576141834259E-12</v>
      </c>
      <c r="P114" s="735"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x14ac:dyDescent="0.25">
      <c r="D115" s="736">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63">
        <f>INDEX(TablaCliente!_CapturaAbonoAnticipadoTablaCliente,__Amortizacion)</f>
        <v>0</v>
      </c>
      <c r="N115" s="86">
        <f t="shared" ca="1" si="11"/>
        <v>7.2759576141834259E-12</v>
      </c>
      <c r="P115" s="735"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x14ac:dyDescent="0.25">
      <c r="D116" s="736">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63">
        <f>INDEX(TablaCliente!_CapturaAbonoAnticipadoTablaCliente,__Amortizacion)</f>
        <v>0</v>
      </c>
      <c r="N116" s="86">
        <f t="shared" ca="1" si="11"/>
        <v>7.2759576141834259E-12</v>
      </c>
      <c r="P116" s="735"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x14ac:dyDescent="0.25">
      <c r="D117" s="736">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63">
        <f>INDEX(TablaCliente!_CapturaAbonoAnticipadoTablaCliente,__Amortizacion)</f>
        <v>0</v>
      </c>
      <c r="N117" s="86">
        <f t="shared" ca="1" si="11"/>
        <v>7.2759576141834259E-12</v>
      </c>
      <c r="P117" s="735"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x14ac:dyDescent="0.25">
      <c r="D118" s="736">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63">
        <f>INDEX(TablaCliente!_CapturaAbonoAnticipadoTablaCliente,__Amortizacion)</f>
        <v>0</v>
      </c>
      <c r="N118" s="86">
        <f t="shared" ca="1" si="11"/>
        <v>7.2759576141834259E-12</v>
      </c>
      <c r="P118" s="735"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x14ac:dyDescent="0.25">
      <c r="D119" s="736">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63">
        <f>INDEX(TablaCliente!_CapturaAbonoAnticipadoTablaCliente,__Amortizacion)</f>
        <v>0</v>
      </c>
      <c r="N119" s="86">
        <f t="shared" ca="1" si="11"/>
        <v>7.2759576141834259E-12</v>
      </c>
      <c r="P119" s="735"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x14ac:dyDescent="0.25">
      <c r="D120" s="736">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63">
        <f>INDEX(TablaCliente!_CapturaAbonoAnticipadoTablaCliente,__Amortizacion)</f>
        <v>0</v>
      </c>
      <c r="N120" s="86">
        <f t="shared" ca="1" si="11"/>
        <v>7.2759576141834259E-12</v>
      </c>
      <c r="P120" s="735"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x14ac:dyDescent="0.25">
      <c r="D121" s="736">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63">
        <f>INDEX(TablaCliente!_CapturaAbonoAnticipadoTablaCliente,__Amortizacion)</f>
        <v>0</v>
      </c>
      <c r="N121" s="86">
        <f t="shared" ca="1" si="11"/>
        <v>7.2759576141834259E-12</v>
      </c>
      <c r="P121" s="735"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x14ac:dyDescent="0.25">
      <c r="D122" s="736">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63">
        <f>INDEX(TablaCliente!_CapturaAbonoAnticipadoTablaCliente,__Amortizacion)</f>
        <v>0</v>
      </c>
      <c r="N122" s="86">
        <f t="shared" ca="1" si="11"/>
        <v>7.2759576141834259E-12</v>
      </c>
      <c r="P122" s="735"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x14ac:dyDescent="0.25">
      <c r="D123" s="736">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63">
        <f>INDEX(TablaCliente!_CapturaAbonoAnticipadoTablaCliente,__Amortizacion)</f>
        <v>0</v>
      </c>
      <c r="N123" s="86">
        <f t="shared" ca="1" si="11"/>
        <v>7.2759576141834259E-12</v>
      </c>
      <c r="P123" s="735"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x14ac:dyDescent="0.25">
      <c r="D124" s="736">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63">
        <f>INDEX(TablaCliente!_CapturaAbonoAnticipadoTablaCliente,__Amortizacion)</f>
        <v>0</v>
      </c>
      <c r="N124" s="86">
        <f t="shared" ca="1" si="11"/>
        <v>7.2759576141834259E-12</v>
      </c>
      <c r="P124" s="735"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x14ac:dyDescent="0.25">
      <c r="D125" s="736">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63">
        <f>INDEX(TablaCliente!_CapturaAbonoAnticipadoTablaCliente,__Amortizacion)</f>
        <v>0</v>
      </c>
      <c r="N125" s="86">
        <f t="shared" ca="1" si="11"/>
        <v>7.2759576141834259E-12</v>
      </c>
      <c r="P125" s="735"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x14ac:dyDescent="0.25">
      <c r="D126" s="736">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63">
        <f>INDEX(TablaCliente!_CapturaAbonoAnticipadoTablaCliente,__Amortizacion)</f>
        <v>0</v>
      </c>
      <c r="N126" s="86">
        <f t="shared" ca="1" si="11"/>
        <v>7.2759576141834259E-12</v>
      </c>
      <c r="P126" s="735"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x14ac:dyDescent="0.25">
      <c r="D127" s="736">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63">
        <f>INDEX(TablaCliente!_CapturaAbonoAnticipadoTablaCliente,__Amortizacion)</f>
        <v>0</v>
      </c>
      <c r="N127" s="86">
        <f t="shared" ca="1" si="11"/>
        <v>7.2759576141834259E-12</v>
      </c>
      <c r="P127" s="735"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x14ac:dyDescent="0.25">
      <c r="D128" s="736">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63">
        <f>INDEX(TablaCliente!_CapturaAbonoAnticipadoTablaCliente,__Amortizacion)</f>
        <v>0</v>
      </c>
      <c r="N128" s="86">
        <f t="shared" ca="1" si="11"/>
        <v>7.2759576141834259E-12</v>
      </c>
      <c r="P128" s="735"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x14ac:dyDescent="0.25">
      <c r="D129" s="736">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63">
        <f>INDEX(TablaCliente!_CapturaAbonoAnticipadoTablaCliente,__Amortizacion)</f>
        <v>0</v>
      </c>
      <c r="N129" s="86">
        <f t="shared" ca="1" si="11"/>
        <v>7.2759576141834259E-12</v>
      </c>
      <c r="P129" s="735"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x14ac:dyDescent="0.25">
      <c r="D130" s="736">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63">
        <f>INDEX(TablaCliente!_CapturaAbonoAnticipadoTablaCliente,__Amortizacion)</f>
        <v>0</v>
      </c>
      <c r="N130" s="86">
        <f t="shared" ca="1" si="11"/>
        <v>7.2759576141834259E-12</v>
      </c>
      <c r="P130" s="735"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x14ac:dyDescent="0.25">
      <c r="D131" s="736">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63">
        <f>INDEX(TablaCliente!_CapturaAbonoAnticipadoTablaCliente,__Amortizacion)</f>
        <v>0</v>
      </c>
      <c r="N131" s="86">
        <f t="shared" ca="1" si="11"/>
        <v>7.2759576141834259E-12</v>
      </c>
      <c r="P131" s="735"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x14ac:dyDescent="0.25">
      <c r="D132" s="736">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63">
        <f>INDEX(TablaCliente!_CapturaAbonoAnticipadoTablaCliente,__Amortizacion)</f>
        <v>0</v>
      </c>
      <c r="N132" s="86">
        <f t="shared" ca="1" si="11"/>
        <v>7.2759576141834259E-12</v>
      </c>
      <c r="P132" s="735"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x14ac:dyDescent="0.25">
      <c r="D133" s="736">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63">
        <f>INDEX(TablaCliente!_CapturaAbonoAnticipadoTablaCliente,__Amortizacion)</f>
        <v>0</v>
      </c>
      <c r="N133" s="86">
        <f t="shared" ca="1" si="11"/>
        <v>7.2759576141834259E-12</v>
      </c>
      <c r="P133" s="735"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x14ac:dyDescent="0.25">
      <c r="D134" s="736">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63">
        <f>INDEX(TablaCliente!_CapturaAbonoAnticipadoTablaCliente,__Amortizacion)</f>
        <v>0</v>
      </c>
      <c r="N134" s="86">
        <f t="shared" ca="1" si="11"/>
        <v>7.2759576141834259E-12</v>
      </c>
      <c r="P134" s="735"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x14ac:dyDescent="0.25">
      <c r="D135" s="736">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63">
        <f>INDEX(TablaCliente!_CapturaAbonoAnticipadoTablaCliente,__Amortizacion)</f>
        <v>0</v>
      </c>
      <c r="N135" s="86">
        <f t="shared" ca="1" si="11"/>
        <v>7.2759576141834259E-12</v>
      </c>
      <c r="P135" s="735"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x14ac:dyDescent="0.25">
      <c r="D136" s="736">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63">
        <f>INDEX(TablaCliente!_CapturaAbonoAnticipadoTablaCliente,__Amortizacion)</f>
        <v>0</v>
      </c>
      <c r="N136" s="86">
        <f t="shared" ca="1" si="11"/>
        <v>7.2759576141834259E-12</v>
      </c>
      <c r="P136" s="735"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x14ac:dyDescent="0.25">
      <c r="D137" s="736">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63">
        <f>INDEX(TablaCliente!_CapturaAbonoAnticipadoTablaCliente,__Amortizacion)</f>
        <v>0</v>
      </c>
      <c r="N137" s="86">
        <f t="shared" ca="1" si="11"/>
        <v>7.2759576141834259E-12</v>
      </c>
      <c r="P137" s="735"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x14ac:dyDescent="0.25">
      <c r="D138" s="736">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63">
        <f>INDEX(TablaCliente!_CapturaAbonoAnticipadoTablaCliente,__Amortizacion)</f>
        <v>0</v>
      </c>
      <c r="N138" s="86">
        <f t="shared" ca="1" si="11"/>
        <v>7.2759576141834259E-12</v>
      </c>
      <c r="P138" s="735"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x14ac:dyDescent="0.25">
      <c r="D139" s="736">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63">
        <f>INDEX(TablaCliente!_CapturaAbonoAnticipadoTablaCliente,__Amortizacion)</f>
        <v>0</v>
      </c>
      <c r="N139" s="86">
        <f t="shared" ca="1" si="11"/>
        <v>7.2759576141834259E-12</v>
      </c>
      <c r="P139" s="735"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x14ac:dyDescent="0.25">
      <c r="D140" s="736">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63">
        <f>INDEX(TablaCliente!_CapturaAbonoAnticipadoTablaCliente,__Amortizacion)</f>
        <v>0</v>
      </c>
      <c r="N140" s="86">
        <f t="shared" ca="1" si="11"/>
        <v>7.2759576141834259E-12</v>
      </c>
      <c r="P140" s="735"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x14ac:dyDescent="0.25">
      <c r="D141" s="736">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63">
        <f>INDEX(TablaCliente!_CapturaAbonoAnticipadoTablaCliente,__Amortizacion)</f>
        <v>0</v>
      </c>
      <c r="N141" s="86">
        <f t="shared" ca="1" si="11"/>
        <v>7.2759576141834259E-12</v>
      </c>
      <c r="P141" s="735"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x14ac:dyDescent="0.25">
      <c r="D142" s="736">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63">
        <f>INDEX(TablaCliente!_CapturaAbonoAnticipadoTablaCliente,__Amortizacion)</f>
        <v>0</v>
      </c>
      <c r="N142" s="86">
        <f t="shared" ca="1" si="11"/>
        <v>7.2759576141834259E-12</v>
      </c>
      <c r="P142" s="735"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x14ac:dyDescent="0.25">
      <c r="D143" s="736">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63">
        <f>INDEX(TablaCliente!_CapturaAbonoAnticipadoTablaCliente,__Amortizacion)</f>
        <v>0</v>
      </c>
      <c r="N143" s="86">
        <f t="shared" ca="1" si="11"/>
        <v>7.2759576141834259E-12</v>
      </c>
      <c r="P143" s="735"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x14ac:dyDescent="0.25">
      <c r="D144" s="736">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63">
        <f>INDEX(TablaCliente!_CapturaAbonoAnticipadoTablaCliente,__Amortizacion)</f>
        <v>0</v>
      </c>
      <c r="N144" s="86">
        <f t="shared" ca="1" si="11"/>
        <v>7.2759576141834259E-12</v>
      </c>
      <c r="P144" s="735"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x14ac:dyDescent="0.25">
      <c r="D145" s="736">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63">
        <f>INDEX(TablaCliente!_CapturaAbonoAnticipadoTablaCliente,__Amortizacion)</f>
        <v>0</v>
      </c>
      <c r="N145" s="86">
        <f t="shared" ca="1" si="11"/>
        <v>7.2759576141834259E-12</v>
      </c>
      <c r="P145" s="735"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x14ac:dyDescent="0.25">
      <c r="D146" s="736">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63">
        <f>INDEX(TablaCliente!_CapturaAbonoAnticipadoTablaCliente,__Amortizacion)</f>
        <v>0</v>
      </c>
      <c r="N146" s="86">
        <f t="shared" ca="1" si="11"/>
        <v>7.2759576141834259E-12</v>
      </c>
      <c r="P146" s="735"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x14ac:dyDescent="0.25">
      <c r="D147" s="736">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63">
        <f>INDEX(TablaCliente!_CapturaAbonoAnticipadoTablaCliente,__Amortizacion)</f>
        <v>0</v>
      </c>
      <c r="N147" s="86">
        <f t="shared" ref="N147:N210" ca="1" si="18">MAX( __Saldo_Inicial-__Capital-__Abono_Anticipado, 0)</f>
        <v>7.2759576141834259E-12</v>
      </c>
      <c r="P147" s="735"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x14ac:dyDescent="0.25">
      <c r="D148" s="736">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63">
        <f>INDEX(TablaCliente!_CapturaAbonoAnticipadoTablaCliente,__Amortizacion)</f>
        <v>0</v>
      </c>
      <c r="N148" s="86">
        <f t="shared" ca="1" si="18"/>
        <v>7.2759576141834259E-12</v>
      </c>
      <c r="P148" s="735"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x14ac:dyDescent="0.25">
      <c r="D149" s="736">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63">
        <f>INDEX(TablaCliente!_CapturaAbonoAnticipadoTablaCliente,__Amortizacion)</f>
        <v>0</v>
      </c>
      <c r="N149" s="86">
        <f t="shared" ca="1" si="18"/>
        <v>7.2759576141834259E-12</v>
      </c>
      <c r="P149" s="735"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x14ac:dyDescent="0.25">
      <c r="D150" s="736">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63">
        <f>INDEX(TablaCliente!_CapturaAbonoAnticipadoTablaCliente,__Amortizacion)</f>
        <v>0</v>
      </c>
      <c r="N150" s="86">
        <f t="shared" ca="1" si="18"/>
        <v>7.2759576141834259E-12</v>
      </c>
      <c r="P150" s="735"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x14ac:dyDescent="0.25">
      <c r="D151" s="736">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63">
        <f>INDEX(TablaCliente!_CapturaAbonoAnticipadoTablaCliente,__Amortizacion)</f>
        <v>0</v>
      </c>
      <c r="N151" s="86">
        <f t="shared" ca="1" si="18"/>
        <v>7.2759576141834259E-12</v>
      </c>
      <c r="P151" s="735"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x14ac:dyDescent="0.25">
      <c r="D152" s="736">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63">
        <f>INDEX(TablaCliente!_CapturaAbonoAnticipadoTablaCliente,__Amortizacion)</f>
        <v>0</v>
      </c>
      <c r="N152" s="86">
        <f t="shared" ca="1" si="18"/>
        <v>7.2759576141834259E-12</v>
      </c>
      <c r="P152" s="735"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63">
        <f>INDEX(TablaCliente!_CapturaAbonoAnticipadoTablaCliente,__Amortizacion)</f>
        <v>0</v>
      </c>
      <c r="N153" s="86">
        <f t="shared" ca="1" si="18"/>
        <v>7.2759576141834259E-12</v>
      </c>
      <c r="P153" s="735"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x14ac:dyDescent="0.25">
      <c r="D154" s="736">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63">
        <f>INDEX(TablaCliente!_CapturaAbonoAnticipadoTablaCliente,__Amortizacion)</f>
        <v>0</v>
      </c>
      <c r="N154" s="86">
        <f t="shared" ca="1" si="18"/>
        <v>7.2759576141834259E-12</v>
      </c>
      <c r="P154" s="735"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x14ac:dyDescent="0.25">
      <c r="D155" s="736">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63">
        <f>INDEX(TablaCliente!_CapturaAbonoAnticipadoTablaCliente,__Amortizacion)</f>
        <v>0</v>
      </c>
      <c r="N155" s="86">
        <f t="shared" ca="1" si="18"/>
        <v>7.2759576141834259E-12</v>
      </c>
      <c r="P155" s="735"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x14ac:dyDescent="0.25">
      <c r="D156" s="736">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63">
        <f>INDEX(TablaCliente!_CapturaAbonoAnticipadoTablaCliente,__Amortizacion)</f>
        <v>0</v>
      </c>
      <c r="N156" s="86">
        <f t="shared" ca="1" si="18"/>
        <v>7.2759576141834259E-12</v>
      </c>
      <c r="P156" s="735"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x14ac:dyDescent="0.25">
      <c r="D157" s="736">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63">
        <f>INDEX(TablaCliente!_CapturaAbonoAnticipadoTablaCliente,__Amortizacion)</f>
        <v>0</v>
      </c>
      <c r="N157" s="86">
        <f t="shared" ca="1" si="18"/>
        <v>7.2759576141834259E-12</v>
      </c>
      <c r="P157" s="735"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x14ac:dyDescent="0.25">
      <c r="D158" s="736">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63">
        <f>INDEX(TablaCliente!_CapturaAbonoAnticipadoTablaCliente,__Amortizacion)</f>
        <v>0</v>
      </c>
      <c r="N158" s="86">
        <f t="shared" ca="1" si="18"/>
        <v>7.2759576141834259E-12</v>
      </c>
      <c r="P158" s="735"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x14ac:dyDescent="0.25">
      <c r="D159" s="736">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63">
        <f>INDEX(TablaCliente!_CapturaAbonoAnticipadoTablaCliente,__Amortizacion)</f>
        <v>0</v>
      </c>
      <c r="N159" s="86">
        <f t="shared" ca="1" si="18"/>
        <v>7.2759576141834259E-12</v>
      </c>
      <c r="P159" s="735"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x14ac:dyDescent="0.25">
      <c r="D160" s="736">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63">
        <f>INDEX(TablaCliente!_CapturaAbonoAnticipadoTablaCliente,__Amortizacion)</f>
        <v>0</v>
      </c>
      <c r="N160" s="86">
        <f t="shared" ca="1" si="18"/>
        <v>7.2759576141834259E-12</v>
      </c>
      <c r="P160" s="735"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x14ac:dyDescent="0.25">
      <c r="D161" s="736">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63">
        <f>INDEX(TablaCliente!_CapturaAbonoAnticipadoTablaCliente,__Amortizacion)</f>
        <v>0</v>
      </c>
      <c r="N161" s="86">
        <f t="shared" ca="1" si="18"/>
        <v>7.2759576141834259E-12</v>
      </c>
      <c r="P161" s="735"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x14ac:dyDescent="0.25">
      <c r="D162" s="736">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63">
        <f>INDEX(TablaCliente!_CapturaAbonoAnticipadoTablaCliente,__Amortizacion)</f>
        <v>0</v>
      </c>
      <c r="N162" s="86">
        <f t="shared" ca="1" si="18"/>
        <v>7.2759576141834259E-12</v>
      </c>
      <c r="P162" s="735"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x14ac:dyDescent="0.25">
      <c r="D163" s="736">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63">
        <f>INDEX(TablaCliente!_CapturaAbonoAnticipadoTablaCliente,__Amortizacion)</f>
        <v>0</v>
      </c>
      <c r="N163" s="86">
        <f t="shared" ca="1" si="18"/>
        <v>7.2759576141834259E-12</v>
      </c>
      <c r="P163" s="735"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x14ac:dyDescent="0.25">
      <c r="D164" s="736">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63">
        <f>INDEX(TablaCliente!_CapturaAbonoAnticipadoTablaCliente,__Amortizacion)</f>
        <v>0</v>
      </c>
      <c r="N164" s="86">
        <f t="shared" ca="1" si="18"/>
        <v>7.2759576141834259E-12</v>
      </c>
      <c r="P164" s="735"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x14ac:dyDescent="0.25">
      <c r="D165" s="736">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63">
        <f>INDEX(TablaCliente!_CapturaAbonoAnticipadoTablaCliente,__Amortizacion)</f>
        <v>0</v>
      </c>
      <c r="N165" s="86">
        <f t="shared" ca="1" si="18"/>
        <v>7.2759576141834259E-12</v>
      </c>
      <c r="P165" s="735"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x14ac:dyDescent="0.25">
      <c r="D166" s="736">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63">
        <f>INDEX(TablaCliente!_CapturaAbonoAnticipadoTablaCliente,__Amortizacion)</f>
        <v>0</v>
      </c>
      <c r="N166" s="86">
        <f t="shared" ca="1" si="18"/>
        <v>7.2759576141834259E-12</v>
      </c>
      <c r="P166" s="735"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x14ac:dyDescent="0.25">
      <c r="D167" s="736">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63">
        <f>INDEX(TablaCliente!_CapturaAbonoAnticipadoTablaCliente,__Amortizacion)</f>
        <v>0</v>
      </c>
      <c r="N167" s="86">
        <f t="shared" ca="1" si="18"/>
        <v>7.2759576141834259E-12</v>
      </c>
      <c r="P167" s="735"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x14ac:dyDescent="0.25">
      <c r="D168" s="736">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63">
        <f>INDEX(TablaCliente!_CapturaAbonoAnticipadoTablaCliente,__Amortizacion)</f>
        <v>0</v>
      </c>
      <c r="N168" s="86">
        <f t="shared" ca="1" si="18"/>
        <v>7.2759576141834259E-12</v>
      </c>
      <c r="P168" s="735"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x14ac:dyDescent="0.25">
      <c r="D169" s="736">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63">
        <f>INDEX(TablaCliente!_CapturaAbonoAnticipadoTablaCliente,__Amortizacion)</f>
        <v>0</v>
      </c>
      <c r="N169" s="86">
        <f t="shared" ca="1" si="18"/>
        <v>7.2759576141834259E-12</v>
      </c>
      <c r="P169" s="735"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x14ac:dyDescent="0.25">
      <c r="D170" s="736">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63">
        <f>INDEX(TablaCliente!_CapturaAbonoAnticipadoTablaCliente,__Amortizacion)</f>
        <v>0</v>
      </c>
      <c r="N170" s="86">
        <f t="shared" ca="1" si="18"/>
        <v>7.2759576141834259E-12</v>
      </c>
      <c r="P170" s="735"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x14ac:dyDescent="0.25">
      <c r="D171" s="736">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63">
        <f>INDEX(TablaCliente!_CapturaAbonoAnticipadoTablaCliente,__Amortizacion)</f>
        <v>0</v>
      </c>
      <c r="N171" s="86">
        <f t="shared" ca="1" si="18"/>
        <v>7.2759576141834259E-12</v>
      </c>
      <c r="P171" s="735"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x14ac:dyDescent="0.25">
      <c r="D172" s="736">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63">
        <f>INDEX(TablaCliente!_CapturaAbonoAnticipadoTablaCliente,__Amortizacion)</f>
        <v>0</v>
      </c>
      <c r="N172" s="86">
        <f t="shared" ca="1" si="18"/>
        <v>7.2759576141834259E-12</v>
      </c>
      <c r="P172" s="735"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x14ac:dyDescent="0.25">
      <c r="D173" s="736">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63">
        <f>INDEX(TablaCliente!_CapturaAbonoAnticipadoTablaCliente,__Amortizacion)</f>
        <v>0</v>
      </c>
      <c r="N173" s="86">
        <f t="shared" ca="1" si="18"/>
        <v>7.2759576141834259E-12</v>
      </c>
      <c r="P173" s="735"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x14ac:dyDescent="0.25">
      <c r="D174" s="736">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63">
        <f>INDEX(TablaCliente!_CapturaAbonoAnticipadoTablaCliente,__Amortizacion)</f>
        <v>0</v>
      </c>
      <c r="N174" s="86">
        <f t="shared" ca="1" si="18"/>
        <v>7.2759576141834259E-12</v>
      </c>
      <c r="P174" s="735"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x14ac:dyDescent="0.25">
      <c r="D175" s="736">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63">
        <f>INDEX(TablaCliente!_CapturaAbonoAnticipadoTablaCliente,__Amortizacion)</f>
        <v>0</v>
      </c>
      <c r="N175" s="86">
        <f t="shared" ca="1" si="18"/>
        <v>7.2759576141834259E-12</v>
      </c>
      <c r="P175" s="735"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x14ac:dyDescent="0.25">
      <c r="D176" s="736">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63">
        <f>INDEX(TablaCliente!_CapturaAbonoAnticipadoTablaCliente,__Amortizacion)</f>
        <v>0</v>
      </c>
      <c r="N176" s="86">
        <f t="shared" ca="1" si="18"/>
        <v>7.2759576141834259E-12</v>
      </c>
      <c r="P176" s="735"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x14ac:dyDescent="0.25">
      <c r="D177" s="736">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63">
        <f>INDEX(TablaCliente!_CapturaAbonoAnticipadoTablaCliente,__Amortizacion)</f>
        <v>0</v>
      </c>
      <c r="N177" s="86">
        <f t="shared" ca="1" si="18"/>
        <v>7.2759576141834259E-12</v>
      </c>
      <c r="P177" s="735"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x14ac:dyDescent="0.25">
      <c r="D178" s="736">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63">
        <f>INDEX(TablaCliente!_CapturaAbonoAnticipadoTablaCliente,__Amortizacion)</f>
        <v>0</v>
      </c>
      <c r="N178" s="86">
        <f t="shared" ca="1" si="18"/>
        <v>7.2759576141834259E-12</v>
      </c>
      <c r="P178" s="735"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x14ac:dyDescent="0.25">
      <c r="D179" s="736">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63">
        <f>INDEX(TablaCliente!_CapturaAbonoAnticipadoTablaCliente,__Amortizacion)</f>
        <v>0</v>
      </c>
      <c r="N179" s="86">
        <f t="shared" ca="1" si="18"/>
        <v>7.2759576141834259E-12</v>
      </c>
      <c r="P179" s="735"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x14ac:dyDescent="0.25">
      <c r="D180" s="736">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63">
        <f>INDEX(TablaCliente!_CapturaAbonoAnticipadoTablaCliente,__Amortizacion)</f>
        <v>0</v>
      </c>
      <c r="N180" s="86">
        <f t="shared" ca="1" si="18"/>
        <v>7.2759576141834259E-12</v>
      </c>
      <c r="P180" s="735"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x14ac:dyDescent="0.25">
      <c r="D181" s="736">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63">
        <f>INDEX(TablaCliente!_CapturaAbonoAnticipadoTablaCliente,__Amortizacion)</f>
        <v>0</v>
      </c>
      <c r="N181" s="86">
        <f t="shared" ca="1" si="18"/>
        <v>7.2759576141834259E-12</v>
      </c>
      <c r="P181" s="735"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x14ac:dyDescent="0.25">
      <c r="D182" s="736">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63">
        <f>INDEX(TablaCliente!_CapturaAbonoAnticipadoTablaCliente,__Amortizacion)</f>
        <v>0</v>
      </c>
      <c r="N182" s="86">
        <f t="shared" ca="1" si="18"/>
        <v>7.2759576141834259E-12</v>
      </c>
      <c r="P182" s="735"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x14ac:dyDescent="0.25">
      <c r="D183" s="736">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63">
        <f>INDEX(TablaCliente!_CapturaAbonoAnticipadoTablaCliente,__Amortizacion)</f>
        <v>0</v>
      </c>
      <c r="N183" s="86">
        <f t="shared" ca="1" si="18"/>
        <v>7.2759576141834259E-12</v>
      </c>
      <c r="P183" s="735"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x14ac:dyDescent="0.25">
      <c r="D184" s="736">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63">
        <f>INDEX(TablaCliente!_CapturaAbonoAnticipadoTablaCliente,__Amortizacion)</f>
        <v>0</v>
      </c>
      <c r="N184" s="86">
        <f t="shared" ca="1" si="18"/>
        <v>7.2759576141834259E-12</v>
      </c>
      <c r="P184" s="735"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x14ac:dyDescent="0.25">
      <c r="D185" s="736">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63">
        <f>INDEX(TablaCliente!_CapturaAbonoAnticipadoTablaCliente,__Amortizacion)</f>
        <v>0</v>
      </c>
      <c r="N185" s="86">
        <f t="shared" ca="1" si="18"/>
        <v>7.2759576141834259E-12</v>
      </c>
      <c r="P185" s="735"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x14ac:dyDescent="0.25">
      <c r="D186" s="736">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63">
        <f>INDEX(TablaCliente!_CapturaAbonoAnticipadoTablaCliente,__Amortizacion)</f>
        <v>0</v>
      </c>
      <c r="N186" s="86">
        <f t="shared" ca="1" si="18"/>
        <v>7.2759576141834259E-12</v>
      </c>
      <c r="P186" s="735"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x14ac:dyDescent="0.25">
      <c r="D187" s="736">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63">
        <f>INDEX(TablaCliente!_CapturaAbonoAnticipadoTablaCliente,__Amortizacion)</f>
        <v>0</v>
      </c>
      <c r="N187" s="86">
        <f t="shared" ca="1" si="18"/>
        <v>7.2759576141834259E-12</v>
      </c>
      <c r="P187" s="735"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x14ac:dyDescent="0.25">
      <c r="D188" s="736">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63">
        <f>INDEX(TablaCliente!_CapturaAbonoAnticipadoTablaCliente,__Amortizacion)</f>
        <v>0</v>
      </c>
      <c r="N188" s="86">
        <f t="shared" ca="1" si="18"/>
        <v>7.2759576141834259E-12</v>
      </c>
      <c r="P188" s="735"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x14ac:dyDescent="0.25">
      <c r="D189" s="736">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63">
        <f>INDEX(TablaCliente!_CapturaAbonoAnticipadoTablaCliente,__Amortizacion)</f>
        <v>0</v>
      </c>
      <c r="N189" s="86">
        <f t="shared" ca="1" si="18"/>
        <v>7.2759576141834259E-12</v>
      </c>
      <c r="P189" s="735"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x14ac:dyDescent="0.25">
      <c r="D190" s="736">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63">
        <f>INDEX(TablaCliente!_CapturaAbonoAnticipadoTablaCliente,__Amortizacion)</f>
        <v>0</v>
      </c>
      <c r="N190" s="86">
        <f t="shared" ca="1" si="18"/>
        <v>7.2759576141834259E-12</v>
      </c>
      <c r="P190" s="735"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x14ac:dyDescent="0.25">
      <c r="D191" s="736">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63">
        <f>INDEX(TablaCliente!_CapturaAbonoAnticipadoTablaCliente,__Amortizacion)</f>
        <v>0</v>
      </c>
      <c r="N191" s="86">
        <f t="shared" ca="1" si="18"/>
        <v>7.2759576141834259E-12</v>
      </c>
      <c r="P191" s="735"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x14ac:dyDescent="0.25">
      <c r="D192" s="736">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63">
        <f>INDEX(TablaCliente!_CapturaAbonoAnticipadoTablaCliente,__Amortizacion)</f>
        <v>0</v>
      </c>
      <c r="N192" s="86">
        <f t="shared" ca="1" si="18"/>
        <v>7.2759576141834259E-12</v>
      </c>
      <c r="P192" s="735"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x14ac:dyDescent="0.25">
      <c r="D193" s="736">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63">
        <f>INDEX(TablaCliente!_CapturaAbonoAnticipadoTablaCliente,__Amortizacion)</f>
        <v>0</v>
      </c>
      <c r="N193" s="86">
        <f t="shared" ca="1" si="18"/>
        <v>7.2759576141834259E-12</v>
      </c>
      <c r="P193" s="735"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x14ac:dyDescent="0.25">
      <c r="D194" s="736">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63">
        <f>INDEX(TablaCliente!_CapturaAbonoAnticipadoTablaCliente,__Amortizacion)</f>
        <v>0</v>
      </c>
      <c r="N194" s="86">
        <f t="shared" ca="1" si="18"/>
        <v>7.2759576141834259E-12</v>
      </c>
      <c r="P194" s="735"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x14ac:dyDescent="0.25">
      <c r="D195" s="736">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63">
        <f>INDEX(TablaCliente!_CapturaAbonoAnticipadoTablaCliente,__Amortizacion)</f>
        <v>0</v>
      </c>
      <c r="N195" s="86">
        <f t="shared" ca="1" si="18"/>
        <v>7.2759576141834259E-12</v>
      </c>
      <c r="P195" s="735"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x14ac:dyDescent="0.25">
      <c r="D196" s="736">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63">
        <f>INDEX(TablaCliente!_CapturaAbonoAnticipadoTablaCliente,__Amortizacion)</f>
        <v>0</v>
      </c>
      <c r="N196" s="86">
        <f t="shared" ca="1" si="18"/>
        <v>7.2759576141834259E-12</v>
      </c>
      <c r="P196" s="735"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x14ac:dyDescent="0.25">
      <c r="D197" s="736">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63">
        <f>INDEX(TablaCliente!_CapturaAbonoAnticipadoTablaCliente,__Amortizacion)</f>
        <v>0</v>
      </c>
      <c r="N197" s="86">
        <f t="shared" ca="1" si="18"/>
        <v>7.2759576141834259E-12</v>
      </c>
      <c r="P197" s="735"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x14ac:dyDescent="0.25">
      <c r="D198" s="736">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63">
        <f>INDEX(TablaCliente!_CapturaAbonoAnticipadoTablaCliente,__Amortizacion)</f>
        <v>0</v>
      </c>
      <c r="N198" s="86">
        <f t="shared" ca="1" si="18"/>
        <v>7.2759576141834259E-12</v>
      </c>
      <c r="P198" s="735"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x14ac:dyDescent="0.25">
      <c r="D199" s="736">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63">
        <f>INDEX(TablaCliente!_CapturaAbonoAnticipadoTablaCliente,__Amortizacion)</f>
        <v>0</v>
      </c>
      <c r="N199" s="86">
        <f t="shared" ca="1" si="18"/>
        <v>7.2759576141834259E-12</v>
      </c>
      <c r="P199" s="735"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x14ac:dyDescent="0.25">
      <c r="D200" s="736">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63">
        <f>INDEX(TablaCliente!_CapturaAbonoAnticipadoTablaCliente,__Amortizacion)</f>
        <v>0</v>
      </c>
      <c r="N200" s="86">
        <f t="shared" ca="1" si="18"/>
        <v>7.2759576141834259E-12</v>
      </c>
      <c r="P200" s="735"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x14ac:dyDescent="0.25">
      <c r="D201" s="736">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63">
        <f>INDEX(TablaCliente!_CapturaAbonoAnticipadoTablaCliente,__Amortizacion)</f>
        <v>0</v>
      </c>
      <c r="N201" s="86">
        <f t="shared" ca="1" si="18"/>
        <v>7.2759576141834259E-12</v>
      </c>
      <c r="P201" s="735"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x14ac:dyDescent="0.25">
      <c r="D202" s="736">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63">
        <f>INDEX(TablaCliente!_CapturaAbonoAnticipadoTablaCliente,__Amortizacion)</f>
        <v>0</v>
      </c>
      <c r="N202" s="86">
        <f t="shared" ca="1" si="18"/>
        <v>7.2759576141834259E-12</v>
      </c>
      <c r="P202" s="735"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x14ac:dyDescent="0.25">
      <c r="D203" s="736">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63">
        <f>INDEX(TablaCliente!_CapturaAbonoAnticipadoTablaCliente,__Amortizacion)</f>
        <v>0</v>
      </c>
      <c r="N203" s="86">
        <f t="shared" ca="1" si="18"/>
        <v>7.2759576141834259E-12</v>
      </c>
      <c r="P203" s="735"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x14ac:dyDescent="0.25">
      <c r="D204" s="736">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63">
        <f>INDEX(TablaCliente!_CapturaAbonoAnticipadoTablaCliente,__Amortizacion)</f>
        <v>0</v>
      </c>
      <c r="N204" s="86">
        <f t="shared" ca="1" si="18"/>
        <v>7.2759576141834259E-12</v>
      </c>
      <c r="P204" s="735"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x14ac:dyDescent="0.25">
      <c r="D205" s="736">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63">
        <f>INDEX(TablaCliente!_CapturaAbonoAnticipadoTablaCliente,__Amortizacion)</f>
        <v>0</v>
      </c>
      <c r="N205" s="86">
        <f t="shared" ca="1" si="18"/>
        <v>7.2759576141834259E-12</v>
      </c>
      <c r="P205" s="735"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x14ac:dyDescent="0.25">
      <c r="D206" s="736">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63">
        <f>INDEX(TablaCliente!_CapturaAbonoAnticipadoTablaCliente,__Amortizacion)</f>
        <v>0</v>
      </c>
      <c r="N206" s="86">
        <f t="shared" ca="1" si="18"/>
        <v>7.2759576141834259E-12</v>
      </c>
      <c r="P206" s="735"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x14ac:dyDescent="0.25">
      <c r="D207" s="736">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63">
        <f>INDEX(TablaCliente!_CapturaAbonoAnticipadoTablaCliente,__Amortizacion)</f>
        <v>0</v>
      </c>
      <c r="N207" s="86">
        <f t="shared" ca="1" si="18"/>
        <v>7.2759576141834259E-12</v>
      </c>
      <c r="P207" s="735"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63">
        <f>INDEX(TablaCliente!_CapturaAbonoAnticipadoTablaCliente,__Amortizacion)</f>
        <v>0</v>
      </c>
      <c r="N208" s="86">
        <f t="shared" ca="1" si="18"/>
        <v>7.2759576141834259E-12</v>
      </c>
      <c r="P208" s="735"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x14ac:dyDescent="0.25">
      <c r="D209" s="736">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63">
        <f>INDEX(TablaCliente!_CapturaAbonoAnticipadoTablaCliente,__Amortizacion)</f>
        <v>0</v>
      </c>
      <c r="N209" s="86">
        <f t="shared" ca="1" si="18"/>
        <v>7.2759576141834259E-12</v>
      </c>
      <c r="P209" s="735"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x14ac:dyDescent="0.25">
      <c r="D210" s="736">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63">
        <f>INDEX(TablaCliente!_CapturaAbonoAnticipadoTablaCliente,__Amortizacion)</f>
        <v>0</v>
      </c>
      <c r="N210" s="86">
        <f t="shared" ca="1" si="18"/>
        <v>7.2759576141834259E-12</v>
      </c>
      <c r="P210" s="735"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x14ac:dyDescent="0.25">
      <c r="D211" s="736">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63">
        <f>INDEX(TablaCliente!_CapturaAbonoAnticipadoTablaCliente,__Amortizacion)</f>
        <v>0</v>
      </c>
      <c r="N211" s="86">
        <f t="shared" ref="N211:N278" ca="1" si="25">MAX( __Saldo_Inicial-__Capital-__Abono_Anticipado, 0)</f>
        <v>7.2759576141834259E-12</v>
      </c>
      <c r="P211" s="735"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x14ac:dyDescent="0.25">
      <c r="D212" s="736">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63">
        <f>INDEX(TablaCliente!_CapturaAbonoAnticipadoTablaCliente,__Amortizacion)</f>
        <v>0</v>
      </c>
      <c r="N212" s="86">
        <f t="shared" ca="1" si="25"/>
        <v>7.2759576141834259E-12</v>
      </c>
      <c r="P212" s="735"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x14ac:dyDescent="0.25">
      <c r="D213" s="736">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63">
        <f>INDEX(TablaCliente!_CapturaAbonoAnticipadoTablaCliente,__Amortizacion)</f>
        <v>0</v>
      </c>
      <c r="N213" s="86">
        <f t="shared" ca="1" si="25"/>
        <v>7.2759576141834259E-12</v>
      </c>
      <c r="P213" s="735"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x14ac:dyDescent="0.25">
      <c r="D214" s="736">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63">
        <f>INDEX(TablaCliente!_CapturaAbonoAnticipadoTablaCliente,__Amortizacion)</f>
        <v>0</v>
      </c>
      <c r="N214" s="86">
        <f t="shared" ca="1" si="25"/>
        <v>7.2759576141834259E-12</v>
      </c>
      <c r="P214" s="735"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x14ac:dyDescent="0.25">
      <c r="D215" s="736">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63">
        <f>INDEX(TablaCliente!_CapturaAbonoAnticipadoTablaCliente,__Amortizacion)</f>
        <v>0</v>
      </c>
      <c r="N215" s="86">
        <f t="shared" ca="1" si="25"/>
        <v>7.2759576141834259E-12</v>
      </c>
      <c r="P215" s="735"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x14ac:dyDescent="0.25">
      <c r="D216" s="736">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63">
        <f>INDEX(TablaCliente!_CapturaAbonoAnticipadoTablaCliente,__Amortizacion)</f>
        <v>0</v>
      </c>
      <c r="N216" s="86">
        <f t="shared" ca="1" si="25"/>
        <v>7.2759576141834259E-12</v>
      </c>
      <c r="P216" s="735"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x14ac:dyDescent="0.25">
      <c r="D217" s="736">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63">
        <f>INDEX(TablaCliente!_CapturaAbonoAnticipadoTablaCliente,__Amortizacion)</f>
        <v>0</v>
      </c>
      <c r="N217" s="86">
        <f t="shared" ca="1" si="25"/>
        <v>7.2759576141834259E-12</v>
      </c>
      <c r="P217" s="735"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x14ac:dyDescent="0.25">
      <c r="D218" s="736">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63">
        <f>INDEX(TablaCliente!_CapturaAbonoAnticipadoTablaCliente,__Amortizacion)</f>
        <v>0</v>
      </c>
      <c r="N218" s="86">
        <f t="shared" ca="1" si="25"/>
        <v>7.2759576141834259E-12</v>
      </c>
      <c r="P218" s="735"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x14ac:dyDescent="0.25">
      <c r="D219" s="736">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63">
        <f>INDEX(TablaCliente!_CapturaAbonoAnticipadoTablaCliente,__Amortizacion)</f>
        <v>0</v>
      </c>
      <c r="N219" s="86">
        <f t="shared" ca="1" si="25"/>
        <v>7.2759576141834259E-12</v>
      </c>
      <c r="P219" s="735"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x14ac:dyDescent="0.25">
      <c r="D220" s="736">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63">
        <f>INDEX(TablaCliente!_CapturaAbonoAnticipadoTablaCliente,__Amortizacion)</f>
        <v>0</v>
      </c>
      <c r="N220" s="86">
        <f t="shared" ca="1" si="25"/>
        <v>7.2759576141834259E-12</v>
      </c>
      <c r="P220" s="735"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x14ac:dyDescent="0.25">
      <c r="D221" s="736">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63">
        <f>INDEX(TablaCliente!_CapturaAbonoAnticipadoTablaCliente,__Amortizacion)</f>
        <v>0</v>
      </c>
      <c r="N221" s="86">
        <f t="shared" ca="1" si="25"/>
        <v>7.2759576141834259E-12</v>
      </c>
      <c r="P221" s="735"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x14ac:dyDescent="0.25">
      <c r="D222" s="736">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63">
        <f>INDEX(TablaCliente!_CapturaAbonoAnticipadoTablaCliente,__Amortizacion)</f>
        <v>0</v>
      </c>
      <c r="N222" s="86">
        <f t="shared" ca="1" si="25"/>
        <v>7.2759576141834259E-12</v>
      </c>
      <c r="P222" s="735"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x14ac:dyDescent="0.25">
      <c r="D223" s="736">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63">
        <f>INDEX(TablaCliente!_CapturaAbonoAnticipadoTablaCliente,__Amortizacion)</f>
        <v>0</v>
      </c>
      <c r="N223" s="86">
        <f t="shared" ca="1" si="25"/>
        <v>7.2759576141834259E-12</v>
      </c>
      <c r="P223" s="735"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x14ac:dyDescent="0.25">
      <c r="D224" s="736">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63">
        <f>INDEX(TablaCliente!_CapturaAbonoAnticipadoTablaCliente,__Amortizacion)</f>
        <v>0</v>
      </c>
      <c r="N224" s="86">
        <f t="shared" ca="1" si="25"/>
        <v>7.2759576141834259E-12</v>
      </c>
      <c r="P224" s="735"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x14ac:dyDescent="0.25">
      <c r="D225" s="736">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63">
        <f>INDEX(TablaCliente!_CapturaAbonoAnticipadoTablaCliente,__Amortizacion)</f>
        <v>0</v>
      </c>
      <c r="N225" s="86">
        <f t="shared" ca="1" si="25"/>
        <v>7.2759576141834259E-12</v>
      </c>
      <c r="P225" s="735"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x14ac:dyDescent="0.25">
      <c r="D226" s="736">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63">
        <f>INDEX(TablaCliente!_CapturaAbonoAnticipadoTablaCliente,__Amortizacion)</f>
        <v>0</v>
      </c>
      <c r="N226" s="86">
        <f t="shared" ca="1" si="25"/>
        <v>7.2759576141834259E-12</v>
      </c>
      <c r="P226" s="735"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x14ac:dyDescent="0.25">
      <c r="D227" s="736">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63">
        <f>INDEX(TablaCliente!_CapturaAbonoAnticipadoTablaCliente,__Amortizacion)</f>
        <v>0</v>
      </c>
      <c r="N227" s="86">
        <f t="shared" ca="1" si="25"/>
        <v>7.2759576141834259E-12</v>
      </c>
      <c r="P227" s="735"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x14ac:dyDescent="0.25">
      <c r="D228" s="736">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63">
        <f>INDEX(TablaCliente!_CapturaAbonoAnticipadoTablaCliente,__Amortizacion)</f>
        <v>0</v>
      </c>
      <c r="N228" s="86">
        <f t="shared" ca="1" si="25"/>
        <v>7.2759576141834259E-12</v>
      </c>
      <c r="P228" s="735"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x14ac:dyDescent="0.25">
      <c r="D229" s="736">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63">
        <f>INDEX(TablaCliente!_CapturaAbonoAnticipadoTablaCliente,__Amortizacion)</f>
        <v>0</v>
      </c>
      <c r="N229" s="86">
        <f t="shared" ca="1" si="25"/>
        <v>7.2759576141834259E-12</v>
      </c>
      <c r="P229" s="735"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x14ac:dyDescent="0.25">
      <c r="D230" s="736">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63">
        <f>INDEX(TablaCliente!_CapturaAbonoAnticipadoTablaCliente,__Amortizacion)</f>
        <v>0</v>
      </c>
      <c r="N230" s="86">
        <f t="shared" ca="1" si="25"/>
        <v>7.2759576141834259E-12</v>
      </c>
      <c r="P230" s="735"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x14ac:dyDescent="0.25">
      <c r="D231" s="736">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63">
        <f>INDEX(TablaCliente!_CapturaAbonoAnticipadoTablaCliente,__Amortizacion)</f>
        <v>0</v>
      </c>
      <c r="N231" s="86">
        <f t="shared" ca="1" si="25"/>
        <v>7.2759576141834259E-12</v>
      </c>
      <c r="P231" s="735"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x14ac:dyDescent="0.25">
      <c r="D232" s="736">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63">
        <f>INDEX(TablaCliente!_CapturaAbonoAnticipadoTablaCliente,__Amortizacion)</f>
        <v>0</v>
      </c>
      <c r="N232" s="86">
        <f t="shared" ca="1" si="25"/>
        <v>7.2759576141834259E-12</v>
      </c>
      <c r="P232" s="735"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x14ac:dyDescent="0.25">
      <c r="D233" s="736">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63">
        <f>INDEX(TablaCliente!_CapturaAbonoAnticipadoTablaCliente,__Amortizacion)</f>
        <v>0</v>
      </c>
      <c r="N233" s="86">
        <f t="shared" ca="1" si="25"/>
        <v>7.2759576141834259E-12</v>
      </c>
      <c r="P233" s="735"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x14ac:dyDescent="0.25">
      <c r="D234" s="736">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63">
        <f>INDEX(TablaCliente!_CapturaAbonoAnticipadoTablaCliente,__Amortizacion)</f>
        <v>0</v>
      </c>
      <c r="N234" s="86">
        <f t="shared" ca="1" si="25"/>
        <v>7.2759576141834259E-12</v>
      </c>
      <c r="P234" s="735"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x14ac:dyDescent="0.25">
      <c r="D235" s="736">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63">
        <f>INDEX(TablaCliente!_CapturaAbonoAnticipadoTablaCliente,__Amortizacion)</f>
        <v>0</v>
      </c>
      <c r="N235" s="86">
        <f t="shared" ca="1" si="25"/>
        <v>7.2759576141834259E-12</v>
      </c>
      <c r="P235" s="735"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x14ac:dyDescent="0.25">
      <c r="D236" s="736">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63">
        <f>INDEX(TablaCliente!_CapturaAbonoAnticipadoTablaCliente,__Amortizacion)</f>
        <v>0</v>
      </c>
      <c r="N236" s="86">
        <f t="shared" ca="1" si="25"/>
        <v>7.2759576141834259E-12</v>
      </c>
      <c r="P236" s="735"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x14ac:dyDescent="0.25">
      <c r="D237" s="736">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63">
        <f>INDEX(TablaCliente!_CapturaAbonoAnticipadoTablaCliente,__Amortizacion)</f>
        <v>0</v>
      </c>
      <c r="N237" s="86">
        <f t="shared" ca="1" si="25"/>
        <v>7.2759576141834259E-12</v>
      </c>
      <c r="P237" s="735"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x14ac:dyDescent="0.25">
      <c r="D238" s="736">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63">
        <f>INDEX(TablaCliente!_CapturaAbonoAnticipadoTablaCliente,__Amortizacion)</f>
        <v>0</v>
      </c>
      <c r="N238" s="86">
        <f t="shared" ca="1" si="25"/>
        <v>7.2759576141834259E-12</v>
      </c>
      <c r="P238" s="735"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x14ac:dyDescent="0.25">
      <c r="D239" s="736">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63">
        <f>INDEX(TablaCliente!_CapturaAbonoAnticipadoTablaCliente,__Amortizacion)</f>
        <v>0</v>
      </c>
      <c r="N239" s="86">
        <f t="shared" ca="1" si="25"/>
        <v>7.2759576141834259E-12</v>
      </c>
      <c r="P239" s="735"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x14ac:dyDescent="0.25">
      <c r="D240" s="736">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63">
        <f>INDEX(TablaCliente!_CapturaAbonoAnticipadoTablaCliente,__Amortizacion)</f>
        <v>0</v>
      </c>
      <c r="N240" s="86">
        <f t="shared" ca="1" si="25"/>
        <v>7.2759576141834259E-12</v>
      </c>
      <c r="P240" s="735"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x14ac:dyDescent="0.25">
      <c r="D241" s="736">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63">
        <f>INDEX(TablaCliente!_CapturaAbonoAnticipadoTablaCliente,__Amortizacion)</f>
        <v>0</v>
      </c>
      <c r="N241" s="86">
        <f t="shared" ca="1" si="25"/>
        <v>7.2759576141834259E-12</v>
      </c>
      <c r="P241" s="735"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x14ac:dyDescent="0.25">
      <c r="D242" s="736">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63">
        <f>INDEX(TablaCliente!_CapturaAbonoAnticipadoTablaCliente,__Amortizacion)</f>
        <v>0</v>
      </c>
      <c r="N242" s="86">
        <f t="shared" ca="1" si="25"/>
        <v>7.2759576141834259E-12</v>
      </c>
      <c r="P242" s="735"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x14ac:dyDescent="0.25">
      <c r="D243" s="736">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63">
        <f>INDEX(TablaCliente!_CapturaAbonoAnticipadoTablaCliente,__Amortizacion)</f>
        <v>0</v>
      </c>
      <c r="N243" s="86">
        <f t="shared" ca="1" si="25"/>
        <v>7.2759576141834259E-12</v>
      </c>
      <c r="P243" s="735"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x14ac:dyDescent="0.25">
      <c r="D244" s="736">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63">
        <f>INDEX(TablaCliente!_CapturaAbonoAnticipadoTablaCliente,__Amortizacion)</f>
        <v>0</v>
      </c>
      <c r="N244" s="86">
        <f t="shared" ca="1" si="25"/>
        <v>7.2759576141834259E-12</v>
      </c>
      <c r="P244" s="735"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x14ac:dyDescent="0.25">
      <c r="D245" s="736">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63">
        <f>INDEX(TablaCliente!_CapturaAbonoAnticipadoTablaCliente,__Amortizacion)</f>
        <v>0</v>
      </c>
      <c r="N245" s="86">
        <f t="shared" ca="1" si="25"/>
        <v>7.2759576141834259E-12</v>
      </c>
      <c r="P245" s="735"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x14ac:dyDescent="0.25">
      <c r="D246" s="736">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63">
        <f>INDEX(TablaCliente!_CapturaAbonoAnticipadoTablaCliente,__Amortizacion)</f>
        <v>0</v>
      </c>
      <c r="N246" s="86">
        <f t="shared" ca="1" si="25"/>
        <v>7.2759576141834259E-12</v>
      </c>
      <c r="P246" s="735"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x14ac:dyDescent="0.25">
      <c r="D247" s="736">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63">
        <f>INDEX(TablaCliente!_CapturaAbonoAnticipadoTablaCliente,__Amortizacion)</f>
        <v>0</v>
      </c>
      <c r="N247" s="86">
        <f t="shared" ca="1" si="25"/>
        <v>7.2759576141834259E-12</v>
      </c>
      <c r="P247" s="735"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x14ac:dyDescent="0.25">
      <c r="D248" s="736">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63">
        <f>INDEX(TablaCliente!_CapturaAbonoAnticipadoTablaCliente,__Amortizacion)</f>
        <v>0</v>
      </c>
      <c r="N248" s="86">
        <f t="shared" ca="1" si="25"/>
        <v>7.2759576141834259E-12</v>
      </c>
      <c r="P248" s="735"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x14ac:dyDescent="0.25">
      <c r="D249" s="736">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63">
        <f>INDEX(TablaCliente!_CapturaAbonoAnticipadoTablaCliente,__Amortizacion)</f>
        <v>0</v>
      </c>
      <c r="N249" s="86">
        <f t="shared" ca="1" si="25"/>
        <v>7.2759576141834259E-12</v>
      </c>
      <c r="P249" s="735"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x14ac:dyDescent="0.25">
      <c r="D250" s="736">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63">
        <f>INDEX(TablaCliente!_CapturaAbonoAnticipadoTablaCliente,__Amortizacion)</f>
        <v>0</v>
      </c>
      <c r="N250" s="86">
        <f t="shared" ca="1" si="25"/>
        <v>7.2759576141834259E-12</v>
      </c>
      <c r="P250" s="735"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x14ac:dyDescent="0.25">
      <c r="D251" s="736">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63">
        <f>INDEX(TablaCliente!_CapturaAbonoAnticipadoTablaCliente,__Amortizacion)</f>
        <v>0</v>
      </c>
      <c r="N251" s="86">
        <f t="shared" ca="1" si="25"/>
        <v>7.2759576141834259E-12</v>
      </c>
      <c r="P251" s="735"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x14ac:dyDescent="0.25">
      <c r="D252" s="736">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63">
        <f>INDEX(TablaCliente!_CapturaAbonoAnticipadoTablaCliente,__Amortizacion)</f>
        <v>0</v>
      </c>
      <c r="N252" s="86">
        <f t="shared" ca="1" si="25"/>
        <v>7.2759576141834259E-12</v>
      </c>
      <c r="P252" s="735"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x14ac:dyDescent="0.25">
      <c r="D253" s="736">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63">
        <f>INDEX(TablaCliente!_CapturaAbonoAnticipadoTablaCliente,__Amortizacion)</f>
        <v>0</v>
      </c>
      <c r="N253" s="86">
        <f t="shared" ca="1" si="25"/>
        <v>7.2759576141834259E-12</v>
      </c>
      <c r="P253" s="735"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x14ac:dyDescent="0.25">
      <c r="D254" s="736">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63">
        <f>INDEX(TablaCliente!_CapturaAbonoAnticipadoTablaCliente,__Amortizacion)</f>
        <v>0</v>
      </c>
      <c r="N254" s="86">
        <f t="shared" ca="1" si="25"/>
        <v>7.2759576141834259E-12</v>
      </c>
      <c r="P254" s="735"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x14ac:dyDescent="0.25">
      <c r="D255" s="736">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63">
        <f>INDEX(TablaCliente!_CapturaAbonoAnticipadoTablaCliente,__Amortizacion)</f>
        <v>0</v>
      </c>
      <c r="N255" s="86">
        <f t="shared" ca="1" si="25"/>
        <v>7.2759576141834259E-12</v>
      </c>
      <c r="P255" s="735"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x14ac:dyDescent="0.25">
      <c r="D256" s="736">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63">
        <f>INDEX(TablaCliente!_CapturaAbonoAnticipadoTablaCliente,__Amortizacion)</f>
        <v>0</v>
      </c>
      <c r="N256" s="86">
        <f t="shared" ca="1" si="25"/>
        <v>7.2759576141834259E-12</v>
      </c>
      <c r="P256" s="735"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x14ac:dyDescent="0.25">
      <c r="D257" s="736">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63">
        <f>INDEX(TablaCliente!_CapturaAbonoAnticipadoTablaCliente,__Amortizacion)</f>
        <v>0</v>
      </c>
      <c r="N257" s="86">
        <f t="shared" ca="1" si="25"/>
        <v>7.2759576141834259E-12</v>
      </c>
      <c r="P257" s="735"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x14ac:dyDescent="0.25">
      <c r="D258" s="736">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63">
        <f>INDEX(TablaCliente!_CapturaAbonoAnticipadoTablaCliente,__Amortizacion)</f>
        <v>0</v>
      </c>
      <c r="N258" s="86">
        <f t="shared" ca="1" si="25"/>
        <v>7.2759576141834259E-12</v>
      </c>
      <c r="P258" s="735"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x14ac:dyDescent="0.25">
      <c r="D259" s="736">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63">
        <f>INDEX(TablaCliente!_CapturaAbonoAnticipadoTablaCliente,__Amortizacion)</f>
        <v>0</v>
      </c>
      <c r="N259" s="86">
        <f t="shared" ca="1" si="25"/>
        <v>7.2759576141834259E-12</v>
      </c>
      <c r="P259" s="735"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x14ac:dyDescent="0.25">
      <c r="D260" s="736">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63">
        <f>INDEX(TablaCliente!_CapturaAbonoAnticipadoTablaCliente,__Amortizacion)</f>
        <v>0</v>
      </c>
      <c r="N260" s="86">
        <f t="shared" ca="1" si="25"/>
        <v>7.2759576141834259E-12</v>
      </c>
      <c r="P260" s="735"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x14ac:dyDescent="0.25">
      <c r="D261" s="736">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63">
        <f>INDEX(TablaCliente!_CapturaAbonoAnticipadoTablaCliente,__Amortizacion)</f>
        <v>0</v>
      </c>
      <c r="N261" s="86">
        <f t="shared" ca="1" si="25"/>
        <v>7.2759576141834259E-12</v>
      </c>
      <c r="P261" s="735"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x14ac:dyDescent="0.25">
      <c r="D262" s="736">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63">
        <f>INDEX(TablaCliente!_CapturaAbonoAnticipadoTablaCliente,__Amortizacion)</f>
        <v>0</v>
      </c>
      <c r="N262" s="86">
        <f t="shared" ca="1" si="25"/>
        <v>7.2759576141834259E-12</v>
      </c>
      <c r="P262" s="735"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63">
        <f>INDEX(TablaCliente!_CapturaAbonoAnticipadoTablaCliente,__Amortizacion)</f>
        <v>0</v>
      </c>
      <c r="N263" s="86">
        <f t="shared" ca="1" si="25"/>
        <v>7.2759576141834259E-12</v>
      </c>
      <c r="P263" s="735"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x14ac:dyDescent="0.25">
      <c r="D264" s="736">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63">
        <f>INDEX(TablaCliente!_CapturaAbonoAnticipadoTablaCliente,__Amortizacion)</f>
        <v>0</v>
      </c>
      <c r="N264" s="86">
        <f t="shared" ca="1" si="25"/>
        <v>7.2759576141834259E-12</v>
      </c>
      <c r="P264" s="735"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x14ac:dyDescent="0.25">
      <c r="D265" s="736">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63">
        <f>INDEX(TablaCliente!_CapturaAbonoAnticipadoTablaCliente,__Amortizacion)</f>
        <v>0</v>
      </c>
      <c r="N265" s="86">
        <f t="shared" ca="1" si="25"/>
        <v>7.2759576141834259E-12</v>
      </c>
      <c r="P265" s="735"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x14ac:dyDescent="0.25">
      <c r="D266" s="736">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63">
        <f>INDEX(TablaCliente!_CapturaAbonoAnticipadoTablaCliente,__Amortizacion)</f>
        <v>0</v>
      </c>
      <c r="N266" s="86">
        <f t="shared" ca="1" si="25"/>
        <v>7.2759576141834259E-12</v>
      </c>
      <c r="P266" s="735"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x14ac:dyDescent="0.25">
      <c r="D267" s="736">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63">
        <f>INDEX(TablaCliente!_CapturaAbonoAnticipadoTablaCliente,__Amortizacion)</f>
        <v>0</v>
      </c>
      <c r="N267" s="86">
        <f t="shared" ca="1" si="25"/>
        <v>7.2759576141834259E-12</v>
      </c>
      <c r="P267" s="735"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x14ac:dyDescent="0.25">
      <c r="D268" s="736">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63">
        <f>INDEX(TablaCliente!_CapturaAbonoAnticipadoTablaCliente,__Amortizacion)</f>
        <v>0</v>
      </c>
      <c r="N268" s="86">
        <f t="shared" ca="1" si="25"/>
        <v>7.2759576141834259E-12</v>
      </c>
      <c r="P268" s="735"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x14ac:dyDescent="0.25">
      <c r="D269" s="736">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63">
        <f>INDEX(TablaCliente!_CapturaAbonoAnticipadoTablaCliente,__Amortizacion)</f>
        <v>0</v>
      </c>
      <c r="N269" s="86">
        <f t="shared" ca="1" si="25"/>
        <v>7.2759576141834259E-12</v>
      </c>
      <c r="P269" s="735"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x14ac:dyDescent="0.25">
      <c r="D270" s="736">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63">
        <f>INDEX(TablaCliente!_CapturaAbonoAnticipadoTablaCliente,__Amortizacion)</f>
        <v>0</v>
      </c>
      <c r="N270" s="86">
        <f t="shared" ca="1" si="25"/>
        <v>7.2759576141834259E-12</v>
      </c>
      <c r="P270" s="735"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x14ac:dyDescent="0.25">
      <c r="D271" s="736">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63">
        <f>INDEX(TablaCliente!_CapturaAbonoAnticipadoTablaCliente,__Amortizacion)</f>
        <v>0</v>
      </c>
      <c r="N271" s="86">
        <f t="shared" ca="1" si="25"/>
        <v>7.2759576141834259E-12</v>
      </c>
      <c r="P271" s="735"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x14ac:dyDescent="0.25">
      <c r="D272" s="736">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63">
        <f>INDEX(TablaCliente!_CapturaAbonoAnticipadoTablaCliente,__Amortizacion)</f>
        <v>0</v>
      </c>
      <c r="N272" s="86">
        <f t="shared" ca="1" si="25"/>
        <v>7.2759576141834259E-12</v>
      </c>
      <c r="P272" s="735"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x14ac:dyDescent="0.25">
      <c r="D273" s="736">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63">
        <f>INDEX(TablaCliente!_CapturaAbonoAnticipadoTablaCliente,__Amortizacion)</f>
        <v>0</v>
      </c>
      <c r="N273" s="86">
        <f t="shared" ca="1" si="25"/>
        <v>7.2759576141834259E-12</v>
      </c>
      <c r="P273" s="735"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x14ac:dyDescent="0.25">
      <c r="D274" s="736">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63">
        <f>INDEX(TablaCliente!_CapturaAbonoAnticipadoTablaCliente,__Amortizacion)</f>
        <v>0</v>
      </c>
      <c r="N274" s="86">
        <f t="shared" ca="1" si="25"/>
        <v>7.2759576141834259E-12</v>
      </c>
      <c r="P274" s="735"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x14ac:dyDescent="0.25">
      <c r="D275" s="736">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63">
        <f>INDEX(TablaCliente!_CapturaAbonoAnticipadoTablaCliente,__Amortizacion)</f>
        <v>0</v>
      </c>
      <c r="N275" s="86">
        <f t="shared" ca="1" si="25"/>
        <v>7.2759576141834259E-12</v>
      </c>
      <c r="P275" s="735"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x14ac:dyDescent="0.25">
      <c r="D276" s="736">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63">
        <f>INDEX(TablaCliente!_CapturaAbonoAnticipadoTablaCliente,__Amortizacion)</f>
        <v>0</v>
      </c>
      <c r="N276" s="86">
        <f t="shared" ca="1" si="25"/>
        <v>7.2759576141834259E-12</v>
      </c>
      <c r="P276" s="735"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x14ac:dyDescent="0.25">
      <c r="D277" s="736">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63">
        <f>INDEX(TablaCliente!_CapturaAbonoAnticipadoTablaCliente,__Amortizacion)</f>
        <v>0</v>
      </c>
      <c r="N277" s="86">
        <f t="shared" ca="1" si="25"/>
        <v>7.2759576141834259E-12</v>
      </c>
      <c r="P277" s="735"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x14ac:dyDescent="0.25">
      <c r="D278" s="736">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63">
        <f>INDEX(TablaCliente!_CapturaAbonoAnticipadoTablaCliente,__Amortizacion)</f>
        <v>0</v>
      </c>
      <c r="N278" s="86">
        <f t="shared" ca="1" si="25"/>
        <v>7.2759576141834259E-12</v>
      </c>
      <c r="P278" s="735"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65">
        <v>0</v>
      </c>
      <c r="W278" s="735"/>
      <c r="X278" s="86">
        <v>0</v>
      </c>
      <c r="Y278" s="86">
        <v>0</v>
      </c>
      <c r="Z278" s="86"/>
      <c r="AA278" s="86">
        <f ca="1" xml:space="preserve"> T_SeguroAnual!__Abono_Sobrante</f>
        <v>0</v>
      </c>
      <c r="AB278" s="86">
        <f t="shared" si="27"/>
        <v>0</v>
      </c>
      <c r="AD278" s="86">
        <f ca="1"/>
        <v>0</v>
      </c>
      <c r="AE278" s="86">
        <f ca="1"/>
        <v>0</v>
      </c>
    </row>
    <row r="279" spans="4:31" x14ac:dyDescent="0.25">
      <c r="M279" s="763"/>
    </row>
    <row r="280" spans="4:31" x14ac:dyDescent="0.25">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x14ac:dyDescent="0.25">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x14ac:dyDescent="0.25">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x14ac:dyDescent="0.25">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x14ac:dyDescent="0.25">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x14ac:dyDescent="0.25">
      <c r="A6" s="735"/>
      <c r="B6" s="735"/>
      <c r="J6" s="735"/>
      <c r="K6" s="735"/>
      <c r="M6" s="88"/>
      <c r="AO6" s="735"/>
      <c r="AP6" s="735"/>
      <c r="AQ6" s="735"/>
      <c r="AR6" s="735"/>
      <c r="AS6" s="735"/>
      <c r="AT6" s="735"/>
      <c r="AU6" s="735"/>
      <c r="AV6" s="735"/>
      <c r="AW6" s="735"/>
      <c r="AX6" s="735"/>
      <c r="AY6" s="735"/>
      <c r="BC6" s="735"/>
      <c r="BD6" s="735"/>
      <c r="BE6" s="735"/>
    </row>
    <row r="7" spans="1:73" hidden="1" x14ac:dyDescent="0.25">
      <c r="A7" s="735"/>
      <c r="B7" s="735"/>
      <c r="J7" s="735"/>
      <c r="K7" s="735"/>
      <c r="L7" s="94"/>
      <c r="M7" s="88"/>
      <c r="P7" s="94"/>
      <c r="AO7" s="735"/>
      <c r="AP7" s="735"/>
      <c r="AQ7" s="735"/>
      <c r="AR7" s="735"/>
      <c r="AS7" s="735"/>
      <c r="AT7" s="735"/>
      <c r="AU7" s="735"/>
      <c r="AV7" s="735"/>
      <c r="AW7" s="735"/>
      <c r="AX7" s="735"/>
      <c r="AY7" s="735"/>
      <c r="BC7" s="735"/>
      <c r="BD7" s="735"/>
      <c r="BE7" s="735"/>
    </row>
    <row r="8" spans="1:73" hidden="1" x14ac:dyDescent="0.25">
      <c r="A8" s="735"/>
      <c r="B8" s="735"/>
      <c r="J8" s="735"/>
      <c r="K8" s="735"/>
      <c r="L8" s="32"/>
      <c r="M8" s="92"/>
      <c r="P8" s="32"/>
      <c r="AO8" s="735"/>
      <c r="AP8" s="735"/>
      <c r="AQ8" s="735"/>
      <c r="AR8" s="735"/>
      <c r="AS8" s="735"/>
      <c r="AT8" s="735"/>
      <c r="AU8" s="735"/>
      <c r="AV8" s="735"/>
      <c r="AW8" s="735"/>
      <c r="AX8" s="735"/>
      <c r="AY8" s="735"/>
      <c r="BA8" s="89"/>
    </row>
    <row r="9" spans="1:73" hidden="1" x14ac:dyDescent="0.25">
      <c r="A9" s="735"/>
      <c r="B9" s="735"/>
      <c r="J9" s="735"/>
      <c r="K9" s="735"/>
      <c r="M9" s="92"/>
      <c r="AO9" s="735"/>
      <c r="AP9" s="735"/>
      <c r="AQ9" s="735"/>
      <c r="AR9" s="735"/>
      <c r="AS9" s="735"/>
      <c r="AT9" s="735"/>
      <c r="AU9" s="735"/>
      <c r="AV9" s="735"/>
      <c r="AW9" s="735"/>
      <c r="AX9" s="735"/>
      <c r="AY9" s="735"/>
      <c r="BA9" s="736"/>
      <c r="BE9" s="20"/>
      <c r="BF9" s="20"/>
    </row>
    <row r="10" spans="1:73" hidden="1" x14ac:dyDescent="0.25">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x14ac:dyDescent="0.25">
      <c r="A11" s="735"/>
      <c r="B11" s="735"/>
      <c r="F11" s="92"/>
      <c r="H11" s="497"/>
      <c r="J11" s="735"/>
      <c r="K11" s="735"/>
      <c r="M11" s="92"/>
      <c r="X11" s="97"/>
      <c r="Y11" s="97"/>
      <c r="AB11" s="497"/>
      <c r="AD11" s="282"/>
      <c r="AV11" s="777"/>
      <c r="AX11" s="777"/>
    </row>
    <row r="12" spans="1:73" hidden="1" x14ac:dyDescent="0.25">
      <c r="A12" s="735"/>
      <c r="B12" s="735"/>
      <c r="J12" s="735"/>
      <c r="K12" s="735"/>
      <c r="M12" s="92"/>
      <c r="X12" s="98"/>
      <c r="Y12" s="98"/>
    </row>
    <row r="13" spans="1:73" x14ac:dyDescent="0.25">
      <c r="A13" s="735"/>
      <c r="B13" s="735"/>
      <c r="F13" s="92"/>
      <c r="H13" s="92"/>
      <c r="J13" s="735"/>
      <c r="K13" s="735"/>
      <c r="M13" s="736"/>
      <c r="N13" s="736"/>
      <c r="O13" s="736"/>
      <c r="Q13" s="736"/>
      <c r="R13" s="735"/>
      <c r="S13" s="960" t="s">
        <v>42</v>
      </c>
      <c r="T13" s="960"/>
      <c r="U13" s="960"/>
      <c r="V13" s="960"/>
      <c r="X13" s="954" t="s">
        <v>54</v>
      </c>
      <c r="Y13" s="955"/>
      <c r="Z13" s="955"/>
      <c r="AA13" s="955"/>
      <c r="AB13" s="956"/>
      <c r="AD13" s="954" t="s">
        <v>1672</v>
      </c>
      <c r="AE13" s="956"/>
      <c r="AG13" s="960" t="s">
        <v>47</v>
      </c>
      <c r="AH13" s="960"/>
      <c r="AI13" s="960"/>
      <c r="AJ13" s="960"/>
      <c r="AK13" s="960"/>
      <c r="AL13" s="960"/>
      <c r="AM13" s="960"/>
      <c r="AN13" s="735"/>
      <c r="AO13" s="954" t="s">
        <v>1677</v>
      </c>
      <c r="AP13" s="955"/>
      <c r="AQ13" s="955"/>
      <c r="AR13" s="955"/>
      <c r="AS13" s="955"/>
      <c r="AT13" s="956"/>
      <c r="AV13" s="954" t="s">
        <v>1664</v>
      </c>
      <c r="AW13" s="955"/>
      <c r="AX13" s="955"/>
      <c r="AY13" s="956"/>
      <c r="AZ13" s="736"/>
      <c r="BA13" s="736"/>
      <c r="BL13" s="736"/>
      <c r="BM13" s="736"/>
      <c r="BN13" s="736"/>
      <c r="BO13" s="736"/>
      <c r="BP13" s="736"/>
      <c r="BS13" s="736"/>
      <c r="BT13" s="736"/>
      <c r="BU13" s="736"/>
    </row>
    <row r="14" spans="1:73" s="497" customFormat="1" x14ac:dyDescent="0.25">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x14ac:dyDescent="0.2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x14ac:dyDescent="0.25">
      <c r="A16" s="91" t="s">
        <v>26</v>
      </c>
      <c r="B16" s="744">
        <f ca="1">'Configuración de Tablas'!B8</f>
        <v>141000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x14ac:dyDescent="0.25">
      <c r="A17" s="242" t="s">
        <v>27</v>
      </c>
      <c r="B17" s="743">
        <f>'Configuración de Tablas'!B9</f>
        <v>30</v>
      </c>
      <c r="D17" s="737" t="s">
        <v>1661</v>
      </c>
      <c r="G17" s="736"/>
      <c r="H17" s="736"/>
      <c r="I17" s="292">
        <f ca="1">SUM(__Capital)</f>
        <v>141000.00000000003</v>
      </c>
      <c r="J17" s="292"/>
      <c r="K17" s="292"/>
      <c r="L17" s="292"/>
      <c r="M17" s="292">
        <f ca="1">SUM(__Interes)</f>
        <v>10017.951180951515</v>
      </c>
      <c r="N17" s="292">
        <f ca="1">SUM(__Iva)</f>
        <v>1202.1541417141814</v>
      </c>
      <c r="P17" s="292">
        <f ca="1">SUM(__Abono_Anticipado)</f>
        <v>0</v>
      </c>
      <c r="Q17" s="736"/>
      <c r="R17" s="735"/>
      <c r="S17" s="99"/>
      <c r="T17" s="292">
        <f ca="1">SUM(__Abono_Sobrante) - (SUM(__Abono_Sobrante_Ciclo_Anterior)*_Renueva.Abono.Sobrante?)</f>
        <v>0</v>
      </c>
      <c r="U17" s="292"/>
      <c r="V17" s="99"/>
      <c r="Y17" s="735"/>
      <c r="AL17" s="292">
        <f ca="1">SUM(__Capital_Original)</f>
        <v>141000.00000000003</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x14ac:dyDescent="0.25">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x14ac:dyDescent="0.25">
      <c r="A19" s="242" t="s">
        <v>1678</v>
      </c>
      <c r="B19" s="743">
        <f ca="1">'Configuración de Tablas'!B11</f>
        <v>12</v>
      </c>
      <c r="D19" s="736">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60">
        <f ca="1">MAX( __Capital_Elegida _Actual, __Stopper_Capital _Actual)</f>
        <v>10992.08444355547</v>
      </c>
      <c r="J19" s="764">
        <f t="shared" ref="J19:J82" ca="1" si="1">__Saldo_Inicial * _Tasa.Diaria</f>
        <v>50.524999999999999</v>
      </c>
      <c r="K19" s="764">
        <f t="shared" ref="K19:K82" ca="1" si="2" xml:space="preserve"> __Interes_Diario * i.Dias.Por.Periodo</f>
        <v>1515.75</v>
      </c>
      <c r="L19" s="760">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12633.13644355547</v>
      </c>
      <c r="P19" s="763">
        <f ca="1">T_Merger!__Salida_Abono_1</f>
        <v>0</v>
      </c>
      <c r="Q19" s="20">
        <f t="shared" ref="Q19:Q82" ca="1" si="6">MAX( __Saldo_Inicial - __Capital-__Abono_Anticipado,0)</f>
        <v>130007.91555644452</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61">
        <f ca="1">MAX( ((( __Pago_Fijo - (__Interes_Regular_Original * (1 + i.Iva.Intereses)) ))), __Stopper_Capital_Original _Actual )</f>
        <v>10992.08444355547</v>
      </c>
      <c r="AM19" s="86">
        <f ca="1">MAX(__Saldo_Inicial_Original _Actual - __Capital_Original _Actual, 0)</f>
        <v>130007.91555644452</v>
      </c>
      <c r="AN19" s="735"/>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61">
        <f t="shared" ref="AS19:AS82" ca="1" si="21">__Pago_Proyectado - ( __Interes_Periodo_Regular * ( 1 + i.Iva.Intereses ) )</f>
        <v>10992.08444355547</v>
      </c>
      <c r="AT19" s="761">
        <f t="shared" ref="AT19:AT82" ca="1" si="22">__Pago_Fijo - ( __Interes_Periodo_Regular * ( 1 + i.Iva.Intereses ) )</f>
        <v>10992.08444355547</v>
      </c>
      <c r="AU19" s="96"/>
      <c r="AV19" s="20">
        <f t="shared" ref="AV19:AV82" ca="1" si="23">__Interes_Diario_Original</f>
        <v>50.524999999999999</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x14ac:dyDescent="0.25">
      <c r="A20" s="242" t="s">
        <v>1679</v>
      </c>
      <c r="B20" s="750">
        <f ca="1">'Configuración de Tablas'!B12</f>
        <v>0.12</v>
      </c>
      <c r="D20" s="736">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60">
        <f ca="1">MAX( __Capital_Elegida _Actual, __Stopper_Capital _Actual)</f>
        <v>11124.429140255877</v>
      </c>
      <c r="J20" s="764">
        <f t="shared" ca="1" si="1"/>
        <v>46.586169741059287</v>
      </c>
      <c r="K20" s="764">
        <f t="shared" ca="1" si="2"/>
        <v>1397.5850922317786</v>
      </c>
      <c r="L20" s="760">
        <f>Fechas!_Dias_Interes_Pago</f>
        <v>30</v>
      </c>
      <c r="M20" s="20">
        <f t="shared" ca="1" si="3"/>
        <v>1397.5850922317786</v>
      </c>
      <c r="N20" s="20">
        <f t="shared" ca="1" si="4"/>
        <v>167.71021106781342</v>
      </c>
      <c r="O20" s="20">
        <f t="shared" ca="1" si="5"/>
        <v>12689.724443555469</v>
      </c>
      <c r="P20" s="763">
        <f ca="1">T_Merger!__Salida_Abono_1</f>
        <v>0</v>
      </c>
      <c r="Q20" s="20">
        <f t="shared" ca="1" si="6"/>
        <v>118883.48641618865</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61">
        <f ca="1">MAX( ((( __Pago_Fijo - (__Interes_Regular_Original * (1 + i.Iva.Intereses)) ))), __Stopper_Capital_Original _Actual )</f>
        <v>11124.429140255877</v>
      </c>
      <c r="AM20" s="86">
        <f ca="1">MAX(__Saldo_Inicial_Original _Actual - __Capital_Original _Actual, 0)</f>
        <v>118883.48641618865</v>
      </c>
      <c r="AN20" s="735"/>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61">
        <f t="shared" ca="1" si="21"/>
        <v>11124.429140255877</v>
      </c>
      <c r="AT20" s="761">
        <f t="shared" ca="1" si="22"/>
        <v>11124.429140255877</v>
      </c>
      <c r="AV20" s="20">
        <f t="shared" ca="1" si="23"/>
        <v>46.586169741059287</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x14ac:dyDescent="0.25">
      <c r="A21" s="242" t="s">
        <v>1665</v>
      </c>
      <c r="B21" s="750">
        <f ca="1">'Configuración de Tablas'!B13</f>
        <v>0.129</v>
      </c>
      <c r="D21" s="736">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60">
        <f ca="1">MAX( __Capital_Elegida _Actual, __Stopper_Capital _Actual)</f>
        <v>11258.367267104559</v>
      </c>
      <c r="J21" s="764">
        <f t="shared" ca="1" si="1"/>
        <v>42.599915965800932</v>
      </c>
      <c r="K21" s="764">
        <f t="shared" ca="1" si="2"/>
        <v>1277.9974789740279</v>
      </c>
      <c r="L21" s="760">
        <f>Fechas!_Dias_Interes_Pago</f>
        <v>30</v>
      </c>
      <c r="M21" s="20">
        <f t="shared" ca="1" si="3"/>
        <v>1277.9974789740279</v>
      </c>
      <c r="N21" s="20">
        <f t="shared" ca="1" si="4"/>
        <v>153.35969747688335</v>
      </c>
      <c r="O21" s="20">
        <f t="shared" ca="1" si="5"/>
        <v>12689.724443555469</v>
      </c>
      <c r="P21" s="763">
        <f ca="1">T_Merger!__Salida_Abono_1</f>
        <v>0</v>
      </c>
      <c r="Q21" s="20">
        <f t="shared" ca="1" si="6"/>
        <v>107625.11914908409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61">
        <f ca="1">MAX( ((( __Pago_Fijo - (__Interes_Regular_Original * (1 + i.Iva.Intereses)) ))), __Stopper_Capital_Original _Actual )</f>
        <v>11258.367267104559</v>
      </c>
      <c r="AM21" s="86">
        <f ca="1">MAX(__Saldo_Inicial_Original _Actual - __Capital_Original _Actual, 0)</f>
        <v>107625.11914908409</v>
      </c>
      <c r="AN21" s="735"/>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61">
        <f t="shared" ca="1" si="21"/>
        <v>11258.367267104559</v>
      </c>
      <c r="AT21" s="761">
        <f t="shared" ca="1" si="22"/>
        <v>11258.367267104559</v>
      </c>
      <c r="AV21" s="20">
        <f t="shared" ca="1" si="23"/>
        <v>42.599915965800932</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x14ac:dyDescent="0.25">
      <c r="A22" s="242" t="s">
        <v>21</v>
      </c>
      <c r="B22" s="744">
        <f>'Configuración de Tablas'!B14</f>
        <v>360</v>
      </c>
      <c r="D22" s="736">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60">
        <f ca="1">MAX( __Capital_Elegida _Actual, __Stopper_Capital _Actual)</f>
        <v>11393.918009000497</v>
      </c>
      <c r="J22" s="764">
        <f t="shared" ca="1" si="1"/>
        <v>38.565667695088464</v>
      </c>
      <c r="K22" s="764">
        <f t="shared" ca="1" si="2"/>
        <v>1156.970030852654</v>
      </c>
      <c r="L22" s="760">
        <f>Fechas!_Dias_Interes_Pago</f>
        <v>30</v>
      </c>
      <c r="M22" s="20">
        <f t="shared" ca="1" si="3"/>
        <v>1156.970030852654</v>
      </c>
      <c r="N22" s="20">
        <f t="shared" ca="1" si="4"/>
        <v>138.83640370231848</v>
      </c>
      <c r="O22" s="20">
        <f t="shared" ca="1" si="5"/>
        <v>12689.724443555469</v>
      </c>
      <c r="P22" s="763">
        <f ca="1">T_Merger!__Salida_Abono_1</f>
        <v>0</v>
      </c>
      <c r="Q22" s="20">
        <f t="shared" ca="1" si="6"/>
        <v>96231.201140083591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61">
        <f ca="1">MAX( ((( __Pago_Fijo - (__Interes_Regular_Original * (1 + i.Iva.Intereses)) ))), __Stopper_Capital_Original _Actual )</f>
        <v>11393.918009000497</v>
      </c>
      <c r="AM22" s="86">
        <f ca="1">MAX(__Saldo_Inicial_Original _Actual - __Capital_Original _Actual, 0)</f>
        <v>96231.201140083591</v>
      </c>
      <c r="AN22" s="735"/>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61">
        <f t="shared" ca="1" si="21"/>
        <v>11393.918009000497</v>
      </c>
      <c r="AT22" s="761">
        <f t="shared" ca="1" si="22"/>
        <v>11393.918009000497</v>
      </c>
      <c r="AV22" s="20">
        <f t="shared" ca="1" si="23"/>
        <v>38.565667695088464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x14ac:dyDescent="0.25">
      <c r="A23" s="91" t="s">
        <v>49</v>
      </c>
      <c r="B23" s="751" t="str">
        <f>'Configuración de Tablas'!B15</f>
        <v>Fechas!_Dias_Interes_Pago</v>
      </c>
      <c r="D23" s="736">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60">
        <f ca="1">MAX( __Capital_Elegida _Actual, __Stopper_Capital _Actual)</f>
        <v>11531.100781828864</v>
      </c>
      <c r="J23" s="764">
        <f t="shared" ca="1" si="1"/>
        <v>34.482847075196624</v>
      </c>
      <c r="K23" s="764">
        <f t="shared" ca="1" si="2"/>
        <v>1034.4854122558986</v>
      </c>
      <c r="L23" s="760">
        <f>Fechas!_Dias_Interes_Pago</f>
        <v>30</v>
      </c>
      <c r="M23" s="20">
        <f t="shared" ca="1" si="3"/>
        <v>1034.4854122558986</v>
      </c>
      <c r="N23" s="20">
        <f t="shared" ca="1" si="4"/>
        <v>124.13824947070783</v>
      </c>
      <c r="O23" s="20">
        <f t="shared" ca="1" si="5"/>
        <v>12689.724443555471</v>
      </c>
      <c r="P23" s="763">
        <f ca="1">T_Merger!__Salida_Abono_1</f>
        <v>0</v>
      </c>
      <c r="Q23" s="20">
        <f t="shared" ca="1" si="6"/>
        <v>84700.100358254727</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61">
        <f ca="1">MAX( ((( __Pago_Fijo - (__Interes_Regular_Original * (1 + i.Iva.Intereses)) ))), __Stopper_Capital_Original _Actual )</f>
        <v>11531.100781828864</v>
      </c>
      <c r="AM23" s="86">
        <f ca="1">MAX(__Saldo_Inicial_Original _Actual - __Capital_Original _Actual, 0)</f>
        <v>84700.100358254727</v>
      </c>
      <c r="AN23" s="735"/>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61">
        <f t="shared" ca="1" si="21"/>
        <v>11531.100781828864</v>
      </c>
      <c r="AT23" s="761">
        <f t="shared" ca="1" si="22"/>
        <v>11531.100781828864</v>
      </c>
      <c r="AV23" s="20">
        <f t="shared" ca="1" si="23"/>
        <v>34.482847075196624</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x14ac:dyDescent="0.25">
      <c r="A24" s="91" t="s">
        <v>50</v>
      </c>
      <c r="B24" s="752" t="b">
        <f>'Configuración de Tablas'!B16</f>
        <v>0</v>
      </c>
      <c r="D24" s="736">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60">
        <f ca="1">MAX( __Capital_Elegida _Actual, __Stopper_Capital _Actual)</f>
        <v>11669.935235242083</v>
      </c>
      <c r="J24" s="764">
        <f t="shared" ca="1" si="1"/>
        <v>30.350869295041278</v>
      </c>
      <c r="K24" s="764">
        <f t="shared" ca="1" si="2"/>
        <v>910.52607885123837</v>
      </c>
      <c r="L24" s="760">
        <f>Fechas!_Dias_Interes_Pago</f>
        <v>30</v>
      </c>
      <c r="M24" s="20">
        <f t="shared" ca="1" si="3"/>
        <v>910.52607885123837</v>
      </c>
      <c r="N24" s="20">
        <f t="shared" ca="1" si="4"/>
        <v>109.2631294621486</v>
      </c>
      <c r="O24" s="20">
        <f t="shared" ca="1" si="5"/>
        <v>12689.724443555469</v>
      </c>
      <c r="P24" s="763">
        <f ca="1">T_Merger!__Salida_Abono_1</f>
        <v>0</v>
      </c>
      <c r="Q24" s="20">
        <f t="shared" ca="1" si="6"/>
        <v>73030.165123012644</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61">
        <f ca="1">MAX( ((( __Pago_Fijo - (__Interes_Regular_Original * (1 + i.Iva.Intereses)) ))), __Stopper_Capital_Original _Actual )</f>
        <v>11669.935235242083</v>
      </c>
      <c r="AM24" s="86">
        <f ca="1">MAX(__Saldo_Inicial_Original _Actual - __Capital_Original _Actual, 0)</f>
        <v>73030.165123012644</v>
      </c>
      <c r="AN24" s="735"/>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61">
        <f t="shared" ca="1" si="21"/>
        <v>11669.935235242083</v>
      </c>
      <c r="AT24" s="761">
        <f t="shared" ca="1" si="22"/>
        <v>11669.935235242083</v>
      </c>
      <c r="AV24" s="20">
        <f t="shared" ca="1" si="23"/>
        <v>30.350869295041278</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x14ac:dyDescent="0.25">
      <c r="A25" s="91" t="s">
        <v>106</v>
      </c>
      <c r="B25" s="744">
        <f ca="1">'Configuración de Tablas'!B17</f>
        <v>181.62846000000002</v>
      </c>
      <c r="D25" s="736">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60">
        <f ca="1">MAX( __Capital_Elegida _Actual, __Stopper_Capital _Actual)</f>
        <v>11810.441255474398</v>
      </c>
      <c r="J25" s="764">
        <f t="shared" ca="1" si="1"/>
        <v>26.169142502412864</v>
      </c>
      <c r="K25" s="764">
        <f t="shared" ca="1" si="2"/>
        <v>785.07427507238594</v>
      </c>
      <c r="L25" s="760">
        <f>Fechas!_Dias_Interes_Pago</f>
        <v>30</v>
      </c>
      <c r="M25" s="20">
        <f t="shared" ca="1" si="3"/>
        <v>785.07427507238594</v>
      </c>
      <c r="N25" s="20">
        <f t="shared" ca="1" si="4"/>
        <v>94.208913008686309</v>
      </c>
      <c r="O25" s="20">
        <f t="shared" ca="1" si="5"/>
        <v>12689.724443555469</v>
      </c>
      <c r="P25" s="763">
        <f ca="1">T_Merger!__Salida_Abono_1</f>
        <v>0</v>
      </c>
      <c r="Q25" s="20">
        <f t="shared" ca="1" si="6"/>
        <v>61219.723867538247</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61">
        <f ca="1">MAX( ((( __Pago_Fijo - (__Interes_Regular_Original * (1 + i.Iva.Intereses)) ))), __Stopper_Capital_Original _Actual )</f>
        <v>11810.441255474398</v>
      </c>
      <c r="AM25" s="86">
        <f ca="1">MAX(__Saldo_Inicial_Original _Actual - __Capital_Original _Actual, 0)</f>
        <v>61219.723867538247</v>
      </c>
      <c r="AN25" s="735"/>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61">
        <f t="shared" ca="1" si="21"/>
        <v>11810.441255474398</v>
      </c>
      <c r="AT25" s="761">
        <f t="shared" ca="1" si="22"/>
        <v>11810.441255474398</v>
      </c>
      <c r="AV25" s="20">
        <f t="shared" ca="1" si="23"/>
        <v>26.169142502412864</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x14ac:dyDescent="0.25">
      <c r="A26" s="242" t="s">
        <v>1675</v>
      </c>
      <c r="B26" s="744">
        <f ca="1">'Configuración de Tablas'!B18</f>
        <v>2</v>
      </c>
      <c r="D26" s="736">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60">
        <f ca="1">MAX( __Capital_Elegida _Actual, __Stopper_Capital _Actual)</f>
        <v>11952.638968190309</v>
      </c>
      <c r="J26" s="764">
        <f t="shared" ca="1" si="1"/>
        <v>21.937067719201206</v>
      </c>
      <c r="K26" s="764">
        <f t="shared" ca="1" si="2"/>
        <v>658.1120315760362</v>
      </c>
      <c r="L26" s="760">
        <f>Fechas!_Dias_Interes_Pago</f>
        <v>30</v>
      </c>
      <c r="M26" s="20">
        <f t="shared" ca="1" si="3"/>
        <v>658.1120315760362</v>
      </c>
      <c r="N26" s="20">
        <f t="shared" ca="1" si="4"/>
        <v>78.973443789124346</v>
      </c>
      <c r="O26" s="20">
        <f t="shared" ca="1" si="5"/>
        <v>12689.724443555469</v>
      </c>
      <c r="P26" s="763">
        <f ca="1">T_Merger!__Salida_Abono_1</f>
        <v>0</v>
      </c>
      <c r="Q26" s="20">
        <f t="shared" ca="1" si="6"/>
        <v>49267.084899347938</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61">
        <f ca="1">MAX( ((( __Pago_Fijo - (__Interes_Regular_Original * (1 + i.Iva.Intereses)) ))), __Stopper_Capital_Original _Actual )</f>
        <v>11952.638968190309</v>
      </c>
      <c r="AM26" s="86">
        <f ca="1">MAX(__Saldo_Inicial_Original _Actual - __Capital_Original _Actual, 0)</f>
        <v>49267.084899347938</v>
      </c>
      <c r="AN26" s="735"/>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61">
        <f t="shared" ca="1" si="21"/>
        <v>11952.638968190309</v>
      </c>
      <c r="AT26" s="761">
        <f t="shared" ca="1" si="22"/>
        <v>11952.638968190309</v>
      </c>
      <c r="AV26" s="20">
        <f t="shared" ca="1" si="23"/>
        <v>21.937067719201206</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x14ac:dyDescent="0.25">
      <c r="A27" s="91" t="s">
        <v>109</v>
      </c>
      <c r="B27" s="778" t="str">
        <f>'Configuración de Tablas'!B19</f>
        <v>T_Merger!__Salida_Abono_1</v>
      </c>
      <c r="D27" s="736">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60">
        <f ca="1">MAX( __Capital_Elegida _Actual, __Stopper_Capital _Actual)</f>
        <v>12096.54874136732</v>
      </c>
      <c r="J27" s="764">
        <f t="shared" ca="1" si="1"/>
        <v>17.654038755599679</v>
      </c>
      <c r="K27" s="764">
        <f t="shared" ca="1" si="2"/>
        <v>529.62116266799035</v>
      </c>
      <c r="L27" s="760">
        <f>Fechas!_Dias_Interes_Pago</f>
        <v>30</v>
      </c>
      <c r="M27" s="20">
        <f t="shared" ca="1" si="3"/>
        <v>529.62116266799035</v>
      </c>
      <c r="N27" s="20">
        <f t="shared" ca="1" si="4"/>
        <v>63.554539520158841</v>
      </c>
      <c r="O27" s="20">
        <f t="shared" ca="1" si="5"/>
        <v>12689.724443555469</v>
      </c>
      <c r="P27" s="763">
        <f ca="1">T_Merger!__Salida_Abono_1</f>
        <v>0</v>
      </c>
      <c r="Q27" s="20">
        <f t="shared" ca="1" si="6"/>
        <v>37170.536157980619</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61">
        <f ca="1">MAX( ((( __Pago_Fijo - (__Interes_Regular_Original * (1 + i.Iva.Intereses)) ))), __Stopper_Capital_Original _Actual )</f>
        <v>12096.54874136732</v>
      </c>
      <c r="AM27" s="86">
        <f ca="1">MAX(__Saldo_Inicial_Original _Actual - __Capital_Original _Actual, 0)</f>
        <v>37170.536157980619</v>
      </c>
      <c r="AN27" s="735"/>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61">
        <f t="shared" ca="1" si="21"/>
        <v>12096.54874136732</v>
      </c>
      <c r="AT27" s="761">
        <f t="shared" ca="1" si="22"/>
        <v>12096.54874136732</v>
      </c>
      <c r="AV27" s="20">
        <f t="shared" ca="1" si="23"/>
        <v>17.654038755599679</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x14ac:dyDescent="0.25">
      <c r="A28" s="91" t="s">
        <v>108</v>
      </c>
      <c r="B28" s="752" t="str">
        <f>'Configuración de Tablas'!B20</f>
        <v>-</v>
      </c>
      <c r="D28" s="736">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60">
        <f ca="1">MAX( __Capital_Elegida _Actual, __Stopper_Capital _Actual)</f>
        <v>12242.191188213383</v>
      </c>
      <c r="J28" s="764">
        <f t="shared" ca="1" si="1"/>
        <v>13.319442123276389</v>
      </c>
      <c r="K28" s="764">
        <f t="shared" ca="1" si="2"/>
        <v>399.58326369829166</v>
      </c>
      <c r="L28" s="760">
        <f>Fechas!_Dias_Interes_Pago</f>
        <v>30</v>
      </c>
      <c r="M28" s="20">
        <f t="shared" ca="1" si="3"/>
        <v>399.58326369829166</v>
      </c>
      <c r="N28" s="20">
        <f t="shared" ca="1" si="4"/>
        <v>47.949991643794995</v>
      </c>
      <c r="O28" s="20">
        <f t="shared" ca="1" si="5"/>
        <v>12689.724443555469</v>
      </c>
      <c r="P28" s="763">
        <f ca="1">T_Merger!__Salida_Abono_1</f>
        <v>0</v>
      </c>
      <c r="Q28" s="20">
        <f t="shared" ca="1" si="6"/>
        <v>24928.344969767237</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61">
        <f ca="1">MAX( ((( __Pago_Fijo - (__Interes_Regular_Original * (1 + i.Iva.Intereses)) ))), __Stopper_Capital_Original _Actual )</f>
        <v>12242.191188213383</v>
      </c>
      <c r="AM28" s="86">
        <f ca="1">MAX(__Saldo_Inicial_Original _Actual - __Capital_Original _Actual, 0)</f>
        <v>24928.344969767237</v>
      </c>
      <c r="AN28" s="735"/>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61">
        <f t="shared" ca="1" si="21"/>
        <v>12242.191188213383</v>
      </c>
      <c r="AT28" s="761">
        <f t="shared" ca="1" si="22"/>
        <v>12242.191188213383</v>
      </c>
      <c r="AV28" s="20">
        <f t="shared" ca="1" si="23"/>
        <v>13.319442123276389</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x14ac:dyDescent="0.25">
      <c r="D29" s="736">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60">
        <f ca="1">MAX( __Capital_Elegida _Actual, __Stopper_Capital _Actual)</f>
        <v>12389.587170119472</v>
      </c>
      <c r="J29" s="764">
        <f t="shared" ca="1" si="1"/>
        <v>8.9326569474999271</v>
      </c>
      <c r="K29" s="764">
        <f t="shared" ca="1" si="2"/>
        <v>267.9797084249978</v>
      </c>
      <c r="L29" s="760">
        <f>Fechas!_Dias_Interes_Pago</f>
        <v>30</v>
      </c>
      <c r="M29" s="20">
        <f t="shared" ca="1" si="3"/>
        <v>267.9797084249978</v>
      </c>
      <c r="N29" s="20">
        <f t="shared" ca="1" si="4"/>
        <v>32.157565010999733</v>
      </c>
      <c r="O29" s="20">
        <f t="shared" ca="1" si="5"/>
        <v>12689.724443555469</v>
      </c>
      <c r="P29" s="763">
        <f ca="1">T_Merger!__Salida_Abono_1</f>
        <v>0</v>
      </c>
      <c r="Q29" s="20">
        <f t="shared" ca="1" si="6"/>
        <v>12538.757799647765</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61">
        <f ca="1">MAX( ((( __Pago_Fijo - (__Interes_Regular_Original * (1 + i.Iva.Intereses)) ))), __Stopper_Capital_Original _Actual )</f>
        <v>12389.587170119472</v>
      </c>
      <c r="AM29" s="86">
        <f ca="1">MAX(__Saldo_Inicial_Original _Actual - __Capital_Original _Actual, 0)</f>
        <v>12538.757799647765</v>
      </c>
      <c r="AN29" s="735"/>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61">
        <f t="shared" ca="1" si="21"/>
        <v>12389.587170119472</v>
      </c>
      <c r="AT29" s="761">
        <f t="shared" ca="1" si="22"/>
        <v>12389.587170119472</v>
      </c>
      <c r="AV29" s="20">
        <f t="shared" ca="1" si="23"/>
        <v>8.9326569474999271</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x14ac:dyDescent="0.25">
      <c r="A30" s="286" t="s">
        <v>440</v>
      </c>
      <c r="B30" s="278"/>
      <c r="D30" s="736">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60">
        <f ca="1">MAX( __Capital_Elegida _Actual, __Stopper_Capital _Actual)</f>
        <v>12538.757799647765</v>
      </c>
      <c r="J30" s="764">
        <f t="shared" ca="1" si="1"/>
        <v>4.4930548782071158</v>
      </c>
      <c r="K30" s="764">
        <f t="shared" ca="1" si="2"/>
        <v>134.79164634621347</v>
      </c>
      <c r="L30" s="760">
        <f>Fechas!_Dias_Interes_Pago</f>
        <v>30</v>
      </c>
      <c r="M30" s="20">
        <f t="shared" ca="1" si="3"/>
        <v>134.79164634621347</v>
      </c>
      <c r="N30" s="20">
        <f t="shared" ca="1" si="4"/>
        <v>16.174997561545617</v>
      </c>
      <c r="O30" s="20">
        <f t="shared" ca="1" si="5"/>
        <v>12689.724443555524</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61">
        <f ca="1">MAX( ((( __Pago_Fijo - (__Interes_Regular_Original * (1 + i.Iva.Intereses)) ))), __Stopper_Capital_Original _Actual )</f>
        <v>12538.757799647765</v>
      </c>
      <c r="AM30" s="86">
        <f ca="1">MAX(__Saldo_Inicial_Original _Actual - __Capital_Original _Actual, 0)</f>
        <v>0</v>
      </c>
      <c r="AN30" s="735"/>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61">
        <f t="shared" ca="1" si="21"/>
        <v>12538.75779964771</v>
      </c>
      <c r="AT30" s="761">
        <f t="shared" ca="1" si="22"/>
        <v>12538.75779964771</v>
      </c>
      <c r="AV30" s="20">
        <f t="shared" ca="1" si="23"/>
        <v>4.4930548782071158</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x14ac:dyDescent="0.25">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x14ac:dyDescent="0.25">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x14ac:dyDescent="0.25">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x14ac:dyDescent="0.25">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x14ac:dyDescent="0.25">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x14ac:dyDescent="0.25">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x14ac:dyDescent="0.25">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x14ac:dyDescent="0.25">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x14ac:dyDescent="0.25">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x14ac:dyDescent="0.25">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x14ac:dyDescent="0.25">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x14ac:dyDescent="0.25">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x14ac:dyDescent="0.25">
      <c r="A43" s="91" t="s">
        <v>67</v>
      </c>
      <c r="B43" s="20">
        <f ca="1">-PPMT(_Tasa.Por.Periodo*(1+i.Iva.Intereses),1,_Periodos.Por.Ciclo,i.Monto.Financiar)</f>
        <v>10992.08444355547</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x14ac:dyDescent="0.25">
      <c r="A44" s="91" t="s">
        <v>69</v>
      </c>
      <c r="B44" s="20">
        <f ca="1">-IPMT(_Tasa.Diaria.Por.Periodo*(1+i.Iva.Intereses),1,_Periodos.Por.Ciclo,i.Monto.Financiar)</f>
        <v>1697.64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x14ac:dyDescent="0.25">
      <c r="A45" s="88" t="s">
        <v>71</v>
      </c>
      <c r="B45" s="20">
        <f ca="1">SUM(_Componentes.Pago.Fijo)</f>
        <v>12689.724443555469</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x14ac:dyDescent="0.25">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x14ac:dyDescent="0.25">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x14ac:dyDescent="0.25">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x14ac:dyDescent="0.25">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x14ac:dyDescent="0.25">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x14ac:dyDescent="0.25">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x14ac:dyDescent="0.25">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x14ac:dyDescent="0.25">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x14ac:dyDescent="0.25">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x14ac:dyDescent="0.25">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x14ac:dyDescent="0.25">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x14ac:dyDescent="0.25">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x14ac:dyDescent="0.25">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x14ac:dyDescent="0.25">
      <c r="A59" s="736" t="s">
        <v>5363</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x14ac:dyDescent="0.25">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x14ac:dyDescent="0.25">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x14ac:dyDescent="0.25">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x14ac:dyDescent="0.25">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x14ac:dyDescent="0.25">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x14ac:dyDescent="0.25">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x14ac:dyDescent="0.25">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x14ac:dyDescent="0.25">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x14ac:dyDescent="0.25">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x14ac:dyDescent="0.25">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x14ac:dyDescent="0.25">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x14ac:dyDescent="0.25">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x14ac:dyDescent="0.25">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x14ac:dyDescent="0.25">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x14ac:dyDescent="0.25">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x14ac:dyDescent="0.25">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x14ac:dyDescent="0.25">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x14ac:dyDescent="0.25">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x14ac:dyDescent="0.25">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x14ac:dyDescent="0.25">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x14ac:dyDescent="0.25">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x14ac:dyDescent="0.25">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x14ac:dyDescent="0.25">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x14ac:dyDescent="0.25">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x14ac:dyDescent="0.25">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x14ac:dyDescent="0.25">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x14ac:dyDescent="0.25">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x14ac:dyDescent="0.25">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x14ac:dyDescent="0.25">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x14ac:dyDescent="0.25">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x14ac:dyDescent="0.25">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x14ac:dyDescent="0.25">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x14ac:dyDescent="0.25">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x14ac:dyDescent="0.25">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x14ac:dyDescent="0.25">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x14ac:dyDescent="0.25">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x14ac:dyDescent="0.25">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x14ac:dyDescent="0.25">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x14ac:dyDescent="0.25">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x14ac:dyDescent="0.25">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x14ac:dyDescent="0.25">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x14ac:dyDescent="0.25">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x14ac:dyDescent="0.25">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x14ac:dyDescent="0.25">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x14ac:dyDescent="0.25">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x14ac:dyDescent="0.25">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x14ac:dyDescent="0.25">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x14ac:dyDescent="0.25">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x14ac:dyDescent="0.25">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x14ac:dyDescent="0.25">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x14ac:dyDescent="0.25">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x14ac:dyDescent="0.25">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x14ac:dyDescent="0.25">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x14ac:dyDescent="0.25">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x14ac:dyDescent="0.25">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x14ac:dyDescent="0.25">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x14ac:dyDescent="0.25">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x14ac:dyDescent="0.25">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x14ac:dyDescent="0.25">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x14ac:dyDescent="0.25">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x14ac:dyDescent="0.25">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x14ac:dyDescent="0.25">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x14ac:dyDescent="0.25">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x14ac:dyDescent="0.25">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x14ac:dyDescent="0.25">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x14ac:dyDescent="0.25">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x14ac:dyDescent="0.25">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x14ac:dyDescent="0.25">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x14ac:dyDescent="0.25">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x14ac:dyDescent="0.25">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x14ac:dyDescent="0.25">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x14ac:dyDescent="0.25">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x14ac:dyDescent="0.25">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x14ac:dyDescent="0.25">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x14ac:dyDescent="0.25">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x14ac:dyDescent="0.25">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x14ac:dyDescent="0.25">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x14ac:dyDescent="0.25">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x14ac:dyDescent="0.25">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x14ac:dyDescent="0.25">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x14ac:dyDescent="0.25">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x14ac:dyDescent="0.25">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x14ac:dyDescent="0.25">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x14ac:dyDescent="0.25">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x14ac:dyDescent="0.25">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x14ac:dyDescent="0.25">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x14ac:dyDescent="0.25">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x14ac:dyDescent="0.25">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x14ac:dyDescent="0.25">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x14ac:dyDescent="0.25">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x14ac:dyDescent="0.25">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x14ac:dyDescent="0.25">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x14ac:dyDescent="0.25">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x14ac:dyDescent="0.25">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x14ac:dyDescent="0.25">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x14ac:dyDescent="0.25">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x14ac:dyDescent="0.25">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x14ac:dyDescent="0.25">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x14ac:dyDescent="0.25">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x14ac:dyDescent="0.25">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x14ac:dyDescent="0.25">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x14ac:dyDescent="0.25">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x14ac:dyDescent="0.25">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x14ac:dyDescent="0.25">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x14ac:dyDescent="0.25">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x14ac:dyDescent="0.25">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x14ac:dyDescent="0.25">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x14ac:dyDescent="0.25">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x14ac:dyDescent="0.25">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x14ac:dyDescent="0.25">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x14ac:dyDescent="0.25">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x14ac:dyDescent="0.25">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x14ac:dyDescent="0.25">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x14ac:dyDescent="0.25">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x14ac:dyDescent="0.25">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x14ac:dyDescent="0.25">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x14ac:dyDescent="0.25">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x14ac:dyDescent="0.25">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x14ac:dyDescent="0.25">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x14ac:dyDescent="0.25">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x14ac:dyDescent="0.25">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x14ac:dyDescent="0.25">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x14ac:dyDescent="0.25">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x14ac:dyDescent="0.25">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x14ac:dyDescent="0.25">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x14ac:dyDescent="0.25">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x14ac:dyDescent="0.25">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x14ac:dyDescent="0.25">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x14ac:dyDescent="0.25">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x14ac:dyDescent="0.25">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x14ac:dyDescent="0.25">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x14ac:dyDescent="0.25">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x14ac:dyDescent="0.25">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x14ac:dyDescent="0.25">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x14ac:dyDescent="0.25">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x14ac:dyDescent="0.25">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x14ac:dyDescent="0.25">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x14ac:dyDescent="0.25">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x14ac:dyDescent="0.25">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x14ac:dyDescent="0.25">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x14ac:dyDescent="0.25">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x14ac:dyDescent="0.25">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x14ac:dyDescent="0.25">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x14ac:dyDescent="0.25">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x14ac:dyDescent="0.25">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x14ac:dyDescent="0.25">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x14ac:dyDescent="0.25">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x14ac:dyDescent="0.25">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x14ac:dyDescent="0.25">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x14ac:dyDescent="0.25">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x14ac:dyDescent="0.25">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x14ac:dyDescent="0.25">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x14ac:dyDescent="0.25">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x14ac:dyDescent="0.25">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x14ac:dyDescent="0.25">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x14ac:dyDescent="0.25">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x14ac:dyDescent="0.25">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x14ac:dyDescent="0.25">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x14ac:dyDescent="0.25">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x14ac:dyDescent="0.25">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x14ac:dyDescent="0.25">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x14ac:dyDescent="0.25">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x14ac:dyDescent="0.25">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x14ac:dyDescent="0.25">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x14ac:dyDescent="0.25">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x14ac:dyDescent="0.25">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x14ac:dyDescent="0.25">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x14ac:dyDescent="0.25">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x14ac:dyDescent="0.25">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x14ac:dyDescent="0.25">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x14ac:dyDescent="0.25">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x14ac:dyDescent="0.25">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x14ac:dyDescent="0.25">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x14ac:dyDescent="0.25">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x14ac:dyDescent="0.25">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x14ac:dyDescent="0.25">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x14ac:dyDescent="0.25">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x14ac:dyDescent="0.25">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x14ac:dyDescent="0.25">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x14ac:dyDescent="0.25">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x14ac:dyDescent="0.25">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x14ac:dyDescent="0.25">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x14ac:dyDescent="0.25">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x14ac:dyDescent="0.25">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x14ac:dyDescent="0.25">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x14ac:dyDescent="0.25">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x14ac:dyDescent="0.25">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x14ac:dyDescent="0.25">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x14ac:dyDescent="0.25">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x14ac:dyDescent="0.25">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x14ac:dyDescent="0.25">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x14ac:dyDescent="0.25">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x14ac:dyDescent="0.25">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x14ac:dyDescent="0.25">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x14ac:dyDescent="0.25">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x14ac:dyDescent="0.25">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x14ac:dyDescent="0.25">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x14ac:dyDescent="0.25">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x14ac:dyDescent="0.25">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x14ac:dyDescent="0.25">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x14ac:dyDescent="0.25">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x14ac:dyDescent="0.25">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x14ac:dyDescent="0.25">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x14ac:dyDescent="0.25">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x14ac:dyDescent="0.25">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x14ac:dyDescent="0.25">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x14ac:dyDescent="0.25">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x14ac:dyDescent="0.25">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x14ac:dyDescent="0.25">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x14ac:dyDescent="0.25">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x14ac:dyDescent="0.25">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x14ac:dyDescent="0.25">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x14ac:dyDescent="0.25">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x14ac:dyDescent="0.25">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x14ac:dyDescent="0.25">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x14ac:dyDescent="0.25">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x14ac:dyDescent="0.25">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x14ac:dyDescent="0.25">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x14ac:dyDescent="0.25">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x14ac:dyDescent="0.25">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x14ac:dyDescent="0.25">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x14ac:dyDescent="0.25">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x14ac:dyDescent="0.25">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x14ac:dyDescent="0.25">
      <c r="A6" s="735"/>
      <c r="B6" s="735"/>
      <c r="J6" s="735"/>
      <c r="K6" s="735"/>
      <c r="M6" s="88"/>
      <c r="AO6" s="735"/>
      <c r="AP6" s="735"/>
      <c r="AQ6" s="735"/>
      <c r="AR6" s="735"/>
      <c r="AS6" s="735"/>
      <c r="AT6" s="735"/>
      <c r="AU6" s="735"/>
      <c r="AV6" s="735"/>
      <c r="AW6" s="735"/>
      <c r="AX6" s="735"/>
      <c r="AY6" s="735"/>
      <c r="BC6" s="735"/>
      <c r="BD6" s="735"/>
      <c r="BE6" s="735"/>
    </row>
    <row r="7" spans="1:73" hidden="1" x14ac:dyDescent="0.25">
      <c r="A7" s="735"/>
      <c r="B7" s="735"/>
      <c r="J7" s="735"/>
      <c r="K7" s="735"/>
      <c r="L7" s="94"/>
      <c r="M7" s="88"/>
      <c r="P7" s="94"/>
      <c r="AO7" s="735"/>
      <c r="AP7" s="735"/>
      <c r="AQ7" s="735"/>
      <c r="AR7" s="735"/>
      <c r="AS7" s="735"/>
      <c r="AT7" s="735"/>
      <c r="AU7" s="735"/>
      <c r="AV7" s="735"/>
      <c r="AW7" s="735"/>
      <c r="AX7" s="735"/>
      <c r="AY7" s="735"/>
      <c r="BC7" s="735"/>
      <c r="BD7" s="735"/>
      <c r="BE7" s="735"/>
    </row>
    <row r="8" spans="1:73" hidden="1" x14ac:dyDescent="0.25">
      <c r="A8" s="735"/>
      <c r="B8" s="735"/>
      <c r="J8" s="735"/>
      <c r="K8" s="735"/>
      <c r="L8" s="32"/>
      <c r="M8" s="92"/>
      <c r="P8" s="32"/>
      <c r="AO8" s="735"/>
      <c r="AP8" s="735"/>
      <c r="AQ8" s="735"/>
      <c r="AR8" s="735"/>
      <c r="AS8" s="735"/>
      <c r="AT8" s="735"/>
      <c r="AU8" s="735"/>
      <c r="AV8" s="735"/>
      <c r="AW8" s="735"/>
      <c r="AX8" s="735"/>
      <c r="AY8" s="735"/>
      <c r="BA8" s="89"/>
    </row>
    <row r="9" spans="1:73" hidden="1" x14ac:dyDescent="0.25">
      <c r="A9" s="735"/>
      <c r="B9" s="735"/>
      <c r="J9" s="735"/>
      <c r="K9" s="735"/>
      <c r="M9" s="92"/>
      <c r="AO9" s="735"/>
      <c r="AP9" s="735"/>
      <c r="AQ9" s="735"/>
      <c r="AR9" s="735"/>
      <c r="AS9" s="735"/>
      <c r="AT9" s="735"/>
      <c r="AU9" s="735"/>
      <c r="AV9" s="735"/>
      <c r="AW9" s="735"/>
      <c r="AX9" s="735"/>
      <c r="AY9" s="735"/>
      <c r="BA9" s="736"/>
      <c r="BE9" s="20"/>
      <c r="BF9" s="20"/>
    </row>
    <row r="10" spans="1:73" hidden="1" x14ac:dyDescent="0.25">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x14ac:dyDescent="0.25">
      <c r="A11" s="735"/>
      <c r="B11" s="735"/>
      <c r="F11" s="92"/>
      <c r="H11" s="497"/>
      <c r="J11" s="735"/>
      <c r="K11" s="735"/>
      <c r="M11" s="92"/>
      <c r="X11" s="97"/>
      <c r="Y11" s="97"/>
      <c r="AB11" s="497"/>
      <c r="AD11" s="282"/>
      <c r="AV11" s="777"/>
      <c r="AX11" s="777"/>
    </row>
    <row r="12" spans="1:73" hidden="1" x14ac:dyDescent="0.25">
      <c r="A12" s="735"/>
      <c r="B12" s="735"/>
      <c r="J12" s="735"/>
      <c r="K12" s="735"/>
      <c r="M12" s="92"/>
      <c r="X12" s="98"/>
      <c r="Y12" s="98"/>
    </row>
    <row r="13" spans="1:73" x14ac:dyDescent="0.25">
      <c r="A13" s="735"/>
      <c r="B13" s="735"/>
      <c r="F13" s="92"/>
      <c r="H13" s="92"/>
      <c r="J13" s="735"/>
      <c r="K13" s="735"/>
      <c r="M13" s="736"/>
      <c r="N13" s="736"/>
      <c r="O13" s="736"/>
      <c r="Q13" s="736"/>
      <c r="R13" s="735"/>
      <c r="S13" s="960" t="s">
        <v>42</v>
      </c>
      <c r="T13" s="960"/>
      <c r="U13" s="960"/>
      <c r="V13" s="960"/>
      <c r="X13" s="954" t="s">
        <v>54</v>
      </c>
      <c r="Y13" s="955"/>
      <c r="Z13" s="955"/>
      <c r="AA13" s="955"/>
      <c r="AB13" s="956"/>
      <c r="AD13" s="954" t="s">
        <v>1672</v>
      </c>
      <c r="AE13" s="956"/>
      <c r="AG13" s="960" t="s">
        <v>47</v>
      </c>
      <c r="AH13" s="960"/>
      <c r="AI13" s="960"/>
      <c r="AJ13" s="960"/>
      <c r="AK13" s="960"/>
      <c r="AL13" s="960"/>
      <c r="AM13" s="960"/>
      <c r="AN13" s="735"/>
      <c r="AO13" s="954" t="s">
        <v>1677</v>
      </c>
      <c r="AP13" s="955"/>
      <c r="AQ13" s="955"/>
      <c r="AR13" s="955"/>
      <c r="AS13" s="955"/>
      <c r="AT13" s="956"/>
      <c r="AV13" s="954" t="s">
        <v>1664</v>
      </c>
      <c r="AW13" s="955"/>
      <c r="AX13" s="955"/>
      <c r="AY13" s="956"/>
      <c r="AZ13" s="736"/>
      <c r="BA13" s="736"/>
      <c r="BL13" s="736"/>
      <c r="BM13" s="736"/>
      <c r="BN13" s="736"/>
      <c r="BO13" s="736"/>
      <c r="BP13" s="736"/>
      <c r="BS13" s="736"/>
      <c r="BT13" s="736"/>
      <c r="BU13" s="736"/>
    </row>
    <row r="14" spans="1:73" s="497" customFormat="1" x14ac:dyDescent="0.25">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x14ac:dyDescent="0.2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x14ac:dyDescent="0.25">
      <c r="A16" s="91" t="s">
        <v>26</v>
      </c>
      <c r="B16" s="744">
        <f ca="1">'Configuración de Tablas'!H8</f>
        <v>7860.1283999999996</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x14ac:dyDescent="0.25">
      <c r="A17" s="242" t="s">
        <v>27</v>
      </c>
      <c r="B17" s="743">
        <f>'Configuración de Tablas'!H9</f>
        <v>30</v>
      </c>
      <c r="D17" s="737" t="s">
        <v>1661</v>
      </c>
      <c r="G17" s="736"/>
      <c r="H17" s="736"/>
      <c r="I17" s="292">
        <f ca="1">SUM(__Capital)</f>
        <v>8041.7568599999986</v>
      </c>
      <c r="J17" s="292"/>
      <c r="K17" s="292"/>
      <c r="L17" s="292"/>
      <c r="M17" s="292">
        <f ca="1">SUM(__Interes)</f>
        <v>571.36118888341798</v>
      </c>
      <c r="N17" s="292">
        <f ca="1">SUM(__Iva)</f>
        <v>68.563342666010143</v>
      </c>
      <c r="P17" s="292">
        <f ca="1">SUM(__Abono_Anticipado)</f>
        <v>0</v>
      </c>
      <c r="Q17" s="736"/>
      <c r="R17" s="735"/>
      <c r="S17" s="99"/>
      <c r="T17" s="292">
        <f ca="1">SUM(__Abono_Sobrante) - (SUM(__Abono_Sobrante_Ciclo_Anterior)*_Renueva.Abono.Sobrante?)</f>
        <v>0</v>
      </c>
      <c r="U17" s="292"/>
      <c r="V17" s="99"/>
      <c r="Y17" s="735"/>
      <c r="AL17" s="292">
        <f ca="1">SUM(__Capital_Original)</f>
        <v>8041.7568599999995</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x14ac:dyDescent="0.25">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x14ac:dyDescent="0.25">
      <c r="A19" s="242" t="s">
        <v>1678</v>
      </c>
      <c r="B19" s="743">
        <f ca="1">'Configuración de Tablas'!H11</f>
        <v>12</v>
      </c>
      <c r="D19" s="736">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60">
        <f ca="1">MAX( __Capital_Elegida _Actual, __Stopper_Capital _Actual)</f>
        <v>626.9196487919254</v>
      </c>
      <c r="J19" s="764">
        <f t="shared" ref="J19:J82" ca="1" si="1">__Saldo_Inicial * _Tasa.Diaria</f>
        <v>2.8816295414999997</v>
      </c>
      <c r="K19" s="764">
        <f t="shared" ref="K19:K82" ca="1" si="2" xml:space="preserve"> __Interes_Diario * i.Dias.Por.Periodo</f>
        <v>86.448886244999997</v>
      </c>
      <c r="L19" s="760">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720.51497629984544</v>
      </c>
      <c r="P19" s="763">
        <f ca="1">T_Merger!__Salida_Abono_2</f>
        <v>0</v>
      </c>
      <c r="Q19" s="20">
        <f t="shared" ref="Q19:Q82" ca="1" si="6">MAX( __Saldo_Inicial - __Capital-__Abono_Anticipado,0)</f>
        <v>7414.8372112080742</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61">
        <f ca="1">MAX( ((( __Pago_Fijo - (__Interes_Regular_Original * (1 + i.Iva.Intereses)) ))), __Stopper_Capital_Original _Actual )</f>
        <v>626.91964879192551</v>
      </c>
      <c r="AM19" s="86">
        <f ca="1">MAX(__Saldo_Inicial_Original _Actual - __Capital_Original _Actual, 0)</f>
        <v>7414.8372112080742</v>
      </c>
      <c r="AN19" s="735"/>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61">
        <f t="shared" ref="AS19:AS82" ca="1" si="21">__Pago_Proyectado - ( __Interes_Periodo_Regular * ( 1 + i.Iva.Intereses ) )</f>
        <v>626.9196487919254</v>
      </c>
      <c r="AT19" s="761">
        <f t="shared" ref="AT19:AT82" ca="1" si="22">__Pago_Fijo - ( __Interes_Periodo_Regular * ( 1 + i.Iva.Intereses ) )</f>
        <v>626.91964879192551</v>
      </c>
      <c r="AU19" s="96"/>
      <c r="AV19" s="20">
        <f t="shared" ref="AV19:AV82" ca="1" si="23">__Interes_Diario_Original</f>
        <v>2.8816295414999997</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x14ac:dyDescent="0.25">
      <c r="A20" s="242" t="s">
        <v>1679</v>
      </c>
      <c r="B20" s="750">
        <f ca="1">'Configuración de Tablas'!H12</f>
        <v>0.12</v>
      </c>
      <c r="D20" s="736">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60">
        <f ca="1">MAX( __Capital_Elegida _Actual, __Stopper_Capital _Actual)</f>
        <v>634.46776136338008</v>
      </c>
      <c r="J20" s="764">
        <f t="shared" ca="1" si="1"/>
        <v>2.6569833340162266</v>
      </c>
      <c r="K20" s="764">
        <f t="shared" ca="1" si="2"/>
        <v>79.7095000204868</v>
      </c>
      <c r="L20" s="760">
        <f>Fechas!_Dias_Interes_Pago</f>
        <v>30</v>
      </c>
      <c r="M20" s="20">
        <f t="shared" ca="1" si="3"/>
        <v>79.7095000204868</v>
      </c>
      <c r="N20" s="20">
        <f t="shared" ca="1" si="4"/>
        <v>9.5651400024584152</v>
      </c>
      <c r="O20" s="20">
        <f t="shared" ca="1" si="5"/>
        <v>723.74240138632524</v>
      </c>
      <c r="P20" s="763">
        <f ca="1">T_Merger!__Salida_Abono_2</f>
        <v>0</v>
      </c>
      <c r="Q20" s="20">
        <f t="shared" ca="1" si="6"/>
        <v>6780.3694498446939</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61">
        <f ca="1">MAX( ((( __Pago_Fijo - (__Interes_Regular_Original * (1 + i.Iva.Intereses)) ))), __Stopper_Capital_Original _Actual )</f>
        <v>634.4677613633803</v>
      </c>
      <c r="AM20" s="86">
        <f ca="1">MAX(__Saldo_Inicial_Original _Actual - __Capital_Original _Actual, 0)</f>
        <v>6780.3694498446939</v>
      </c>
      <c r="AN20" s="735"/>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61">
        <f t="shared" ca="1" si="21"/>
        <v>634.46776136338008</v>
      </c>
      <c r="AT20" s="761">
        <f t="shared" ca="1" si="22"/>
        <v>634.4677613633803</v>
      </c>
      <c r="AV20" s="20">
        <f t="shared" ca="1" si="23"/>
        <v>2.6569833340162266</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x14ac:dyDescent="0.25">
      <c r="A21" s="242" t="s">
        <v>1665</v>
      </c>
      <c r="B21" s="750">
        <f ca="1">'Configuración de Tablas'!H13</f>
        <v>0.129</v>
      </c>
      <c r="D21" s="736">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60">
        <f ca="1">MAX( __Capital_Elegida _Actual, __Stopper_Capital _Actual)</f>
        <v>642.10675321019528</v>
      </c>
      <c r="J21" s="764">
        <f t="shared" ca="1" si="1"/>
        <v>2.4296323861943487</v>
      </c>
      <c r="K21" s="764">
        <f t="shared" ca="1" si="2"/>
        <v>72.888971585830461</v>
      </c>
      <c r="L21" s="760">
        <f>Fechas!_Dias_Interes_Pago</f>
        <v>30</v>
      </c>
      <c r="M21" s="20">
        <f t="shared" ca="1" si="3"/>
        <v>72.888971585830461</v>
      </c>
      <c r="N21" s="20">
        <f t="shared" ca="1" si="4"/>
        <v>8.7466765902996553</v>
      </c>
      <c r="O21" s="20">
        <f t="shared" ca="1" si="5"/>
        <v>723.74240138632547</v>
      </c>
      <c r="P21" s="763">
        <f ca="1">T_Merger!__Salida_Abono_2</f>
        <v>0</v>
      </c>
      <c r="Q21" s="20">
        <f t="shared" ca="1" si="6"/>
        <v>6138.2626966344988</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61">
        <f ca="1">MAX( ((( __Pago_Fijo - (__Interes_Regular_Original * (1 + i.Iva.Intereses)) ))), __Stopper_Capital_Original _Actual )</f>
        <v>642.10675321019539</v>
      </c>
      <c r="AM21" s="86">
        <f ca="1">MAX(__Saldo_Inicial_Original _Actual - __Capital_Original _Actual, 0)</f>
        <v>6138.2626966344988</v>
      </c>
      <c r="AN21" s="735"/>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61">
        <f t="shared" ca="1" si="21"/>
        <v>642.10675321019528</v>
      </c>
      <c r="AT21" s="761">
        <f t="shared" ca="1" si="22"/>
        <v>642.10675321019539</v>
      </c>
      <c r="AV21" s="20">
        <f t="shared" ca="1" si="23"/>
        <v>2.4296323861943487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x14ac:dyDescent="0.25">
      <c r="A22" s="242" t="s">
        <v>21</v>
      </c>
      <c r="B22" s="744">
        <f>'Configuración de Tablas'!H14</f>
        <v>360</v>
      </c>
      <c r="D22" s="736">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60">
        <f ca="1">MAX( __Capital_Elegida _Actual, __Stopper_Capital _Actual)</f>
        <v>649.83771851884603</v>
      </c>
      <c r="J22" s="764">
        <f t="shared" ca="1" si="1"/>
        <v>2.1995441329606953</v>
      </c>
      <c r="K22" s="764">
        <f t="shared" ca="1" si="2"/>
        <v>65.986323988820857</v>
      </c>
      <c r="L22" s="760">
        <f>Fechas!_Dias_Interes_Pago</f>
        <v>30</v>
      </c>
      <c r="M22" s="20">
        <f t="shared" ca="1" si="3"/>
        <v>65.986323988820857</v>
      </c>
      <c r="N22" s="20">
        <f t="shared" ca="1" si="4"/>
        <v>7.9183588786585029</v>
      </c>
      <c r="O22" s="20">
        <f t="shared" ca="1" si="5"/>
        <v>723.74240138632547</v>
      </c>
      <c r="P22" s="763">
        <f ca="1">T_Merger!__Salida_Abono_2</f>
        <v>0</v>
      </c>
      <c r="Q22" s="20">
        <f t="shared" ca="1" si="6"/>
        <v>5488.4249781156523</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61">
        <f ca="1">MAX( ((( __Pago_Fijo - (__Interes_Regular_Original * (1 + i.Iva.Intereses)) ))), __Stopper_Capital_Original _Actual )</f>
        <v>649.83771851884615</v>
      </c>
      <c r="AM22" s="86">
        <f ca="1">MAX(__Saldo_Inicial_Original _Actual - __Capital_Original _Actual, 0)</f>
        <v>5488.4249781156523</v>
      </c>
      <c r="AN22" s="735"/>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61">
        <f t="shared" ca="1" si="21"/>
        <v>649.83771851884603</v>
      </c>
      <c r="AT22" s="761">
        <f t="shared" ca="1" si="22"/>
        <v>649.83771851884615</v>
      </c>
      <c r="AV22" s="20">
        <f t="shared" ca="1" si="23"/>
        <v>2.1995441329606953</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x14ac:dyDescent="0.25">
      <c r="A23" s="91" t="s">
        <v>49</v>
      </c>
      <c r="B23" s="751" t="str">
        <f>'Configuración de Tablas'!H15</f>
        <v>Fechas!_Dias_Interes_Pago</v>
      </c>
      <c r="D23" s="736">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60">
        <f ca="1">MAX( __Capital_Elegida _Actual, __Stopper_Capital _Actual)</f>
        <v>657.66176464981288</v>
      </c>
      <c r="J23" s="764">
        <f t="shared" ca="1" si="1"/>
        <v>1.9666856171581086</v>
      </c>
      <c r="K23" s="764">
        <f t="shared" ca="1" si="2"/>
        <v>59.000568514743257</v>
      </c>
      <c r="L23" s="760">
        <f>Fechas!_Dias_Interes_Pago</f>
        <v>30</v>
      </c>
      <c r="M23" s="20">
        <f t="shared" ca="1" si="3"/>
        <v>59.000568514743257</v>
      </c>
      <c r="N23" s="20">
        <f t="shared" ca="1" si="4"/>
        <v>7.0800682217691904</v>
      </c>
      <c r="O23" s="20">
        <f t="shared" ca="1" si="5"/>
        <v>723.74240138632535</v>
      </c>
      <c r="P23" s="763">
        <f ca="1">T_Merger!__Salida_Abono_2</f>
        <v>0</v>
      </c>
      <c r="Q23" s="20">
        <f t="shared" ca="1" si="6"/>
        <v>4830.7632134658397</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61">
        <f ca="1">MAX( ((( __Pago_Fijo - (__Interes_Regular_Original * (1 + i.Iva.Intereses)) ))), __Stopper_Capital_Original _Actual )</f>
        <v>657.66176464981299</v>
      </c>
      <c r="AM23" s="86">
        <f ca="1">MAX(__Saldo_Inicial_Original _Actual - __Capital_Original _Actual, 0)</f>
        <v>4830.7632134658397</v>
      </c>
      <c r="AN23" s="735"/>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61">
        <f t="shared" ca="1" si="21"/>
        <v>657.66176464981288</v>
      </c>
      <c r="AT23" s="761">
        <f t="shared" ca="1" si="22"/>
        <v>657.66176464981299</v>
      </c>
      <c r="AV23" s="20">
        <f t="shared" ca="1" si="23"/>
        <v>1.9666856171581086</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x14ac:dyDescent="0.25">
      <c r="A24" s="91" t="s">
        <v>50</v>
      </c>
      <c r="B24" s="752" t="b">
        <f>'Configuración de Tablas'!H16</f>
        <v>1</v>
      </c>
      <c r="D24" s="736">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60">
        <f ca="1">MAX( __Capital_Elegida _Actual, __Stopper_Capital _Actual)</f>
        <v>665.58001229619663</v>
      </c>
      <c r="J24" s="764">
        <f t="shared" ca="1" si="1"/>
        <v>1.7310234848252593</v>
      </c>
      <c r="K24" s="764">
        <f t="shared" ca="1" si="2"/>
        <v>51.930704544757781</v>
      </c>
      <c r="L24" s="760">
        <f>Fechas!_Dias_Interes_Pago</f>
        <v>30</v>
      </c>
      <c r="M24" s="20">
        <f t="shared" ca="1" si="3"/>
        <v>51.930704544757781</v>
      </c>
      <c r="N24" s="20">
        <f t="shared" ca="1" si="4"/>
        <v>6.2316845453709337</v>
      </c>
      <c r="O24" s="20">
        <f t="shared" ca="1" si="5"/>
        <v>723.74240138632535</v>
      </c>
      <c r="P24" s="763">
        <f ca="1">T_Merger!__Salida_Abono_2</f>
        <v>0</v>
      </c>
      <c r="Q24" s="20">
        <f t="shared" ca="1" si="6"/>
        <v>4165.1832011696433</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61">
        <f ca="1">MAX( ((( __Pago_Fijo - (__Interes_Regular_Original * (1 + i.Iva.Intereses)) ))), __Stopper_Capital_Original _Actual )</f>
        <v>665.58001229619674</v>
      </c>
      <c r="AM24" s="86">
        <f ca="1">MAX(__Saldo_Inicial_Original _Actual - __Capital_Original _Actual, 0)</f>
        <v>4165.1832011696433</v>
      </c>
      <c r="AN24" s="735"/>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61">
        <f t="shared" ca="1" si="21"/>
        <v>665.58001229619663</v>
      </c>
      <c r="AT24" s="761">
        <f t="shared" ca="1" si="22"/>
        <v>665.58001229619674</v>
      </c>
      <c r="AV24" s="20">
        <f t="shared" ca="1" si="23"/>
        <v>1.7310234848252593</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x14ac:dyDescent="0.25">
      <c r="A25" s="91" t="s">
        <v>106</v>
      </c>
      <c r="B25" s="744">
        <f ca="1">'Configuración de Tablas'!H17</f>
        <v>181.62846000000002</v>
      </c>
      <c r="D25" s="736">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60">
        <f ca="1">MAX( __Capital_Elegida _Actual, __Stopper_Capital _Actual)</f>
        <v>673.5935956442429</v>
      </c>
      <c r="J25" s="764">
        <f t="shared" ca="1" si="1"/>
        <v>1.4925239804191222</v>
      </c>
      <c r="K25" s="764">
        <f t="shared" ca="1" si="2"/>
        <v>44.775719412573665</v>
      </c>
      <c r="L25" s="760">
        <f>Fechas!_Dias_Interes_Pago</f>
        <v>30</v>
      </c>
      <c r="M25" s="20">
        <f t="shared" ca="1" si="3"/>
        <v>44.775719412573665</v>
      </c>
      <c r="N25" s="20">
        <f t="shared" ca="1" si="4"/>
        <v>5.3730863295088396</v>
      </c>
      <c r="O25" s="20">
        <f t="shared" ca="1" si="5"/>
        <v>723.74240138632535</v>
      </c>
      <c r="P25" s="763">
        <f ca="1">T_Merger!__Salida_Abono_2</f>
        <v>0</v>
      </c>
      <c r="Q25" s="20">
        <f t="shared" ca="1" si="6"/>
        <v>3491.5896055254007</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61">
        <f ca="1">MAX( ((( __Pago_Fijo - (__Interes_Regular_Original * (1 + i.Iva.Intereses)) ))), __Stopper_Capital_Original _Actual )</f>
        <v>673.59359564424301</v>
      </c>
      <c r="AM25" s="86">
        <f ca="1">MAX(__Saldo_Inicial_Original _Actual - __Capital_Original _Actual, 0)</f>
        <v>3491.5896055254002</v>
      </c>
      <c r="AN25" s="735"/>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61">
        <f t="shared" ca="1" si="21"/>
        <v>673.5935956442429</v>
      </c>
      <c r="AT25" s="761">
        <f t="shared" ca="1" si="22"/>
        <v>673.59359564424301</v>
      </c>
      <c r="AV25" s="20">
        <f t="shared" ca="1" si="23"/>
        <v>1.4925239804191222</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x14ac:dyDescent="0.25">
      <c r="A26" s="242" t="s">
        <v>1675</v>
      </c>
      <c r="B26" s="744">
        <f ca="1">'Configuración de Tablas'!H18</f>
        <v>2</v>
      </c>
      <c r="D26" s="736">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60">
        <f ca="1">MAX( __Capital_Elegida _Actual, __Stopper_Capital _Actual)</f>
        <v>681.70366253579948</v>
      </c>
      <c r="J26" s="764">
        <f t="shared" ca="1" si="1"/>
        <v>1.2511529419799352</v>
      </c>
      <c r="K26" s="764">
        <f t="shared" ca="1" si="2"/>
        <v>37.534588259398056</v>
      </c>
      <c r="L26" s="760">
        <f>Fechas!_Dias_Interes_Pago</f>
        <v>30</v>
      </c>
      <c r="M26" s="20">
        <f t="shared" ca="1" si="3"/>
        <v>37.534588259398056</v>
      </c>
      <c r="N26" s="20">
        <f t="shared" ca="1" si="4"/>
        <v>4.5041505911277664</v>
      </c>
      <c r="O26" s="20">
        <f t="shared" ca="1" si="5"/>
        <v>723.74240138632535</v>
      </c>
      <c r="P26" s="763">
        <f ca="1">T_Merger!__Salida_Abono_2</f>
        <v>0</v>
      </c>
      <c r="Q26" s="20">
        <f t="shared" ca="1" si="6"/>
        <v>2809.8859429896011</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61">
        <f ca="1">MAX( ((( __Pago_Fijo - (__Interes_Regular_Original * (1 + i.Iva.Intereses)) ))), __Stopper_Capital_Original _Actual )</f>
        <v>681.70366253579959</v>
      </c>
      <c r="AM26" s="86">
        <f ca="1">MAX(__Saldo_Inicial_Original _Actual - __Capital_Original _Actual, 0)</f>
        <v>2809.8859429896006</v>
      </c>
      <c r="AN26" s="735"/>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61">
        <f t="shared" ca="1" si="21"/>
        <v>681.70366253579948</v>
      </c>
      <c r="AT26" s="761">
        <f t="shared" ca="1" si="22"/>
        <v>681.70366253579959</v>
      </c>
      <c r="AV26" s="20">
        <f t="shared" ca="1" si="23"/>
        <v>1.251152941979935</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x14ac:dyDescent="0.25">
      <c r="A27" s="91" t="s">
        <v>109</v>
      </c>
      <c r="B27" s="778" t="str">
        <f>'Configuración de Tablas'!H19</f>
        <v>T_Merger!__Salida_Abono_2</v>
      </c>
      <c r="D27" s="736">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60">
        <f ca="1">MAX( __Capital_Elegida _Actual, __Stopper_Capital _Actual)</f>
        <v>689.9113746327306</v>
      </c>
      <c r="J27" s="764">
        <f t="shared" ca="1" si="1"/>
        <v>1.0068757962379404</v>
      </c>
      <c r="K27" s="764">
        <f t="shared" ca="1" si="2"/>
        <v>30.206273887138213</v>
      </c>
      <c r="L27" s="760">
        <f>Fechas!_Dias_Interes_Pago</f>
        <v>30</v>
      </c>
      <c r="M27" s="20">
        <f t="shared" ca="1" si="3"/>
        <v>30.206273887138213</v>
      </c>
      <c r="N27" s="20">
        <f t="shared" ca="1" si="4"/>
        <v>3.6247528664565856</v>
      </c>
      <c r="O27" s="20">
        <f t="shared" ca="1" si="5"/>
        <v>723.74240138632535</v>
      </c>
      <c r="P27" s="763">
        <f ca="1">T_Merger!__Salida_Abono_2</f>
        <v>0</v>
      </c>
      <c r="Q27" s="20">
        <f t="shared" ca="1" si="6"/>
        <v>2119.9745683568703</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61">
        <f ca="1">MAX( ((( __Pago_Fijo - (__Interes_Regular_Original * (1 + i.Iva.Intereses)) ))), __Stopper_Capital_Original _Actual )</f>
        <v>689.91137463273071</v>
      </c>
      <c r="AM27" s="86">
        <f ca="1">MAX(__Saldo_Inicial_Original _Actual - __Capital_Original _Actual, 0)</f>
        <v>2119.9745683568699</v>
      </c>
      <c r="AN27" s="735"/>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61">
        <f t="shared" ca="1" si="21"/>
        <v>689.9113746327306</v>
      </c>
      <c r="AT27" s="761">
        <f t="shared" ca="1" si="22"/>
        <v>689.91137463273071</v>
      </c>
      <c r="AV27" s="20">
        <f t="shared" ca="1" si="23"/>
        <v>1.0068757962379402</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x14ac:dyDescent="0.25">
      <c r="A28" s="91" t="s">
        <v>108</v>
      </c>
      <c r="B28" s="752" t="str">
        <f>'Configuración de Tablas'!H20</f>
        <v>-</v>
      </c>
      <c r="D28" s="736">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60">
        <f ca="1">MAX( __Capital_Elegida _Actual, __Stopper_Capital _Actual)</f>
        <v>698.2179075833086</v>
      </c>
      <c r="J28" s="764">
        <f t="shared" ca="1" si="1"/>
        <v>0.7596575536612119</v>
      </c>
      <c r="K28" s="764">
        <f t="shared" ca="1" si="2"/>
        <v>22.789726609836357</v>
      </c>
      <c r="L28" s="760">
        <f>Fechas!_Dias_Interes_Pago</f>
        <v>30</v>
      </c>
      <c r="M28" s="20">
        <f t="shared" ca="1" si="3"/>
        <v>22.789726609836357</v>
      </c>
      <c r="N28" s="20">
        <f t="shared" ca="1" si="4"/>
        <v>2.734767193180363</v>
      </c>
      <c r="O28" s="20">
        <f t="shared" ca="1" si="5"/>
        <v>723.74240138632535</v>
      </c>
      <c r="P28" s="763">
        <f ca="1">T_Merger!__Salida_Abono_2</f>
        <v>0</v>
      </c>
      <c r="Q28" s="20">
        <f t="shared" ca="1" si="6"/>
        <v>1421.7566607735616</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61">
        <f ca="1">MAX( ((( __Pago_Fijo - (__Interes_Regular_Original * (1 + i.Iva.Intereses)) ))), __Stopper_Capital_Original _Actual )</f>
        <v>698.21790758330872</v>
      </c>
      <c r="AM28" s="86">
        <f ca="1">MAX(__Saldo_Inicial_Original _Actual - __Capital_Original _Actual, 0)</f>
        <v>1421.7566607735612</v>
      </c>
      <c r="AN28" s="735"/>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61">
        <f t="shared" ca="1" si="21"/>
        <v>698.2179075833086</v>
      </c>
      <c r="AT28" s="761">
        <f t="shared" ca="1" si="22"/>
        <v>698.21790758330872</v>
      </c>
      <c r="AV28" s="20">
        <f t="shared" ca="1" si="23"/>
        <v>0.75965755366121168</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x14ac:dyDescent="0.25">
      <c r="D29" s="736">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60">
        <f ca="1">MAX( __Capital_Elegida _Actual, __Stopper_Capital _Actual)</f>
        <v>706.62445119061169</v>
      </c>
      <c r="J29" s="764">
        <f t="shared" ca="1" si="1"/>
        <v>0.50946280344385964</v>
      </c>
      <c r="K29" s="764">
        <f t="shared" ca="1" si="2"/>
        <v>15.283884103315788</v>
      </c>
      <c r="L29" s="760">
        <f>Fechas!_Dias_Interes_Pago</f>
        <v>30</v>
      </c>
      <c r="M29" s="20">
        <f t="shared" ca="1" si="3"/>
        <v>15.283884103315788</v>
      </c>
      <c r="N29" s="20">
        <f t="shared" ca="1" si="4"/>
        <v>1.8340660923978946</v>
      </c>
      <c r="O29" s="20">
        <f t="shared" ca="1" si="5"/>
        <v>723.74240138632535</v>
      </c>
      <c r="P29" s="763">
        <f ca="1">T_Merger!__Salida_Abono_2</f>
        <v>0</v>
      </c>
      <c r="Q29" s="20">
        <f t="shared" ca="1" si="6"/>
        <v>715.13220958294994</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61">
        <f ca="1">MAX( ((( __Pago_Fijo - (__Interes_Regular_Original * (1 + i.Iva.Intereses)) ))), __Stopper_Capital_Original _Actual )</f>
        <v>706.62445119061181</v>
      </c>
      <c r="AM29" s="86">
        <f ca="1">MAX(__Saldo_Inicial_Original _Actual - __Capital_Original _Actual, 0)</f>
        <v>715.13220958294937</v>
      </c>
      <c r="AN29" s="735"/>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61">
        <f t="shared" ca="1" si="21"/>
        <v>706.62445119061169</v>
      </c>
      <c r="AT29" s="761">
        <f t="shared" ca="1" si="22"/>
        <v>706.62445119061181</v>
      </c>
      <c r="AV29" s="20">
        <f t="shared" ca="1" si="23"/>
        <v>0.50946280344385941</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x14ac:dyDescent="0.25">
      <c r="A30" s="286" t="s">
        <v>440</v>
      </c>
      <c r="B30" s="278"/>
      <c r="D30" s="736">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60">
        <f ca="1">MAX( __Capital_Elegida _Actual, __Stopper_Capital _Actual)</f>
        <v>715.13220958294994</v>
      </c>
      <c r="J30" s="764">
        <f t="shared" ca="1" si="1"/>
        <v>0.25625570843389039</v>
      </c>
      <c r="K30" s="764">
        <f t="shared" ca="1" si="2"/>
        <v>7.6876712530167115</v>
      </c>
      <c r="L30" s="760">
        <f>Fechas!_Dias_Interes_Pago</f>
        <v>30</v>
      </c>
      <c r="M30" s="20">
        <f t="shared" ca="1" si="3"/>
        <v>7.6876712530167115</v>
      </c>
      <c r="N30" s="20">
        <f t="shared" ca="1" si="4"/>
        <v>0.92252055036200531</v>
      </c>
      <c r="O30" s="20">
        <f t="shared" ca="1" si="5"/>
        <v>723.74240138632865</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61">
        <f ca="1">MAX( ((( __Pago_Fijo - (__Interes_Regular_Original * (1 + i.Iva.Intereses)) ))), __Stopper_Capital_Original _Actual )</f>
        <v>715.13220958294937</v>
      </c>
      <c r="AM30" s="86">
        <f ca="1">MAX(__Saldo_Inicial_Original _Actual - __Capital_Original _Actual, 0)</f>
        <v>0</v>
      </c>
      <c r="AN30" s="735"/>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61">
        <f t="shared" ca="1" si="21"/>
        <v>715.13220958294664</v>
      </c>
      <c r="AT30" s="761">
        <f t="shared" ca="1" si="22"/>
        <v>715.13220958294676</v>
      </c>
      <c r="AV30" s="20">
        <f t="shared" ca="1" si="23"/>
        <v>0.25625570843389017</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x14ac:dyDescent="0.25">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x14ac:dyDescent="0.25">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x14ac:dyDescent="0.25">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x14ac:dyDescent="0.25">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x14ac:dyDescent="0.25">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x14ac:dyDescent="0.25">
      <c r="A36" s="755" t="s">
        <v>51</v>
      </c>
      <c r="B36" s="744">
        <f ca="1" xml:space="preserve"> i.Monto.Extra.Ciclo.1 * (_Tabla.Ciclica.Anual?)</f>
        <v>181.62846000000002</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x14ac:dyDescent="0.25">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x14ac:dyDescent="0.25">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x14ac:dyDescent="0.25">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x14ac:dyDescent="0.25">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x14ac:dyDescent="0.25">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x14ac:dyDescent="0.25">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x14ac:dyDescent="0.25">
      <c r="A43" s="91" t="s">
        <v>67</v>
      </c>
      <c r="B43" s="20">
        <f ca="1">-PPMT(_Tasa.Por.Periodo*(1+i.Iva.Intereses),1,_Periodos.Por.Ciclo,i.Monto.Financiar)</f>
        <v>612.760249007011</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x14ac:dyDescent="0.25">
      <c r="A44" s="91" t="s">
        <v>69</v>
      </c>
      <c r="B44" s="20">
        <f ca="1">-IPMT(_Tasa.Diaria.Por.Periodo*(1+i.Iva.Intereses),1,_Periodos.Por.Ciclo,i.Monto.Financiar)</f>
        <v>94.635945935999999</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x14ac:dyDescent="0.25">
      <c r="A45" s="88" t="s">
        <v>71</v>
      </c>
      <c r="B45" s="20">
        <f ca="1">SUM(_Componentes.Pago.Fijo)</f>
        <v>707.39619494301098</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x14ac:dyDescent="0.25">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x14ac:dyDescent="0.25">
      <c r="A47" s="91" t="s">
        <v>73</v>
      </c>
      <c r="B47" s="20">
        <f ca="1">-PPMT(_Tasa.Por.Periodo*(1+i.Iva.Intereses),1,_Periodos.Por.Ciclo,_Monto.Extra.Ciclo.1)</f>
        <v>14.159399784914447</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x14ac:dyDescent="0.25">
      <c r="A48" s="91" t="s">
        <v>74</v>
      </c>
      <c r="B48" s="20">
        <f ca="1">-IPMT(_Tasa.Diaria.Por.Periodo*(1+i.Iva.Intereses),1,_Periodos.Por.Ciclo,_Monto.Extra.Ciclo.1)</f>
        <v>2.1868066584000001</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x14ac:dyDescent="0.25">
      <c r="A49" s="88" t="s">
        <v>75</v>
      </c>
      <c r="B49" s="20">
        <f ca="1">SUM(_Componentes.Pago.Fijo.Inicial)</f>
        <v>16.346206443314447</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x14ac:dyDescent="0.25">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x14ac:dyDescent="0.25">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x14ac:dyDescent="0.25">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x14ac:dyDescent="0.25">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x14ac:dyDescent="0.25">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x14ac:dyDescent="0.25">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x14ac:dyDescent="0.25">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x14ac:dyDescent="0.25">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x14ac:dyDescent="0.25">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x14ac:dyDescent="0.25">
      <c r="A59" s="736" t="s">
        <v>5363</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x14ac:dyDescent="0.25">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x14ac:dyDescent="0.25">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x14ac:dyDescent="0.25">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x14ac:dyDescent="0.25">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x14ac:dyDescent="0.25">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x14ac:dyDescent="0.25">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x14ac:dyDescent="0.25">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x14ac:dyDescent="0.25">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x14ac:dyDescent="0.25">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x14ac:dyDescent="0.25">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x14ac:dyDescent="0.25">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x14ac:dyDescent="0.25">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x14ac:dyDescent="0.25">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x14ac:dyDescent="0.25">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x14ac:dyDescent="0.25">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x14ac:dyDescent="0.25">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x14ac:dyDescent="0.25">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x14ac:dyDescent="0.25">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x14ac:dyDescent="0.25">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x14ac:dyDescent="0.25">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x14ac:dyDescent="0.25">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x14ac:dyDescent="0.25">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x14ac:dyDescent="0.25">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x14ac:dyDescent="0.25">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x14ac:dyDescent="0.25">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x14ac:dyDescent="0.25">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x14ac:dyDescent="0.25">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x14ac:dyDescent="0.25">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x14ac:dyDescent="0.25">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x14ac:dyDescent="0.25">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x14ac:dyDescent="0.25">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x14ac:dyDescent="0.25">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x14ac:dyDescent="0.25">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x14ac:dyDescent="0.25">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x14ac:dyDescent="0.25">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x14ac:dyDescent="0.25">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x14ac:dyDescent="0.25">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x14ac:dyDescent="0.25">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x14ac:dyDescent="0.25">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x14ac:dyDescent="0.25">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x14ac:dyDescent="0.25">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x14ac:dyDescent="0.25">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x14ac:dyDescent="0.25">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x14ac:dyDescent="0.25">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x14ac:dyDescent="0.25">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x14ac:dyDescent="0.25">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x14ac:dyDescent="0.25">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x14ac:dyDescent="0.25">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x14ac:dyDescent="0.25">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x14ac:dyDescent="0.25">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x14ac:dyDescent="0.25">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x14ac:dyDescent="0.25">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x14ac:dyDescent="0.25">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x14ac:dyDescent="0.25">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x14ac:dyDescent="0.25">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x14ac:dyDescent="0.25">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x14ac:dyDescent="0.25">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x14ac:dyDescent="0.25">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x14ac:dyDescent="0.25">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x14ac:dyDescent="0.25">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x14ac:dyDescent="0.25">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x14ac:dyDescent="0.25">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x14ac:dyDescent="0.25">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x14ac:dyDescent="0.25">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x14ac:dyDescent="0.25">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x14ac:dyDescent="0.25">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x14ac:dyDescent="0.25">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x14ac:dyDescent="0.25">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x14ac:dyDescent="0.25">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x14ac:dyDescent="0.25">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x14ac:dyDescent="0.25">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x14ac:dyDescent="0.25">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x14ac:dyDescent="0.25">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x14ac:dyDescent="0.25">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x14ac:dyDescent="0.25">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x14ac:dyDescent="0.25">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x14ac:dyDescent="0.25">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x14ac:dyDescent="0.25">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x14ac:dyDescent="0.25">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x14ac:dyDescent="0.25">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x14ac:dyDescent="0.25">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x14ac:dyDescent="0.25">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x14ac:dyDescent="0.25">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x14ac:dyDescent="0.25">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x14ac:dyDescent="0.25">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x14ac:dyDescent="0.25">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x14ac:dyDescent="0.25">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x14ac:dyDescent="0.25">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x14ac:dyDescent="0.25">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x14ac:dyDescent="0.25">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x14ac:dyDescent="0.25">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x14ac:dyDescent="0.25">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x14ac:dyDescent="0.25">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x14ac:dyDescent="0.25">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x14ac:dyDescent="0.25">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x14ac:dyDescent="0.25">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x14ac:dyDescent="0.25">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x14ac:dyDescent="0.25">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x14ac:dyDescent="0.25">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x14ac:dyDescent="0.25">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x14ac:dyDescent="0.25">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x14ac:dyDescent="0.25">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x14ac:dyDescent="0.25">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x14ac:dyDescent="0.25">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x14ac:dyDescent="0.25">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x14ac:dyDescent="0.25">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x14ac:dyDescent="0.25">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x14ac:dyDescent="0.25">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x14ac:dyDescent="0.25">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x14ac:dyDescent="0.25">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x14ac:dyDescent="0.25">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x14ac:dyDescent="0.25">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x14ac:dyDescent="0.25">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x14ac:dyDescent="0.25">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x14ac:dyDescent="0.25">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x14ac:dyDescent="0.25">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x14ac:dyDescent="0.25">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x14ac:dyDescent="0.25">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x14ac:dyDescent="0.25">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x14ac:dyDescent="0.25">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x14ac:dyDescent="0.25">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x14ac:dyDescent="0.25">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x14ac:dyDescent="0.25">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x14ac:dyDescent="0.25">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x14ac:dyDescent="0.25">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x14ac:dyDescent="0.25">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x14ac:dyDescent="0.25">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x14ac:dyDescent="0.25">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x14ac:dyDescent="0.25">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x14ac:dyDescent="0.25">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x14ac:dyDescent="0.25">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x14ac:dyDescent="0.25">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x14ac:dyDescent="0.25">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x14ac:dyDescent="0.25">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x14ac:dyDescent="0.25">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x14ac:dyDescent="0.25">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x14ac:dyDescent="0.25">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x14ac:dyDescent="0.25">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x14ac:dyDescent="0.25">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x14ac:dyDescent="0.25">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x14ac:dyDescent="0.25">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x14ac:dyDescent="0.25">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x14ac:dyDescent="0.25">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x14ac:dyDescent="0.25">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x14ac:dyDescent="0.25">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x14ac:dyDescent="0.25">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x14ac:dyDescent="0.25">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x14ac:dyDescent="0.25">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x14ac:dyDescent="0.25">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x14ac:dyDescent="0.25">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x14ac:dyDescent="0.25">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x14ac:dyDescent="0.25">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x14ac:dyDescent="0.25">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x14ac:dyDescent="0.25">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x14ac:dyDescent="0.25">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x14ac:dyDescent="0.25">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x14ac:dyDescent="0.25">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x14ac:dyDescent="0.25">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x14ac:dyDescent="0.25">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x14ac:dyDescent="0.25">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x14ac:dyDescent="0.25">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x14ac:dyDescent="0.25">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x14ac:dyDescent="0.25">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x14ac:dyDescent="0.25">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x14ac:dyDescent="0.25">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x14ac:dyDescent="0.25">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x14ac:dyDescent="0.25">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x14ac:dyDescent="0.25">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x14ac:dyDescent="0.25">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x14ac:dyDescent="0.25">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x14ac:dyDescent="0.25">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x14ac:dyDescent="0.25">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x14ac:dyDescent="0.25">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x14ac:dyDescent="0.25">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x14ac:dyDescent="0.25">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x14ac:dyDescent="0.25">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x14ac:dyDescent="0.25">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x14ac:dyDescent="0.25">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x14ac:dyDescent="0.25">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x14ac:dyDescent="0.25">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x14ac:dyDescent="0.25">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x14ac:dyDescent="0.25">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x14ac:dyDescent="0.25">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x14ac:dyDescent="0.25">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x14ac:dyDescent="0.25">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x14ac:dyDescent="0.25">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x14ac:dyDescent="0.25">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x14ac:dyDescent="0.25">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x14ac:dyDescent="0.25">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x14ac:dyDescent="0.25">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x14ac:dyDescent="0.25">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x14ac:dyDescent="0.25">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x14ac:dyDescent="0.25">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x14ac:dyDescent="0.25">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x14ac:dyDescent="0.25">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x14ac:dyDescent="0.25">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x14ac:dyDescent="0.25">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x14ac:dyDescent="0.25">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x14ac:dyDescent="0.25">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x14ac:dyDescent="0.25">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x14ac:dyDescent="0.25">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x14ac:dyDescent="0.25">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x14ac:dyDescent="0.25">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x14ac:dyDescent="0.25">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x14ac:dyDescent="0.25">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x14ac:dyDescent="0.25">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x14ac:dyDescent="0.25">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x14ac:dyDescent="0.25">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x14ac:dyDescent="0.25">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x14ac:dyDescent="0.25">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x14ac:dyDescent="0.25">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x14ac:dyDescent="0.25">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x14ac:dyDescent="0.25">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x14ac:dyDescent="0.25">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x14ac:dyDescent="0.25">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x14ac:dyDescent="0.25">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x14ac:dyDescent="0.25">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x14ac:dyDescent="0.25">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x14ac:dyDescent="0.25">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x14ac:dyDescent="0.25">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735"/>
      <c r="B5" s="735"/>
      <c r="AA5" s="735"/>
      <c r="AE5" s="735"/>
      <c r="AF5" s="735"/>
      <c r="AG5" s="735"/>
      <c r="AH5" s="735"/>
      <c r="AI5" s="735"/>
      <c r="AJ5" s="281"/>
    </row>
    <row r="6" spans="1:51" hidden="1" x14ac:dyDescent="0.25">
      <c r="A6" s="735"/>
      <c r="B6" s="735"/>
      <c r="AA6" s="735"/>
      <c r="AE6" s="735"/>
      <c r="AF6" s="735"/>
      <c r="AG6" s="735"/>
      <c r="AH6" s="735"/>
      <c r="AI6" s="735"/>
    </row>
    <row r="7" spans="1:51" hidden="1" x14ac:dyDescent="0.25">
      <c r="A7" s="735"/>
      <c r="B7" s="735"/>
      <c r="AA7" s="735"/>
      <c r="AE7" s="735"/>
      <c r="AF7" s="735"/>
      <c r="AG7" s="735"/>
      <c r="AH7" s="735"/>
      <c r="AI7" s="735"/>
    </row>
    <row r="8" spans="1:51" hidden="1" x14ac:dyDescent="0.25">
      <c r="A8" s="735"/>
      <c r="B8" s="735"/>
      <c r="X8" s="89"/>
    </row>
    <row r="9" spans="1:51" hidden="1" x14ac:dyDescent="0.25">
      <c r="A9" s="735"/>
      <c r="B9" s="735"/>
      <c r="X9" s="736"/>
      <c r="AI9" s="20"/>
      <c r="AJ9" s="20"/>
    </row>
    <row r="10" spans="1:51" hidden="1" x14ac:dyDescent="0.25">
      <c r="A10" s="735"/>
      <c r="B10" s="735"/>
      <c r="X10" s="736"/>
      <c r="AI10" s="20"/>
      <c r="AJ10" s="20"/>
    </row>
    <row r="11" spans="1:51" hidden="1" x14ac:dyDescent="0.25">
      <c r="A11" s="735"/>
      <c r="B11" s="735"/>
      <c r="D11" s="97"/>
      <c r="E11" s="97"/>
      <c r="F11" s="497"/>
      <c r="H11" s="282"/>
    </row>
    <row r="12" spans="1:51" hidden="1" x14ac:dyDescent="0.25">
      <c r="A12" s="735"/>
      <c r="B12" s="735"/>
      <c r="D12" s="98"/>
      <c r="E12" s="98"/>
    </row>
    <row r="13" spans="1:51" x14ac:dyDescent="0.25">
      <c r="A13" s="735"/>
      <c r="B13" s="735"/>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736"/>
      <c r="AQ13" s="736"/>
      <c r="AR13" s="736"/>
      <c r="AS13" s="736"/>
      <c r="AT13" s="736"/>
      <c r="AW13" s="736"/>
      <c r="AX13" s="736"/>
      <c r="AY13" s="736"/>
    </row>
    <row r="14" spans="1:51" s="497" customFormat="1" x14ac:dyDescent="0.25">
      <c r="A14" s="735"/>
      <c r="B14" s="735"/>
      <c r="C14" s="735"/>
      <c r="D14" s="474"/>
      <c r="E14" s="474"/>
      <c r="G14" s="735"/>
      <c r="J14" s="735"/>
      <c r="L14" s="735"/>
      <c r="Q14" s="735"/>
      <c r="S14" s="735"/>
      <c r="W14" s="735"/>
      <c r="Y14" s="735"/>
    </row>
    <row r="15" spans="1:51" s="82" customFormat="1" ht="30" x14ac:dyDescent="0.25">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x14ac:dyDescent="0.25">
      <c r="A16" s="91" t="s">
        <v>26</v>
      </c>
      <c r="B16" s="744">
        <f ca="1">'Configuración de Tablas'!B27</f>
        <v>141000</v>
      </c>
      <c r="E16" s="735"/>
      <c r="X16" s="736"/>
      <c r="AP16" s="736"/>
      <c r="AQ16" s="736"/>
      <c r="AR16" s="736"/>
      <c r="AS16" s="736"/>
      <c r="AT16" s="736"/>
      <c r="AW16" s="736"/>
      <c r="AX16" s="736"/>
      <c r="AY16" s="736"/>
    </row>
    <row r="17" spans="1:51" x14ac:dyDescent="0.25">
      <c r="A17" s="242" t="s">
        <v>27</v>
      </c>
      <c r="B17" s="743">
        <f>'Configuración de Tablas'!B28</f>
        <v>30</v>
      </c>
      <c r="D17" s="737"/>
      <c r="E17" s="735"/>
      <c r="P17" s="292">
        <f ca="1">SUM(__Interes)</f>
        <v>10017.951180951515</v>
      </c>
      <c r="R17" s="292">
        <f ca="1">SUM(__Iva)</f>
        <v>1202.1541417141814</v>
      </c>
      <c r="T17" s="292"/>
      <c r="U17" s="292"/>
      <c r="V17" s="292">
        <f ca="1">SUM(__Capital)</f>
        <v>141000.00000000003</v>
      </c>
      <c r="X17" s="292"/>
      <c r="Z17" s="292"/>
      <c r="AB17" s="292"/>
      <c r="AC17" s="292"/>
      <c r="AD17" s="292"/>
      <c r="AE17" s="293"/>
      <c r="AF17" s="293"/>
      <c r="AG17" s="293" t="s">
        <v>63</v>
      </c>
      <c r="AP17" s="736"/>
      <c r="AQ17" s="736"/>
      <c r="AR17" s="736"/>
      <c r="AS17" s="736"/>
      <c r="AT17" s="736"/>
      <c r="AW17" s="736"/>
      <c r="AX17" s="736"/>
      <c r="AY17" s="736"/>
    </row>
    <row r="18" spans="1:51" x14ac:dyDescent="0.25">
      <c r="A18" s="242" t="s">
        <v>1681</v>
      </c>
      <c r="B18" s="743">
        <f ca="1">'Configuración de Tablas'!B29</f>
        <v>12</v>
      </c>
      <c r="E18" s="735"/>
      <c r="X18" s="736"/>
      <c r="AP18" s="736"/>
      <c r="AQ18" s="736"/>
      <c r="AR18" s="736"/>
      <c r="AS18" s="736"/>
      <c r="AT18" s="736"/>
      <c r="AW18" s="736"/>
      <c r="AX18" s="736"/>
      <c r="AY18" s="736"/>
    </row>
    <row r="19" spans="1:51" x14ac:dyDescent="0.25">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12633.13644355547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737"/>
      <c r="AF19" s="737"/>
      <c r="AG19" s="737" t="s">
        <v>64</v>
      </c>
      <c r="AI19" s="91" t="s">
        <v>65</v>
      </c>
      <c r="AP19" s="736"/>
      <c r="AQ19" s="736"/>
      <c r="AR19" s="736"/>
      <c r="AS19" s="736"/>
      <c r="AT19" s="736"/>
      <c r="AW19" s="736"/>
      <c r="AX19" s="736"/>
      <c r="AY19" s="736"/>
    </row>
    <row r="20" spans="1:51" x14ac:dyDescent="0.25">
      <c r="A20" s="242" t="s">
        <v>1679</v>
      </c>
      <c r="B20" s="750">
        <f ca="1">'Configuración de Tablas'!B31</f>
        <v>0.12</v>
      </c>
      <c r="D20" s="736">
        <v>2</v>
      </c>
      <c r="E20" s="736">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737"/>
      <c r="AF20" s="737"/>
      <c r="AI20" s="91" t="s">
        <v>66</v>
      </c>
      <c r="AP20" s="736"/>
      <c r="AQ20" s="736"/>
      <c r="AR20" s="736"/>
      <c r="AS20" s="736"/>
      <c r="AT20" s="736"/>
      <c r="AW20" s="736"/>
      <c r="AX20" s="736"/>
      <c r="AY20" s="736"/>
    </row>
    <row r="21" spans="1:51" x14ac:dyDescent="0.25">
      <c r="A21" s="242" t="s">
        <v>1665</v>
      </c>
      <c r="B21" s="750">
        <f ca="1">'Configuración de Tablas'!B32</f>
        <v>0.129</v>
      </c>
      <c r="D21" s="736">
        <v>3</v>
      </c>
      <c r="E21" s="736">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737"/>
      <c r="AF21" s="737"/>
      <c r="AG21" s="737"/>
      <c r="AI21" s="91" t="s">
        <v>68</v>
      </c>
      <c r="AP21" s="736"/>
      <c r="AQ21" s="736"/>
      <c r="AR21" s="736"/>
      <c r="AS21" s="736"/>
      <c r="AT21" s="736"/>
      <c r="AW21" s="736"/>
      <c r="AX21" s="736"/>
      <c r="AY21" s="736"/>
    </row>
    <row r="22" spans="1:51" x14ac:dyDescent="0.25">
      <c r="A22" s="242" t="s">
        <v>21</v>
      </c>
      <c r="B22" s="744">
        <f>'Configuración de Tablas'!B33</f>
        <v>360</v>
      </c>
      <c r="D22" s="736">
        <v>4</v>
      </c>
      <c r="E22" s="736">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737"/>
      <c r="AF22" s="737"/>
      <c r="AG22" s="737"/>
      <c r="AI22" s="91" t="s">
        <v>70</v>
      </c>
      <c r="AP22" s="736"/>
      <c r="AQ22" s="736"/>
      <c r="AR22" s="736"/>
      <c r="AS22" s="736"/>
      <c r="AT22" s="736"/>
      <c r="AW22" s="736"/>
      <c r="AX22" s="736"/>
      <c r="AY22" s="736"/>
    </row>
    <row r="23" spans="1:51" x14ac:dyDescent="0.25">
      <c r="A23" s="91" t="s">
        <v>49</v>
      </c>
      <c r="B23" s="751" t="str">
        <f>'Configuración de Tablas'!B34</f>
        <v>Fechas!_Dias_Interes_Pago</v>
      </c>
      <c r="D23" s="736">
        <v>5</v>
      </c>
      <c r="E23" s="736">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737"/>
      <c r="AF23" s="737"/>
      <c r="AG23" s="737" t="s">
        <v>53</v>
      </c>
      <c r="AI23" s="91" t="s">
        <v>72</v>
      </c>
      <c r="AP23" s="736"/>
      <c r="AQ23" s="736"/>
      <c r="AR23" s="736"/>
      <c r="AS23" s="736"/>
      <c r="AT23" s="736"/>
      <c r="AW23" s="736"/>
      <c r="AX23" s="736"/>
      <c r="AY23" s="736"/>
    </row>
    <row r="24" spans="1:51" x14ac:dyDescent="0.25">
      <c r="A24" s="91" t="s">
        <v>50</v>
      </c>
      <c r="B24" s="752" t="b">
        <f>'Configuración de Tablas'!B35</f>
        <v>0</v>
      </c>
      <c r="D24" s="736">
        <v>6</v>
      </c>
      <c r="E24" s="736">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737"/>
      <c r="AF24" s="737"/>
      <c r="AI24" s="91" t="s">
        <v>85</v>
      </c>
      <c r="AP24" s="736"/>
      <c r="AQ24" s="736"/>
      <c r="AR24" s="736"/>
      <c r="AS24" s="736"/>
      <c r="AT24" s="736"/>
      <c r="AW24" s="736"/>
      <c r="AX24" s="736"/>
      <c r="AY24" s="736"/>
    </row>
    <row r="25" spans="1:51" x14ac:dyDescent="0.25">
      <c r="A25" s="91" t="s">
        <v>51</v>
      </c>
      <c r="B25" s="744">
        <f>'Configuración de Tablas'!B36</f>
        <v>0</v>
      </c>
      <c r="D25" s="736">
        <v>7</v>
      </c>
      <c r="E25" s="736">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737"/>
      <c r="AF25" s="737"/>
      <c r="AI25" s="91" t="s">
        <v>87</v>
      </c>
      <c r="AP25" s="736"/>
      <c r="AQ25" s="736"/>
      <c r="AR25" s="736"/>
      <c r="AS25" s="736"/>
      <c r="AT25" s="736"/>
      <c r="AW25" s="736"/>
      <c r="AX25" s="736"/>
      <c r="AY25" s="736"/>
    </row>
    <row r="26" spans="1:51" x14ac:dyDescent="0.25">
      <c r="A26" s="91" t="s">
        <v>52</v>
      </c>
      <c r="B26" s="744" t="str">
        <f>'Configuración de Tablas'!B37</f>
        <v>Fechas!_Dias_Interes_CAT</v>
      </c>
      <c r="D26" s="736">
        <v>8</v>
      </c>
      <c r="E26" s="736">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737"/>
      <c r="AF26" s="737"/>
      <c r="AG26" s="737" t="s">
        <v>84</v>
      </c>
      <c r="AI26" s="91" t="s">
        <v>88</v>
      </c>
      <c r="AP26" s="736"/>
      <c r="AQ26" s="736"/>
      <c r="AR26" s="736"/>
      <c r="AS26" s="736"/>
      <c r="AT26" s="736"/>
      <c r="AW26" s="736"/>
      <c r="AX26" s="736"/>
      <c r="AY26" s="736"/>
    </row>
    <row r="27" spans="1:51" x14ac:dyDescent="0.25">
      <c r="D27" s="736">
        <v>9</v>
      </c>
      <c r="E27" s="736">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737"/>
      <c r="AF27" s="737"/>
      <c r="AG27" s="737" t="s">
        <v>131</v>
      </c>
      <c r="AI27" s="91" t="s">
        <v>134</v>
      </c>
      <c r="AJ27" s="32"/>
      <c r="AP27" s="736"/>
      <c r="AQ27" s="736"/>
      <c r="AR27" s="736"/>
      <c r="AS27" s="736"/>
      <c r="AT27" s="736"/>
      <c r="AW27" s="736"/>
      <c r="AX27" s="736"/>
      <c r="AY27" s="736"/>
    </row>
    <row r="28" spans="1:51" x14ac:dyDescent="0.25">
      <c r="A28" s="286" t="s">
        <v>440</v>
      </c>
      <c r="B28" s="278"/>
      <c r="D28" s="736">
        <v>10</v>
      </c>
      <c r="E28" s="736">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737"/>
      <c r="AF28" s="737"/>
      <c r="AG28" s="737" t="s">
        <v>2416</v>
      </c>
      <c r="AH28" s="294">
        <v>41212</v>
      </c>
      <c r="AI28" s="245" t="s">
        <v>2417</v>
      </c>
      <c r="AJ28" s="32"/>
      <c r="AP28" s="736"/>
      <c r="AQ28" s="736"/>
      <c r="AR28" s="736"/>
      <c r="AS28" s="736"/>
      <c r="AT28" s="736"/>
      <c r="AW28" s="736"/>
      <c r="AX28" s="736"/>
      <c r="AY28" s="736"/>
    </row>
    <row r="29" spans="1:51" x14ac:dyDescent="0.25">
      <c r="A29" s="753" t="s">
        <v>76</v>
      </c>
      <c r="B29" s="754"/>
      <c r="D29" s="736">
        <v>11</v>
      </c>
      <c r="E29" s="736">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737"/>
      <c r="AF29" s="737"/>
      <c r="AG29" s="737" t="s">
        <v>5354</v>
      </c>
      <c r="AH29" s="294">
        <v>42271</v>
      </c>
      <c r="AI29" s="245" t="s">
        <v>5355</v>
      </c>
      <c r="AJ29" s="32"/>
      <c r="AP29" s="736"/>
      <c r="AQ29" s="736"/>
      <c r="AR29" s="736"/>
      <c r="AS29" s="736"/>
      <c r="AT29" s="736"/>
      <c r="AW29" s="736"/>
      <c r="AX29" s="736"/>
      <c r="AY29" s="736"/>
    </row>
    <row r="30" spans="1:51" x14ac:dyDescent="0.25">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737"/>
      <c r="AF30" s="737"/>
      <c r="AG30" s="737"/>
      <c r="AH30" s="294"/>
      <c r="AI30" s="245"/>
      <c r="AJ30" s="32"/>
      <c r="AP30" s="736"/>
      <c r="AQ30" s="736"/>
      <c r="AR30" s="736"/>
      <c r="AS30" s="736"/>
      <c r="AT30" s="736"/>
      <c r="AW30" s="736"/>
      <c r="AX30" s="736"/>
      <c r="AY30" s="736"/>
    </row>
    <row r="31" spans="1:51" x14ac:dyDescent="0.25">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x14ac:dyDescent="0.25">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x14ac:dyDescent="0.25">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x14ac:dyDescent="0.25">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x14ac:dyDescent="0.25">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x14ac:dyDescent="0.25">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x14ac:dyDescent="0.25">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x14ac:dyDescent="0.25">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x14ac:dyDescent="0.25">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x14ac:dyDescent="0.25">
      <c r="A40" s="91" t="s">
        <v>67</v>
      </c>
      <c r="B40" s="20">
        <f ca="1">-PPMT(_Tasa.Por.Periodo*(1+i.Iva.Intereses),1,_Periodos.Por.Ciclo,i.Monto.Financiar)</f>
        <v>10992.08444355547</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x14ac:dyDescent="0.25">
      <c r="A41" s="91" t="s">
        <v>69</v>
      </c>
      <c r="B41" s="20">
        <f ca="1">-IPMT(_Tasa.Diaria.Por.Periodo*(1+i.Iva.Intereses),1,_Periodos.Por.Ciclo,i.Monto.Financiar)</f>
        <v>1697.64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x14ac:dyDescent="0.25">
      <c r="A42" s="88" t="s">
        <v>71</v>
      </c>
      <c r="B42" s="20">
        <f ca="1">SUM(_Componentes.Pago.Fijo)</f>
        <v>12689.724443555469</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x14ac:dyDescent="0.25">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x14ac:dyDescent="0.25">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x14ac:dyDescent="0.25">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x14ac:dyDescent="0.25">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x14ac:dyDescent="0.25">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x14ac:dyDescent="0.25">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x14ac:dyDescent="0.25">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x14ac:dyDescent="0.25">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x14ac:dyDescent="0.25">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x14ac:dyDescent="0.25">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x14ac:dyDescent="0.25">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x14ac:dyDescent="0.25">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x14ac:dyDescent="0.25">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x14ac:dyDescent="0.25">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x14ac:dyDescent="0.25">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x14ac:dyDescent="0.25">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x14ac:dyDescent="0.25">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x14ac:dyDescent="0.25">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x14ac:dyDescent="0.25">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x14ac:dyDescent="0.25">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x14ac:dyDescent="0.25">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x14ac:dyDescent="0.25">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x14ac:dyDescent="0.25">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x14ac:dyDescent="0.25">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x14ac:dyDescent="0.25">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x14ac:dyDescent="0.25">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x14ac:dyDescent="0.25">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x14ac:dyDescent="0.25">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x14ac:dyDescent="0.25">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x14ac:dyDescent="0.25">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x14ac:dyDescent="0.25">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x14ac:dyDescent="0.25">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x14ac:dyDescent="0.25">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x14ac:dyDescent="0.25">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x14ac:dyDescent="0.25">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x14ac:dyDescent="0.25">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x14ac:dyDescent="0.25">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x14ac:dyDescent="0.25">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x14ac:dyDescent="0.25">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x14ac:dyDescent="0.25">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x14ac:dyDescent="0.25">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x14ac:dyDescent="0.25">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x14ac:dyDescent="0.25">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x14ac:dyDescent="0.25">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x14ac:dyDescent="0.25">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x14ac:dyDescent="0.25">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x14ac:dyDescent="0.25">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x14ac:dyDescent="0.25">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x14ac:dyDescent="0.25">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x14ac:dyDescent="0.25">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x14ac:dyDescent="0.25">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x14ac:dyDescent="0.25">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x14ac:dyDescent="0.25">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x14ac:dyDescent="0.25">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x14ac:dyDescent="0.25">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x14ac:dyDescent="0.25">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x14ac:dyDescent="0.25">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x14ac:dyDescent="0.25">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x14ac:dyDescent="0.25">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x14ac:dyDescent="0.25">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x14ac:dyDescent="0.25">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x14ac:dyDescent="0.25">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x14ac:dyDescent="0.25">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x14ac:dyDescent="0.25">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x14ac:dyDescent="0.25">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x14ac:dyDescent="0.25">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x14ac:dyDescent="0.25">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x14ac:dyDescent="0.25">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x14ac:dyDescent="0.25">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x14ac:dyDescent="0.25">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x14ac:dyDescent="0.25">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x14ac:dyDescent="0.25">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x14ac:dyDescent="0.25">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x14ac:dyDescent="0.25">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x14ac:dyDescent="0.25">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x14ac:dyDescent="0.25">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x14ac:dyDescent="0.25">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x14ac:dyDescent="0.25">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x14ac:dyDescent="0.25">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x14ac:dyDescent="0.25">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x14ac:dyDescent="0.25">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x14ac:dyDescent="0.25">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x14ac:dyDescent="0.25">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x14ac:dyDescent="0.25">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x14ac:dyDescent="0.25">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x14ac:dyDescent="0.25">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x14ac:dyDescent="0.25">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x14ac:dyDescent="0.25">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x14ac:dyDescent="0.25">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x14ac:dyDescent="0.25">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x14ac:dyDescent="0.25">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x14ac:dyDescent="0.25">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x14ac:dyDescent="0.25">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x14ac:dyDescent="0.25">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x14ac:dyDescent="0.25">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x14ac:dyDescent="0.25">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x14ac:dyDescent="0.25">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x14ac:dyDescent="0.25">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x14ac:dyDescent="0.25">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x14ac:dyDescent="0.25">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x14ac:dyDescent="0.25">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x14ac:dyDescent="0.25">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x14ac:dyDescent="0.25">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x14ac:dyDescent="0.25">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x14ac:dyDescent="0.25">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x14ac:dyDescent="0.25">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x14ac:dyDescent="0.25">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x14ac:dyDescent="0.25">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x14ac:dyDescent="0.25">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x14ac:dyDescent="0.25">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x14ac:dyDescent="0.25">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x14ac:dyDescent="0.25">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x14ac:dyDescent="0.25">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x14ac:dyDescent="0.25">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x14ac:dyDescent="0.25">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x14ac:dyDescent="0.25">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x14ac:dyDescent="0.25">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x14ac:dyDescent="0.25">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x14ac:dyDescent="0.25">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x14ac:dyDescent="0.25">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x14ac:dyDescent="0.25">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x14ac:dyDescent="0.25">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x14ac:dyDescent="0.25">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x14ac:dyDescent="0.25">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x14ac:dyDescent="0.25">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x14ac:dyDescent="0.25">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x14ac:dyDescent="0.25">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x14ac:dyDescent="0.25">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x14ac:dyDescent="0.25">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x14ac:dyDescent="0.25">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x14ac:dyDescent="0.25">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x14ac:dyDescent="0.25">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x14ac:dyDescent="0.25">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x14ac:dyDescent="0.25">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x14ac:dyDescent="0.25">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x14ac:dyDescent="0.25">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x14ac:dyDescent="0.25">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x14ac:dyDescent="0.25">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x14ac:dyDescent="0.25">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x14ac:dyDescent="0.25">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x14ac:dyDescent="0.25">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x14ac:dyDescent="0.25">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x14ac:dyDescent="0.25">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x14ac:dyDescent="0.25">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x14ac:dyDescent="0.25">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x14ac:dyDescent="0.25">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x14ac:dyDescent="0.25">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x14ac:dyDescent="0.25">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x14ac:dyDescent="0.25">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x14ac:dyDescent="0.25">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x14ac:dyDescent="0.25">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x14ac:dyDescent="0.25">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x14ac:dyDescent="0.25">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x14ac:dyDescent="0.25">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x14ac:dyDescent="0.25">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x14ac:dyDescent="0.25">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x14ac:dyDescent="0.25">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x14ac:dyDescent="0.25">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x14ac:dyDescent="0.25">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x14ac:dyDescent="0.25">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x14ac:dyDescent="0.25">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x14ac:dyDescent="0.25">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x14ac:dyDescent="0.25">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x14ac:dyDescent="0.25">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x14ac:dyDescent="0.25">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x14ac:dyDescent="0.25">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x14ac:dyDescent="0.25">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x14ac:dyDescent="0.25">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x14ac:dyDescent="0.25">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x14ac:dyDescent="0.25">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x14ac:dyDescent="0.25">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x14ac:dyDescent="0.25">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x14ac:dyDescent="0.25">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x14ac:dyDescent="0.25">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x14ac:dyDescent="0.25">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x14ac:dyDescent="0.25">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x14ac:dyDescent="0.25">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x14ac:dyDescent="0.25">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x14ac:dyDescent="0.25">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x14ac:dyDescent="0.25">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x14ac:dyDescent="0.25">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x14ac:dyDescent="0.25">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x14ac:dyDescent="0.25">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x14ac:dyDescent="0.25">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x14ac:dyDescent="0.25">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x14ac:dyDescent="0.25">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x14ac:dyDescent="0.25">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x14ac:dyDescent="0.25">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x14ac:dyDescent="0.25">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x14ac:dyDescent="0.25">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x14ac:dyDescent="0.25">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x14ac:dyDescent="0.25">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x14ac:dyDescent="0.25">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x14ac:dyDescent="0.25">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x14ac:dyDescent="0.25">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x14ac:dyDescent="0.25">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x14ac:dyDescent="0.25">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x14ac:dyDescent="0.25">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x14ac:dyDescent="0.25">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x14ac:dyDescent="0.25">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x14ac:dyDescent="0.25">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x14ac:dyDescent="0.25">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x14ac:dyDescent="0.25">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x14ac:dyDescent="0.25">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x14ac:dyDescent="0.25">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x14ac:dyDescent="0.25">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x14ac:dyDescent="0.25">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x14ac:dyDescent="0.25">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x14ac:dyDescent="0.25">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x14ac:dyDescent="0.25">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x14ac:dyDescent="0.25">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x14ac:dyDescent="0.25">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x14ac:dyDescent="0.25">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x14ac:dyDescent="0.25">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x14ac:dyDescent="0.25">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x14ac:dyDescent="0.25">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x14ac:dyDescent="0.25">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x14ac:dyDescent="0.25">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x14ac:dyDescent="0.25">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x14ac:dyDescent="0.25">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x14ac:dyDescent="0.25">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x14ac:dyDescent="0.25">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x14ac:dyDescent="0.25">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x14ac:dyDescent="0.25">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x14ac:dyDescent="0.25">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x14ac:dyDescent="0.25">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x14ac:dyDescent="0.25">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x14ac:dyDescent="0.25">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x14ac:dyDescent="0.25">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x14ac:dyDescent="0.25">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x14ac:dyDescent="0.25">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x14ac:dyDescent="0.25">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x14ac:dyDescent="0.25">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x14ac:dyDescent="0.25">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x14ac:dyDescent="0.25">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x14ac:dyDescent="0.25">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x14ac:dyDescent="0.25">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735"/>
      <c r="B5" s="735"/>
      <c r="AA5" s="735"/>
      <c r="AE5" s="735"/>
      <c r="AF5" s="735"/>
      <c r="AG5" s="735"/>
      <c r="AH5" s="735"/>
      <c r="AI5" s="735"/>
      <c r="AJ5" s="281"/>
    </row>
    <row r="6" spans="1:51" hidden="1" x14ac:dyDescent="0.25">
      <c r="A6" s="735"/>
      <c r="B6" s="735"/>
      <c r="AA6" s="735"/>
      <c r="AE6" s="735"/>
      <c r="AF6" s="735"/>
      <c r="AG6" s="735"/>
      <c r="AH6" s="735"/>
      <c r="AI6" s="735"/>
    </row>
    <row r="7" spans="1:51" hidden="1" x14ac:dyDescent="0.25">
      <c r="A7" s="735"/>
      <c r="B7" s="735"/>
      <c r="AA7" s="735"/>
      <c r="AE7" s="735"/>
      <c r="AF7" s="735"/>
      <c r="AG7" s="735"/>
      <c r="AH7" s="735"/>
      <c r="AI7" s="735"/>
    </row>
    <row r="8" spans="1:51" hidden="1" x14ac:dyDescent="0.25">
      <c r="A8" s="735"/>
      <c r="B8" s="735"/>
      <c r="X8" s="89"/>
    </row>
    <row r="9" spans="1:51" hidden="1" x14ac:dyDescent="0.25">
      <c r="A9" s="735"/>
      <c r="B9" s="735"/>
      <c r="X9" s="736"/>
      <c r="AI9" s="20"/>
      <c r="AJ9" s="20"/>
    </row>
    <row r="10" spans="1:51" hidden="1" x14ac:dyDescent="0.25">
      <c r="A10" s="735"/>
      <c r="B10" s="735"/>
      <c r="X10" s="736"/>
      <c r="AI10" s="20"/>
      <c r="AJ10" s="20"/>
    </row>
    <row r="11" spans="1:51" hidden="1" x14ac:dyDescent="0.25">
      <c r="A11" s="735"/>
      <c r="B11" s="735"/>
      <c r="D11" s="97"/>
      <c r="E11" s="97"/>
      <c r="F11" s="497"/>
      <c r="H11" s="282"/>
    </row>
    <row r="12" spans="1:51" hidden="1" x14ac:dyDescent="0.25">
      <c r="A12" s="735"/>
      <c r="B12" s="735"/>
      <c r="D12" s="98"/>
      <c r="E12" s="98"/>
    </row>
    <row r="13" spans="1:51" x14ac:dyDescent="0.25">
      <c r="A13" s="735"/>
      <c r="B13" s="735"/>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736"/>
      <c r="AQ13" s="736"/>
      <c r="AR13" s="736"/>
      <c r="AS13" s="736"/>
      <c r="AT13" s="736"/>
      <c r="AW13" s="736"/>
      <c r="AX13" s="736"/>
      <c r="AY13" s="736"/>
    </row>
    <row r="14" spans="1:51" s="497" customFormat="1" x14ac:dyDescent="0.25">
      <c r="A14" s="735"/>
      <c r="B14" s="735"/>
      <c r="C14" s="735"/>
      <c r="D14" s="474"/>
      <c r="E14" s="474"/>
      <c r="G14" s="735"/>
      <c r="J14" s="735"/>
      <c r="L14" s="735"/>
      <c r="Q14" s="735"/>
      <c r="S14" s="735"/>
      <c r="W14" s="735"/>
      <c r="Y14" s="735"/>
    </row>
    <row r="15" spans="1:51" s="82" customFormat="1" ht="30" x14ac:dyDescent="0.25">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x14ac:dyDescent="0.25">
      <c r="A16" s="91" t="s">
        <v>26</v>
      </c>
      <c r="B16" s="744">
        <f ca="1">'Configuración de Tablas'!E27</f>
        <v>0</v>
      </c>
      <c r="E16" s="735"/>
      <c r="X16" s="736"/>
      <c r="AP16" s="736"/>
      <c r="AQ16" s="736"/>
      <c r="AR16" s="736"/>
      <c r="AS16" s="736"/>
      <c r="AT16" s="736"/>
      <c r="AW16" s="736"/>
      <c r="AX16" s="736"/>
      <c r="AY16" s="736"/>
    </row>
    <row r="17" spans="1:51" x14ac:dyDescent="0.25">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x14ac:dyDescent="0.25">
      <c r="A18" s="242" t="s">
        <v>1681</v>
      </c>
      <c r="B18" s="743">
        <f ca="1">'Configuración de Tablas'!E29</f>
        <v>12</v>
      </c>
      <c r="E18" s="735"/>
      <c r="X18" s="736"/>
      <c r="AP18" s="736"/>
      <c r="AQ18" s="736"/>
      <c r="AR18" s="736"/>
      <c r="AS18" s="736"/>
      <c r="AT18" s="736"/>
      <c r="AW18" s="736"/>
      <c r="AX18" s="736"/>
      <c r="AY18" s="736"/>
    </row>
    <row r="19" spans="1:51" x14ac:dyDescent="0.25">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x14ac:dyDescent="0.25">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x14ac:dyDescent="0.25">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x14ac:dyDescent="0.25">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x14ac:dyDescent="0.25">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x14ac:dyDescent="0.25">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x14ac:dyDescent="0.25">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x14ac:dyDescent="0.25">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x14ac:dyDescent="0.25">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x14ac:dyDescent="0.25">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x14ac:dyDescent="0.25">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5354</v>
      </c>
      <c r="AH29" s="294">
        <v>42271</v>
      </c>
      <c r="AI29" s="245" t="s">
        <v>5355</v>
      </c>
      <c r="AJ29" s="32"/>
      <c r="AP29" s="736"/>
      <c r="AQ29" s="736"/>
      <c r="AR29" s="736"/>
      <c r="AS29" s="736"/>
      <c r="AT29" s="736"/>
      <c r="AW29" s="736"/>
      <c r="AX29" s="736"/>
      <c r="AY29" s="736"/>
    </row>
    <row r="30" spans="1:51" x14ac:dyDescent="0.25">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x14ac:dyDescent="0.25">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x14ac:dyDescent="0.25">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x14ac:dyDescent="0.25">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x14ac:dyDescent="0.25">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x14ac:dyDescent="0.25">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x14ac:dyDescent="0.25">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x14ac:dyDescent="0.25">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x14ac:dyDescent="0.25">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x14ac:dyDescent="0.25">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x14ac:dyDescent="0.25">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x14ac:dyDescent="0.25">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x14ac:dyDescent="0.25">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x14ac:dyDescent="0.25">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x14ac:dyDescent="0.25">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x14ac:dyDescent="0.25">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x14ac:dyDescent="0.25">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x14ac:dyDescent="0.25">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x14ac:dyDescent="0.25">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x14ac:dyDescent="0.25">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x14ac:dyDescent="0.25">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x14ac:dyDescent="0.25">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x14ac:dyDescent="0.25">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x14ac:dyDescent="0.25">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x14ac:dyDescent="0.25">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x14ac:dyDescent="0.25">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x14ac:dyDescent="0.25">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x14ac:dyDescent="0.25">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x14ac:dyDescent="0.25">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x14ac:dyDescent="0.25">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x14ac:dyDescent="0.25">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x14ac:dyDescent="0.25">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x14ac:dyDescent="0.25">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x14ac:dyDescent="0.25">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x14ac:dyDescent="0.25">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x14ac:dyDescent="0.25">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x14ac:dyDescent="0.25">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x14ac:dyDescent="0.25">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x14ac:dyDescent="0.25">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x14ac:dyDescent="0.25">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x14ac:dyDescent="0.25">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x14ac:dyDescent="0.25">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x14ac:dyDescent="0.25">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x14ac:dyDescent="0.25">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x14ac:dyDescent="0.25">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x14ac:dyDescent="0.25">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x14ac:dyDescent="0.25">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x14ac:dyDescent="0.25">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x14ac:dyDescent="0.25">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x14ac:dyDescent="0.25">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x14ac:dyDescent="0.25">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x14ac:dyDescent="0.25">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x14ac:dyDescent="0.25">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x14ac:dyDescent="0.25">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x14ac:dyDescent="0.25">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x14ac:dyDescent="0.25">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x14ac:dyDescent="0.25">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x14ac:dyDescent="0.25">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x14ac:dyDescent="0.25">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x14ac:dyDescent="0.25">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x14ac:dyDescent="0.25">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x14ac:dyDescent="0.25">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x14ac:dyDescent="0.25">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x14ac:dyDescent="0.25">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x14ac:dyDescent="0.25">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x14ac:dyDescent="0.25">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x14ac:dyDescent="0.25">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x14ac:dyDescent="0.25">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x14ac:dyDescent="0.25">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x14ac:dyDescent="0.25">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x14ac:dyDescent="0.25">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x14ac:dyDescent="0.25">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x14ac:dyDescent="0.25">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x14ac:dyDescent="0.25">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x14ac:dyDescent="0.25">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x14ac:dyDescent="0.25">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x14ac:dyDescent="0.25">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x14ac:dyDescent="0.25">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x14ac:dyDescent="0.25">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x14ac:dyDescent="0.25">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x14ac:dyDescent="0.25">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x14ac:dyDescent="0.25">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x14ac:dyDescent="0.25">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x14ac:dyDescent="0.25">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x14ac:dyDescent="0.25">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x14ac:dyDescent="0.25">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x14ac:dyDescent="0.25">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x14ac:dyDescent="0.25">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x14ac:dyDescent="0.25">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x14ac:dyDescent="0.25">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x14ac:dyDescent="0.25">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x14ac:dyDescent="0.25">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x14ac:dyDescent="0.25">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x14ac:dyDescent="0.25">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x14ac:dyDescent="0.25">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x14ac:dyDescent="0.25">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x14ac:dyDescent="0.25">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x14ac:dyDescent="0.25">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x14ac:dyDescent="0.25">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x14ac:dyDescent="0.25">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x14ac:dyDescent="0.25">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x14ac:dyDescent="0.25">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x14ac:dyDescent="0.25">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x14ac:dyDescent="0.25">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x14ac:dyDescent="0.25">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x14ac:dyDescent="0.25">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x14ac:dyDescent="0.25">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x14ac:dyDescent="0.25">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x14ac:dyDescent="0.25">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x14ac:dyDescent="0.25">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x14ac:dyDescent="0.25">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x14ac:dyDescent="0.25">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x14ac:dyDescent="0.25">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x14ac:dyDescent="0.25">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x14ac:dyDescent="0.25">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x14ac:dyDescent="0.25">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x14ac:dyDescent="0.25">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x14ac:dyDescent="0.25">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x14ac:dyDescent="0.25">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x14ac:dyDescent="0.25">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x14ac:dyDescent="0.25">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x14ac:dyDescent="0.25">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x14ac:dyDescent="0.25">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x14ac:dyDescent="0.25">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x14ac:dyDescent="0.25">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x14ac:dyDescent="0.25">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x14ac:dyDescent="0.25">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x14ac:dyDescent="0.25">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x14ac:dyDescent="0.25">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x14ac:dyDescent="0.25">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x14ac:dyDescent="0.25">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x14ac:dyDescent="0.25">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x14ac:dyDescent="0.25">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x14ac:dyDescent="0.25">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x14ac:dyDescent="0.25">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x14ac:dyDescent="0.25">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x14ac:dyDescent="0.25">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x14ac:dyDescent="0.25">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x14ac:dyDescent="0.25">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x14ac:dyDescent="0.25">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x14ac:dyDescent="0.25">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x14ac:dyDescent="0.25">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x14ac:dyDescent="0.25">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x14ac:dyDescent="0.25">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x14ac:dyDescent="0.25">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x14ac:dyDescent="0.25">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x14ac:dyDescent="0.25">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x14ac:dyDescent="0.25">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x14ac:dyDescent="0.25">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x14ac:dyDescent="0.25">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x14ac:dyDescent="0.25">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x14ac:dyDescent="0.25">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x14ac:dyDescent="0.25">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x14ac:dyDescent="0.25">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x14ac:dyDescent="0.25">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x14ac:dyDescent="0.25">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x14ac:dyDescent="0.25">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x14ac:dyDescent="0.25">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x14ac:dyDescent="0.25">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x14ac:dyDescent="0.25">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x14ac:dyDescent="0.25">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x14ac:dyDescent="0.25">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x14ac:dyDescent="0.25">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x14ac:dyDescent="0.25">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x14ac:dyDescent="0.25">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x14ac:dyDescent="0.25">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x14ac:dyDescent="0.25">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x14ac:dyDescent="0.25">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x14ac:dyDescent="0.25">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x14ac:dyDescent="0.25">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x14ac:dyDescent="0.25">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x14ac:dyDescent="0.25">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x14ac:dyDescent="0.25">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x14ac:dyDescent="0.25">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x14ac:dyDescent="0.25">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x14ac:dyDescent="0.25">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x14ac:dyDescent="0.25">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x14ac:dyDescent="0.25">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x14ac:dyDescent="0.25">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x14ac:dyDescent="0.25">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x14ac:dyDescent="0.25">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x14ac:dyDescent="0.25">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x14ac:dyDescent="0.25">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x14ac:dyDescent="0.25">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x14ac:dyDescent="0.25">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x14ac:dyDescent="0.25">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x14ac:dyDescent="0.25">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x14ac:dyDescent="0.25">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x14ac:dyDescent="0.25">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x14ac:dyDescent="0.25">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x14ac:dyDescent="0.25">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x14ac:dyDescent="0.25">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x14ac:dyDescent="0.25">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x14ac:dyDescent="0.25">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x14ac:dyDescent="0.25">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x14ac:dyDescent="0.25">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x14ac:dyDescent="0.25">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x14ac:dyDescent="0.25">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x14ac:dyDescent="0.25">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x14ac:dyDescent="0.25">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x14ac:dyDescent="0.25">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x14ac:dyDescent="0.25">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x14ac:dyDescent="0.25">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x14ac:dyDescent="0.25">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x14ac:dyDescent="0.25">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x14ac:dyDescent="0.25">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x14ac:dyDescent="0.25">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x14ac:dyDescent="0.25">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x14ac:dyDescent="0.25">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x14ac:dyDescent="0.25">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x14ac:dyDescent="0.25">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x14ac:dyDescent="0.25">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x14ac:dyDescent="0.25">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x14ac:dyDescent="0.25">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x14ac:dyDescent="0.25">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x14ac:dyDescent="0.25">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x14ac:dyDescent="0.25">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x14ac:dyDescent="0.25">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x14ac:dyDescent="0.25">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x14ac:dyDescent="0.25">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x14ac:dyDescent="0.25">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x14ac:dyDescent="0.25">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x14ac:dyDescent="0.25">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x14ac:dyDescent="0.25">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x14ac:dyDescent="0.25">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x14ac:dyDescent="0.25">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x14ac:dyDescent="0.25">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x14ac:dyDescent="0.25">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x14ac:dyDescent="0.25">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x14ac:dyDescent="0.25">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x14ac:dyDescent="0.25">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x14ac:dyDescent="0.25">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x14ac:dyDescent="0.25">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x14ac:dyDescent="0.25">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x14ac:dyDescent="0.25">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x14ac:dyDescent="0.25">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x14ac:dyDescent="0.25">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x14ac:dyDescent="0.25">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x14ac:dyDescent="0.25">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x14ac:dyDescent="0.25">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x14ac:dyDescent="0.25">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x14ac:dyDescent="0.25">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x14ac:dyDescent="0.25">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x14ac:dyDescent="0.25">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x14ac:dyDescent="0.25">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x14ac:dyDescent="0.25">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x14ac:dyDescent="0.25">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x14ac:dyDescent="0.25">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x14ac:dyDescent="0.25">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x14ac:dyDescent="0.25">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735"/>
      <c r="B5" s="735"/>
      <c r="AA5" s="735"/>
      <c r="AE5" s="735"/>
      <c r="AF5" s="735"/>
      <c r="AG5" s="735"/>
      <c r="AH5" s="735"/>
      <c r="AI5" s="735"/>
      <c r="AJ5" s="281"/>
    </row>
    <row r="6" spans="1:51" hidden="1" x14ac:dyDescent="0.25">
      <c r="A6" s="735"/>
      <c r="B6" s="735"/>
      <c r="AA6" s="735"/>
      <c r="AE6" s="735"/>
      <c r="AF6" s="735"/>
      <c r="AG6" s="735"/>
      <c r="AH6" s="735"/>
      <c r="AI6" s="735"/>
    </row>
    <row r="7" spans="1:51" hidden="1" x14ac:dyDescent="0.25">
      <c r="A7" s="735"/>
      <c r="B7" s="735"/>
      <c r="AA7" s="735"/>
      <c r="AE7" s="735"/>
      <c r="AF7" s="735"/>
      <c r="AG7" s="735"/>
      <c r="AH7" s="735"/>
      <c r="AI7" s="735"/>
    </row>
    <row r="8" spans="1:51" hidden="1" x14ac:dyDescent="0.25">
      <c r="A8" s="735"/>
      <c r="B8" s="735"/>
      <c r="X8" s="89"/>
    </row>
    <row r="9" spans="1:51" hidden="1" x14ac:dyDescent="0.25">
      <c r="A9" s="735"/>
      <c r="B9" s="735"/>
      <c r="X9" s="736"/>
      <c r="AI9" s="20"/>
      <c r="AJ9" s="20"/>
    </row>
    <row r="10" spans="1:51" hidden="1" x14ac:dyDescent="0.25">
      <c r="A10" s="735"/>
      <c r="B10" s="735"/>
      <c r="X10" s="736"/>
      <c r="AI10" s="20"/>
      <c r="AJ10" s="20"/>
    </row>
    <row r="11" spans="1:51" hidden="1" x14ac:dyDescent="0.25">
      <c r="A11" s="735"/>
      <c r="B11" s="735"/>
      <c r="D11" s="97"/>
      <c r="E11" s="97"/>
      <c r="F11" s="497"/>
      <c r="H11" s="282"/>
    </row>
    <row r="12" spans="1:51" hidden="1" x14ac:dyDescent="0.25">
      <c r="A12" s="735"/>
      <c r="B12" s="735"/>
      <c r="D12" s="98"/>
      <c r="E12" s="98"/>
    </row>
    <row r="13" spans="1:51" x14ac:dyDescent="0.25">
      <c r="A13" s="735"/>
      <c r="B13" s="735"/>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736"/>
      <c r="AQ13" s="736"/>
      <c r="AR13" s="736"/>
      <c r="AS13" s="736"/>
      <c r="AT13" s="736"/>
      <c r="AW13" s="736"/>
      <c r="AX13" s="736"/>
      <c r="AY13" s="736"/>
    </row>
    <row r="14" spans="1:51" s="497" customFormat="1" x14ac:dyDescent="0.25">
      <c r="A14" s="735"/>
      <c r="B14" s="735"/>
      <c r="C14" s="735"/>
      <c r="D14" s="474"/>
      <c r="E14" s="474"/>
      <c r="G14" s="735"/>
      <c r="J14" s="735"/>
      <c r="L14" s="735"/>
      <c r="Q14" s="735"/>
      <c r="S14" s="735"/>
      <c r="W14" s="735"/>
      <c r="Y14" s="735"/>
    </row>
    <row r="15" spans="1:51" s="82" customFormat="1" ht="30" x14ac:dyDescent="0.25">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x14ac:dyDescent="0.25">
      <c r="A16" s="91" t="s">
        <v>26</v>
      </c>
      <c r="B16" s="744">
        <f ca="1">'Configuración de Tablas'!H27</f>
        <v>7860.1283999999996</v>
      </c>
      <c r="E16" s="735"/>
      <c r="X16" s="736"/>
      <c r="AP16" s="736"/>
      <c r="AQ16" s="736"/>
      <c r="AR16" s="736"/>
      <c r="AS16" s="736"/>
      <c r="AT16" s="736"/>
      <c r="AW16" s="736"/>
      <c r="AX16" s="736"/>
      <c r="AY16" s="736"/>
    </row>
    <row r="17" spans="1:51" x14ac:dyDescent="0.25">
      <c r="A17" s="242" t="s">
        <v>27</v>
      </c>
      <c r="B17" s="743">
        <f>'Configuración de Tablas'!H28</f>
        <v>30</v>
      </c>
      <c r="D17" s="737"/>
      <c r="E17" s="735"/>
      <c r="P17" s="292">
        <f ca="1">SUM(__Interes)</f>
        <v>571.36118888341787</v>
      </c>
      <c r="R17" s="292">
        <f ca="1">SUM(__Iva)</f>
        <v>68.563342666010143</v>
      </c>
      <c r="T17" s="292"/>
      <c r="U17" s="292"/>
      <c r="V17" s="292">
        <f ca="1">SUM(__Capital)</f>
        <v>8041.7568599999995</v>
      </c>
      <c r="X17" s="292"/>
      <c r="Z17" s="292"/>
      <c r="AB17" s="292"/>
      <c r="AC17" s="292"/>
      <c r="AD17" s="292"/>
      <c r="AE17" s="293"/>
      <c r="AF17" s="293"/>
      <c r="AG17" s="293" t="s">
        <v>63</v>
      </c>
      <c r="AP17" s="736"/>
      <c r="AQ17" s="736"/>
      <c r="AR17" s="736"/>
      <c r="AS17" s="736"/>
      <c r="AT17" s="736"/>
      <c r="AW17" s="736"/>
      <c r="AX17" s="736"/>
      <c r="AY17" s="736"/>
    </row>
    <row r="18" spans="1:51" x14ac:dyDescent="0.25">
      <c r="A18" s="242" t="s">
        <v>1681</v>
      </c>
      <c r="B18" s="743">
        <f ca="1">'Configuración de Tablas'!H29</f>
        <v>12</v>
      </c>
      <c r="E18" s="735"/>
      <c r="X18" s="736"/>
      <c r="AP18" s="736"/>
      <c r="AQ18" s="736"/>
      <c r="AR18" s="736"/>
      <c r="AS18" s="736"/>
      <c r="AT18" s="736"/>
      <c r="AW18" s="736"/>
      <c r="AX18" s="736"/>
      <c r="AY18" s="736"/>
    </row>
    <row r="19" spans="1:51" x14ac:dyDescent="0.25">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720.51497629984556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737"/>
      <c r="AF19" s="737"/>
      <c r="AG19" s="737" t="s">
        <v>64</v>
      </c>
      <c r="AI19" s="91" t="s">
        <v>65</v>
      </c>
      <c r="AP19" s="736"/>
      <c r="AQ19" s="736"/>
      <c r="AR19" s="736"/>
      <c r="AS19" s="736"/>
      <c r="AT19" s="736"/>
      <c r="AW19" s="736"/>
      <c r="AX19" s="736"/>
      <c r="AY19" s="736"/>
    </row>
    <row r="20" spans="1:51" x14ac:dyDescent="0.25">
      <c r="A20" s="242" t="s">
        <v>1679</v>
      </c>
      <c r="B20" s="750">
        <f ca="1">'Configuración de Tablas'!H31</f>
        <v>0.12</v>
      </c>
      <c r="D20" s="736">
        <v>2</v>
      </c>
      <c r="E20" s="736">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737"/>
      <c r="AF20" s="737"/>
      <c r="AI20" s="91" t="s">
        <v>66</v>
      </c>
      <c r="AP20" s="736"/>
      <c r="AQ20" s="736"/>
      <c r="AR20" s="736"/>
      <c r="AS20" s="736"/>
      <c r="AT20" s="736"/>
      <c r="AW20" s="736"/>
      <c r="AX20" s="736"/>
      <c r="AY20" s="736"/>
    </row>
    <row r="21" spans="1:51" x14ac:dyDescent="0.25">
      <c r="A21" s="242" t="s">
        <v>1665</v>
      </c>
      <c r="B21" s="750">
        <f ca="1">'Configuración de Tablas'!H32</f>
        <v>0.129</v>
      </c>
      <c r="D21" s="736">
        <v>3</v>
      </c>
      <c r="E21" s="736">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737"/>
      <c r="AF21" s="737"/>
      <c r="AG21" s="737"/>
      <c r="AI21" s="91" t="s">
        <v>68</v>
      </c>
      <c r="AP21" s="736"/>
      <c r="AQ21" s="736"/>
      <c r="AR21" s="736"/>
      <c r="AS21" s="736"/>
      <c r="AT21" s="736"/>
      <c r="AW21" s="736"/>
      <c r="AX21" s="736"/>
      <c r="AY21" s="736"/>
    </row>
    <row r="22" spans="1:51" x14ac:dyDescent="0.25">
      <c r="A22" s="242" t="s">
        <v>21</v>
      </c>
      <c r="B22" s="744">
        <f>'Configuración de Tablas'!H33</f>
        <v>360</v>
      </c>
      <c r="D22" s="736">
        <v>4</v>
      </c>
      <c r="E22" s="736">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737"/>
      <c r="AF22" s="737"/>
      <c r="AG22" s="737"/>
      <c r="AI22" s="91" t="s">
        <v>70</v>
      </c>
      <c r="AP22" s="736"/>
      <c r="AQ22" s="736"/>
      <c r="AR22" s="736"/>
      <c r="AS22" s="736"/>
      <c r="AT22" s="736"/>
      <c r="AW22" s="736"/>
      <c r="AX22" s="736"/>
      <c r="AY22" s="736"/>
    </row>
    <row r="23" spans="1:51" x14ac:dyDescent="0.25">
      <c r="A23" s="91" t="s">
        <v>49</v>
      </c>
      <c r="B23" s="751" t="str">
        <f>'Configuración de Tablas'!H34</f>
        <v>Fechas!_Dias_Interes_Pago</v>
      </c>
      <c r="D23" s="736">
        <v>5</v>
      </c>
      <c r="E23" s="736">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737"/>
      <c r="AF23" s="737"/>
      <c r="AG23" s="737" t="s">
        <v>53</v>
      </c>
      <c r="AI23" s="91" t="s">
        <v>72</v>
      </c>
      <c r="AP23" s="736"/>
      <c r="AQ23" s="736"/>
      <c r="AR23" s="736"/>
      <c r="AS23" s="736"/>
      <c r="AT23" s="736"/>
      <c r="AW23" s="736"/>
      <c r="AX23" s="736"/>
      <c r="AY23" s="736"/>
    </row>
    <row r="24" spans="1:51" x14ac:dyDescent="0.25">
      <c r="A24" s="91" t="s">
        <v>50</v>
      </c>
      <c r="B24" s="752" t="b">
        <f>'Configuración de Tablas'!H35</f>
        <v>1</v>
      </c>
      <c r="D24" s="736">
        <v>6</v>
      </c>
      <c r="E24" s="736">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737"/>
      <c r="AF24" s="737"/>
      <c r="AI24" s="91" t="s">
        <v>85</v>
      </c>
      <c r="AP24" s="736"/>
      <c r="AQ24" s="736"/>
      <c r="AR24" s="736"/>
      <c r="AS24" s="736"/>
      <c r="AT24" s="736"/>
      <c r="AW24" s="736"/>
      <c r="AX24" s="736"/>
      <c r="AY24" s="736"/>
    </row>
    <row r="25" spans="1:51" x14ac:dyDescent="0.25">
      <c r="A25" s="91" t="s">
        <v>51</v>
      </c>
      <c r="B25" s="744">
        <f ca="1">'Configuración de Tablas'!H36</f>
        <v>181.62846000000002</v>
      </c>
      <c r="D25" s="736">
        <v>7</v>
      </c>
      <c r="E25" s="736">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737"/>
      <c r="AF25" s="737"/>
      <c r="AI25" s="91" t="s">
        <v>87</v>
      </c>
      <c r="AP25" s="736"/>
      <c r="AQ25" s="736"/>
      <c r="AR25" s="736"/>
      <c r="AS25" s="736"/>
      <c r="AT25" s="736"/>
      <c r="AW25" s="736"/>
      <c r="AX25" s="736"/>
      <c r="AY25" s="736"/>
    </row>
    <row r="26" spans="1:51" x14ac:dyDescent="0.25">
      <c r="A26" s="91" t="s">
        <v>52</v>
      </c>
      <c r="B26" s="744" t="str">
        <f>'Configuración de Tablas'!H37</f>
        <v>Fechas!_Dias_Interes_CAT</v>
      </c>
      <c r="D26" s="736">
        <v>8</v>
      </c>
      <c r="E26" s="736">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737"/>
      <c r="AF26" s="737"/>
      <c r="AG26" s="737" t="s">
        <v>84</v>
      </c>
      <c r="AI26" s="91" t="s">
        <v>88</v>
      </c>
      <c r="AP26" s="736"/>
      <c r="AQ26" s="736"/>
      <c r="AR26" s="736"/>
      <c r="AS26" s="736"/>
      <c r="AT26" s="736"/>
      <c r="AW26" s="736"/>
      <c r="AX26" s="736"/>
      <c r="AY26" s="736"/>
    </row>
    <row r="27" spans="1:51" x14ac:dyDescent="0.25">
      <c r="D27" s="736">
        <v>9</v>
      </c>
      <c r="E27" s="736">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737"/>
      <c r="AF27" s="737"/>
      <c r="AG27" s="737" t="s">
        <v>131</v>
      </c>
      <c r="AI27" s="91" t="s">
        <v>134</v>
      </c>
      <c r="AJ27" s="32"/>
      <c r="AP27" s="736"/>
      <c r="AQ27" s="736"/>
      <c r="AR27" s="736"/>
      <c r="AS27" s="736"/>
      <c r="AT27" s="736"/>
      <c r="AW27" s="736"/>
      <c r="AX27" s="736"/>
      <c r="AY27" s="736"/>
    </row>
    <row r="28" spans="1:51" x14ac:dyDescent="0.25">
      <c r="A28" s="286" t="s">
        <v>440</v>
      </c>
      <c r="B28" s="278"/>
      <c r="D28" s="736">
        <v>10</v>
      </c>
      <c r="E28" s="736">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737"/>
      <c r="AF28" s="737"/>
      <c r="AG28" s="737" t="s">
        <v>2416</v>
      </c>
      <c r="AH28" s="294">
        <v>41212</v>
      </c>
      <c r="AI28" s="245" t="s">
        <v>2417</v>
      </c>
      <c r="AJ28" s="32"/>
      <c r="AP28" s="736"/>
      <c r="AQ28" s="736"/>
      <c r="AR28" s="736"/>
      <c r="AS28" s="736"/>
      <c r="AT28" s="736"/>
      <c r="AW28" s="736"/>
      <c r="AX28" s="736"/>
      <c r="AY28" s="736"/>
    </row>
    <row r="29" spans="1:51" x14ac:dyDescent="0.25">
      <c r="A29" s="753" t="s">
        <v>76</v>
      </c>
      <c r="B29" s="754"/>
      <c r="D29" s="736">
        <v>11</v>
      </c>
      <c r="E29" s="736">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737"/>
      <c r="AF29" s="737"/>
      <c r="AG29" s="737" t="s">
        <v>5354</v>
      </c>
      <c r="AH29" s="294">
        <v>42271</v>
      </c>
      <c r="AI29" s="245" t="s">
        <v>5355</v>
      </c>
      <c r="AJ29" s="32"/>
      <c r="AP29" s="736"/>
      <c r="AQ29" s="736"/>
      <c r="AR29" s="736"/>
      <c r="AS29" s="736"/>
      <c r="AT29" s="736"/>
      <c r="AW29" s="736"/>
      <c r="AX29" s="736"/>
      <c r="AY29" s="736"/>
    </row>
    <row r="30" spans="1:51" x14ac:dyDescent="0.25">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737"/>
      <c r="AF30" s="737"/>
      <c r="AG30" s="737"/>
      <c r="AH30" s="294"/>
      <c r="AI30" s="245"/>
      <c r="AJ30" s="32"/>
      <c r="AP30" s="736"/>
      <c r="AQ30" s="736"/>
      <c r="AR30" s="736"/>
      <c r="AS30" s="736"/>
      <c r="AT30" s="736"/>
      <c r="AW30" s="736"/>
      <c r="AX30" s="736"/>
      <c r="AY30" s="736"/>
    </row>
    <row r="31" spans="1:51" x14ac:dyDescent="0.25">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x14ac:dyDescent="0.25">
      <c r="A32" s="755" t="s">
        <v>51</v>
      </c>
      <c r="B32" s="744">
        <f ca="1" xml:space="preserve"> IF( ISNUMBER( i.Monto.Extra.Ciclo.1 ), i.Monto.Extra.Ciclo.1, 0 ) * ( _Tabla.Ciclica.Anual? )</f>
        <v>181.62846000000002</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x14ac:dyDescent="0.25">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x14ac:dyDescent="0.25">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x14ac:dyDescent="0.25">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x14ac:dyDescent="0.25">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x14ac:dyDescent="0.25">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x14ac:dyDescent="0.25">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x14ac:dyDescent="0.25">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x14ac:dyDescent="0.25">
      <c r="A40" s="91" t="s">
        <v>67</v>
      </c>
      <c r="B40" s="20">
        <f ca="1">-PPMT(_Tasa.Por.Periodo*(1+i.Iva.Intereses),1,_Periodos.Por.Ciclo,i.Monto.Financiar)</f>
        <v>612.760249007011</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x14ac:dyDescent="0.25">
      <c r="A41" s="91" t="s">
        <v>69</v>
      </c>
      <c r="B41" s="20">
        <f ca="1">-IPMT(_Tasa.Diaria.Por.Periodo*(1+i.Iva.Intereses),1,_Periodos.Por.Ciclo,i.Monto.Financiar)</f>
        <v>94.635945935999999</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x14ac:dyDescent="0.25">
      <c r="A42" s="88" t="s">
        <v>71</v>
      </c>
      <c r="B42" s="20">
        <f ca="1">SUM(_Componentes.Pago.Fijo)</f>
        <v>707.39619494301098</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x14ac:dyDescent="0.25">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x14ac:dyDescent="0.25">
      <c r="A44" s="91" t="s">
        <v>73</v>
      </c>
      <c r="B44" s="20">
        <f ca="1">-PPMT(_Tasa.Por.Periodo*(1+i.Iva.Intereses),1,_Periodos.Por.Ciclo,_Monto.Extra.Ciclo.1)</f>
        <v>14.159399784914447</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x14ac:dyDescent="0.25">
      <c r="A45" s="91" t="s">
        <v>74</v>
      </c>
      <c r="B45" s="20">
        <f ca="1">-IPMT(_Tasa.Diaria.Por.Periodo*(1+i.Iva.Intereses),1,_Periodos.Por.Ciclo,_Monto.Extra.Ciclo.1)</f>
        <v>2.1868066584000001</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x14ac:dyDescent="0.25">
      <c r="A46" s="88" t="s">
        <v>75</v>
      </c>
      <c r="B46" s="20">
        <f ca="1">SUM(_Componentes.Pago.Fijo.Inicial)</f>
        <v>16.346206443314447</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x14ac:dyDescent="0.25">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x14ac:dyDescent="0.25">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x14ac:dyDescent="0.25">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x14ac:dyDescent="0.25">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x14ac:dyDescent="0.25">
      <c r="A51" s="757" t="s">
        <v>5356</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x14ac:dyDescent="0.25">
      <c r="A52" s="759" t="s">
        <v>5357</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x14ac:dyDescent="0.25">
      <c r="A53" s="737" t="s">
        <v>5358</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x14ac:dyDescent="0.25">
      <c r="A54" s="736" t="s">
        <v>5359</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x14ac:dyDescent="0.25">
      <c r="A55" s="736" t="s">
        <v>5360</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x14ac:dyDescent="0.25">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x14ac:dyDescent="0.25">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x14ac:dyDescent="0.25">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x14ac:dyDescent="0.25">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x14ac:dyDescent="0.25">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x14ac:dyDescent="0.25">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x14ac:dyDescent="0.25">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x14ac:dyDescent="0.25">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x14ac:dyDescent="0.25">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x14ac:dyDescent="0.25">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x14ac:dyDescent="0.25">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x14ac:dyDescent="0.25">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x14ac:dyDescent="0.25">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x14ac:dyDescent="0.25">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x14ac:dyDescent="0.25">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x14ac:dyDescent="0.25">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x14ac:dyDescent="0.25">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x14ac:dyDescent="0.25">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x14ac:dyDescent="0.25">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x14ac:dyDescent="0.25">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x14ac:dyDescent="0.25">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x14ac:dyDescent="0.25">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x14ac:dyDescent="0.25">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x14ac:dyDescent="0.25">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x14ac:dyDescent="0.25">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x14ac:dyDescent="0.25">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x14ac:dyDescent="0.25">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x14ac:dyDescent="0.25">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x14ac:dyDescent="0.25">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x14ac:dyDescent="0.25">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x14ac:dyDescent="0.25">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x14ac:dyDescent="0.25">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x14ac:dyDescent="0.25">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x14ac:dyDescent="0.25">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x14ac:dyDescent="0.25">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x14ac:dyDescent="0.25">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x14ac:dyDescent="0.35">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x14ac:dyDescent="0.25">
      <c r="A2" s="748" t="s">
        <v>5348</v>
      </c>
      <c r="G2" s="474"/>
      <c r="I2" s="474"/>
      <c r="J2" s="474"/>
      <c r="K2" s="474"/>
      <c r="L2" s="474"/>
      <c r="M2" s="242"/>
      <c r="T2" s="474"/>
      <c r="U2" s="474"/>
      <c r="V2" s="474"/>
      <c r="W2" s="474"/>
      <c r="X2" s="474"/>
      <c r="AA2" s="474"/>
      <c r="AB2" s="474"/>
      <c r="AC2" s="474"/>
    </row>
    <row r="3" spans="1:29" s="496" customFormat="1" ht="15" customHeight="1" x14ac:dyDescent="0.25">
      <c r="A3" s="91" t="s">
        <v>5349</v>
      </c>
      <c r="B3" s="735"/>
      <c r="G3" s="103"/>
      <c r="I3" s="103"/>
      <c r="J3" s="103"/>
      <c r="K3" s="103"/>
      <c r="L3" s="103"/>
      <c r="M3" s="297"/>
      <c r="T3" s="103"/>
      <c r="U3" s="103"/>
      <c r="V3" s="103"/>
      <c r="W3" s="103"/>
      <c r="X3" s="103"/>
      <c r="AA3" s="103"/>
      <c r="AB3" s="103"/>
      <c r="AC3" s="103"/>
    </row>
    <row r="4" spans="1:29" s="497" customFormat="1" ht="15" hidden="1" customHeight="1" x14ac:dyDescent="0.25">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x14ac:dyDescent="0.25">
      <c r="A5" s="735"/>
      <c r="B5" s="735"/>
      <c r="G5" s="735"/>
      <c r="I5" s="735"/>
      <c r="J5" s="735"/>
      <c r="K5" s="735"/>
      <c r="L5" s="735"/>
      <c r="M5" s="91"/>
      <c r="N5" s="281"/>
      <c r="T5" s="735"/>
      <c r="U5" s="735"/>
      <c r="V5" s="735"/>
      <c r="W5" s="735"/>
      <c r="X5" s="735"/>
      <c r="AA5" s="735"/>
      <c r="AB5" s="735"/>
      <c r="AC5" s="735"/>
    </row>
    <row r="6" spans="1:29" s="736" customFormat="1" ht="15" hidden="1" customHeight="1" x14ac:dyDescent="0.25">
      <c r="A6" s="735"/>
      <c r="B6" s="735"/>
      <c r="G6" s="735"/>
      <c r="I6" s="735"/>
      <c r="J6" s="735"/>
      <c r="K6" s="735"/>
      <c r="L6" s="735"/>
      <c r="M6" s="91"/>
      <c r="T6" s="735"/>
      <c r="U6" s="735"/>
      <c r="V6" s="735"/>
      <c r="W6" s="735"/>
      <c r="X6" s="735"/>
      <c r="AA6" s="735"/>
      <c r="AB6" s="735"/>
      <c r="AC6" s="735"/>
    </row>
    <row r="7" spans="1:29" s="736" customFormat="1" ht="15" hidden="1" customHeight="1" x14ac:dyDescent="0.25">
      <c r="A7" s="735"/>
      <c r="B7" s="735"/>
      <c r="G7" s="735"/>
      <c r="I7" s="735"/>
      <c r="J7" s="735"/>
      <c r="K7" s="735"/>
      <c r="L7" s="735"/>
      <c r="M7" s="91"/>
      <c r="T7" s="735"/>
      <c r="U7" s="735"/>
      <c r="V7" s="735"/>
      <c r="W7" s="735"/>
      <c r="X7" s="735"/>
      <c r="AA7" s="735"/>
      <c r="AB7" s="735"/>
      <c r="AC7" s="735"/>
    </row>
    <row r="8" spans="1:29" s="736" customFormat="1" ht="15" hidden="1" customHeight="1" x14ac:dyDescent="0.25">
      <c r="A8" s="735"/>
      <c r="B8" s="735"/>
      <c r="G8" s="735"/>
      <c r="M8" s="91"/>
      <c r="T8" s="735"/>
      <c r="U8" s="735"/>
      <c r="V8" s="735"/>
      <c r="W8" s="735"/>
      <c r="X8" s="735"/>
      <c r="AA8" s="735"/>
      <c r="AB8" s="735"/>
      <c r="AC8" s="735"/>
    </row>
    <row r="9" spans="1:29" s="736" customFormat="1" ht="15" hidden="1" customHeight="1" x14ac:dyDescent="0.25">
      <c r="A9" s="735"/>
      <c r="B9" s="735"/>
      <c r="G9" s="735"/>
      <c r="M9" s="88"/>
      <c r="N9" s="20"/>
      <c r="T9" s="735"/>
      <c r="U9" s="735"/>
      <c r="V9" s="735"/>
      <c r="W9" s="735"/>
      <c r="X9" s="735"/>
      <c r="AA9" s="735"/>
      <c r="AB9" s="735"/>
      <c r="AC9" s="735"/>
    </row>
    <row r="10" spans="1:29" s="736" customFormat="1" ht="15" hidden="1" customHeight="1" x14ac:dyDescent="0.25">
      <c r="A10" s="735"/>
      <c r="B10" s="735"/>
      <c r="G10" s="735"/>
      <c r="M10" s="88"/>
      <c r="N10" s="20"/>
      <c r="T10" s="735"/>
      <c r="U10" s="735"/>
      <c r="V10" s="735"/>
      <c r="W10" s="735"/>
      <c r="X10" s="735"/>
      <c r="AA10" s="735"/>
      <c r="AB10" s="735"/>
      <c r="AC10" s="735"/>
    </row>
    <row r="11" spans="1:29" s="736" customFormat="1" ht="15" hidden="1" customHeight="1" x14ac:dyDescent="0.25">
      <c r="A11" s="735"/>
      <c r="B11" s="735"/>
      <c r="D11" s="97"/>
      <c r="E11" s="97"/>
      <c r="F11" s="497"/>
      <c r="G11" s="735"/>
      <c r="H11" s="282"/>
      <c r="M11" s="91"/>
      <c r="T11" s="735"/>
      <c r="U11" s="735"/>
      <c r="V11" s="735"/>
      <c r="W11" s="735"/>
      <c r="X11" s="735"/>
      <c r="AA11" s="735"/>
      <c r="AB11" s="735"/>
      <c r="AC11" s="735"/>
    </row>
    <row r="12" spans="1:29" s="736" customFormat="1" hidden="1" x14ac:dyDescent="0.25">
      <c r="A12" s="735"/>
      <c r="B12" s="735"/>
      <c r="D12" s="97"/>
      <c r="E12" s="97"/>
      <c r="F12" s="497"/>
      <c r="G12" s="735"/>
      <c r="H12" s="282"/>
      <c r="M12" s="91"/>
      <c r="T12" s="735"/>
      <c r="U12" s="735"/>
      <c r="V12" s="735"/>
      <c r="W12" s="735"/>
      <c r="X12" s="735"/>
      <c r="AA12" s="735"/>
      <c r="AB12" s="735"/>
      <c r="AC12" s="735"/>
    </row>
    <row r="13" spans="1:29" s="736" customFormat="1" hidden="1" x14ac:dyDescent="0.25">
      <c r="A13" s="735"/>
      <c r="B13" s="735"/>
      <c r="D13" s="735"/>
      <c r="E13" s="735"/>
      <c r="F13" s="735"/>
      <c r="G13" s="735"/>
      <c r="H13" s="735"/>
      <c r="M13" s="91"/>
    </row>
    <row r="14" spans="1:29" s="497" customFormat="1" x14ac:dyDescent="0.25">
      <c r="A14" s="735"/>
      <c r="B14" s="735"/>
      <c r="D14" s="474"/>
      <c r="E14" s="474"/>
      <c r="G14" s="735"/>
      <c r="M14" s="242"/>
    </row>
    <row r="15" spans="1:29" s="82" customFormat="1" x14ac:dyDescent="0.25">
      <c r="A15" s="747" t="s">
        <v>5277</v>
      </c>
      <c r="B15" s="746"/>
      <c r="C15" s="87"/>
      <c r="D15" s="287" t="s">
        <v>2419</v>
      </c>
      <c r="E15" s="287" t="s">
        <v>2420</v>
      </c>
      <c r="F15" s="287" t="s">
        <v>2421</v>
      </c>
      <c r="G15" s="735"/>
      <c r="H15" s="745" t="s">
        <v>2422</v>
      </c>
      <c r="M15" s="298"/>
    </row>
    <row r="16" spans="1:29" x14ac:dyDescent="0.25">
      <c r="A16" s="91" t="s">
        <v>2423</v>
      </c>
      <c r="B16" s="744">
        <f ca="1">'Configuración de Tablas'!K27</f>
        <v>7860.1283999999996</v>
      </c>
      <c r="E16" s="735"/>
    </row>
    <row r="17" spans="1:13" x14ac:dyDescent="0.25">
      <c r="A17" s="91" t="s">
        <v>2425</v>
      </c>
      <c r="B17" s="743">
        <f ca="1">'Configuración de Tablas'!K28</f>
        <v>12</v>
      </c>
      <c r="D17" s="737"/>
      <c r="E17" s="735"/>
      <c r="K17" s="293" t="s">
        <v>63</v>
      </c>
      <c r="L17" s="736"/>
    </row>
    <row r="18" spans="1:13" x14ac:dyDescent="0.25">
      <c r="A18" s="91" t="s">
        <v>2426</v>
      </c>
      <c r="B18" s="743">
        <f ca="1">'Configuración de Tablas'!K29</f>
        <v>12</v>
      </c>
      <c r="D18" s="280">
        <v>0</v>
      </c>
      <c r="E18" s="296"/>
      <c r="F18" s="280"/>
      <c r="G18" s="296"/>
      <c r="H18" s="280"/>
      <c r="K18" s="736"/>
      <c r="L18" s="736"/>
    </row>
    <row r="19" spans="1:13" x14ac:dyDescent="0.25">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x14ac:dyDescent="0.25">
      <c r="A20" s="286" t="s">
        <v>440</v>
      </c>
      <c r="B20" s="278"/>
      <c r="D20" s="736">
        <v>2</v>
      </c>
      <c r="E20" s="736">
        <f t="shared" ca="1" si="0"/>
        <v>2</v>
      </c>
      <c r="F20" s="32">
        <f t="shared" ca="1" si="1"/>
        <v>1</v>
      </c>
      <c r="H20" s="20">
        <f t="shared" ca="1" si="2"/>
        <v>0</v>
      </c>
      <c r="K20" s="735" t="s">
        <v>5348</v>
      </c>
      <c r="L20" s="299">
        <v>42271</v>
      </c>
      <c r="M20" s="735" t="s">
        <v>5347</v>
      </c>
    </row>
    <row r="21" spans="1:13" x14ac:dyDescent="0.25">
      <c r="A21" s="88" t="s">
        <v>2424</v>
      </c>
      <c r="B21" s="237">
        <f ca="1">i.Periodos.Por.Año</f>
        <v>12</v>
      </c>
      <c r="D21" s="736">
        <v>3</v>
      </c>
      <c r="E21" s="736">
        <f t="shared" ca="1" si="0"/>
        <v>3</v>
      </c>
      <c r="F21" s="32">
        <f t="shared" ca="1" si="1"/>
        <v>1</v>
      </c>
      <c r="H21" s="20">
        <f t="shared" ca="1" si="2"/>
        <v>0</v>
      </c>
      <c r="M21" s="735" t="s">
        <v>5346</v>
      </c>
    </row>
    <row r="22" spans="1:13" x14ac:dyDescent="0.25">
      <c r="A22" s="735"/>
      <c r="B22" s="735"/>
      <c r="D22" s="736">
        <v>4</v>
      </c>
      <c r="E22" s="736">
        <f t="shared" ca="1" si="0"/>
        <v>4</v>
      </c>
      <c r="F22" s="32">
        <f t="shared" ca="1" si="1"/>
        <v>1</v>
      </c>
      <c r="H22" s="20">
        <f t="shared" ca="1" si="2"/>
        <v>0</v>
      </c>
      <c r="M22" s="735" t="s">
        <v>5345</v>
      </c>
    </row>
    <row r="23" spans="1:13" x14ac:dyDescent="0.25">
      <c r="A23" s="735"/>
      <c r="B23" s="735"/>
      <c r="D23" s="736">
        <v>5</v>
      </c>
      <c r="E23" s="736">
        <f t="shared" ca="1" si="0"/>
        <v>5</v>
      </c>
      <c r="F23" s="32">
        <f t="shared" ca="1" si="1"/>
        <v>1</v>
      </c>
      <c r="H23" s="20">
        <f t="shared" ca="1" si="2"/>
        <v>0</v>
      </c>
      <c r="M23" s="735" t="s">
        <v>5344</v>
      </c>
    </row>
    <row r="24" spans="1:13" x14ac:dyDescent="0.25">
      <c r="A24" s="735"/>
      <c r="B24" s="735"/>
      <c r="D24" s="736">
        <v>6</v>
      </c>
      <c r="E24" s="736">
        <f t="shared" ca="1" si="0"/>
        <v>6</v>
      </c>
      <c r="F24" s="32">
        <f t="shared" ca="1" si="1"/>
        <v>1</v>
      </c>
      <c r="H24" s="20">
        <f t="shared" ca="1" si="2"/>
        <v>0</v>
      </c>
      <c r="M24" s="735" t="s">
        <v>5343</v>
      </c>
    </row>
    <row r="25" spans="1:13" x14ac:dyDescent="0.25">
      <c r="A25" s="735"/>
      <c r="B25" s="735"/>
      <c r="D25" s="736">
        <v>7</v>
      </c>
      <c r="E25" s="736">
        <f t="shared" ca="1" si="0"/>
        <v>7</v>
      </c>
      <c r="F25" s="32">
        <f t="shared" ca="1" si="1"/>
        <v>1</v>
      </c>
      <c r="H25" s="20">
        <f t="shared" ca="1" si="2"/>
        <v>0</v>
      </c>
    </row>
    <row r="26" spans="1:13" x14ac:dyDescent="0.25">
      <c r="A26" s="735"/>
      <c r="B26" s="735"/>
      <c r="D26" s="736">
        <v>8</v>
      </c>
      <c r="E26" s="736">
        <f t="shared" ca="1" si="0"/>
        <v>8</v>
      </c>
      <c r="F26" s="32">
        <f t="shared" ca="1" si="1"/>
        <v>1</v>
      </c>
      <c r="H26" s="20">
        <f t="shared" ca="1" si="2"/>
        <v>0</v>
      </c>
    </row>
    <row r="27" spans="1:13" x14ac:dyDescent="0.25">
      <c r="A27" s="735"/>
      <c r="B27" s="735"/>
      <c r="D27" s="736">
        <v>9</v>
      </c>
      <c r="E27" s="736">
        <f t="shared" ca="1" si="0"/>
        <v>9</v>
      </c>
      <c r="F27" s="32">
        <f t="shared" ca="1" si="1"/>
        <v>1</v>
      </c>
      <c r="H27" s="20">
        <f t="shared" ca="1" si="2"/>
        <v>0</v>
      </c>
    </row>
    <row r="28" spans="1:13" x14ac:dyDescent="0.25">
      <c r="D28" s="736">
        <v>10</v>
      </c>
      <c r="E28" s="736">
        <f t="shared" ca="1" si="0"/>
        <v>10</v>
      </c>
      <c r="F28" s="32">
        <f t="shared" ca="1" si="1"/>
        <v>1</v>
      </c>
      <c r="H28" s="20">
        <f t="shared" ca="1" si="2"/>
        <v>0</v>
      </c>
    </row>
    <row r="29" spans="1:13" x14ac:dyDescent="0.25">
      <c r="D29" s="736">
        <v>11</v>
      </c>
      <c r="E29" s="736">
        <f t="shared" ca="1" si="0"/>
        <v>11</v>
      </c>
      <c r="F29" s="32">
        <f t="shared" ca="1" si="1"/>
        <v>1</v>
      </c>
      <c r="H29" s="20">
        <f t="shared" ca="1" si="2"/>
        <v>0</v>
      </c>
    </row>
    <row r="30" spans="1:13" x14ac:dyDescent="0.25">
      <c r="D30" s="736">
        <v>12</v>
      </c>
      <c r="E30" s="736">
        <f t="shared" ca="1" si="0"/>
        <v>12</v>
      </c>
      <c r="F30" s="32">
        <f t="shared" ca="1" si="1"/>
        <v>1</v>
      </c>
      <c r="H30" s="20">
        <f t="shared" ca="1" si="2"/>
        <v>0</v>
      </c>
    </row>
    <row r="31" spans="1:13" x14ac:dyDescent="0.25">
      <c r="D31" s="736">
        <v>13</v>
      </c>
      <c r="E31" s="736">
        <f t="shared" ca="1" si="0"/>
        <v>1</v>
      </c>
      <c r="F31" s="32">
        <f t="shared" ca="1" si="1"/>
        <v>2</v>
      </c>
      <c r="H31" s="20">
        <f t="shared" ca="1" si="2"/>
        <v>0</v>
      </c>
    </row>
    <row r="32" spans="1:13" x14ac:dyDescent="0.25">
      <c r="D32" s="736">
        <v>14</v>
      </c>
      <c r="E32" s="736">
        <f t="shared" ca="1" si="0"/>
        <v>2</v>
      </c>
      <c r="F32" s="32">
        <f t="shared" ca="1" si="1"/>
        <v>2</v>
      </c>
      <c r="H32" s="20">
        <f t="shared" ca="1" si="2"/>
        <v>0</v>
      </c>
    </row>
    <row r="33" spans="1:8" x14ac:dyDescent="0.25">
      <c r="D33" s="736">
        <v>15</v>
      </c>
      <c r="E33" s="736">
        <f t="shared" ca="1" si="0"/>
        <v>3</v>
      </c>
      <c r="F33" s="32">
        <f t="shared" ca="1" si="1"/>
        <v>2</v>
      </c>
      <c r="H33" s="20">
        <f t="shared" ca="1" si="2"/>
        <v>0</v>
      </c>
    </row>
    <row r="34" spans="1:8" x14ac:dyDescent="0.25">
      <c r="D34" s="736">
        <v>16</v>
      </c>
      <c r="E34" s="736">
        <f t="shared" ca="1" si="0"/>
        <v>4</v>
      </c>
      <c r="F34" s="32">
        <f t="shared" ca="1" si="1"/>
        <v>2</v>
      </c>
      <c r="H34" s="20">
        <f t="shared" ca="1" si="2"/>
        <v>0</v>
      </c>
    </row>
    <row r="35" spans="1:8" x14ac:dyDescent="0.25">
      <c r="D35" s="736">
        <v>17</v>
      </c>
      <c r="E35" s="736">
        <f t="shared" ca="1" si="0"/>
        <v>5</v>
      </c>
      <c r="F35" s="32">
        <f t="shared" ca="1" si="1"/>
        <v>2</v>
      </c>
      <c r="H35" s="20">
        <f t="shared" ca="1" si="2"/>
        <v>0</v>
      </c>
    </row>
    <row r="36" spans="1:8" x14ac:dyDescent="0.25">
      <c r="A36" s="32"/>
      <c r="B36" s="90"/>
      <c r="D36" s="736">
        <v>18</v>
      </c>
      <c r="E36" s="736">
        <f t="shared" ca="1" si="0"/>
        <v>6</v>
      </c>
      <c r="F36" s="32">
        <f t="shared" ca="1" si="1"/>
        <v>2</v>
      </c>
      <c r="H36" s="20">
        <f t="shared" ca="1" si="2"/>
        <v>0</v>
      </c>
    </row>
    <row r="37" spans="1:8" x14ac:dyDescent="0.25">
      <c r="D37" s="736">
        <v>19</v>
      </c>
      <c r="E37" s="736">
        <f t="shared" ca="1" si="0"/>
        <v>7</v>
      </c>
      <c r="F37" s="32">
        <f t="shared" ca="1" si="1"/>
        <v>2</v>
      </c>
      <c r="H37" s="20">
        <f t="shared" ca="1" si="2"/>
        <v>0</v>
      </c>
    </row>
    <row r="38" spans="1:8" x14ac:dyDescent="0.25">
      <c r="A38" s="32"/>
      <c r="B38" s="32"/>
      <c r="D38" s="736">
        <v>20</v>
      </c>
      <c r="E38" s="736">
        <f t="shared" ca="1" si="0"/>
        <v>8</v>
      </c>
      <c r="F38" s="32">
        <f t="shared" ca="1" si="1"/>
        <v>2</v>
      </c>
      <c r="H38" s="20">
        <f t="shared" ca="1" si="2"/>
        <v>0</v>
      </c>
    </row>
    <row r="39" spans="1:8" x14ac:dyDescent="0.25">
      <c r="A39" s="32"/>
      <c r="B39" s="32"/>
      <c r="D39" s="736">
        <v>21</v>
      </c>
      <c r="E39" s="736">
        <f t="shared" ca="1" si="0"/>
        <v>9</v>
      </c>
      <c r="F39" s="32">
        <f t="shared" ca="1" si="1"/>
        <v>2</v>
      </c>
      <c r="H39" s="20">
        <f t="shared" ca="1" si="2"/>
        <v>0</v>
      </c>
    </row>
    <row r="40" spans="1:8" x14ac:dyDescent="0.25">
      <c r="A40" s="32"/>
      <c r="B40" s="32"/>
      <c r="D40" s="736">
        <v>22</v>
      </c>
      <c r="E40" s="736">
        <f t="shared" ca="1" si="0"/>
        <v>10</v>
      </c>
      <c r="F40" s="32">
        <f t="shared" ca="1" si="1"/>
        <v>2</v>
      </c>
      <c r="H40" s="20">
        <f t="shared" ca="1" si="2"/>
        <v>0</v>
      </c>
    </row>
    <row r="41" spans="1:8" x14ac:dyDescent="0.25">
      <c r="A41" s="246"/>
      <c r="B41" s="246"/>
      <c r="D41" s="736">
        <v>23</v>
      </c>
      <c r="E41" s="736">
        <f t="shared" ca="1" si="0"/>
        <v>11</v>
      </c>
      <c r="F41" s="32">
        <f t="shared" ca="1" si="1"/>
        <v>2</v>
      </c>
      <c r="H41" s="20">
        <f t="shared" ca="1" si="2"/>
        <v>0</v>
      </c>
    </row>
    <row r="42" spans="1:8" x14ac:dyDescent="0.25">
      <c r="A42" s="32"/>
      <c r="B42" s="32"/>
      <c r="D42" s="736">
        <v>24</v>
      </c>
      <c r="E42" s="736">
        <f t="shared" ca="1" si="0"/>
        <v>12</v>
      </c>
      <c r="F42" s="32">
        <f t="shared" ca="1" si="1"/>
        <v>2</v>
      </c>
      <c r="H42" s="20">
        <f t="shared" ca="1" si="2"/>
        <v>0</v>
      </c>
    </row>
    <row r="43" spans="1:8" x14ac:dyDescent="0.25">
      <c r="A43" s="32"/>
      <c r="B43" s="32"/>
      <c r="C43" s="100"/>
      <c r="D43" s="736">
        <v>25</v>
      </c>
      <c r="E43" s="736">
        <f t="shared" ca="1" si="0"/>
        <v>1</v>
      </c>
      <c r="F43" s="32">
        <f t="shared" ca="1" si="1"/>
        <v>3</v>
      </c>
      <c r="H43" s="20">
        <f t="shared" ca="1" si="2"/>
        <v>0</v>
      </c>
    </row>
    <row r="44" spans="1:8" x14ac:dyDescent="0.25">
      <c r="A44" s="32"/>
      <c r="B44" s="32"/>
      <c r="D44" s="736">
        <v>26</v>
      </c>
      <c r="E44" s="736">
        <f t="shared" ca="1" si="0"/>
        <v>2</v>
      </c>
      <c r="F44" s="32">
        <f t="shared" ca="1" si="1"/>
        <v>3</v>
      </c>
      <c r="H44" s="20">
        <f t="shared" ca="1" si="2"/>
        <v>0</v>
      </c>
    </row>
    <row r="45" spans="1:8" x14ac:dyDescent="0.25">
      <c r="A45" s="32"/>
      <c r="B45" s="32"/>
      <c r="D45" s="736">
        <v>27</v>
      </c>
      <c r="E45" s="736">
        <f t="shared" ca="1" si="0"/>
        <v>3</v>
      </c>
      <c r="F45" s="32">
        <f t="shared" ca="1" si="1"/>
        <v>3</v>
      </c>
      <c r="H45" s="20">
        <f t="shared" ca="1" si="2"/>
        <v>0</v>
      </c>
    </row>
    <row r="46" spans="1:8" x14ac:dyDescent="0.25">
      <c r="A46" s="32"/>
      <c r="B46" s="32"/>
      <c r="D46" s="736">
        <v>28</v>
      </c>
      <c r="E46" s="736">
        <f t="shared" ca="1" si="0"/>
        <v>4</v>
      </c>
      <c r="F46" s="32">
        <f t="shared" ca="1" si="1"/>
        <v>3</v>
      </c>
      <c r="H46" s="20">
        <f t="shared" ca="1" si="2"/>
        <v>0</v>
      </c>
    </row>
    <row r="47" spans="1:8" x14ac:dyDescent="0.25">
      <c r="A47" s="32"/>
      <c r="B47" s="32"/>
      <c r="D47" s="736">
        <v>29</v>
      </c>
      <c r="E47" s="736">
        <f t="shared" ca="1" si="0"/>
        <v>5</v>
      </c>
      <c r="F47" s="32">
        <f t="shared" ca="1" si="1"/>
        <v>3</v>
      </c>
      <c r="H47" s="20">
        <f t="shared" ca="1" si="2"/>
        <v>0</v>
      </c>
    </row>
    <row r="48" spans="1:8" x14ac:dyDescent="0.25">
      <c r="A48" s="32"/>
      <c r="B48" s="32"/>
      <c r="D48" s="736">
        <v>30</v>
      </c>
      <c r="E48" s="736">
        <f t="shared" ca="1" si="0"/>
        <v>6</v>
      </c>
      <c r="F48" s="32">
        <f t="shared" ca="1" si="1"/>
        <v>3</v>
      </c>
      <c r="H48" s="20">
        <f t="shared" ca="1" si="2"/>
        <v>0</v>
      </c>
    </row>
    <row r="49" spans="1:8" x14ac:dyDescent="0.25">
      <c r="A49" s="32"/>
      <c r="B49" s="32"/>
      <c r="D49" s="736">
        <v>31</v>
      </c>
      <c r="E49" s="736">
        <f t="shared" ca="1" si="0"/>
        <v>7</v>
      </c>
      <c r="F49" s="32">
        <f t="shared" ca="1" si="1"/>
        <v>3</v>
      </c>
      <c r="H49" s="20">
        <f t="shared" ca="1" si="2"/>
        <v>0</v>
      </c>
    </row>
    <row r="50" spans="1:8" x14ac:dyDescent="0.25">
      <c r="A50" s="32"/>
      <c r="B50" s="32"/>
      <c r="D50" s="736">
        <v>32</v>
      </c>
      <c r="E50" s="736">
        <f t="shared" ca="1" si="0"/>
        <v>8</v>
      </c>
      <c r="F50" s="32">
        <f t="shared" ca="1" si="1"/>
        <v>3</v>
      </c>
      <c r="H50" s="20">
        <f t="shared" ca="1" si="2"/>
        <v>0</v>
      </c>
    </row>
    <row r="51" spans="1:8" x14ac:dyDescent="0.25">
      <c r="A51" s="32"/>
      <c r="B51" s="32"/>
      <c r="D51" s="736">
        <v>33</v>
      </c>
      <c r="E51" s="736">
        <f t="shared" ca="1" si="0"/>
        <v>9</v>
      </c>
      <c r="F51" s="32">
        <f t="shared" ca="1" si="1"/>
        <v>3</v>
      </c>
      <c r="H51" s="20">
        <f t="shared" ca="1" si="2"/>
        <v>0</v>
      </c>
    </row>
    <row r="52" spans="1:8" x14ac:dyDescent="0.25">
      <c r="A52" s="32"/>
      <c r="B52" s="32"/>
      <c r="D52" s="736">
        <v>34</v>
      </c>
      <c r="E52" s="736">
        <f t="shared" ca="1" si="0"/>
        <v>10</v>
      </c>
      <c r="F52" s="32">
        <f t="shared" ca="1" si="1"/>
        <v>3</v>
      </c>
      <c r="H52" s="20">
        <f t="shared" ca="1" si="2"/>
        <v>0</v>
      </c>
    </row>
    <row r="53" spans="1:8" x14ac:dyDescent="0.25">
      <c r="A53" s="32"/>
      <c r="B53" s="32"/>
      <c r="D53" s="736">
        <v>35</v>
      </c>
      <c r="E53" s="736">
        <f t="shared" ca="1" si="0"/>
        <v>11</v>
      </c>
      <c r="F53" s="32">
        <f t="shared" ca="1" si="1"/>
        <v>3</v>
      </c>
      <c r="H53" s="20">
        <f t="shared" ca="1" si="2"/>
        <v>0</v>
      </c>
    </row>
    <row r="54" spans="1:8" x14ac:dyDescent="0.25">
      <c r="A54" s="32"/>
      <c r="B54" s="32"/>
      <c r="D54" s="736">
        <v>36</v>
      </c>
      <c r="E54" s="736">
        <f t="shared" ca="1" si="0"/>
        <v>12</v>
      </c>
      <c r="F54" s="32">
        <f t="shared" ca="1" si="1"/>
        <v>3</v>
      </c>
      <c r="H54" s="20">
        <f t="shared" ca="1" si="2"/>
        <v>0</v>
      </c>
    </row>
    <row r="55" spans="1:8" x14ac:dyDescent="0.25">
      <c r="A55" s="32"/>
      <c r="B55" s="32"/>
      <c r="D55" s="736">
        <v>37</v>
      </c>
      <c r="E55" s="736">
        <f t="shared" ca="1" si="0"/>
        <v>1</v>
      </c>
      <c r="F55" s="32">
        <f t="shared" ca="1" si="1"/>
        <v>4</v>
      </c>
      <c r="H55" s="20">
        <f t="shared" ca="1" si="2"/>
        <v>0</v>
      </c>
    </row>
    <row r="56" spans="1:8" x14ac:dyDescent="0.25">
      <c r="A56" s="32"/>
      <c r="B56" s="32"/>
      <c r="D56" s="736">
        <v>38</v>
      </c>
      <c r="E56" s="736">
        <f t="shared" ca="1" si="0"/>
        <v>2</v>
      </c>
      <c r="F56" s="32">
        <f t="shared" ca="1" si="1"/>
        <v>4</v>
      </c>
      <c r="H56" s="20">
        <f t="shared" ca="1" si="2"/>
        <v>0</v>
      </c>
    </row>
    <row r="57" spans="1:8" x14ac:dyDescent="0.25">
      <c r="A57" s="32"/>
      <c r="B57" s="32"/>
      <c r="D57" s="736">
        <v>39</v>
      </c>
      <c r="E57" s="736">
        <f t="shared" ca="1" si="0"/>
        <v>3</v>
      </c>
      <c r="F57" s="32">
        <f t="shared" ca="1" si="1"/>
        <v>4</v>
      </c>
      <c r="H57" s="20">
        <f t="shared" ca="1" si="2"/>
        <v>0</v>
      </c>
    </row>
    <row r="58" spans="1:8" x14ac:dyDescent="0.25">
      <c r="A58" s="32"/>
      <c r="B58" s="32"/>
      <c r="D58" s="736">
        <v>40</v>
      </c>
      <c r="E58" s="736">
        <f t="shared" ca="1" si="0"/>
        <v>4</v>
      </c>
      <c r="F58" s="32">
        <f t="shared" ca="1" si="1"/>
        <v>4</v>
      </c>
      <c r="H58" s="20">
        <f t="shared" ca="1" si="2"/>
        <v>0</v>
      </c>
    </row>
    <row r="59" spans="1:8" x14ac:dyDescent="0.25">
      <c r="A59" s="32"/>
      <c r="B59" s="32"/>
      <c r="D59" s="736">
        <v>41</v>
      </c>
      <c r="E59" s="736">
        <f t="shared" ca="1" si="0"/>
        <v>5</v>
      </c>
      <c r="F59" s="32">
        <f t="shared" ca="1" si="1"/>
        <v>4</v>
      </c>
      <c r="H59" s="20">
        <f t="shared" ca="1" si="2"/>
        <v>0</v>
      </c>
    </row>
    <row r="60" spans="1:8" x14ac:dyDescent="0.25">
      <c r="A60" s="32"/>
      <c r="B60" s="32"/>
      <c r="D60" s="736">
        <v>42</v>
      </c>
      <c r="E60" s="736">
        <f t="shared" ca="1" si="0"/>
        <v>6</v>
      </c>
      <c r="F60" s="32">
        <f t="shared" ca="1" si="1"/>
        <v>4</v>
      </c>
      <c r="H60" s="20">
        <f t="shared" ca="1" si="2"/>
        <v>0</v>
      </c>
    </row>
    <row r="61" spans="1:8" x14ac:dyDescent="0.25">
      <c r="A61" s="32"/>
      <c r="B61" s="32"/>
      <c r="D61" s="736">
        <v>43</v>
      </c>
      <c r="E61" s="736">
        <f t="shared" ca="1" si="0"/>
        <v>7</v>
      </c>
      <c r="F61" s="32">
        <f t="shared" ca="1" si="1"/>
        <v>4</v>
      </c>
      <c r="H61" s="20">
        <f t="shared" ca="1" si="2"/>
        <v>0</v>
      </c>
    </row>
    <row r="62" spans="1:8" x14ac:dyDescent="0.25">
      <c r="A62" s="32"/>
      <c r="B62" s="32"/>
      <c r="D62" s="736">
        <v>44</v>
      </c>
      <c r="E62" s="736">
        <f t="shared" ca="1" si="0"/>
        <v>8</v>
      </c>
      <c r="F62" s="32">
        <f t="shared" ca="1" si="1"/>
        <v>4</v>
      </c>
      <c r="H62" s="20">
        <f t="shared" ca="1" si="2"/>
        <v>0</v>
      </c>
    </row>
    <row r="63" spans="1:8" x14ac:dyDescent="0.25">
      <c r="A63" s="32"/>
      <c r="B63" s="32"/>
      <c r="D63" s="736">
        <v>45</v>
      </c>
      <c r="E63" s="736">
        <f t="shared" ca="1" si="0"/>
        <v>9</v>
      </c>
      <c r="F63" s="32">
        <f t="shared" ca="1" si="1"/>
        <v>4</v>
      </c>
      <c r="H63" s="20">
        <f t="shared" ca="1" si="2"/>
        <v>0</v>
      </c>
    </row>
    <row r="64" spans="1:8" x14ac:dyDescent="0.25">
      <c r="A64" s="32"/>
      <c r="B64" s="32"/>
      <c r="D64" s="736">
        <v>46</v>
      </c>
      <c r="E64" s="736">
        <f t="shared" ca="1" si="0"/>
        <v>10</v>
      </c>
      <c r="F64" s="32">
        <f t="shared" ca="1" si="1"/>
        <v>4</v>
      </c>
      <c r="H64" s="20">
        <f t="shared" ca="1" si="2"/>
        <v>0</v>
      </c>
    </row>
    <row r="65" spans="1:8" x14ac:dyDescent="0.25">
      <c r="A65" s="32"/>
      <c r="B65" s="32"/>
      <c r="D65" s="736">
        <v>47</v>
      </c>
      <c r="E65" s="736">
        <f t="shared" ca="1" si="0"/>
        <v>11</v>
      </c>
      <c r="F65" s="32">
        <f t="shared" ca="1" si="1"/>
        <v>4</v>
      </c>
      <c r="H65" s="20">
        <f t="shared" ca="1" si="2"/>
        <v>0</v>
      </c>
    </row>
    <row r="66" spans="1:8" x14ac:dyDescent="0.25">
      <c r="A66" s="32"/>
      <c r="B66" s="32"/>
      <c r="D66" s="736">
        <v>48</v>
      </c>
      <c r="E66" s="736">
        <f t="shared" ca="1" si="0"/>
        <v>12</v>
      </c>
      <c r="F66" s="32">
        <f t="shared" ca="1" si="1"/>
        <v>4</v>
      </c>
      <c r="H66" s="20">
        <f t="shared" ca="1" si="2"/>
        <v>0</v>
      </c>
    </row>
    <row r="67" spans="1:8" x14ac:dyDescent="0.25">
      <c r="A67" s="32"/>
      <c r="B67" s="32"/>
      <c r="D67" s="736">
        <v>49</v>
      </c>
      <c r="E67" s="736">
        <f t="shared" ca="1" si="0"/>
        <v>1</v>
      </c>
      <c r="F67" s="32">
        <f t="shared" ca="1" si="1"/>
        <v>5</v>
      </c>
      <c r="H67" s="20">
        <f t="shared" ca="1" si="2"/>
        <v>0</v>
      </c>
    </row>
    <row r="68" spans="1:8" x14ac:dyDescent="0.25">
      <c r="A68" s="32"/>
      <c r="B68" s="32"/>
      <c r="D68" s="736">
        <v>50</v>
      </c>
      <c r="E68" s="736">
        <f t="shared" ca="1" si="0"/>
        <v>2</v>
      </c>
      <c r="F68" s="32">
        <f t="shared" ca="1" si="1"/>
        <v>5</v>
      </c>
      <c r="H68" s="20">
        <f t="shared" ca="1" si="2"/>
        <v>0</v>
      </c>
    </row>
    <row r="69" spans="1:8" x14ac:dyDescent="0.25">
      <c r="A69" s="32"/>
      <c r="B69" s="32"/>
      <c r="D69" s="736">
        <v>51</v>
      </c>
      <c r="E69" s="736">
        <f t="shared" ca="1" si="0"/>
        <v>3</v>
      </c>
      <c r="F69" s="32">
        <f t="shared" ca="1" si="1"/>
        <v>5</v>
      </c>
      <c r="H69" s="20">
        <f t="shared" ca="1" si="2"/>
        <v>0</v>
      </c>
    </row>
    <row r="70" spans="1:8" x14ac:dyDescent="0.25">
      <c r="A70" s="32"/>
      <c r="B70" s="32"/>
      <c r="D70" s="736">
        <v>52</v>
      </c>
      <c r="E70" s="736">
        <f t="shared" ca="1" si="0"/>
        <v>4</v>
      </c>
      <c r="F70" s="32">
        <f t="shared" ca="1" si="1"/>
        <v>5</v>
      </c>
      <c r="H70" s="20">
        <f t="shared" ca="1" si="2"/>
        <v>0</v>
      </c>
    </row>
    <row r="71" spans="1:8" x14ac:dyDescent="0.25">
      <c r="A71" s="32"/>
      <c r="B71" s="32"/>
      <c r="D71" s="736">
        <v>53</v>
      </c>
      <c r="E71" s="736">
        <f t="shared" ca="1" si="0"/>
        <v>5</v>
      </c>
      <c r="F71" s="32">
        <f t="shared" ca="1" si="1"/>
        <v>5</v>
      </c>
      <c r="H71" s="20">
        <f t="shared" ca="1" si="2"/>
        <v>0</v>
      </c>
    </row>
    <row r="72" spans="1:8" x14ac:dyDescent="0.25">
      <c r="A72" s="32"/>
      <c r="B72" s="32"/>
      <c r="D72" s="736">
        <v>54</v>
      </c>
      <c r="E72" s="736">
        <f t="shared" ca="1" si="0"/>
        <v>6</v>
      </c>
      <c r="F72" s="32">
        <f t="shared" ca="1" si="1"/>
        <v>5</v>
      </c>
      <c r="H72" s="20">
        <f t="shared" ca="1" si="2"/>
        <v>0</v>
      </c>
    </row>
    <row r="73" spans="1:8" x14ac:dyDescent="0.25">
      <c r="A73" s="32"/>
      <c r="B73" s="32"/>
      <c r="D73" s="736">
        <v>55</v>
      </c>
      <c r="E73" s="736">
        <f t="shared" ca="1" si="0"/>
        <v>7</v>
      </c>
      <c r="F73" s="32">
        <f t="shared" ca="1" si="1"/>
        <v>5</v>
      </c>
      <c r="H73" s="20">
        <f t="shared" ca="1" si="2"/>
        <v>0</v>
      </c>
    </row>
    <row r="74" spans="1:8" x14ac:dyDescent="0.25">
      <c r="A74" s="32"/>
      <c r="B74" s="32"/>
      <c r="D74" s="736">
        <v>56</v>
      </c>
      <c r="E74" s="736">
        <f t="shared" ca="1" si="0"/>
        <v>8</v>
      </c>
      <c r="F74" s="32">
        <f t="shared" ca="1" si="1"/>
        <v>5</v>
      </c>
      <c r="H74" s="20">
        <f t="shared" ca="1" si="2"/>
        <v>0</v>
      </c>
    </row>
    <row r="75" spans="1:8" x14ac:dyDescent="0.25">
      <c r="A75" s="32"/>
      <c r="B75" s="32"/>
      <c r="D75" s="736">
        <v>57</v>
      </c>
      <c r="E75" s="736">
        <f t="shared" ca="1" si="0"/>
        <v>9</v>
      </c>
      <c r="F75" s="32">
        <f t="shared" ca="1" si="1"/>
        <v>5</v>
      </c>
      <c r="H75" s="20">
        <f t="shared" ca="1" si="2"/>
        <v>0</v>
      </c>
    </row>
    <row r="76" spans="1:8" x14ac:dyDescent="0.25">
      <c r="A76" s="32"/>
      <c r="B76" s="32"/>
      <c r="D76" s="736">
        <v>58</v>
      </c>
      <c r="E76" s="736">
        <f t="shared" ca="1" si="0"/>
        <v>10</v>
      </c>
      <c r="F76" s="32">
        <f t="shared" ca="1" si="1"/>
        <v>5</v>
      </c>
      <c r="H76" s="20">
        <f t="shared" ca="1" si="2"/>
        <v>0</v>
      </c>
    </row>
    <row r="77" spans="1:8" x14ac:dyDescent="0.25">
      <c r="A77" s="32"/>
      <c r="B77" s="32"/>
      <c r="D77" s="736">
        <v>59</v>
      </c>
      <c r="E77" s="736">
        <f t="shared" ca="1" si="0"/>
        <v>11</v>
      </c>
      <c r="F77" s="32">
        <f t="shared" ca="1" si="1"/>
        <v>5</v>
      </c>
      <c r="H77" s="20">
        <f t="shared" ca="1" si="2"/>
        <v>0</v>
      </c>
    </row>
    <row r="78" spans="1:8" x14ac:dyDescent="0.25">
      <c r="A78" s="32"/>
      <c r="B78" s="32"/>
      <c r="D78" s="736">
        <v>60</v>
      </c>
      <c r="E78" s="736">
        <f t="shared" ca="1" si="0"/>
        <v>12</v>
      </c>
      <c r="F78" s="32">
        <f t="shared" ca="1" si="1"/>
        <v>5</v>
      </c>
      <c r="H78" s="20">
        <f t="shared" ca="1" si="2"/>
        <v>0</v>
      </c>
    </row>
    <row r="79" spans="1:8" x14ac:dyDescent="0.25">
      <c r="A79" s="32"/>
      <c r="B79" s="32"/>
      <c r="D79" s="736">
        <v>61</v>
      </c>
      <c r="E79" s="736">
        <f t="shared" ca="1" si="0"/>
        <v>1</v>
      </c>
      <c r="F79" s="32">
        <f t="shared" ca="1" si="1"/>
        <v>6</v>
      </c>
      <c r="H79" s="20">
        <f t="shared" ca="1" si="2"/>
        <v>0</v>
      </c>
    </row>
    <row r="80" spans="1:8" x14ac:dyDescent="0.25">
      <c r="A80" s="32"/>
      <c r="B80" s="32"/>
      <c r="D80" s="736">
        <v>62</v>
      </c>
      <c r="E80" s="736">
        <f t="shared" ca="1" si="0"/>
        <v>2</v>
      </c>
      <c r="F80" s="32">
        <f t="shared" ca="1" si="1"/>
        <v>6</v>
      </c>
      <c r="H80" s="20">
        <f t="shared" ca="1" si="2"/>
        <v>0</v>
      </c>
    </row>
    <row r="81" spans="1:8" x14ac:dyDescent="0.25">
      <c r="A81" s="32"/>
      <c r="B81" s="32"/>
      <c r="D81" s="736">
        <v>63</v>
      </c>
      <c r="E81" s="736">
        <f t="shared" ca="1" si="0"/>
        <v>3</v>
      </c>
      <c r="F81" s="32">
        <f t="shared" ca="1" si="1"/>
        <v>6</v>
      </c>
      <c r="H81" s="20">
        <f t="shared" ca="1" si="2"/>
        <v>0</v>
      </c>
    </row>
    <row r="82" spans="1:8" x14ac:dyDescent="0.25">
      <c r="A82" s="32"/>
      <c r="B82" s="32"/>
      <c r="D82" s="736">
        <v>64</v>
      </c>
      <c r="E82" s="736">
        <f t="shared" ca="1" si="0"/>
        <v>4</v>
      </c>
      <c r="F82" s="32">
        <f t="shared" ca="1" si="1"/>
        <v>6</v>
      </c>
      <c r="H82" s="20">
        <f t="shared" ca="1" si="2"/>
        <v>0</v>
      </c>
    </row>
    <row r="83" spans="1:8" x14ac:dyDescent="0.25">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36">
        <v>66</v>
      </c>
      <c r="E84" s="736">
        <f t="shared" ca="1" si="3"/>
        <v>6</v>
      </c>
      <c r="F84" s="32">
        <f t="shared" ca="1" si="4"/>
        <v>6</v>
      </c>
      <c r="H84" s="20">
        <f t="shared" ca="1" si="5"/>
        <v>0</v>
      </c>
    </row>
    <row r="85" spans="1:8" x14ac:dyDescent="0.25">
      <c r="A85" s="32"/>
      <c r="B85" s="32"/>
      <c r="D85" s="736">
        <v>67</v>
      </c>
      <c r="E85" s="736">
        <f t="shared" ca="1" si="3"/>
        <v>7</v>
      </c>
      <c r="F85" s="32">
        <f t="shared" ca="1" si="4"/>
        <v>6</v>
      </c>
      <c r="H85" s="20">
        <f t="shared" ca="1" si="5"/>
        <v>0</v>
      </c>
    </row>
    <row r="86" spans="1:8" x14ac:dyDescent="0.25">
      <c r="A86" s="32"/>
      <c r="B86" s="32"/>
      <c r="D86" s="736">
        <v>68</v>
      </c>
      <c r="E86" s="736">
        <f t="shared" ca="1" si="3"/>
        <v>8</v>
      </c>
      <c r="F86" s="32">
        <f t="shared" ca="1" si="4"/>
        <v>6</v>
      </c>
      <c r="H86" s="20">
        <f t="shared" ca="1" si="5"/>
        <v>0</v>
      </c>
    </row>
    <row r="87" spans="1:8" x14ac:dyDescent="0.25">
      <c r="A87" s="32"/>
      <c r="B87" s="32"/>
      <c r="D87" s="736">
        <v>69</v>
      </c>
      <c r="E87" s="736">
        <f t="shared" ca="1" si="3"/>
        <v>9</v>
      </c>
      <c r="F87" s="32">
        <f t="shared" ca="1" si="4"/>
        <v>6</v>
      </c>
      <c r="H87" s="20">
        <f t="shared" ca="1" si="5"/>
        <v>0</v>
      </c>
    </row>
    <row r="88" spans="1:8" x14ac:dyDescent="0.25">
      <c r="A88" s="32"/>
      <c r="B88" s="32"/>
      <c r="D88" s="736">
        <v>70</v>
      </c>
      <c r="E88" s="736">
        <f t="shared" ca="1" si="3"/>
        <v>10</v>
      </c>
      <c r="F88" s="32">
        <f t="shared" ca="1" si="4"/>
        <v>6</v>
      </c>
      <c r="H88" s="20">
        <f t="shared" ca="1" si="5"/>
        <v>0</v>
      </c>
    </row>
    <row r="89" spans="1:8" x14ac:dyDescent="0.25">
      <c r="A89" s="32"/>
      <c r="B89" s="32"/>
      <c r="D89" s="736">
        <v>71</v>
      </c>
      <c r="E89" s="736">
        <f t="shared" ca="1" si="3"/>
        <v>11</v>
      </c>
      <c r="F89" s="32">
        <f t="shared" ca="1" si="4"/>
        <v>6</v>
      </c>
      <c r="H89" s="20">
        <f t="shared" ca="1" si="5"/>
        <v>0</v>
      </c>
    </row>
    <row r="90" spans="1:8" x14ac:dyDescent="0.25">
      <c r="A90" s="32"/>
      <c r="B90" s="32"/>
      <c r="D90" s="736">
        <v>72</v>
      </c>
      <c r="E90" s="736">
        <f t="shared" ca="1" si="3"/>
        <v>12</v>
      </c>
      <c r="F90" s="32">
        <f t="shared" ca="1" si="4"/>
        <v>6</v>
      </c>
      <c r="H90" s="20">
        <f t="shared" ca="1" si="5"/>
        <v>0</v>
      </c>
    </row>
    <row r="91" spans="1:8" x14ac:dyDescent="0.25">
      <c r="A91" s="32"/>
      <c r="B91" s="32"/>
      <c r="D91" s="736">
        <v>73</v>
      </c>
      <c r="E91" s="736">
        <f t="shared" ca="1" si="3"/>
        <v>1</v>
      </c>
      <c r="F91" s="32">
        <f t="shared" ca="1" si="4"/>
        <v>7</v>
      </c>
      <c r="H91" s="20">
        <f t="shared" ca="1" si="5"/>
        <v>0</v>
      </c>
    </row>
    <row r="92" spans="1:8" x14ac:dyDescent="0.25">
      <c r="A92" s="32"/>
      <c r="B92" s="32"/>
      <c r="D92" s="736">
        <v>74</v>
      </c>
      <c r="E92" s="736">
        <f t="shared" ca="1" si="3"/>
        <v>2</v>
      </c>
      <c r="F92" s="32">
        <f t="shared" ca="1" si="4"/>
        <v>7</v>
      </c>
      <c r="H92" s="20">
        <f t="shared" ca="1" si="5"/>
        <v>0</v>
      </c>
    </row>
    <row r="93" spans="1:8" x14ac:dyDescent="0.25">
      <c r="A93" s="32"/>
      <c r="B93" s="32"/>
      <c r="D93" s="736">
        <v>75</v>
      </c>
      <c r="E93" s="736">
        <f t="shared" ca="1" si="3"/>
        <v>3</v>
      </c>
      <c r="F93" s="32">
        <f t="shared" ca="1" si="4"/>
        <v>7</v>
      </c>
      <c r="H93" s="20">
        <f t="shared" ca="1" si="5"/>
        <v>0</v>
      </c>
    </row>
    <row r="94" spans="1:8" x14ac:dyDescent="0.25">
      <c r="A94" s="32"/>
      <c r="B94" s="32"/>
      <c r="D94" s="736">
        <v>76</v>
      </c>
      <c r="E94" s="736">
        <f t="shared" ca="1" si="3"/>
        <v>4</v>
      </c>
      <c r="F94" s="32">
        <f t="shared" ca="1" si="4"/>
        <v>7</v>
      </c>
      <c r="H94" s="20">
        <f t="shared" ca="1" si="5"/>
        <v>0</v>
      </c>
    </row>
    <row r="95" spans="1:8" x14ac:dyDescent="0.25">
      <c r="B95" s="32"/>
      <c r="D95" s="736">
        <v>77</v>
      </c>
      <c r="E95" s="736">
        <f t="shared" ca="1" si="3"/>
        <v>5</v>
      </c>
      <c r="F95" s="32">
        <f t="shared" ca="1" si="4"/>
        <v>7</v>
      </c>
      <c r="H95" s="20">
        <f t="shared" ca="1" si="5"/>
        <v>0</v>
      </c>
    </row>
    <row r="96" spans="1:8" x14ac:dyDescent="0.25">
      <c r="B96" s="32"/>
      <c r="D96" s="736">
        <v>78</v>
      </c>
      <c r="E96" s="736">
        <f t="shared" ca="1" si="3"/>
        <v>6</v>
      </c>
      <c r="F96" s="32">
        <f t="shared" ca="1" si="4"/>
        <v>7</v>
      </c>
      <c r="H96" s="20">
        <f t="shared" ca="1" si="5"/>
        <v>0</v>
      </c>
    </row>
    <row r="97" spans="1:8" x14ac:dyDescent="0.25">
      <c r="B97" s="32"/>
      <c r="D97" s="736">
        <v>79</v>
      </c>
      <c r="E97" s="736">
        <f t="shared" ca="1" si="3"/>
        <v>7</v>
      </c>
      <c r="F97" s="32">
        <f t="shared" ca="1" si="4"/>
        <v>7</v>
      </c>
      <c r="H97" s="20">
        <f t="shared" ca="1" si="5"/>
        <v>0</v>
      </c>
    </row>
    <row r="98" spans="1:8" x14ac:dyDescent="0.25">
      <c r="A98" s="32"/>
      <c r="B98" s="32"/>
      <c r="D98" s="736">
        <v>80</v>
      </c>
      <c r="E98" s="736">
        <f t="shared" ca="1" si="3"/>
        <v>8</v>
      </c>
      <c r="F98" s="32">
        <f t="shared" ca="1" si="4"/>
        <v>7</v>
      </c>
      <c r="H98" s="20">
        <f t="shared" ca="1" si="5"/>
        <v>0</v>
      </c>
    </row>
    <row r="99" spans="1:8" x14ac:dyDescent="0.25">
      <c r="A99" s="32"/>
      <c r="B99" s="32"/>
      <c r="D99" s="736">
        <v>81</v>
      </c>
      <c r="E99" s="736">
        <f t="shared" ca="1" si="3"/>
        <v>9</v>
      </c>
      <c r="F99" s="32">
        <f t="shared" ca="1" si="4"/>
        <v>7</v>
      </c>
      <c r="H99" s="20">
        <f t="shared" ca="1" si="5"/>
        <v>0</v>
      </c>
    </row>
    <row r="100" spans="1:8" x14ac:dyDescent="0.25">
      <c r="A100" s="32"/>
      <c r="B100" s="32"/>
      <c r="D100" s="736">
        <v>82</v>
      </c>
      <c r="E100" s="736">
        <f t="shared" ca="1" si="3"/>
        <v>10</v>
      </c>
      <c r="F100" s="32">
        <f t="shared" ca="1" si="4"/>
        <v>7</v>
      </c>
      <c r="H100" s="20">
        <f t="shared" ca="1" si="5"/>
        <v>0</v>
      </c>
    </row>
    <row r="101" spans="1:8" x14ac:dyDescent="0.25">
      <c r="A101" s="32"/>
      <c r="B101" s="32"/>
      <c r="D101" s="736">
        <v>83</v>
      </c>
      <c r="E101" s="736">
        <f t="shared" ca="1" si="3"/>
        <v>11</v>
      </c>
      <c r="F101" s="32">
        <f t="shared" ca="1" si="4"/>
        <v>7</v>
      </c>
      <c r="H101" s="20">
        <f t="shared" ca="1" si="5"/>
        <v>0</v>
      </c>
    </row>
    <row r="102" spans="1:8" x14ac:dyDescent="0.25">
      <c r="A102" s="32"/>
      <c r="B102" s="32"/>
      <c r="D102" s="736">
        <v>84</v>
      </c>
      <c r="E102" s="736">
        <f t="shared" ca="1" si="3"/>
        <v>12</v>
      </c>
      <c r="F102" s="32">
        <f t="shared" ca="1" si="4"/>
        <v>7</v>
      </c>
      <c r="H102" s="20">
        <f t="shared" ca="1" si="5"/>
        <v>0</v>
      </c>
    </row>
    <row r="103" spans="1:8" x14ac:dyDescent="0.25">
      <c r="A103" s="32"/>
      <c r="B103" s="32"/>
      <c r="D103" s="736">
        <v>85</v>
      </c>
      <c r="E103" s="736">
        <f t="shared" ca="1" si="3"/>
        <v>1</v>
      </c>
      <c r="F103" s="32">
        <f t="shared" ca="1" si="4"/>
        <v>8</v>
      </c>
      <c r="H103" s="20">
        <f t="shared" ca="1" si="5"/>
        <v>0</v>
      </c>
    </row>
    <row r="104" spans="1:8" x14ac:dyDescent="0.25">
      <c r="D104" s="736">
        <v>86</v>
      </c>
      <c r="E104" s="736">
        <f t="shared" ca="1" si="3"/>
        <v>2</v>
      </c>
      <c r="F104" s="32">
        <f t="shared" ca="1" si="4"/>
        <v>8</v>
      </c>
      <c r="H104" s="20">
        <f t="shared" ca="1" si="5"/>
        <v>0</v>
      </c>
    </row>
    <row r="105" spans="1:8" x14ac:dyDescent="0.25">
      <c r="D105" s="736">
        <v>87</v>
      </c>
      <c r="E105" s="736">
        <f t="shared" ca="1" si="3"/>
        <v>3</v>
      </c>
      <c r="F105" s="32">
        <f t="shared" ca="1" si="4"/>
        <v>8</v>
      </c>
      <c r="H105" s="20">
        <f t="shared" ca="1" si="5"/>
        <v>0</v>
      </c>
    </row>
    <row r="106" spans="1:8" x14ac:dyDescent="0.25">
      <c r="D106" s="736">
        <v>88</v>
      </c>
      <c r="E106" s="736">
        <f t="shared" ca="1" si="3"/>
        <v>4</v>
      </c>
      <c r="F106" s="32">
        <f t="shared" ca="1" si="4"/>
        <v>8</v>
      </c>
      <c r="H106" s="20">
        <f t="shared" ca="1" si="5"/>
        <v>0</v>
      </c>
    </row>
    <row r="107" spans="1:8" x14ac:dyDescent="0.25">
      <c r="D107" s="736">
        <v>89</v>
      </c>
      <c r="E107" s="736">
        <f t="shared" ca="1" si="3"/>
        <v>5</v>
      </c>
      <c r="F107" s="32">
        <f t="shared" ca="1" si="4"/>
        <v>8</v>
      </c>
      <c r="H107" s="20">
        <f t="shared" ca="1" si="5"/>
        <v>0</v>
      </c>
    </row>
    <row r="108" spans="1:8" x14ac:dyDescent="0.25">
      <c r="D108" s="736">
        <v>90</v>
      </c>
      <c r="E108" s="736">
        <f t="shared" ca="1" si="3"/>
        <v>6</v>
      </c>
      <c r="F108" s="32">
        <f t="shared" ca="1" si="4"/>
        <v>8</v>
      </c>
      <c r="H108" s="20">
        <f t="shared" ca="1" si="5"/>
        <v>0</v>
      </c>
    </row>
    <row r="109" spans="1:8" x14ac:dyDescent="0.25">
      <c r="D109" s="736">
        <v>91</v>
      </c>
      <c r="E109" s="736">
        <f t="shared" ca="1" si="3"/>
        <v>7</v>
      </c>
      <c r="F109" s="32">
        <f t="shared" ca="1" si="4"/>
        <v>8</v>
      </c>
      <c r="H109" s="20">
        <f t="shared" ca="1" si="5"/>
        <v>0</v>
      </c>
    </row>
    <row r="110" spans="1:8" x14ac:dyDescent="0.25">
      <c r="D110" s="736">
        <v>92</v>
      </c>
      <c r="E110" s="736">
        <f t="shared" ca="1" si="3"/>
        <v>8</v>
      </c>
      <c r="F110" s="32">
        <f t="shared" ca="1" si="4"/>
        <v>8</v>
      </c>
      <c r="H110" s="20">
        <f t="shared" ca="1" si="5"/>
        <v>0</v>
      </c>
    </row>
    <row r="111" spans="1:8" x14ac:dyDescent="0.25">
      <c r="D111" s="736">
        <v>93</v>
      </c>
      <c r="E111" s="736">
        <f t="shared" ca="1" si="3"/>
        <v>9</v>
      </c>
      <c r="F111" s="32">
        <f t="shared" ca="1" si="4"/>
        <v>8</v>
      </c>
      <c r="H111" s="20">
        <f t="shared" ca="1" si="5"/>
        <v>0</v>
      </c>
    </row>
    <row r="112" spans="1:8" x14ac:dyDescent="0.25">
      <c r="D112" s="736">
        <v>94</v>
      </c>
      <c r="E112" s="736">
        <f t="shared" ca="1" si="3"/>
        <v>10</v>
      </c>
      <c r="F112" s="32">
        <f t="shared" ca="1" si="4"/>
        <v>8</v>
      </c>
      <c r="H112" s="20">
        <f t="shared" ca="1" si="5"/>
        <v>0</v>
      </c>
    </row>
    <row r="113" spans="4:8" s="735" customFormat="1" x14ac:dyDescent="0.25">
      <c r="D113" s="736">
        <v>95</v>
      </c>
      <c r="E113" s="736">
        <f t="shared" ca="1" si="3"/>
        <v>11</v>
      </c>
      <c r="F113" s="32">
        <f t="shared" ca="1" si="4"/>
        <v>8</v>
      </c>
      <c r="H113" s="20">
        <f t="shared" ca="1" si="5"/>
        <v>0</v>
      </c>
    </row>
    <row r="114" spans="4:8" s="735" customFormat="1" x14ac:dyDescent="0.25">
      <c r="D114" s="736">
        <v>96</v>
      </c>
      <c r="E114" s="736">
        <f t="shared" ca="1" si="3"/>
        <v>12</v>
      </c>
      <c r="F114" s="32">
        <f t="shared" ca="1" si="4"/>
        <v>8</v>
      </c>
      <c r="H114" s="20">
        <f t="shared" ca="1" si="5"/>
        <v>0</v>
      </c>
    </row>
    <row r="115" spans="4:8" s="735" customFormat="1" x14ac:dyDescent="0.25">
      <c r="D115" s="736">
        <v>97</v>
      </c>
      <c r="E115" s="736">
        <f t="shared" ca="1" si="3"/>
        <v>1</v>
      </c>
      <c r="F115" s="32">
        <f t="shared" ca="1" si="4"/>
        <v>9</v>
      </c>
      <c r="H115" s="20">
        <f t="shared" ca="1" si="5"/>
        <v>0</v>
      </c>
    </row>
    <row r="116" spans="4:8" s="735" customFormat="1" x14ac:dyDescent="0.25">
      <c r="D116" s="736">
        <v>98</v>
      </c>
      <c r="E116" s="736">
        <f t="shared" ca="1" si="3"/>
        <v>2</v>
      </c>
      <c r="F116" s="32">
        <f t="shared" ca="1" si="4"/>
        <v>9</v>
      </c>
      <c r="H116" s="20">
        <f t="shared" ca="1" si="5"/>
        <v>0</v>
      </c>
    </row>
    <row r="117" spans="4:8" s="735" customFormat="1" x14ac:dyDescent="0.25">
      <c r="D117" s="736">
        <v>99</v>
      </c>
      <c r="E117" s="736">
        <f t="shared" ca="1" si="3"/>
        <v>3</v>
      </c>
      <c r="F117" s="32">
        <f t="shared" ca="1" si="4"/>
        <v>9</v>
      </c>
      <c r="H117" s="20">
        <f t="shared" ca="1" si="5"/>
        <v>0</v>
      </c>
    </row>
    <row r="118" spans="4:8" s="735" customFormat="1" x14ac:dyDescent="0.25">
      <c r="D118" s="736">
        <v>100</v>
      </c>
      <c r="E118" s="736">
        <f t="shared" ca="1" si="3"/>
        <v>4</v>
      </c>
      <c r="F118" s="32">
        <f t="shared" ca="1" si="4"/>
        <v>9</v>
      </c>
      <c r="H118" s="20">
        <f t="shared" ca="1" si="5"/>
        <v>0</v>
      </c>
    </row>
    <row r="119" spans="4:8" s="735" customFormat="1" x14ac:dyDescent="0.25">
      <c r="D119" s="736">
        <v>101</v>
      </c>
      <c r="E119" s="736">
        <f t="shared" ca="1" si="3"/>
        <v>5</v>
      </c>
      <c r="F119" s="32">
        <f t="shared" ca="1" si="4"/>
        <v>9</v>
      </c>
      <c r="H119" s="20">
        <f t="shared" ca="1" si="5"/>
        <v>0</v>
      </c>
    </row>
    <row r="120" spans="4:8" s="735" customFormat="1" x14ac:dyDescent="0.25">
      <c r="D120" s="736">
        <v>102</v>
      </c>
      <c r="E120" s="736">
        <f t="shared" ca="1" si="3"/>
        <v>6</v>
      </c>
      <c r="F120" s="32">
        <f t="shared" ca="1" si="4"/>
        <v>9</v>
      </c>
      <c r="H120" s="20">
        <f t="shared" ca="1" si="5"/>
        <v>0</v>
      </c>
    </row>
    <row r="121" spans="4:8" s="735" customFormat="1" x14ac:dyDescent="0.25">
      <c r="D121" s="736">
        <v>103</v>
      </c>
      <c r="E121" s="736">
        <f t="shared" ca="1" si="3"/>
        <v>7</v>
      </c>
      <c r="F121" s="32">
        <f t="shared" ca="1" si="4"/>
        <v>9</v>
      </c>
      <c r="H121" s="20">
        <f t="shared" ca="1" si="5"/>
        <v>0</v>
      </c>
    </row>
    <row r="122" spans="4:8" s="735" customFormat="1" x14ac:dyDescent="0.25">
      <c r="D122" s="736">
        <v>104</v>
      </c>
      <c r="E122" s="736">
        <f t="shared" ca="1" si="3"/>
        <v>8</v>
      </c>
      <c r="F122" s="32">
        <f t="shared" ca="1" si="4"/>
        <v>9</v>
      </c>
      <c r="H122" s="20">
        <f t="shared" ca="1" si="5"/>
        <v>0</v>
      </c>
    </row>
    <row r="123" spans="4:8" s="735" customFormat="1" x14ac:dyDescent="0.25">
      <c r="D123" s="736">
        <v>105</v>
      </c>
      <c r="E123" s="736">
        <f t="shared" ca="1" si="3"/>
        <v>9</v>
      </c>
      <c r="F123" s="32">
        <f t="shared" ca="1" si="4"/>
        <v>9</v>
      </c>
      <c r="H123" s="20">
        <f t="shared" ca="1" si="5"/>
        <v>0</v>
      </c>
    </row>
    <row r="124" spans="4:8" s="735" customFormat="1" x14ac:dyDescent="0.25">
      <c r="D124" s="736">
        <v>106</v>
      </c>
      <c r="E124" s="736">
        <f t="shared" ca="1" si="3"/>
        <v>10</v>
      </c>
      <c r="F124" s="32">
        <f t="shared" ca="1" si="4"/>
        <v>9</v>
      </c>
      <c r="H124" s="20">
        <f t="shared" ca="1" si="5"/>
        <v>0</v>
      </c>
    </row>
    <row r="125" spans="4:8" s="735" customFormat="1" x14ac:dyDescent="0.25">
      <c r="D125" s="736">
        <v>107</v>
      </c>
      <c r="E125" s="736">
        <f t="shared" ca="1" si="3"/>
        <v>11</v>
      </c>
      <c r="F125" s="32">
        <f t="shared" ca="1" si="4"/>
        <v>9</v>
      </c>
      <c r="H125" s="20">
        <f t="shared" ca="1" si="5"/>
        <v>0</v>
      </c>
    </row>
    <row r="126" spans="4:8" s="735" customFormat="1" x14ac:dyDescent="0.25">
      <c r="D126" s="736">
        <v>108</v>
      </c>
      <c r="E126" s="736">
        <f t="shared" ca="1" si="3"/>
        <v>12</v>
      </c>
      <c r="F126" s="32">
        <f t="shared" ca="1" si="4"/>
        <v>9</v>
      </c>
      <c r="H126" s="20">
        <f t="shared" ca="1" si="5"/>
        <v>0</v>
      </c>
    </row>
    <row r="127" spans="4:8" s="735" customFormat="1" x14ac:dyDescent="0.25">
      <c r="D127" s="736">
        <v>109</v>
      </c>
      <c r="E127" s="736">
        <f t="shared" ca="1" si="3"/>
        <v>1</v>
      </c>
      <c r="F127" s="32">
        <f t="shared" ca="1" si="4"/>
        <v>10</v>
      </c>
      <c r="H127" s="20">
        <f t="shared" ca="1" si="5"/>
        <v>0</v>
      </c>
    </row>
    <row r="128" spans="4:8" s="735" customFormat="1" x14ac:dyDescent="0.25">
      <c r="D128" s="736">
        <v>110</v>
      </c>
      <c r="E128" s="736">
        <f t="shared" ca="1" si="3"/>
        <v>2</v>
      </c>
      <c r="F128" s="32">
        <f t="shared" ca="1" si="4"/>
        <v>10</v>
      </c>
      <c r="H128" s="20">
        <f t="shared" ca="1" si="5"/>
        <v>0</v>
      </c>
    </row>
    <row r="129" spans="4:8" s="735" customFormat="1" x14ac:dyDescent="0.25">
      <c r="D129" s="736">
        <v>111</v>
      </c>
      <c r="E129" s="736">
        <f t="shared" ca="1" si="3"/>
        <v>3</v>
      </c>
      <c r="F129" s="32">
        <f t="shared" ca="1" si="4"/>
        <v>10</v>
      </c>
      <c r="H129" s="20">
        <f t="shared" ca="1" si="5"/>
        <v>0</v>
      </c>
    </row>
    <row r="130" spans="4:8" s="735" customFormat="1" x14ac:dyDescent="0.25">
      <c r="D130" s="736">
        <v>112</v>
      </c>
      <c r="E130" s="736">
        <f t="shared" ca="1" si="3"/>
        <v>4</v>
      </c>
      <c r="F130" s="32">
        <f t="shared" ca="1" si="4"/>
        <v>10</v>
      </c>
      <c r="H130" s="20">
        <f t="shared" ca="1" si="5"/>
        <v>0</v>
      </c>
    </row>
    <row r="131" spans="4:8" s="735" customFormat="1" x14ac:dyDescent="0.25">
      <c r="D131" s="736">
        <v>113</v>
      </c>
      <c r="E131" s="736">
        <f t="shared" ca="1" si="3"/>
        <v>5</v>
      </c>
      <c r="F131" s="32">
        <f t="shared" ca="1" si="4"/>
        <v>10</v>
      </c>
      <c r="H131" s="20">
        <f t="shared" ca="1" si="5"/>
        <v>0</v>
      </c>
    </row>
    <row r="132" spans="4:8" s="735" customFormat="1" x14ac:dyDescent="0.25">
      <c r="D132" s="736">
        <v>114</v>
      </c>
      <c r="E132" s="736">
        <f t="shared" ca="1" si="3"/>
        <v>6</v>
      </c>
      <c r="F132" s="32">
        <f t="shared" ca="1" si="4"/>
        <v>10</v>
      </c>
      <c r="H132" s="20">
        <f t="shared" ca="1" si="5"/>
        <v>0</v>
      </c>
    </row>
    <row r="133" spans="4:8" s="735" customFormat="1" x14ac:dyDescent="0.25">
      <c r="D133" s="736">
        <v>115</v>
      </c>
      <c r="E133" s="736">
        <f t="shared" ca="1" si="3"/>
        <v>7</v>
      </c>
      <c r="F133" s="32">
        <f t="shared" ca="1" si="4"/>
        <v>10</v>
      </c>
      <c r="H133" s="20">
        <f t="shared" ca="1" si="5"/>
        <v>0</v>
      </c>
    </row>
    <row r="134" spans="4:8" s="735" customFormat="1" x14ac:dyDescent="0.25">
      <c r="D134" s="736">
        <v>116</v>
      </c>
      <c r="E134" s="736">
        <f t="shared" ca="1" si="3"/>
        <v>8</v>
      </c>
      <c r="F134" s="32">
        <f t="shared" ca="1" si="4"/>
        <v>10</v>
      </c>
      <c r="H134" s="20">
        <f t="shared" ca="1" si="5"/>
        <v>0</v>
      </c>
    </row>
    <row r="135" spans="4:8" s="735" customFormat="1" x14ac:dyDescent="0.25">
      <c r="D135" s="736">
        <v>117</v>
      </c>
      <c r="E135" s="736">
        <f t="shared" ca="1" si="3"/>
        <v>9</v>
      </c>
      <c r="F135" s="32">
        <f t="shared" ca="1" si="4"/>
        <v>10</v>
      </c>
      <c r="H135" s="20">
        <f t="shared" ca="1" si="5"/>
        <v>0</v>
      </c>
    </row>
    <row r="136" spans="4:8" s="735" customFormat="1" x14ac:dyDescent="0.25">
      <c r="D136" s="736">
        <v>118</v>
      </c>
      <c r="E136" s="736">
        <f t="shared" ca="1" si="3"/>
        <v>10</v>
      </c>
      <c r="F136" s="32">
        <f t="shared" ca="1" si="4"/>
        <v>10</v>
      </c>
      <c r="H136" s="20">
        <f t="shared" ca="1" si="5"/>
        <v>0</v>
      </c>
    </row>
    <row r="137" spans="4:8" s="735" customFormat="1" x14ac:dyDescent="0.25">
      <c r="D137" s="736">
        <v>119</v>
      </c>
      <c r="E137" s="736">
        <f t="shared" ca="1" si="3"/>
        <v>11</v>
      </c>
      <c r="F137" s="32">
        <f t="shared" ca="1" si="4"/>
        <v>10</v>
      </c>
      <c r="H137" s="20">
        <f t="shared" ca="1" si="5"/>
        <v>0</v>
      </c>
    </row>
    <row r="138" spans="4:8" s="735" customFormat="1" x14ac:dyDescent="0.25">
      <c r="D138" s="736">
        <v>120</v>
      </c>
      <c r="E138" s="736">
        <f t="shared" ca="1" si="3"/>
        <v>12</v>
      </c>
      <c r="F138" s="32">
        <f t="shared" ca="1" si="4"/>
        <v>10</v>
      </c>
      <c r="H138" s="20">
        <f t="shared" ca="1" si="5"/>
        <v>0</v>
      </c>
    </row>
    <row r="139" spans="4:8" s="735" customFormat="1" x14ac:dyDescent="0.25">
      <c r="D139" s="736">
        <v>121</v>
      </c>
      <c r="E139" s="736">
        <f t="shared" ca="1" si="3"/>
        <v>1</v>
      </c>
      <c r="F139" s="32">
        <f t="shared" ca="1" si="4"/>
        <v>11</v>
      </c>
      <c r="H139" s="20">
        <f t="shared" ca="1" si="5"/>
        <v>0</v>
      </c>
    </row>
    <row r="140" spans="4:8" s="735" customFormat="1" x14ac:dyDescent="0.25">
      <c r="D140" s="736">
        <v>122</v>
      </c>
      <c r="E140" s="736">
        <f t="shared" ca="1" si="3"/>
        <v>2</v>
      </c>
      <c r="F140" s="32">
        <f t="shared" ca="1" si="4"/>
        <v>11</v>
      </c>
      <c r="H140" s="20">
        <f t="shared" ca="1" si="5"/>
        <v>0</v>
      </c>
    </row>
    <row r="141" spans="4:8" s="735" customFormat="1" x14ac:dyDescent="0.25">
      <c r="D141" s="736">
        <v>123</v>
      </c>
      <c r="E141" s="736">
        <f t="shared" ca="1" si="3"/>
        <v>3</v>
      </c>
      <c r="F141" s="32">
        <f t="shared" ca="1" si="4"/>
        <v>11</v>
      </c>
      <c r="H141" s="20">
        <f t="shared" ca="1" si="5"/>
        <v>0</v>
      </c>
    </row>
    <row r="142" spans="4:8" s="735" customFormat="1" x14ac:dyDescent="0.25">
      <c r="D142" s="736">
        <v>124</v>
      </c>
      <c r="E142" s="736">
        <f t="shared" ca="1" si="3"/>
        <v>4</v>
      </c>
      <c r="F142" s="32">
        <f t="shared" ca="1" si="4"/>
        <v>11</v>
      </c>
      <c r="H142" s="20">
        <f t="shared" ca="1" si="5"/>
        <v>0</v>
      </c>
    </row>
    <row r="143" spans="4:8" s="735" customFormat="1" x14ac:dyDescent="0.25">
      <c r="D143" s="736">
        <v>125</v>
      </c>
      <c r="E143" s="736">
        <f t="shared" ca="1" si="3"/>
        <v>5</v>
      </c>
      <c r="F143" s="32">
        <f t="shared" ca="1" si="4"/>
        <v>11</v>
      </c>
      <c r="H143" s="20">
        <f t="shared" ca="1" si="5"/>
        <v>0</v>
      </c>
    </row>
    <row r="144" spans="4:8" s="735" customFormat="1" x14ac:dyDescent="0.25">
      <c r="D144" s="736">
        <v>126</v>
      </c>
      <c r="E144" s="736">
        <f t="shared" ca="1" si="3"/>
        <v>6</v>
      </c>
      <c r="F144" s="32">
        <f t="shared" ca="1" si="4"/>
        <v>11</v>
      </c>
      <c r="H144" s="20">
        <f t="shared" ca="1" si="5"/>
        <v>0</v>
      </c>
    </row>
    <row r="145" spans="4:8" s="735" customFormat="1" x14ac:dyDescent="0.25">
      <c r="D145" s="736">
        <v>127</v>
      </c>
      <c r="E145" s="736">
        <f t="shared" ca="1" si="3"/>
        <v>7</v>
      </c>
      <c r="F145" s="32">
        <f t="shared" ca="1" si="4"/>
        <v>11</v>
      </c>
      <c r="H145" s="20">
        <f t="shared" ca="1" si="5"/>
        <v>0</v>
      </c>
    </row>
    <row r="146" spans="4:8" s="735" customFormat="1" x14ac:dyDescent="0.25">
      <c r="D146" s="736">
        <v>128</v>
      </c>
      <c r="E146" s="736">
        <f t="shared" ca="1" si="3"/>
        <v>8</v>
      </c>
      <c r="F146" s="32">
        <f t="shared" ca="1" si="4"/>
        <v>11</v>
      </c>
      <c r="H146" s="20">
        <f t="shared" ca="1" si="5"/>
        <v>0</v>
      </c>
    </row>
    <row r="147" spans="4:8" s="735" customFormat="1" x14ac:dyDescent="0.25">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x14ac:dyDescent="0.25">
      <c r="D148" s="736">
        <v>130</v>
      </c>
      <c r="E148" s="736">
        <f t="shared" ca="1" si="6"/>
        <v>10</v>
      </c>
      <c r="F148" s="32">
        <f t="shared" ca="1" si="7"/>
        <v>11</v>
      </c>
      <c r="H148" s="20">
        <f t="shared" ca="1" si="8"/>
        <v>0</v>
      </c>
    </row>
    <row r="149" spans="4:8" s="735" customFormat="1" x14ac:dyDescent="0.25">
      <c r="D149" s="736">
        <v>131</v>
      </c>
      <c r="E149" s="736">
        <f t="shared" ca="1" si="6"/>
        <v>11</v>
      </c>
      <c r="F149" s="32">
        <f t="shared" ca="1" si="7"/>
        <v>11</v>
      </c>
      <c r="H149" s="20">
        <f t="shared" ca="1" si="8"/>
        <v>0</v>
      </c>
    </row>
    <row r="150" spans="4:8" s="735" customFormat="1" x14ac:dyDescent="0.25">
      <c r="D150" s="736">
        <v>132</v>
      </c>
      <c r="E150" s="736">
        <f t="shared" ca="1" si="6"/>
        <v>12</v>
      </c>
      <c r="F150" s="32">
        <f t="shared" ca="1" si="7"/>
        <v>11</v>
      </c>
      <c r="H150" s="20">
        <f t="shared" ca="1" si="8"/>
        <v>0</v>
      </c>
    </row>
    <row r="151" spans="4:8" s="735" customFormat="1" x14ac:dyDescent="0.25">
      <c r="D151" s="736">
        <v>133</v>
      </c>
      <c r="E151" s="736">
        <f t="shared" ca="1" si="6"/>
        <v>1</v>
      </c>
      <c r="F151" s="32">
        <f t="shared" ca="1" si="7"/>
        <v>12</v>
      </c>
      <c r="H151" s="20">
        <f t="shared" ca="1" si="8"/>
        <v>0</v>
      </c>
    </row>
    <row r="152" spans="4:8" s="735" customFormat="1" x14ac:dyDescent="0.25">
      <c r="D152" s="736">
        <v>134</v>
      </c>
      <c r="E152" s="736">
        <f t="shared" ca="1" si="6"/>
        <v>2</v>
      </c>
      <c r="F152" s="32">
        <f t="shared" ca="1" si="7"/>
        <v>12</v>
      </c>
      <c r="H152" s="20">
        <f t="shared" ca="1" si="8"/>
        <v>0</v>
      </c>
    </row>
    <row r="153" spans="4:8" s="735" customFormat="1" x14ac:dyDescent="0.25">
      <c r="D153" s="736">
        <v>135</v>
      </c>
      <c r="E153" s="736">
        <f t="shared" ca="1" si="6"/>
        <v>3</v>
      </c>
      <c r="F153" s="32">
        <f t="shared" ca="1" si="7"/>
        <v>12</v>
      </c>
      <c r="H153" s="20">
        <f t="shared" ca="1" si="8"/>
        <v>0</v>
      </c>
    </row>
    <row r="154" spans="4:8" s="735" customFormat="1" x14ac:dyDescent="0.25">
      <c r="D154" s="736">
        <v>136</v>
      </c>
      <c r="E154" s="736">
        <f t="shared" ca="1" si="6"/>
        <v>4</v>
      </c>
      <c r="F154" s="32">
        <f t="shared" ca="1" si="7"/>
        <v>12</v>
      </c>
      <c r="H154" s="20">
        <f t="shared" ca="1" si="8"/>
        <v>0</v>
      </c>
    </row>
    <row r="155" spans="4:8" s="735" customFormat="1" x14ac:dyDescent="0.25">
      <c r="D155" s="736">
        <v>137</v>
      </c>
      <c r="E155" s="736">
        <f t="shared" ca="1" si="6"/>
        <v>5</v>
      </c>
      <c r="F155" s="32">
        <f t="shared" ca="1" si="7"/>
        <v>12</v>
      </c>
      <c r="H155" s="20">
        <f t="shared" ca="1" si="8"/>
        <v>0</v>
      </c>
    </row>
    <row r="156" spans="4:8" s="735" customFormat="1" x14ac:dyDescent="0.25">
      <c r="D156" s="736">
        <v>138</v>
      </c>
      <c r="E156" s="736">
        <f t="shared" ca="1" si="6"/>
        <v>6</v>
      </c>
      <c r="F156" s="32">
        <f t="shared" ca="1" si="7"/>
        <v>12</v>
      </c>
      <c r="H156" s="20">
        <f t="shared" ca="1" si="8"/>
        <v>0</v>
      </c>
    </row>
    <row r="157" spans="4:8" s="735" customFormat="1" x14ac:dyDescent="0.25">
      <c r="D157" s="736">
        <v>139</v>
      </c>
      <c r="E157" s="736">
        <f t="shared" ca="1" si="6"/>
        <v>7</v>
      </c>
      <c r="F157" s="32">
        <f t="shared" ca="1" si="7"/>
        <v>12</v>
      </c>
      <c r="H157" s="20">
        <f t="shared" ca="1" si="8"/>
        <v>0</v>
      </c>
    </row>
    <row r="158" spans="4:8" s="735" customFormat="1" x14ac:dyDescent="0.25">
      <c r="D158" s="736">
        <v>140</v>
      </c>
      <c r="E158" s="736">
        <f t="shared" ca="1" si="6"/>
        <v>8</v>
      </c>
      <c r="F158" s="32">
        <f t="shared" ca="1" si="7"/>
        <v>12</v>
      </c>
      <c r="H158" s="20">
        <f t="shared" ca="1" si="8"/>
        <v>0</v>
      </c>
    </row>
    <row r="159" spans="4:8" s="735" customFormat="1" x14ac:dyDescent="0.25">
      <c r="D159" s="736">
        <v>141</v>
      </c>
      <c r="E159" s="736">
        <f t="shared" ca="1" si="6"/>
        <v>9</v>
      </c>
      <c r="F159" s="32">
        <f t="shared" ca="1" si="7"/>
        <v>12</v>
      </c>
      <c r="H159" s="20">
        <f t="shared" ca="1" si="8"/>
        <v>0</v>
      </c>
    </row>
    <row r="160" spans="4:8" s="735" customFormat="1" x14ac:dyDescent="0.25">
      <c r="D160" s="736">
        <v>142</v>
      </c>
      <c r="E160" s="736">
        <f t="shared" ca="1" si="6"/>
        <v>10</v>
      </c>
      <c r="F160" s="32">
        <f t="shared" ca="1" si="7"/>
        <v>12</v>
      </c>
      <c r="H160" s="20">
        <f t="shared" ca="1" si="8"/>
        <v>0</v>
      </c>
    </row>
    <row r="161" spans="4:8" s="735" customFormat="1" x14ac:dyDescent="0.25">
      <c r="D161" s="736">
        <v>143</v>
      </c>
      <c r="E161" s="736">
        <f t="shared" ca="1" si="6"/>
        <v>11</v>
      </c>
      <c r="F161" s="32">
        <f t="shared" ca="1" si="7"/>
        <v>12</v>
      </c>
      <c r="H161" s="20">
        <f t="shared" ca="1" si="8"/>
        <v>0</v>
      </c>
    </row>
    <row r="162" spans="4:8" s="735" customFormat="1" x14ac:dyDescent="0.25">
      <c r="D162" s="736">
        <v>144</v>
      </c>
      <c r="E162" s="736">
        <f t="shared" ca="1" si="6"/>
        <v>12</v>
      </c>
      <c r="F162" s="32">
        <f t="shared" ca="1" si="7"/>
        <v>12</v>
      </c>
      <c r="H162" s="20">
        <f t="shared" ca="1" si="8"/>
        <v>0</v>
      </c>
    </row>
    <row r="163" spans="4:8" s="735" customFormat="1" x14ac:dyDescent="0.25">
      <c r="D163" s="736">
        <v>145</v>
      </c>
      <c r="E163" s="736">
        <f t="shared" ca="1" si="6"/>
        <v>1</v>
      </c>
      <c r="F163" s="32">
        <f t="shared" ca="1" si="7"/>
        <v>13</v>
      </c>
      <c r="H163" s="20">
        <f t="shared" ca="1" si="8"/>
        <v>0</v>
      </c>
    </row>
    <row r="164" spans="4:8" s="735" customFormat="1" x14ac:dyDescent="0.25">
      <c r="D164" s="736">
        <v>146</v>
      </c>
      <c r="E164" s="736">
        <f t="shared" ca="1" si="6"/>
        <v>2</v>
      </c>
      <c r="F164" s="32">
        <f t="shared" ca="1" si="7"/>
        <v>13</v>
      </c>
      <c r="H164" s="20">
        <f t="shared" ca="1" si="8"/>
        <v>0</v>
      </c>
    </row>
    <row r="165" spans="4:8" s="735" customFormat="1" x14ac:dyDescent="0.25">
      <c r="D165" s="736">
        <v>147</v>
      </c>
      <c r="E165" s="736">
        <f t="shared" ca="1" si="6"/>
        <v>3</v>
      </c>
      <c r="F165" s="32">
        <f t="shared" ca="1" si="7"/>
        <v>13</v>
      </c>
      <c r="H165" s="20">
        <f t="shared" ca="1" si="8"/>
        <v>0</v>
      </c>
    </row>
    <row r="166" spans="4:8" s="735" customFormat="1" x14ac:dyDescent="0.25">
      <c r="D166" s="736">
        <v>148</v>
      </c>
      <c r="E166" s="736">
        <f t="shared" ca="1" si="6"/>
        <v>4</v>
      </c>
      <c r="F166" s="32">
        <f t="shared" ca="1" si="7"/>
        <v>13</v>
      </c>
      <c r="H166" s="20">
        <f t="shared" ca="1" si="8"/>
        <v>0</v>
      </c>
    </row>
    <row r="167" spans="4:8" s="735" customFormat="1" x14ac:dyDescent="0.25">
      <c r="D167" s="736">
        <v>149</v>
      </c>
      <c r="E167" s="736">
        <f t="shared" ca="1" si="6"/>
        <v>5</v>
      </c>
      <c r="F167" s="32">
        <f t="shared" ca="1" si="7"/>
        <v>13</v>
      </c>
      <c r="H167" s="20">
        <f t="shared" ca="1" si="8"/>
        <v>0</v>
      </c>
    </row>
    <row r="168" spans="4:8" s="735" customFormat="1" x14ac:dyDescent="0.25">
      <c r="D168" s="736">
        <v>150</v>
      </c>
      <c r="E168" s="736">
        <f t="shared" ca="1" si="6"/>
        <v>6</v>
      </c>
      <c r="F168" s="32">
        <f t="shared" ca="1" si="7"/>
        <v>13</v>
      </c>
      <c r="H168" s="20">
        <f t="shared" ca="1" si="8"/>
        <v>0</v>
      </c>
    </row>
    <row r="169" spans="4:8" s="735" customFormat="1" x14ac:dyDescent="0.25">
      <c r="D169" s="736">
        <v>151</v>
      </c>
      <c r="E169" s="736">
        <f t="shared" ca="1" si="6"/>
        <v>7</v>
      </c>
      <c r="F169" s="32">
        <f t="shared" ca="1" si="7"/>
        <v>13</v>
      </c>
      <c r="H169" s="20">
        <f t="shared" ca="1" si="8"/>
        <v>0</v>
      </c>
    </row>
    <row r="170" spans="4:8" s="735" customFormat="1" x14ac:dyDescent="0.25">
      <c r="D170" s="736">
        <v>152</v>
      </c>
      <c r="E170" s="736">
        <f t="shared" ca="1" si="6"/>
        <v>8</v>
      </c>
      <c r="F170" s="32">
        <f t="shared" ca="1" si="7"/>
        <v>13</v>
      </c>
      <c r="H170" s="20">
        <f t="shared" ca="1" si="8"/>
        <v>0</v>
      </c>
    </row>
    <row r="171" spans="4:8" s="735" customFormat="1" x14ac:dyDescent="0.25">
      <c r="D171" s="736">
        <v>153</v>
      </c>
      <c r="E171" s="736">
        <f t="shared" ca="1" si="6"/>
        <v>9</v>
      </c>
      <c r="F171" s="32">
        <f t="shared" ca="1" si="7"/>
        <v>13</v>
      </c>
      <c r="H171" s="20">
        <f t="shared" ca="1" si="8"/>
        <v>0</v>
      </c>
    </row>
    <row r="172" spans="4:8" s="735" customFormat="1" x14ac:dyDescent="0.25">
      <c r="D172" s="736">
        <v>154</v>
      </c>
      <c r="E172" s="736">
        <f t="shared" ca="1" si="6"/>
        <v>10</v>
      </c>
      <c r="F172" s="32">
        <f t="shared" ca="1" si="7"/>
        <v>13</v>
      </c>
      <c r="H172" s="20">
        <f t="shared" ca="1" si="8"/>
        <v>0</v>
      </c>
    </row>
    <row r="173" spans="4:8" s="735" customFormat="1" x14ac:dyDescent="0.25">
      <c r="D173" s="736">
        <v>155</v>
      </c>
      <c r="E173" s="736">
        <f t="shared" ca="1" si="6"/>
        <v>11</v>
      </c>
      <c r="F173" s="32">
        <f t="shared" ca="1" si="7"/>
        <v>13</v>
      </c>
      <c r="H173" s="20">
        <f t="shared" ca="1" si="8"/>
        <v>0</v>
      </c>
    </row>
    <row r="174" spans="4:8" s="735" customFormat="1" x14ac:dyDescent="0.25">
      <c r="D174" s="736">
        <v>156</v>
      </c>
      <c r="E174" s="736">
        <f t="shared" ca="1" si="6"/>
        <v>12</v>
      </c>
      <c r="F174" s="32">
        <f t="shared" ca="1" si="7"/>
        <v>13</v>
      </c>
      <c r="H174" s="20">
        <f t="shared" ca="1" si="8"/>
        <v>0</v>
      </c>
    </row>
    <row r="175" spans="4:8" s="735" customFormat="1" x14ac:dyDescent="0.25">
      <c r="D175" s="736">
        <v>157</v>
      </c>
      <c r="E175" s="736">
        <f t="shared" ca="1" si="6"/>
        <v>1</v>
      </c>
      <c r="F175" s="32">
        <f t="shared" ca="1" si="7"/>
        <v>14</v>
      </c>
      <c r="H175" s="20">
        <f t="shared" ca="1" si="8"/>
        <v>0</v>
      </c>
    </row>
    <row r="176" spans="4:8" s="735" customFormat="1" x14ac:dyDescent="0.25">
      <c r="D176" s="736">
        <v>158</v>
      </c>
      <c r="E176" s="736">
        <f t="shared" ca="1" si="6"/>
        <v>2</v>
      </c>
      <c r="F176" s="32">
        <f t="shared" ca="1" si="7"/>
        <v>14</v>
      </c>
      <c r="H176" s="20">
        <f t="shared" ca="1" si="8"/>
        <v>0</v>
      </c>
    </row>
    <row r="177" spans="4:8" s="735" customFormat="1" x14ac:dyDescent="0.25">
      <c r="D177" s="736">
        <v>159</v>
      </c>
      <c r="E177" s="736">
        <f t="shared" ca="1" si="6"/>
        <v>3</v>
      </c>
      <c r="F177" s="32">
        <f t="shared" ca="1" si="7"/>
        <v>14</v>
      </c>
      <c r="H177" s="20">
        <f t="shared" ca="1" si="8"/>
        <v>0</v>
      </c>
    </row>
    <row r="178" spans="4:8" s="735" customFormat="1" x14ac:dyDescent="0.25">
      <c r="D178" s="736">
        <v>160</v>
      </c>
      <c r="E178" s="736">
        <f t="shared" ca="1" si="6"/>
        <v>4</v>
      </c>
      <c r="F178" s="32">
        <f t="shared" ca="1" si="7"/>
        <v>14</v>
      </c>
      <c r="H178" s="20">
        <f t="shared" ca="1" si="8"/>
        <v>0</v>
      </c>
    </row>
    <row r="179" spans="4:8" s="735" customFormat="1" x14ac:dyDescent="0.25">
      <c r="D179" s="736">
        <v>161</v>
      </c>
      <c r="E179" s="736">
        <f t="shared" ca="1" si="6"/>
        <v>5</v>
      </c>
      <c r="F179" s="32">
        <f t="shared" ca="1" si="7"/>
        <v>14</v>
      </c>
      <c r="H179" s="20">
        <f t="shared" ca="1" si="8"/>
        <v>0</v>
      </c>
    </row>
    <row r="180" spans="4:8" s="735" customFormat="1" x14ac:dyDescent="0.25">
      <c r="D180" s="736">
        <v>162</v>
      </c>
      <c r="E180" s="736">
        <f t="shared" ca="1" si="6"/>
        <v>6</v>
      </c>
      <c r="F180" s="32">
        <f t="shared" ca="1" si="7"/>
        <v>14</v>
      </c>
      <c r="H180" s="20">
        <f t="shared" ca="1" si="8"/>
        <v>0</v>
      </c>
    </row>
    <row r="181" spans="4:8" s="735" customFormat="1" x14ac:dyDescent="0.25">
      <c r="D181" s="736">
        <v>163</v>
      </c>
      <c r="E181" s="736">
        <f t="shared" ca="1" si="6"/>
        <v>7</v>
      </c>
      <c r="F181" s="32">
        <f t="shared" ca="1" si="7"/>
        <v>14</v>
      </c>
      <c r="H181" s="20">
        <f t="shared" ca="1" si="8"/>
        <v>0</v>
      </c>
    </row>
    <row r="182" spans="4:8" s="735" customFormat="1" x14ac:dyDescent="0.25">
      <c r="D182" s="736">
        <v>164</v>
      </c>
      <c r="E182" s="736">
        <f t="shared" ca="1" si="6"/>
        <v>8</v>
      </c>
      <c r="F182" s="32">
        <f t="shared" ca="1" si="7"/>
        <v>14</v>
      </c>
      <c r="H182" s="20">
        <f t="shared" ca="1" si="8"/>
        <v>0</v>
      </c>
    </row>
    <row r="183" spans="4:8" s="735" customFormat="1" x14ac:dyDescent="0.25">
      <c r="D183" s="736">
        <v>165</v>
      </c>
      <c r="E183" s="736">
        <f t="shared" ca="1" si="6"/>
        <v>9</v>
      </c>
      <c r="F183" s="32">
        <f t="shared" ca="1" si="7"/>
        <v>14</v>
      </c>
      <c r="H183" s="20">
        <f t="shared" ca="1" si="8"/>
        <v>0</v>
      </c>
    </row>
    <row r="184" spans="4:8" s="735" customFormat="1" x14ac:dyDescent="0.25">
      <c r="D184" s="736">
        <v>166</v>
      </c>
      <c r="E184" s="736">
        <f t="shared" ca="1" si="6"/>
        <v>10</v>
      </c>
      <c r="F184" s="32">
        <f t="shared" ca="1" si="7"/>
        <v>14</v>
      </c>
      <c r="H184" s="20">
        <f t="shared" ca="1" si="8"/>
        <v>0</v>
      </c>
    </row>
    <row r="185" spans="4:8" s="735" customFormat="1" x14ac:dyDescent="0.25">
      <c r="D185" s="736">
        <v>167</v>
      </c>
      <c r="E185" s="736">
        <f t="shared" ca="1" si="6"/>
        <v>11</v>
      </c>
      <c r="F185" s="32">
        <f t="shared" ca="1" si="7"/>
        <v>14</v>
      </c>
      <c r="H185" s="20">
        <f t="shared" ca="1" si="8"/>
        <v>0</v>
      </c>
    </row>
    <row r="186" spans="4:8" s="735" customFormat="1" x14ac:dyDescent="0.25">
      <c r="D186" s="736">
        <v>168</v>
      </c>
      <c r="E186" s="736">
        <f t="shared" ca="1" si="6"/>
        <v>12</v>
      </c>
      <c r="F186" s="32">
        <f t="shared" ca="1" si="7"/>
        <v>14</v>
      </c>
      <c r="H186" s="20">
        <f t="shared" ca="1" si="8"/>
        <v>0</v>
      </c>
    </row>
    <row r="187" spans="4:8" s="735" customFormat="1" x14ac:dyDescent="0.25">
      <c r="D187" s="736">
        <v>169</v>
      </c>
      <c r="E187" s="736">
        <f t="shared" ca="1" si="6"/>
        <v>1</v>
      </c>
      <c r="F187" s="32">
        <f t="shared" ca="1" si="7"/>
        <v>15</v>
      </c>
      <c r="H187" s="20">
        <f t="shared" ca="1" si="8"/>
        <v>0</v>
      </c>
    </row>
    <row r="188" spans="4:8" s="735" customFormat="1" x14ac:dyDescent="0.25">
      <c r="D188" s="736">
        <v>170</v>
      </c>
      <c r="E188" s="736">
        <f t="shared" ca="1" si="6"/>
        <v>2</v>
      </c>
      <c r="F188" s="32">
        <f t="shared" ca="1" si="7"/>
        <v>15</v>
      </c>
      <c r="H188" s="20">
        <f t="shared" ca="1" si="8"/>
        <v>0</v>
      </c>
    </row>
    <row r="189" spans="4:8" s="735" customFormat="1" x14ac:dyDescent="0.25">
      <c r="D189" s="736">
        <v>171</v>
      </c>
      <c r="E189" s="736">
        <f t="shared" ca="1" si="6"/>
        <v>3</v>
      </c>
      <c r="F189" s="32">
        <f t="shared" ca="1" si="7"/>
        <v>15</v>
      </c>
      <c r="H189" s="20">
        <f t="shared" ca="1" si="8"/>
        <v>0</v>
      </c>
    </row>
    <row r="190" spans="4:8" s="735" customFormat="1" x14ac:dyDescent="0.25">
      <c r="D190" s="736">
        <v>172</v>
      </c>
      <c r="E190" s="736">
        <f t="shared" ca="1" si="6"/>
        <v>4</v>
      </c>
      <c r="F190" s="32">
        <f t="shared" ca="1" si="7"/>
        <v>15</v>
      </c>
      <c r="H190" s="20">
        <f t="shared" ca="1" si="8"/>
        <v>0</v>
      </c>
    </row>
    <row r="191" spans="4:8" s="735" customFormat="1" x14ac:dyDescent="0.25">
      <c r="D191" s="736">
        <v>173</v>
      </c>
      <c r="E191" s="736">
        <f t="shared" ca="1" si="6"/>
        <v>5</v>
      </c>
      <c r="F191" s="32">
        <f t="shared" ca="1" si="7"/>
        <v>15</v>
      </c>
      <c r="H191" s="20">
        <f t="shared" ca="1" si="8"/>
        <v>0</v>
      </c>
    </row>
    <row r="192" spans="4:8" s="735" customFormat="1" x14ac:dyDescent="0.25">
      <c r="D192" s="736">
        <v>174</v>
      </c>
      <c r="E192" s="736">
        <f t="shared" ca="1" si="6"/>
        <v>6</v>
      </c>
      <c r="F192" s="32">
        <f t="shared" ca="1" si="7"/>
        <v>15</v>
      </c>
      <c r="H192" s="20">
        <f t="shared" ca="1" si="8"/>
        <v>0</v>
      </c>
    </row>
    <row r="193" spans="4:8" s="735" customFormat="1" x14ac:dyDescent="0.25">
      <c r="D193" s="736">
        <v>175</v>
      </c>
      <c r="E193" s="736">
        <f t="shared" ca="1" si="6"/>
        <v>7</v>
      </c>
      <c r="F193" s="32">
        <f t="shared" ca="1" si="7"/>
        <v>15</v>
      </c>
      <c r="H193" s="20">
        <f t="shared" ca="1" si="8"/>
        <v>0</v>
      </c>
    </row>
    <row r="194" spans="4:8" s="735" customFormat="1" x14ac:dyDescent="0.25">
      <c r="D194" s="736">
        <v>176</v>
      </c>
      <c r="E194" s="736">
        <f t="shared" ca="1" si="6"/>
        <v>8</v>
      </c>
      <c r="F194" s="32">
        <f t="shared" ca="1" si="7"/>
        <v>15</v>
      </c>
      <c r="H194" s="20">
        <f t="shared" ca="1" si="8"/>
        <v>0</v>
      </c>
    </row>
    <row r="195" spans="4:8" s="735" customFormat="1" x14ac:dyDescent="0.25">
      <c r="D195" s="736">
        <v>177</v>
      </c>
      <c r="E195" s="736">
        <f t="shared" ca="1" si="6"/>
        <v>9</v>
      </c>
      <c r="F195" s="32">
        <f t="shared" ca="1" si="7"/>
        <v>15</v>
      </c>
      <c r="H195" s="20">
        <f t="shared" ca="1" si="8"/>
        <v>0</v>
      </c>
    </row>
    <row r="196" spans="4:8" s="735" customFormat="1" x14ac:dyDescent="0.25">
      <c r="D196" s="736">
        <v>178</v>
      </c>
      <c r="E196" s="736">
        <f t="shared" ca="1" si="6"/>
        <v>10</v>
      </c>
      <c r="F196" s="32">
        <f t="shared" ca="1" si="7"/>
        <v>15</v>
      </c>
      <c r="H196" s="20">
        <f t="shared" ca="1" si="8"/>
        <v>0</v>
      </c>
    </row>
    <row r="197" spans="4:8" s="735" customFormat="1" x14ac:dyDescent="0.25">
      <c r="D197" s="736">
        <v>179</v>
      </c>
      <c r="E197" s="736">
        <f t="shared" ca="1" si="6"/>
        <v>11</v>
      </c>
      <c r="F197" s="32">
        <f t="shared" ca="1" si="7"/>
        <v>15</v>
      </c>
      <c r="H197" s="20">
        <f t="shared" ca="1" si="8"/>
        <v>0</v>
      </c>
    </row>
    <row r="198" spans="4:8" s="735" customFormat="1" x14ac:dyDescent="0.25">
      <c r="D198" s="736">
        <v>180</v>
      </c>
      <c r="E198" s="736">
        <f t="shared" ca="1" si="6"/>
        <v>12</v>
      </c>
      <c r="F198" s="32">
        <f t="shared" ca="1" si="7"/>
        <v>15</v>
      </c>
      <c r="H198" s="20">
        <f t="shared" ca="1" si="8"/>
        <v>0</v>
      </c>
    </row>
    <row r="199" spans="4:8" s="735" customFormat="1" x14ac:dyDescent="0.25">
      <c r="D199" s="736">
        <v>181</v>
      </c>
      <c r="E199" s="736">
        <f t="shared" ca="1" si="6"/>
        <v>1</v>
      </c>
      <c r="F199" s="32">
        <f t="shared" ca="1" si="7"/>
        <v>16</v>
      </c>
      <c r="H199" s="20">
        <f t="shared" ca="1" si="8"/>
        <v>0</v>
      </c>
    </row>
    <row r="200" spans="4:8" s="735" customFormat="1" x14ac:dyDescent="0.25">
      <c r="D200" s="736">
        <v>182</v>
      </c>
      <c r="E200" s="736">
        <f t="shared" ca="1" si="6"/>
        <v>2</v>
      </c>
      <c r="F200" s="32">
        <f t="shared" ca="1" si="7"/>
        <v>16</v>
      </c>
      <c r="H200" s="20">
        <f t="shared" ca="1" si="8"/>
        <v>0</v>
      </c>
    </row>
    <row r="201" spans="4:8" s="735" customFormat="1" x14ac:dyDescent="0.25">
      <c r="D201" s="736">
        <v>183</v>
      </c>
      <c r="E201" s="736">
        <f t="shared" ca="1" si="6"/>
        <v>3</v>
      </c>
      <c r="F201" s="32">
        <f t="shared" ca="1" si="7"/>
        <v>16</v>
      </c>
      <c r="H201" s="20">
        <f t="shared" ca="1" si="8"/>
        <v>0</v>
      </c>
    </row>
    <row r="202" spans="4:8" s="735" customFormat="1" x14ac:dyDescent="0.25">
      <c r="D202" s="736">
        <v>184</v>
      </c>
      <c r="E202" s="736">
        <f t="shared" ca="1" si="6"/>
        <v>4</v>
      </c>
      <c r="F202" s="32">
        <f t="shared" ca="1" si="7"/>
        <v>16</v>
      </c>
      <c r="H202" s="20">
        <f t="shared" ca="1" si="8"/>
        <v>0</v>
      </c>
    </row>
    <row r="203" spans="4:8" s="735" customFormat="1" x14ac:dyDescent="0.25">
      <c r="D203" s="736">
        <v>185</v>
      </c>
      <c r="E203" s="736">
        <f t="shared" ca="1" si="6"/>
        <v>5</v>
      </c>
      <c r="F203" s="32">
        <f t="shared" ca="1" si="7"/>
        <v>16</v>
      </c>
      <c r="H203" s="20">
        <f t="shared" ca="1" si="8"/>
        <v>0</v>
      </c>
    </row>
    <row r="204" spans="4:8" s="735" customFormat="1" x14ac:dyDescent="0.25">
      <c r="D204" s="736">
        <v>186</v>
      </c>
      <c r="E204" s="736">
        <f t="shared" ca="1" si="6"/>
        <v>6</v>
      </c>
      <c r="F204" s="32">
        <f t="shared" ca="1" si="7"/>
        <v>16</v>
      </c>
      <c r="H204" s="20">
        <f t="shared" ca="1" si="8"/>
        <v>0</v>
      </c>
    </row>
    <row r="205" spans="4:8" s="735" customFormat="1" x14ac:dyDescent="0.25">
      <c r="D205" s="736">
        <v>187</v>
      </c>
      <c r="E205" s="736">
        <f t="shared" ca="1" si="6"/>
        <v>7</v>
      </c>
      <c r="F205" s="32">
        <f t="shared" ca="1" si="7"/>
        <v>16</v>
      </c>
      <c r="H205" s="20">
        <f t="shared" ca="1" si="8"/>
        <v>0</v>
      </c>
    </row>
    <row r="206" spans="4:8" s="735" customFormat="1" x14ac:dyDescent="0.25">
      <c r="D206" s="736">
        <v>188</v>
      </c>
      <c r="E206" s="736">
        <f t="shared" ca="1" si="6"/>
        <v>8</v>
      </c>
      <c r="F206" s="32">
        <f t="shared" ca="1" si="7"/>
        <v>16</v>
      </c>
      <c r="H206" s="20">
        <f t="shared" ca="1" si="8"/>
        <v>0</v>
      </c>
    </row>
    <row r="207" spans="4:8" s="735" customFormat="1" x14ac:dyDescent="0.25">
      <c r="D207" s="736">
        <v>189</v>
      </c>
      <c r="E207" s="736">
        <f t="shared" ca="1" si="6"/>
        <v>9</v>
      </c>
      <c r="F207" s="32">
        <f t="shared" ca="1" si="7"/>
        <v>16</v>
      </c>
      <c r="H207" s="20">
        <f t="shared" ca="1" si="8"/>
        <v>0</v>
      </c>
    </row>
    <row r="208" spans="4:8" s="735" customFormat="1" x14ac:dyDescent="0.25">
      <c r="D208" s="736">
        <v>190</v>
      </c>
      <c r="E208" s="736">
        <f t="shared" ca="1" si="6"/>
        <v>10</v>
      </c>
      <c r="F208" s="32">
        <f t="shared" ca="1" si="7"/>
        <v>16</v>
      </c>
      <c r="H208" s="20">
        <f t="shared" ca="1" si="8"/>
        <v>0</v>
      </c>
    </row>
    <row r="209" spans="4:8" s="735" customFormat="1" x14ac:dyDescent="0.25">
      <c r="D209" s="736">
        <v>191</v>
      </c>
      <c r="E209" s="736">
        <f t="shared" ca="1" si="6"/>
        <v>11</v>
      </c>
      <c r="F209" s="32">
        <f t="shared" ca="1" si="7"/>
        <v>16</v>
      </c>
      <c r="H209" s="20">
        <f t="shared" ca="1" si="8"/>
        <v>0</v>
      </c>
    </row>
    <row r="210" spans="4:8" s="735" customFormat="1" x14ac:dyDescent="0.25">
      <c r="D210" s="736">
        <v>192</v>
      </c>
      <c r="E210" s="736">
        <f t="shared" ca="1" si="6"/>
        <v>12</v>
      </c>
      <c r="F210" s="32">
        <f t="shared" ca="1" si="7"/>
        <v>16</v>
      </c>
      <c r="H210" s="20">
        <f t="shared" ca="1" si="8"/>
        <v>0</v>
      </c>
    </row>
    <row r="211" spans="4:8" s="735" customFormat="1" x14ac:dyDescent="0.25">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x14ac:dyDescent="0.25">
      <c r="D212" s="736">
        <v>194</v>
      </c>
      <c r="E212" s="736">
        <f t="shared" ca="1" si="9"/>
        <v>2</v>
      </c>
      <c r="F212" s="32">
        <f t="shared" ca="1" si="10"/>
        <v>17</v>
      </c>
      <c r="H212" s="20">
        <f t="shared" ca="1" si="11"/>
        <v>0</v>
      </c>
    </row>
    <row r="213" spans="4:8" s="735" customFormat="1" x14ac:dyDescent="0.25">
      <c r="D213" s="736">
        <v>195</v>
      </c>
      <c r="E213" s="736">
        <f t="shared" ca="1" si="9"/>
        <v>3</v>
      </c>
      <c r="F213" s="32">
        <f t="shared" ca="1" si="10"/>
        <v>17</v>
      </c>
      <c r="H213" s="20">
        <f t="shared" ca="1" si="11"/>
        <v>0</v>
      </c>
    </row>
    <row r="214" spans="4:8" s="735" customFormat="1" x14ac:dyDescent="0.25">
      <c r="D214" s="736">
        <v>196</v>
      </c>
      <c r="E214" s="736">
        <f t="shared" ca="1" si="9"/>
        <v>4</v>
      </c>
      <c r="F214" s="32">
        <f t="shared" ca="1" si="10"/>
        <v>17</v>
      </c>
      <c r="H214" s="20">
        <f t="shared" ca="1" si="11"/>
        <v>0</v>
      </c>
    </row>
    <row r="215" spans="4:8" s="735" customFormat="1" x14ac:dyDescent="0.25">
      <c r="D215" s="736">
        <v>197</v>
      </c>
      <c r="E215" s="736">
        <f t="shared" ca="1" si="9"/>
        <v>5</v>
      </c>
      <c r="F215" s="32">
        <f t="shared" ca="1" si="10"/>
        <v>17</v>
      </c>
      <c r="H215" s="20">
        <f t="shared" ca="1" si="11"/>
        <v>0</v>
      </c>
    </row>
    <row r="216" spans="4:8" s="735" customFormat="1" x14ac:dyDescent="0.25">
      <c r="D216" s="736">
        <v>198</v>
      </c>
      <c r="E216" s="736">
        <f t="shared" ca="1" si="9"/>
        <v>6</v>
      </c>
      <c r="F216" s="32">
        <f t="shared" ca="1" si="10"/>
        <v>17</v>
      </c>
      <c r="H216" s="20">
        <f t="shared" ca="1" si="11"/>
        <v>0</v>
      </c>
    </row>
    <row r="217" spans="4:8" s="735" customFormat="1" x14ac:dyDescent="0.25">
      <c r="D217" s="736">
        <v>199</v>
      </c>
      <c r="E217" s="736">
        <f t="shared" ca="1" si="9"/>
        <v>7</v>
      </c>
      <c r="F217" s="32">
        <f t="shared" ca="1" si="10"/>
        <v>17</v>
      </c>
      <c r="H217" s="20">
        <f t="shared" ca="1" si="11"/>
        <v>0</v>
      </c>
    </row>
    <row r="218" spans="4:8" s="735" customFormat="1" x14ac:dyDescent="0.25">
      <c r="D218" s="736">
        <v>200</v>
      </c>
      <c r="E218" s="736">
        <f t="shared" ca="1" si="9"/>
        <v>8</v>
      </c>
      <c r="F218" s="32">
        <f t="shared" ca="1" si="10"/>
        <v>17</v>
      </c>
      <c r="H218" s="20">
        <f t="shared" ca="1" si="11"/>
        <v>0</v>
      </c>
    </row>
    <row r="219" spans="4:8" s="735" customFormat="1" x14ac:dyDescent="0.25">
      <c r="D219" s="736">
        <v>201</v>
      </c>
      <c r="E219" s="736">
        <f t="shared" ca="1" si="9"/>
        <v>9</v>
      </c>
      <c r="F219" s="32">
        <f t="shared" ca="1" si="10"/>
        <v>17</v>
      </c>
      <c r="H219" s="20">
        <f t="shared" ca="1" si="11"/>
        <v>0</v>
      </c>
    </row>
    <row r="220" spans="4:8" s="735" customFormat="1" x14ac:dyDescent="0.25">
      <c r="D220" s="736">
        <v>202</v>
      </c>
      <c r="E220" s="736">
        <f t="shared" ca="1" si="9"/>
        <v>10</v>
      </c>
      <c r="F220" s="32">
        <f t="shared" ca="1" si="10"/>
        <v>17</v>
      </c>
      <c r="H220" s="20">
        <f t="shared" ca="1" si="11"/>
        <v>0</v>
      </c>
    </row>
    <row r="221" spans="4:8" s="735" customFormat="1" x14ac:dyDescent="0.25">
      <c r="D221" s="736">
        <v>203</v>
      </c>
      <c r="E221" s="736">
        <f t="shared" ca="1" si="9"/>
        <v>11</v>
      </c>
      <c r="F221" s="32">
        <f t="shared" ca="1" si="10"/>
        <v>17</v>
      </c>
      <c r="H221" s="20">
        <f t="shared" ca="1" si="11"/>
        <v>0</v>
      </c>
    </row>
    <row r="222" spans="4:8" s="735" customFormat="1" x14ac:dyDescent="0.25">
      <c r="D222" s="736">
        <v>204</v>
      </c>
      <c r="E222" s="736">
        <f t="shared" ca="1" si="9"/>
        <v>12</v>
      </c>
      <c r="F222" s="32">
        <f t="shared" ca="1" si="10"/>
        <v>17</v>
      </c>
      <c r="H222" s="20">
        <f t="shared" ca="1" si="11"/>
        <v>0</v>
      </c>
    </row>
    <row r="223" spans="4:8" s="735" customFormat="1" x14ac:dyDescent="0.25">
      <c r="D223" s="736">
        <v>205</v>
      </c>
      <c r="E223" s="736">
        <f t="shared" ca="1" si="9"/>
        <v>1</v>
      </c>
      <c r="F223" s="32">
        <f t="shared" ca="1" si="10"/>
        <v>18</v>
      </c>
      <c r="H223" s="20">
        <f t="shared" ca="1" si="11"/>
        <v>0</v>
      </c>
    </row>
    <row r="224" spans="4:8" s="735" customFormat="1" x14ac:dyDescent="0.25">
      <c r="D224" s="736">
        <v>206</v>
      </c>
      <c r="E224" s="736">
        <f t="shared" ca="1" si="9"/>
        <v>2</v>
      </c>
      <c r="F224" s="32">
        <f t="shared" ca="1" si="10"/>
        <v>18</v>
      </c>
      <c r="H224" s="20">
        <f t="shared" ca="1" si="11"/>
        <v>0</v>
      </c>
    </row>
    <row r="225" spans="4:8" s="735" customFormat="1" x14ac:dyDescent="0.25">
      <c r="D225" s="736">
        <v>207</v>
      </c>
      <c r="E225" s="736">
        <f t="shared" ca="1" si="9"/>
        <v>3</v>
      </c>
      <c r="F225" s="32">
        <f t="shared" ca="1" si="10"/>
        <v>18</v>
      </c>
      <c r="H225" s="20">
        <f t="shared" ca="1" si="11"/>
        <v>0</v>
      </c>
    </row>
    <row r="226" spans="4:8" s="735" customFormat="1" x14ac:dyDescent="0.25">
      <c r="D226" s="736">
        <v>208</v>
      </c>
      <c r="E226" s="736">
        <f t="shared" ca="1" si="9"/>
        <v>4</v>
      </c>
      <c r="F226" s="32">
        <f t="shared" ca="1" si="10"/>
        <v>18</v>
      </c>
      <c r="H226" s="20">
        <f t="shared" ca="1" si="11"/>
        <v>0</v>
      </c>
    </row>
    <row r="227" spans="4:8" s="735" customFormat="1" x14ac:dyDescent="0.25">
      <c r="D227" s="736">
        <v>209</v>
      </c>
      <c r="E227" s="736">
        <f t="shared" ca="1" si="9"/>
        <v>5</v>
      </c>
      <c r="F227" s="32">
        <f t="shared" ca="1" si="10"/>
        <v>18</v>
      </c>
      <c r="H227" s="20">
        <f t="shared" ca="1" si="11"/>
        <v>0</v>
      </c>
    </row>
    <row r="228" spans="4:8" s="735" customFormat="1" x14ac:dyDescent="0.25">
      <c r="D228" s="736">
        <v>210</v>
      </c>
      <c r="E228" s="736">
        <f t="shared" ca="1" si="9"/>
        <v>6</v>
      </c>
      <c r="F228" s="32">
        <f t="shared" ca="1" si="10"/>
        <v>18</v>
      </c>
      <c r="H228" s="20">
        <f t="shared" ca="1" si="11"/>
        <v>0</v>
      </c>
    </row>
    <row r="229" spans="4:8" s="735" customFormat="1" x14ac:dyDescent="0.25">
      <c r="D229" s="736">
        <v>211</v>
      </c>
      <c r="E229" s="736">
        <f t="shared" ca="1" si="9"/>
        <v>7</v>
      </c>
      <c r="F229" s="32">
        <f t="shared" ca="1" si="10"/>
        <v>18</v>
      </c>
      <c r="H229" s="20">
        <f t="shared" ca="1" si="11"/>
        <v>0</v>
      </c>
    </row>
    <row r="230" spans="4:8" s="735" customFormat="1" x14ac:dyDescent="0.25">
      <c r="D230" s="736">
        <v>212</v>
      </c>
      <c r="E230" s="736">
        <f t="shared" ca="1" si="9"/>
        <v>8</v>
      </c>
      <c r="F230" s="32">
        <f t="shared" ca="1" si="10"/>
        <v>18</v>
      </c>
      <c r="H230" s="20">
        <f t="shared" ca="1" si="11"/>
        <v>0</v>
      </c>
    </row>
    <row r="231" spans="4:8" s="735" customFormat="1" x14ac:dyDescent="0.25">
      <c r="D231" s="736">
        <v>213</v>
      </c>
      <c r="E231" s="736">
        <f t="shared" ca="1" si="9"/>
        <v>9</v>
      </c>
      <c r="F231" s="32">
        <f t="shared" ca="1" si="10"/>
        <v>18</v>
      </c>
      <c r="H231" s="20">
        <f t="shared" ca="1" si="11"/>
        <v>0</v>
      </c>
    </row>
    <row r="232" spans="4:8" s="735" customFormat="1" x14ac:dyDescent="0.25">
      <c r="D232" s="736">
        <v>214</v>
      </c>
      <c r="E232" s="736">
        <f t="shared" ca="1" si="9"/>
        <v>10</v>
      </c>
      <c r="F232" s="32">
        <f t="shared" ca="1" si="10"/>
        <v>18</v>
      </c>
      <c r="H232" s="20">
        <f t="shared" ca="1" si="11"/>
        <v>0</v>
      </c>
    </row>
    <row r="233" spans="4:8" s="735" customFormat="1" x14ac:dyDescent="0.25">
      <c r="D233" s="736">
        <v>215</v>
      </c>
      <c r="E233" s="736">
        <f t="shared" ca="1" si="9"/>
        <v>11</v>
      </c>
      <c r="F233" s="32">
        <f t="shared" ca="1" si="10"/>
        <v>18</v>
      </c>
      <c r="H233" s="20">
        <f t="shared" ca="1" si="11"/>
        <v>0</v>
      </c>
    </row>
    <row r="234" spans="4:8" s="735" customFormat="1" x14ac:dyDescent="0.25">
      <c r="D234" s="736">
        <v>216</v>
      </c>
      <c r="E234" s="736">
        <f t="shared" ca="1" si="9"/>
        <v>12</v>
      </c>
      <c r="F234" s="32">
        <f t="shared" ca="1" si="10"/>
        <v>18</v>
      </c>
      <c r="H234" s="20">
        <f t="shared" ca="1" si="11"/>
        <v>0</v>
      </c>
    </row>
    <row r="235" spans="4:8" s="735" customFormat="1" x14ac:dyDescent="0.25">
      <c r="D235" s="736">
        <v>217</v>
      </c>
      <c r="E235" s="736">
        <f t="shared" ca="1" si="9"/>
        <v>1</v>
      </c>
      <c r="F235" s="32">
        <f t="shared" ca="1" si="10"/>
        <v>19</v>
      </c>
      <c r="H235" s="20">
        <f t="shared" ca="1" si="11"/>
        <v>0</v>
      </c>
    </row>
    <row r="236" spans="4:8" s="735" customFormat="1" x14ac:dyDescent="0.25">
      <c r="D236" s="736">
        <v>218</v>
      </c>
      <c r="E236" s="736">
        <f t="shared" ca="1" si="9"/>
        <v>2</v>
      </c>
      <c r="F236" s="32">
        <f t="shared" ca="1" si="10"/>
        <v>19</v>
      </c>
      <c r="H236" s="20">
        <f t="shared" ca="1" si="11"/>
        <v>0</v>
      </c>
    </row>
    <row r="237" spans="4:8" s="735" customFormat="1" x14ac:dyDescent="0.25">
      <c r="D237" s="736">
        <v>219</v>
      </c>
      <c r="E237" s="736">
        <f t="shared" ca="1" si="9"/>
        <v>3</v>
      </c>
      <c r="F237" s="32">
        <f t="shared" ca="1" si="10"/>
        <v>19</v>
      </c>
      <c r="H237" s="20">
        <f t="shared" ca="1" si="11"/>
        <v>0</v>
      </c>
    </row>
    <row r="238" spans="4:8" s="735" customFormat="1" x14ac:dyDescent="0.25">
      <c r="D238" s="736">
        <v>220</v>
      </c>
      <c r="E238" s="736">
        <f t="shared" ca="1" si="9"/>
        <v>4</v>
      </c>
      <c r="F238" s="32">
        <f t="shared" ca="1" si="10"/>
        <v>19</v>
      </c>
      <c r="H238" s="20">
        <f t="shared" ca="1" si="11"/>
        <v>0</v>
      </c>
    </row>
    <row r="239" spans="4:8" s="735" customFormat="1" x14ac:dyDescent="0.25">
      <c r="D239" s="736">
        <v>221</v>
      </c>
      <c r="E239" s="736">
        <f t="shared" ca="1" si="9"/>
        <v>5</v>
      </c>
      <c r="F239" s="32">
        <f t="shared" ca="1" si="10"/>
        <v>19</v>
      </c>
      <c r="H239" s="20">
        <f t="shared" ca="1" si="11"/>
        <v>0</v>
      </c>
    </row>
    <row r="240" spans="4:8" s="735" customFormat="1" x14ac:dyDescent="0.25">
      <c r="D240" s="736">
        <v>222</v>
      </c>
      <c r="E240" s="736">
        <f t="shared" ca="1" si="9"/>
        <v>6</v>
      </c>
      <c r="F240" s="32">
        <f t="shared" ca="1" si="10"/>
        <v>19</v>
      </c>
      <c r="H240" s="20">
        <f t="shared" ca="1" si="11"/>
        <v>0</v>
      </c>
    </row>
    <row r="241" spans="4:8" s="735" customFormat="1" x14ac:dyDescent="0.25">
      <c r="D241" s="736">
        <v>223</v>
      </c>
      <c r="E241" s="736">
        <f t="shared" ca="1" si="9"/>
        <v>7</v>
      </c>
      <c r="F241" s="32">
        <f t="shared" ca="1" si="10"/>
        <v>19</v>
      </c>
      <c r="H241" s="20">
        <f t="shared" ca="1" si="11"/>
        <v>0</v>
      </c>
    </row>
    <row r="242" spans="4:8" s="735" customFormat="1" x14ac:dyDescent="0.25">
      <c r="D242" s="736">
        <v>224</v>
      </c>
      <c r="E242" s="736">
        <f t="shared" ca="1" si="9"/>
        <v>8</v>
      </c>
      <c r="F242" s="32">
        <f t="shared" ca="1" si="10"/>
        <v>19</v>
      </c>
      <c r="H242" s="20">
        <f t="shared" ca="1" si="11"/>
        <v>0</v>
      </c>
    </row>
    <row r="243" spans="4:8" s="735" customFormat="1" x14ac:dyDescent="0.25">
      <c r="D243" s="736">
        <v>225</v>
      </c>
      <c r="E243" s="736">
        <f t="shared" ca="1" si="9"/>
        <v>9</v>
      </c>
      <c r="F243" s="32">
        <f t="shared" ca="1" si="10"/>
        <v>19</v>
      </c>
      <c r="H243" s="20">
        <f t="shared" ca="1" si="11"/>
        <v>0</v>
      </c>
    </row>
    <row r="244" spans="4:8" s="735" customFormat="1" x14ac:dyDescent="0.25">
      <c r="D244" s="736">
        <v>226</v>
      </c>
      <c r="E244" s="736">
        <f t="shared" ca="1" si="9"/>
        <v>10</v>
      </c>
      <c r="F244" s="32">
        <f t="shared" ca="1" si="10"/>
        <v>19</v>
      </c>
      <c r="H244" s="20">
        <f t="shared" ca="1" si="11"/>
        <v>0</v>
      </c>
    </row>
    <row r="245" spans="4:8" s="735" customFormat="1" x14ac:dyDescent="0.25">
      <c r="D245" s="736">
        <v>227</v>
      </c>
      <c r="E245" s="736">
        <f t="shared" ca="1" si="9"/>
        <v>11</v>
      </c>
      <c r="F245" s="32">
        <f t="shared" ca="1" si="10"/>
        <v>19</v>
      </c>
      <c r="H245" s="20">
        <f t="shared" ca="1" si="11"/>
        <v>0</v>
      </c>
    </row>
    <row r="246" spans="4:8" s="735" customFormat="1" x14ac:dyDescent="0.25">
      <c r="D246" s="736">
        <v>228</v>
      </c>
      <c r="E246" s="736">
        <f t="shared" ca="1" si="9"/>
        <v>12</v>
      </c>
      <c r="F246" s="32">
        <f t="shared" ca="1" si="10"/>
        <v>19</v>
      </c>
      <c r="H246" s="20">
        <f t="shared" ca="1" si="11"/>
        <v>0</v>
      </c>
    </row>
    <row r="247" spans="4:8" s="735" customFormat="1" x14ac:dyDescent="0.25">
      <c r="D247" s="736">
        <v>229</v>
      </c>
      <c r="E247" s="736">
        <f t="shared" ca="1" si="9"/>
        <v>1</v>
      </c>
      <c r="F247" s="32">
        <f t="shared" ca="1" si="10"/>
        <v>20</v>
      </c>
      <c r="H247" s="20">
        <f t="shared" ca="1" si="11"/>
        <v>0</v>
      </c>
    </row>
    <row r="248" spans="4:8" s="735" customFormat="1" x14ac:dyDescent="0.25">
      <c r="D248" s="736">
        <v>230</v>
      </c>
      <c r="E248" s="736">
        <f t="shared" ca="1" si="9"/>
        <v>2</v>
      </c>
      <c r="F248" s="32">
        <f t="shared" ca="1" si="10"/>
        <v>20</v>
      </c>
      <c r="H248" s="20">
        <f t="shared" ca="1" si="11"/>
        <v>0</v>
      </c>
    </row>
    <row r="249" spans="4:8" s="735" customFormat="1" x14ac:dyDescent="0.25">
      <c r="D249" s="736">
        <v>231</v>
      </c>
      <c r="E249" s="736">
        <f t="shared" ca="1" si="9"/>
        <v>3</v>
      </c>
      <c r="F249" s="32">
        <f t="shared" ca="1" si="10"/>
        <v>20</v>
      </c>
      <c r="H249" s="20">
        <f t="shared" ca="1" si="11"/>
        <v>0</v>
      </c>
    </row>
    <row r="250" spans="4:8" s="735" customFormat="1" x14ac:dyDescent="0.25">
      <c r="D250" s="736">
        <v>232</v>
      </c>
      <c r="E250" s="736">
        <f t="shared" ca="1" si="9"/>
        <v>4</v>
      </c>
      <c r="F250" s="32">
        <f t="shared" ca="1" si="10"/>
        <v>20</v>
      </c>
      <c r="H250" s="20">
        <f t="shared" ca="1" si="11"/>
        <v>0</v>
      </c>
    </row>
    <row r="251" spans="4:8" s="735" customFormat="1" x14ac:dyDescent="0.25">
      <c r="D251" s="736">
        <v>233</v>
      </c>
      <c r="E251" s="736">
        <f t="shared" ca="1" si="9"/>
        <v>5</v>
      </c>
      <c r="F251" s="32">
        <f t="shared" ca="1" si="10"/>
        <v>20</v>
      </c>
      <c r="H251" s="20">
        <f t="shared" ca="1" si="11"/>
        <v>0</v>
      </c>
    </row>
    <row r="252" spans="4:8" s="735" customFormat="1" x14ac:dyDescent="0.25">
      <c r="D252" s="736">
        <v>234</v>
      </c>
      <c r="E252" s="736">
        <f t="shared" ca="1" si="9"/>
        <v>6</v>
      </c>
      <c r="F252" s="32">
        <f t="shared" ca="1" si="10"/>
        <v>20</v>
      </c>
      <c r="H252" s="20">
        <f t="shared" ca="1" si="11"/>
        <v>0</v>
      </c>
    </row>
    <row r="253" spans="4:8" s="735" customFormat="1" x14ac:dyDescent="0.25">
      <c r="D253" s="736">
        <v>235</v>
      </c>
      <c r="E253" s="736">
        <f t="shared" ca="1" si="9"/>
        <v>7</v>
      </c>
      <c r="F253" s="32">
        <f t="shared" ca="1" si="10"/>
        <v>20</v>
      </c>
      <c r="H253" s="20">
        <f t="shared" ca="1" si="11"/>
        <v>0</v>
      </c>
    </row>
    <row r="254" spans="4:8" s="735" customFormat="1" x14ac:dyDescent="0.25">
      <c r="D254" s="736">
        <v>236</v>
      </c>
      <c r="E254" s="736">
        <f t="shared" ca="1" si="9"/>
        <v>8</v>
      </c>
      <c r="F254" s="32">
        <f t="shared" ca="1" si="10"/>
        <v>20</v>
      </c>
      <c r="H254" s="20">
        <f t="shared" ca="1" si="11"/>
        <v>0</v>
      </c>
    </row>
    <row r="255" spans="4:8" s="735" customFormat="1" x14ac:dyDescent="0.25">
      <c r="D255" s="736">
        <v>237</v>
      </c>
      <c r="E255" s="736">
        <f t="shared" ca="1" si="9"/>
        <v>9</v>
      </c>
      <c r="F255" s="32">
        <f t="shared" ca="1" si="10"/>
        <v>20</v>
      </c>
      <c r="H255" s="20">
        <f t="shared" ca="1" si="11"/>
        <v>0</v>
      </c>
    </row>
    <row r="256" spans="4:8" s="735" customFormat="1" x14ac:dyDescent="0.25">
      <c r="D256" s="736">
        <v>238</v>
      </c>
      <c r="E256" s="736">
        <f t="shared" ca="1" si="9"/>
        <v>10</v>
      </c>
      <c r="F256" s="32">
        <f t="shared" ca="1" si="10"/>
        <v>20</v>
      </c>
      <c r="H256" s="20">
        <f t="shared" ca="1" si="11"/>
        <v>0</v>
      </c>
    </row>
    <row r="257" spans="4:8" s="735" customFormat="1" x14ac:dyDescent="0.25">
      <c r="D257" s="736">
        <v>239</v>
      </c>
      <c r="E257" s="736">
        <f t="shared" ca="1" si="9"/>
        <v>11</v>
      </c>
      <c r="F257" s="32">
        <f t="shared" ca="1" si="10"/>
        <v>20</v>
      </c>
      <c r="H257" s="20">
        <f t="shared" ca="1" si="11"/>
        <v>0</v>
      </c>
    </row>
    <row r="258" spans="4:8" s="735" customFormat="1" x14ac:dyDescent="0.25">
      <c r="D258" s="736">
        <v>240</v>
      </c>
      <c r="E258" s="736">
        <f t="shared" ca="1" si="9"/>
        <v>12</v>
      </c>
      <c r="F258" s="32">
        <f t="shared" ca="1" si="10"/>
        <v>20</v>
      </c>
      <c r="H258" s="20">
        <f t="shared" ca="1" si="11"/>
        <v>0</v>
      </c>
    </row>
    <row r="259" spans="4:8" s="735" customFormat="1" x14ac:dyDescent="0.25">
      <c r="D259" s="736">
        <v>241</v>
      </c>
      <c r="E259" s="736">
        <f t="shared" ca="1" si="9"/>
        <v>1</v>
      </c>
      <c r="F259" s="32">
        <f t="shared" ca="1" si="10"/>
        <v>21</v>
      </c>
      <c r="H259" s="20">
        <f t="shared" ca="1" si="11"/>
        <v>0</v>
      </c>
    </row>
    <row r="260" spans="4:8" s="735" customFormat="1" x14ac:dyDescent="0.25">
      <c r="D260" s="736">
        <v>242</v>
      </c>
      <c r="E260" s="736">
        <f t="shared" ca="1" si="9"/>
        <v>2</v>
      </c>
      <c r="F260" s="32">
        <f t="shared" ca="1" si="10"/>
        <v>21</v>
      </c>
      <c r="H260" s="20">
        <f t="shared" ca="1" si="11"/>
        <v>0</v>
      </c>
    </row>
    <row r="261" spans="4:8" s="735" customFormat="1" x14ac:dyDescent="0.25">
      <c r="D261" s="736">
        <v>243</v>
      </c>
      <c r="E261" s="736">
        <f t="shared" ca="1" si="9"/>
        <v>3</v>
      </c>
      <c r="F261" s="32">
        <f t="shared" ca="1" si="10"/>
        <v>21</v>
      </c>
      <c r="H261" s="20">
        <f t="shared" ca="1" si="11"/>
        <v>0</v>
      </c>
    </row>
    <row r="262" spans="4:8" s="735" customFormat="1" x14ac:dyDescent="0.25">
      <c r="D262" s="736">
        <v>244</v>
      </c>
      <c r="E262" s="736">
        <f t="shared" ca="1" si="9"/>
        <v>4</v>
      </c>
      <c r="F262" s="32">
        <f t="shared" ca="1" si="10"/>
        <v>21</v>
      </c>
      <c r="H262" s="20">
        <f t="shared" ca="1" si="11"/>
        <v>0</v>
      </c>
    </row>
    <row r="263" spans="4:8" s="735" customFormat="1" x14ac:dyDescent="0.25">
      <c r="D263" s="736">
        <v>245</v>
      </c>
      <c r="E263" s="736">
        <f t="shared" ca="1" si="9"/>
        <v>5</v>
      </c>
      <c r="F263" s="32">
        <f t="shared" ca="1" si="10"/>
        <v>21</v>
      </c>
      <c r="H263" s="20">
        <f t="shared" ca="1" si="11"/>
        <v>0</v>
      </c>
    </row>
    <row r="264" spans="4:8" s="735" customFormat="1" x14ac:dyDescent="0.25">
      <c r="D264" s="736">
        <v>246</v>
      </c>
      <c r="E264" s="736">
        <f t="shared" ca="1" si="9"/>
        <v>6</v>
      </c>
      <c r="F264" s="32">
        <f t="shared" ca="1" si="10"/>
        <v>21</v>
      </c>
      <c r="H264" s="20">
        <f t="shared" ca="1" si="11"/>
        <v>0</v>
      </c>
    </row>
    <row r="265" spans="4:8" s="735" customFormat="1" x14ac:dyDescent="0.25">
      <c r="D265" s="736">
        <v>247</v>
      </c>
      <c r="E265" s="736">
        <f t="shared" ca="1" si="9"/>
        <v>7</v>
      </c>
      <c r="F265" s="32">
        <f t="shared" ca="1" si="10"/>
        <v>21</v>
      </c>
      <c r="H265" s="20">
        <f t="shared" ca="1" si="11"/>
        <v>0</v>
      </c>
    </row>
    <row r="266" spans="4:8" s="735" customFormat="1" x14ac:dyDescent="0.25">
      <c r="D266" s="736">
        <v>248</v>
      </c>
      <c r="E266" s="736">
        <f t="shared" ca="1" si="9"/>
        <v>8</v>
      </c>
      <c r="F266" s="32">
        <f t="shared" ca="1" si="10"/>
        <v>21</v>
      </c>
      <c r="H266" s="20">
        <f t="shared" ca="1" si="11"/>
        <v>0</v>
      </c>
    </row>
    <row r="267" spans="4:8" s="735" customFormat="1" x14ac:dyDescent="0.25">
      <c r="D267" s="736">
        <v>249</v>
      </c>
      <c r="E267" s="736">
        <f t="shared" ca="1" si="9"/>
        <v>9</v>
      </c>
      <c r="F267" s="32">
        <f t="shared" ca="1" si="10"/>
        <v>21</v>
      </c>
      <c r="H267" s="20">
        <f t="shared" ca="1" si="11"/>
        <v>0</v>
      </c>
    </row>
    <row r="268" spans="4:8" s="735" customFormat="1" x14ac:dyDescent="0.25">
      <c r="D268" s="736">
        <v>250</v>
      </c>
      <c r="E268" s="736">
        <f t="shared" ca="1" si="9"/>
        <v>10</v>
      </c>
      <c r="F268" s="32">
        <f t="shared" ca="1" si="10"/>
        <v>21</v>
      </c>
      <c r="H268" s="20">
        <f t="shared" ca="1" si="11"/>
        <v>0</v>
      </c>
    </row>
    <row r="269" spans="4:8" s="735" customFormat="1" x14ac:dyDescent="0.25">
      <c r="D269" s="736">
        <v>251</v>
      </c>
      <c r="E269" s="736">
        <f t="shared" ca="1" si="9"/>
        <v>11</v>
      </c>
      <c r="F269" s="32">
        <f t="shared" ca="1" si="10"/>
        <v>21</v>
      </c>
      <c r="H269" s="20">
        <f t="shared" ca="1" si="11"/>
        <v>0</v>
      </c>
    </row>
    <row r="270" spans="4:8" s="735" customFormat="1" x14ac:dyDescent="0.25">
      <c r="D270" s="736">
        <v>252</v>
      </c>
      <c r="E270" s="736">
        <f t="shared" ca="1" si="9"/>
        <v>12</v>
      </c>
      <c r="F270" s="32">
        <f t="shared" ca="1" si="10"/>
        <v>21</v>
      </c>
      <c r="H270" s="20">
        <f t="shared" ca="1" si="11"/>
        <v>0</v>
      </c>
    </row>
    <row r="271" spans="4:8" s="735" customFormat="1" x14ac:dyDescent="0.25">
      <c r="D271" s="736">
        <v>253</v>
      </c>
      <c r="E271" s="736">
        <f t="shared" ca="1" si="9"/>
        <v>1</v>
      </c>
      <c r="F271" s="32">
        <f t="shared" ca="1" si="10"/>
        <v>22</v>
      </c>
      <c r="H271" s="20">
        <f t="shared" ca="1" si="11"/>
        <v>0</v>
      </c>
    </row>
    <row r="272" spans="4:8" s="735" customFormat="1" x14ac:dyDescent="0.25">
      <c r="D272" s="736">
        <v>254</v>
      </c>
      <c r="E272" s="736">
        <f t="shared" ca="1" si="9"/>
        <v>2</v>
      </c>
      <c r="F272" s="32">
        <f t="shared" ca="1" si="10"/>
        <v>22</v>
      </c>
      <c r="H272" s="20">
        <f t="shared" ca="1" si="11"/>
        <v>0</v>
      </c>
    </row>
    <row r="273" spans="4:8" s="735" customFormat="1" x14ac:dyDescent="0.25">
      <c r="D273" s="736">
        <v>255</v>
      </c>
      <c r="E273" s="736">
        <f t="shared" ca="1" si="9"/>
        <v>3</v>
      </c>
      <c r="F273" s="32">
        <f t="shared" ca="1" si="10"/>
        <v>22</v>
      </c>
      <c r="H273" s="20">
        <f t="shared" ca="1" si="11"/>
        <v>0</v>
      </c>
    </row>
    <row r="274" spans="4:8" s="735" customFormat="1" x14ac:dyDescent="0.25">
      <c r="D274" s="736">
        <v>256</v>
      </c>
      <c r="E274" s="736">
        <f t="shared" ca="1" si="9"/>
        <v>4</v>
      </c>
      <c r="F274" s="32">
        <f t="shared" ca="1" si="10"/>
        <v>22</v>
      </c>
      <c r="H274" s="20">
        <f t="shared" ca="1" si="11"/>
        <v>0</v>
      </c>
    </row>
    <row r="275" spans="4:8" s="735" customFormat="1" x14ac:dyDescent="0.25">
      <c r="D275" s="736">
        <v>257</v>
      </c>
      <c r="E275" s="736">
        <f t="shared" ca="1" si="9"/>
        <v>5</v>
      </c>
      <c r="F275" s="32">
        <f t="shared" ca="1" si="10"/>
        <v>22</v>
      </c>
      <c r="H275" s="20">
        <f t="shared" ca="1" si="11"/>
        <v>0</v>
      </c>
    </row>
    <row r="276" spans="4:8" s="735" customFormat="1" x14ac:dyDescent="0.25">
      <c r="D276" s="736">
        <v>258</v>
      </c>
      <c r="E276" s="736">
        <f t="shared" ca="1" si="9"/>
        <v>6</v>
      </c>
      <c r="F276" s="32">
        <f t="shared" ca="1" si="10"/>
        <v>22</v>
      </c>
      <c r="H276" s="20">
        <f t="shared" ca="1" si="11"/>
        <v>0</v>
      </c>
    </row>
    <row r="277" spans="4:8" s="735" customFormat="1" x14ac:dyDescent="0.25">
      <c r="D277" s="736">
        <v>259</v>
      </c>
      <c r="E277" s="736">
        <f t="shared" ca="1" si="9"/>
        <v>7</v>
      </c>
      <c r="F277" s="32">
        <f t="shared" ca="1" si="10"/>
        <v>22</v>
      </c>
      <c r="H277" s="20">
        <f t="shared" ca="1" si="11"/>
        <v>0</v>
      </c>
    </row>
    <row r="278" spans="4:8" s="735" customFormat="1" x14ac:dyDescent="0.25">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C18" sqref="C18"/>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4211</v>
      </c>
    </row>
    <row r="4" spans="1:43" x14ac:dyDescent="0.25">
      <c r="A4" t="s">
        <v>506</v>
      </c>
      <c r="B4" s="314" t="s">
        <v>2439</v>
      </c>
      <c r="C4" s="311"/>
      <c r="D4" t="s">
        <v>506</v>
      </c>
      <c r="E4" s="114" t="s">
        <v>89</v>
      </c>
      <c r="F4" s="114"/>
      <c r="G4" s="114"/>
      <c r="H4" s="114"/>
      <c r="J4" s="114" t="s">
        <v>1704</v>
      </c>
      <c r="K4" s="114"/>
      <c r="L4" s="114"/>
      <c r="M4" s="114"/>
      <c r="N4" s="114"/>
    </row>
    <row r="5" spans="1:43" x14ac:dyDescent="0.25">
      <c r="AP5" s="457" t="s">
        <v>4210</v>
      </c>
      <c r="AQ5" s="457" t="s">
        <v>4214</v>
      </c>
    </row>
    <row r="6" spans="1:43" x14ac:dyDescent="0.25">
      <c r="B6" s="309" t="s">
        <v>11175</v>
      </c>
      <c r="C6" s="312"/>
      <c r="G6" s="934" t="s">
        <v>2430</v>
      </c>
      <c r="H6" s="934"/>
      <c r="AP6" s="457" t="s">
        <v>4212</v>
      </c>
      <c r="AQ6" s="457" t="s">
        <v>4215</v>
      </c>
    </row>
    <row r="7" spans="1:43" x14ac:dyDescent="0.25">
      <c r="B7" s="785" t="s">
        <v>5404</v>
      </c>
      <c r="C7" s="99">
        <f ca="1">MontoFinanciarAutoYGtiaExt</f>
        <v>141000</v>
      </c>
      <c r="G7" s="300" t="s">
        <v>2431</v>
      </c>
      <c r="H7" s="118">
        <v>1</v>
      </c>
      <c r="AP7" s="457" t="s">
        <v>4213</v>
      </c>
      <c r="AQ7" s="457" t="s">
        <v>4216</v>
      </c>
    </row>
    <row r="8" spans="1:43" x14ac:dyDescent="0.25">
      <c r="B8" s="868" t="s">
        <v>11176</v>
      </c>
      <c r="C8" s="99">
        <f ca="1">MontoFinanciarVida</f>
        <v>1002.0500000000001</v>
      </c>
      <c r="G8" s="301" t="s">
        <v>2432</v>
      </c>
      <c r="H8" s="74">
        <v>0</v>
      </c>
    </row>
    <row r="9" spans="1:43" x14ac:dyDescent="0.25">
      <c r="B9" s="563" t="s">
        <v>5231</v>
      </c>
      <c r="C9" s="842">
        <f ca="1">MontoFinanciarSeguros - MontoFinanciarVida</f>
        <v>7039.7068599999993</v>
      </c>
      <c r="G9" s="302" t="s">
        <v>2433</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2437</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5225</v>
      </c>
      <c r="C13" s="312"/>
    </row>
    <row r="14" spans="1:43" x14ac:dyDescent="0.25">
      <c r="B14" s="785" t="s">
        <v>5405</v>
      </c>
      <c r="C14" s="99">
        <f ca="1">Total.Egresos.CAT * CapturaPorcentajeComisionApertura</f>
        <v>3726.0439215000001</v>
      </c>
      <c r="E14" s="934" t="s">
        <v>5341</v>
      </c>
      <c r="F14" s="934"/>
      <c r="G14" s="934"/>
      <c r="H14" s="934"/>
    </row>
    <row r="15" spans="1:43" ht="15" customHeight="1" x14ac:dyDescent="0.25">
      <c r="B15" s="868" t="s">
        <v>11174</v>
      </c>
      <c r="C15" s="842">
        <f ca="1">PrimaVida</f>
        <v>1002.0500000000001</v>
      </c>
      <c r="E15" s="742" t="s">
        <v>5353</v>
      </c>
      <c r="F15" s="742" t="s">
        <v>5352</v>
      </c>
      <c r="G15" s="742" t="s">
        <v>5351</v>
      </c>
      <c r="H15" s="742" t="s">
        <v>5350</v>
      </c>
      <c r="M15" s="961" t="s">
        <v>2440</v>
      </c>
      <c r="N15" s="961"/>
    </row>
    <row r="16" spans="1:43" x14ac:dyDescent="0.25">
      <c r="B16" s="563" t="s">
        <v>5231</v>
      </c>
      <c r="C16" s="842">
        <f ca="1">PrimaDaños</f>
        <v>7039.7068599999993</v>
      </c>
    </row>
    <row r="17" spans="2:14" x14ac:dyDescent="0.25">
      <c r="E17" s="31" t="s">
        <v>86</v>
      </c>
      <c r="F17" s="304" t="s">
        <v>5367</v>
      </c>
      <c r="G17" s="305" t="s">
        <v>5367</v>
      </c>
      <c r="H17" s="305" t="s">
        <v>5368</v>
      </c>
      <c r="I17" t="s">
        <v>506</v>
      </c>
      <c r="J17" s="2" t="s">
        <v>1687</v>
      </c>
      <c r="K17" s="2" t="s">
        <v>1686</v>
      </c>
      <c r="L17" t="s">
        <v>506</v>
      </c>
      <c r="M17" s="108" t="s">
        <v>1685</v>
      </c>
      <c r="N17" s="116">
        <f ca="1">SUM(M19:M279)</f>
        <v>3.2014213502407074E-9</v>
      </c>
    </row>
    <row r="18" spans="2:14" ht="15" customHeight="1" x14ac:dyDescent="0.25">
      <c r="B18" s="308" t="s">
        <v>2438</v>
      </c>
      <c r="C18" s="313">
        <f ca="1">SUM(C14:C17)</f>
        <v>11767.800781499998</v>
      </c>
      <c r="E18" s="248"/>
      <c r="F18" s="306" t="s">
        <v>2434</v>
      </c>
      <c r="G18" s="306" t="s">
        <v>2435</v>
      </c>
      <c r="H18" s="306" t="s">
        <v>2435</v>
      </c>
    </row>
    <row r="19" spans="2:14" x14ac:dyDescent="0.25">
      <c r="J19" s="113">
        <v>0</v>
      </c>
      <c r="K19" s="105">
        <f ca="1">Total.Flujo.Cero.CAT</f>
        <v>-137273.95607849999</v>
      </c>
      <c r="L19" s="105"/>
      <c r="M19" s="105">
        <f ca="1">+_Flujos.CAT/(1+CAT)^(_Num.Flujo/PeriodosPorAño)</f>
        <v>-137273.95607849999</v>
      </c>
    </row>
    <row r="20" spans="2:14" x14ac:dyDescent="0.25">
      <c r="B20" s="309" t="s">
        <v>2436</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4" t="s">
        <v>3386</v>
      </c>
      <c r="F23" s="964"/>
      <c r="G23" s="964"/>
    </row>
    <row r="24" spans="1:7" x14ac:dyDescent="0.25">
      <c r="B24" s="13" t="s">
        <v>443</v>
      </c>
      <c r="E24" s="962" t="s">
        <v>3179</v>
      </c>
      <c r="F24" s="963"/>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4966</v>
      </c>
    </row>
    <row r="30" spans="1:7" x14ac:dyDescent="0.25">
      <c r="A30" s="2" t="s">
        <v>444</v>
      </c>
      <c r="B30" s="2" t="s">
        <v>445</v>
      </c>
      <c r="C30" s="3" t="s">
        <v>446</v>
      </c>
      <c r="D30" s="2" t="s">
        <v>1589</v>
      </c>
    </row>
    <row r="31" spans="1:7" x14ac:dyDescent="0.25">
      <c r="A31" s="539">
        <v>1</v>
      </c>
      <c r="B31" s="539" t="s">
        <v>4967</v>
      </c>
      <c r="C31" s="6">
        <f>A31</f>
        <v>1</v>
      </c>
      <c r="D31" t="b">
        <v>1</v>
      </c>
    </row>
    <row r="32" spans="1:7" x14ac:dyDescent="0.25">
      <c r="A32" s="539">
        <v>2</v>
      </c>
      <c r="B32" s="539" t="s">
        <v>4968</v>
      </c>
      <c r="C32" s="10">
        <f>A32</f>
        <v>2</v>
      </c>
      <c r="D32" t="b">
        <v>0</v>
      </c>
    </row>
    <row r="35" spans="1:5" x14ac:dyDescent="0.25">
      <c r="B35" s="13" t="s">
        <v>1588</v>
      </c>
    </row>
    <row r="36" spans="1:5" x14ac:dyDescent="0.25">
      <c r="A36" s="2" t="s">
        <v>444</v>
      </c>
      <c r="B36" s="2" t="s">
        <v>445</v>
      </c>
      <c r="C36" s="3" t="s">
        <v>446</v>
      </c>
      <c r="D36" s="2" t="s">
        <v>1589</v>
      </c>
      <c r="E36" s="2" t="s">
        <v>3198</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65" t="s">
        <v>435</v>
      </c>
      <c r="E54" s="966"/>
      <c r="F54" s="966"/>
      <c r="G54" s="966"/>
      <c r="H54" s="966"/>
    </row>
    <row r="55" spans="2:9" x14ac:dyDescent="0.25">
      <c r="D55" s="13" t="s">
        <v>432</v>
      </c>
      <c r="E55" s="268" t="s">
        <v>2375</v>
      </c>
      <c r="F55" s="13" t="s">
        <v>420</v>
      </c>
      <c r="G55" s="13" t="s">
        <v>421</v>
      </c>
      <c r="H55" s="268" t="s">
        <v>4983</v>
      </c>
      <c r="I55" s="268" t="s">
        <v>4984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827" t="s">
        <v>5478</v>
      </c>
      <c r="D62" s="827" t="s">
        <v>5479</v>
      </c>
      <c r="E62" s="827" t="s">
        <v>5480</v>
      </c>
      <c r="F62" s="827" t="s">
        <v>5481</v>
      </c>
      <c r="G62" s="827" t="s">
        <v>5482</v>
      </c>
      <c r="H62" s="827" t="s">
        <v>5479</v>
      </c>
      <c r="I62" s="827" t="s">
        <v>5482</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3693</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3690</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4427</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topLeftCell="A712" zoomScale="85" zoomScaleNormal="85" workbookViewId="0">
      <selection activeCell="A207" sqref="A207:A739"/>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829"/>
      <c r="Q3" s="830"/>
      <c r="R3" s="831"/>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x14ac:dyDescent="0.25">
      <c r="A14" s="492">
        <v>0</v>
      </c>
      <c r="B14" s="493" t="s">
        <v>2885</v>
      </c>
      <c r="C14" s="273"/>
      <c r="D14" s="502"/>
      <c r="E14" s="493"/>
      <c r="F14" s="494"/>
      <c r="G14" s="274"/>
      <c r="H14" s="274"/>
      <c r="I14" s="274"/>
      <c r="J14" s="274"/>
      <c r="K14" s="274"/>
      <c r="L14" s="274"/>
      <c r="M14" s="495"/>
      <c r="N14" s="274"/>
      <c r="O14" s="274"/>
      <c r="P14" s="274"/>
      <c r="Q14" s="274"/>
      <c r="R14" s="275"/>
    </row>
    <row r="15" spans="1:18" x14ac:dyDescent="0.25">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x14ac:dyDescent="0.25">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x14ac:dyDescent="0.25">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x14ac:dyDescent="0.25">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x14ac:dyDescent="0.25">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x14ac:dyDescent="0.25">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x14ac:dyDescent="0.25">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x14ac:dyDescent="0.25">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x14ac:dyDescent="0.25">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x14ac:dyDescent="0.25">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x14ac:dyDescent="0.25">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x14ac:dyDescent="0.25">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x14ac:dyDescent="0.25">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x14ac:dyDescent="0.25">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x14ac:dyDescent="0.25">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x14ac:dyDescent="0.25">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x14ac:dyDescent="0.25">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x14ac:dyDescent="0.25">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x14ac:dyDescent="0.25">
      <c r="A33" s="469">
        <v>19</v>
      </c>
      <c r="B33" s="471" t="s">
        <v>5514</v>
      </c>
      <c r="C33" s="469">
        <v>19</v>
      </c>
      <c r="D33" s="503" t="s">
        <v>5515</v>
      </c>
      <c r="E33" s="470" t="s">
        <v>5516</v>
      </c>
      <c r="F33" s="544">
        <v>5.0299000000000003E-2</v>
      </c>
      <c r="G33" s="545">
        <v>2538.48</v>
      </c>
      <c r="H33" s="472">
        <v>487.2</v>
      </c>
      <c r="I33" s="471" t="s">
        <v>500</v>
      </c>
      <c r="J33" s="469">
        <v>1</v>
      </c>
      <c r="K33" s="469" t="s">
        <v>5517</v>
      </c>
      <c r="L33" s="547">
        <v>348</v>
      </c>
      <c r="M33" s="523" t="s">
        <v>2443</v>
      </c>
      <c r="N33" s="548">
        <v>67.071199999999919</v>
      </c>
      <c r="O33" s="548">
        <v>134.154</v>
      </c>
      <c r="P33" s="473" t="s">
        <v>2444</v>
      </c>
      <c r="Q33" s="549">
        <v>336.67840000000001</v>
      </c>
      <c r="R33" s="562"/>
    </row>
    <row r="34" spans="1:18" x14ac:dyDescent="0.25">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x14ac:dyDescent="0.25">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x14ac:dyDescent="0.25">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x14ac:dyDescent="0.25">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x14ac:dyDescent="0.25">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x14ac:dyDescent="0.25">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x14ac:dyDescent="0.25">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x14ac:dyDescent="0.25">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x14ac:dyDescent="0.25">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x14ac:dyDescent="0.25">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x14ac:dyDescent="0.25">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x14ac:dyDescent="0.25">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x14ac:dyDescent="0.25">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x14ac:dyDescent="0.25">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x14ac:dyDescent="0.25">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x14ac:dyDescent="0.25">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x14ac:dyDescent="0.25">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x14ac:dyDescent="0.25">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x14ac:dyDescent="0.25">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x14ac:dyDescent="0.25">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x14ac:dyDescent="0.25">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x14ac:dyDescent="0.25">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x14ac:dyDescent="0.25">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x14ac:dyDescent="0.25">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x14ac:dyDescent="0.25">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x14ac:dyDescent="0.25">
      <c r="A59" s="469">
        <v>45</v>
      </c>
      <c r="B59" s="471" t="s">
        <v>5518</v>
      </c>
      <c r="C59" s="469">
        <v>45</v>
      </c>
      <c r="D59" s="503" t="s">
        <v>2143</v>
      </c>
      <c r="E59" s="470" t="s">
        <v>5519</v>
      </c>
      <c r="F59" s="544">
        <v>4.2571999999999999E-2</v>
      </c>
      <c r="G59" s="545">
        <v>2538.48</v>
      </c>
      <c r="H59" s="472">
        <v>487.2</v>
      </c>
      <c r="I59" s="471" t="s">
        <v>500</v>
      </c>
      <c r="J59" s="469">
        <v>1</v>
      </c>
      <c r="K59" s="469" t="s">
        <v>5520</v>
      </c>
      <c r="L59" s="547">
        <v>348</v>
      </c>
      <c r="M59" s="523" t="s">
        <v>2443</v>
      </c>
      <c r="N59" s="548">
        <v>67.071199999999919</v>
      </c>
      <c r="O59" s="548">
        <v>134.15399999999985</v>
      </c>
      <c r="P59" s="473" t="s">
        <v>2444</v>
      </c>
      <c r="Q59" s="549">
        <v>336.67840000000001</v>
      </c>
      <c r="R59" s="562"/>
    </row>
    <row r="60" spans="1:18" x14ac:dyDescent="0.25">
      <c r="A60" s="469">
        <v>46</v>
      </c>
      <c r="B60" s="471" t="s">
        <v>5521</v>
      </c>
      <c r="C60" s="469">
        <v>46</v>
      </c>
      <c r="D60" s="503" t="s">
        <v>2143</v>
      </c>
      <c r="E60" s="470" t="s">
        <v>5522</v>
      </c>
      <c r="F60" s="544">
        <v>4.2571999999999999E-2</v>
      </c>
      <c r="G60" s="545">
        <v>2538.48</v>
      </c>
      <c r="H60" s="472">
        <v>487.2</v>
      </c>
      <c r="I60" s="471" t="s">
        <v>500</v>
      </c>
      <c r="J60" s="469">
        <v>1</v>
      </c>
      <c r="K60" s="469" t="s">
        <v>5523</v>
      </c>
      <c r="L60" s="547">
        <v>348</v>
      </c>
      <c r="M60" s="523" t="s">
        <v>2443</v>
      </c>
      <c r="N60" s="548">
        <v>67.071199999999919</v>
      </c>
      <c r="O60" s="548">
        <v>134.15399999999985</v>
      </c>
      <c r="P60" s="473" t="s">
        <v>2444</v>
      </c>
      <c r="Q60" s="549">
        <v>336.67840000000001</v>
      </c>
      <c r="R60" s="562"/>
    </row>
    <row r="61" spans="1:18" x14ac:dyDescent="0.25">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x14ac:dyDescent="0.25">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x14ac:dyDescent="0.25">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x14ac:dyDescent="0.25">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x14ac:dyDescent="0.25">
      <c r="A65" s="469">
        <v>51</v>
      </c>
      <c r="B65" s="471" t="s">
        <v>5524</v>
      </c>
      <c r="C65" s="469">
        <v>51</v>
      </c>
      <c r="D65" s="503" t="s">
        <v>2143</v>
      </c>
      <c r="E65" s="470" t="s">
        <v>5525</v>
      </c>
      <c r="F65" s="544">
        <v>3.9858999999999999E-2</v>
      </c>
      <c r="G65" s="545">
        <v>2538.48</v>
      </c>
      <c r="H65" s="472">
        <v>487.2</v>
      </c>
      <c r="I65" s="471" t="s">
        <v>500</v>
      </c>
      <c r="J65" s="469">
        <v>1</v>
      </c>
      <c r="K65" s="469" t="s">
        <v>5526</v>
      </c>
      <c r="L65" s="547">
        <v>348</v>
      </c>
      <c r="M65" s="523" t="s">
        <v>2443</v>
      </c>
      <c r="N65" s="548">
        <v>67.071199999999919</v>
      </c>
      <c r="O65" s="548">
        <v>134.154</v>
      </c>
      <c r="P65" s="473" t="s">
        <v>2444</v>
      </c>
      <c r="Q65" s="549">
        <v>336.67840000000001</v>
      </c>
      <c r="R65" s="562"/>
    </row>
    <row r="66" spans="1:18" x14ac:dyDescent="0.25">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x14ac:dyDescent="0.25">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x14ac:dyDescent="0.25">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x14ac:dyDescent="0.25">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x14ac:dyDescent="0.25">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x14ac:dyDescent="0.25">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x14ac:dyDescent="0.25">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x14ac:dyDescent="0.25">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x14ac:dyDescent="0.25">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x14ac:dyDescent="0.25">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x14ac:dyDescent="0.25">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x14ac:dyDescent="0.25">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x14ac:dyDescent="0.25">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x14ac:dyDescent="0.25">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x14ac:dyDescent="0.25">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x14ac:dyDescent="0.25">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x14ac:dyDescent="0.25">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x14ac:dyDescent="0.25">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x14ac:dyDescent="0.25">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x14ac:dyDescent="0.25">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x14ac:dyDescent="0.25">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x14ac:dyDescent="0.25">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x14ac:dyDescent="0.25">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x14ac:dyDescent="0.25">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x14ac:dyDescent="0.25">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x14ac:dyDescent="0.25">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x14ac:dyDescent="0.25">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x14ac:dyDescent="0.25">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x14ac:dyDescent="0.25">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x14ac:dyDescent="0.25">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x14ac:dyDescent="0.25">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x14ac:dyDescent="0.25">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x14ac:dyDescent="0.25">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x14ac:dyDescent="0.25">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x14ac:dyDescent="0.25">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x14ac:dyDescent="0.25">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x14ac:dyDescent="0.25">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x14ac:dyDescent="0.25">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x14ac:dyDescent="0.25">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x14ac:dyDescent="0.25">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x14ac:dyDescent="0.25">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x14ac:dyDescent="0.25">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x14ac:dyDescent="0.25">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x14ac:dyDescent="0.25">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x14ac:dyDescent="0.25">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x14ac:dyDescent="0.25">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x14ac:dyDescent="0.25">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x14ac:dyDescent="0.25">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x14ac:dyDescent="0.25">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x14ac:dyDescent="0.25">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x14ac:dyDescent="0.25">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x14ac:dyDescent="0.25">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x14ac:dyDescent="0.25">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x14ac:dyDescent="0.25">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x14ac:dyDescent="0.25">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x14ac:dyDescent="0.25">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x14ac:dyDescent="0.25">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x14ac:dyDescent="0.25">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x14ac:dyDescent="0.25">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x14ac:dyDescent="0.25">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x14ac:dyDescent="0.25">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x14ac:dyDescent="0.25">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x14ac:dyDescent="0.25">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x14ac:dyDescent="0.25">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x14ac:dyDescent="0.25">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x14ac:dyDescent="0.25">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x14ac:dyDescent="0.25">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x14ac:dyDescent="0.25">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x14ac:dyDescent="0.25">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x14ac:dyDescent="0.25">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x14ac:dyDescent="0.25">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x14ac:dyDescent="0.25">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x14ac:dyDescent="0.25">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x14ac:dyDescent="0.25">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x14ac:dyDescent="0.25">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x14ac:dyDescent="0.25">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x14ac:dyDescent="0.25">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x14ac:dyDescent="0.25">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x14ac:dyDescent="0.25">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x14ac:dyDescent="0.25">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x14ac:dyDescent="0.25">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x14ac:dyDescent="0.25">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x14ac:dyDescent="0.25">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x14ac:dyDescent="0.25">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x14ac:dyDescent="0.25">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x14ac:dyDescent="0.25">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x14ac:dyDescent="0.25">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x14ac:dyDescent="0.25">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x14ac:dyDescent="0.25">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x14ac:dyDescent="0.25">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x14ac:dyDescent="0.25">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x14ac:dyDescent="0.25">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x14ac:dyDescent="0.25">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x14ac:dyDescent="0.25">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x14ac:dyDescent="0.25">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x14ac:dyDescent="0.25">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x14ac:dyDescent="0.25">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x14ac:dyDescent="0.25">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x14ac:dyDescent="0.25">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x14ac:dyDescent="0.25">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x14ac:dyDescent="0.25">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x14ac:dyDescent="0.25">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x14ac:dyDescent="0.25">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x14ac:dyDescent="0.25">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x14ac:dyDescent="0.25">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x14ac:dyDescent="0.25">
      <c r="A171" s="469">
        <v>157</v>
      </c>
      <c r="B171" s="471" t="s">
        <v>5548</v>
      </c>
      <c r="C171" s="469">
        <v>157</v>
      </c>
      <c r="D171" s="503" t="s">
        <v>2212</v>
      </c>
      <c r="E171" s="470" t="s">
        <v>5568</v>
      </c>
      <c r="F171" s="544">
        <v>4.8640000000000003E-2</v>
      </c>
      <c r="G171" s="545">
        <v>3463</v>
      </c>
      <c r="H171" s="472">
        <v>487.2</v>
      </c>
      <c r="I171" s="471" t="s">
        <v>552</v>
      </c>
      <c r="J171" s="469">
        <v>2</v>
      </c>
      <c r="K171" s="469" t="s">
        <v>5589</v>
      </c>
      <c r="L171" s="547">
        <v>348</v>
      </c>
      <c r="M171" s="523" t="s">
        <v>2443</v>
      </c>
      <c r="N171" s="548">
        <v>121.62599999999989</v>
      </c>
      <c r="O171" s="548">
        <v>243.24040000000008</v>
      </c>
      <c r="P171" s="473" t="s">
        <v>2444</v>
      </c>
      <c r="Q171" s="549">
        <v>336.67840000000001</v>
      </c>
      <c r="R171" s="562"/>
    </row>
    <row r="172" spans="1:18" x14ac:dyDescent="0.25">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x14ac:dyDescent="0.25">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x14ac:dyDescent="0.25">
      <c r="A174" s="260">
        <v>160</v>
      </c>
      <c r="B174" s="471" t="s">
        <v>5549</v>
      </c>
      <c r="C174" s="469">
        <v>160</v>
      </c>
      <c r="D174" s="503" t="s">
        <v>2212</v>
      </c>
      <c r="E174" s="470" t="s">
        <v>5569</v>
      </c>
      <c r="F174" s="544">
        <v>4.5496000000000002E-2</v>
      </c>
      <c r="G174" s="545">
        <v>2538.48</v>
      </c>
      <c r="H174" s="472">
        <v>488.2</v>
      </c>
      <c r="I174" s="471" t="s">
        <v>500</v>
      </c>
      <c r="J174" s="469">
        <v>1</v>
      </c>
      <c r="K174" s="469" t="s">
        <v>5590</v>
      </c>
      <c r="L174" s="547">
        <v>348</v>
      </c>
      <c r="M174" s="523" t="s">
        <v>2443</v>
      </c>
      <c r="N174" s="548">
        <v>67.071199999999919</v>
      </c>
      <c r="O174" s="548">
        <v>134.15399999999985</v>
      </c>
      <c r="P174" s="473" t="s">
        <v>2444</v>
      </c>
      <c r="Q174" s="549">
        <v>336.67840000000001</v>
      </c>
      <c r="R174" s="562"/>
    </row>
    <row r="175" spans="1:18" x14ac:dyDescent="0.25">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x14ac:dyDescent="0.25">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x14ac:dyDescent="0.25">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x14ac:dyDescent="0.25">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x14ac:dyDescent="0.25">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x14ac:dyDescent="0.25">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x14ac:dyDescent="0.25">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x14ac:dyDescent="0.25">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x14ac:dyDescent="0.25">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x14ac:dyDescent="0.25">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x14ac:dyDescent="0.25">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x14ac:dyDescent="0.25">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x14ac:dyDescent="0.25">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x14ac:dyDescent="0.25">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x14ac:dyDescent="0.25">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x14ac:dyDescent="0.25">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x14ac:dyDescent="0.25">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x14ac:dyDescent="0.25">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x14ac:dyDescent="0.25">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x14ac:dyDescent="0.25">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x14ac:dyDescent="0.25">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x14ac:dyDescent="0.25">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x14ac:dyDescent="0.25">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x14ac:dyDescent="0.25">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x14ac:dyDescent="0.25">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x14ac:dyDescent="0.25">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x14ac:dyDescent="0.25">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x14ac:dyDescent="0.25">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x14ac:dyDescent="0.25">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x14ac:dyDescent="0.25">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x14ac:dyDescent="0.25">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x14ac:dyDescent="0.25">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x14ac:dyDescent="0.25">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x14ac:dyDescent="0.25">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x14ac:dyDescent="0.25">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x14ac:dyDescent="0.25">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x14ac:dyDescent="0.25">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58" customFormat="1" x14ac:dyDescent="0.25">
      <c r="A212" s="469">
        <v>198</v>
      </c>
      <c r="B212" s="845" t="s">
        <v>3450</v>
      </c>
      <c r="C212" s="469">
        <v>198</v>
      </c>
      <c r="D212" s="847" t="s">
        <v>3615</v>
      </c>
      <c r="E212" s="848" t="s">
        <v>3625</v>
      </c>
      <c r="F212" s="849">
        <f ca="1">IF(OR(ID_ESTADO=9,ID_ESTADO=11,ID_ESTADO=15),0.0355,0.0435412)</f>
        <v>4.3541200000000002E-2</v>
      </c>
      <c r="G212" s="850">
        <v>2538.48</v>
      </c>
      <c r="H212" s="851">
        <v>487.2</v>
      </c>
      <c r="I212" s="845" t="s">
        <v>500</v>
      </c>
      <c r="J212" s="846">
        <v>1</v>
      </c>
      <c r="K212" s="846" t="s">
        <v>3536</v>
      </c>
      <c r="L212" s="852">
        <v>348</v>
      </c>
      <c r="M212" s="853" t="s">
        <v>2443</v>
      </c>
      <c r="N212" s="854">
        <v>67.071199999999919</v>
      </c>
      <c r="O212" s="854">
        <v>134.154</v>
      </c>
      <c r="P212" s="855" t="s">
        <v>2444</v>
      </c>
      <c r="Q212" s="856">
        <v>336.67839999999967</v>
      </c>
      <c r="R212" s="857"/>
    </row>
    <row r="213" spans="1:18" s="328" customFormat="1" x14ac:dyDescent="0.25">
      <c r="A213" s="469">
        <v>199</v>
      </c>
      <c r="B213" s="471" t="s">
        <v>5550</v>
      </c>
      <c r="C213" s="469">
        <v>199</v>
      </c>
      <c r="D213" s="503" t="s">
        <v>3615</v>
      </c>
      <c r="E213" s="470" t="s">
        <v>5570</v>
      </c>
      <c r="F213" s="544">
        <v>5.1374999999999997E-2</v>
      </c>
      <c r="G213" s="545">
        <v>2538.48</v>
      </c>
      <c r="H213" s="472">
        <v>492.2</v>
      </c>
      <c r="I213" s="471" t="s">
        <v>500</v>
      </c>
      <c r="J213" s="469">
        <v>1</v>
      </c>
      <c r="K213" s="469" t="s">
        <v>5591</v>
      </c>
      <c r="L213" s="547">
        <v>348</v>
      </c>
      <c r="M213" s="523" t="s">
        <v>2443</v>
      </c>
      <c r="N213" s="548">
        <v>67.071199999999919</v>
      </c>
      <c r="O213" s="548">
        <v>134.15399999999985</v>
      </c>
      <c r="P213" s="473" t="s">
        <v>2444</v>
      </c>
      <c r="Q213" s="549">
        <v>336.67840000000001</v>
      </c>
      <c r="R213" s="562"/>
    </row>
    <row r="214" spans="1:18" s="328" customFormat="1" x14ac:dyDescent="0.25">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x14ac:dyDescent="0.25">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x14ac:dyDescent="0.25">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58" customFormat="1" x14ac:dyDescent="0.25">
      <c r="A217" s="469">
        <v>203</v>
      </c>
      <c r="B217" s="845" t="s">
        <v>3454</v>
      </c>
      <c r="C217" s="469">
        <v>203</v>
      </c>
      <c r="D217" s="847" t="s">
        <v>3615</v>
      </c>
      <c r="E217" s="848" t="s">
        <v>3629</v>
      </c>
      <c r="F217" s="849">
        <f ca="1">IF(OR(ID_ESTADO=9,ID_ESTADO=11,ID_ESTADO=15),0.042554,0.0513751)</f>
        <v>5.13751E-2</v>
      </c>
      <c r="G217" s="850">
        <v>2538.48</v>
      </c>
      <c r="H217" s="851">
        <v>487.2</v>
      </c>
      <c r="I217" s="845" t="s">
        <v>500</v>
      </c>
      <c r="J217" s="846">
        <v>1</v>
      </c>
      <c r="K217" s="846" t="s">
        <v>3540</v>
      </c>
      <c r="L217" s="852">
        <v>348</v>
      </c>
      <c r="M217" s="853" t="s">
        <v>2443</v>
      </c>
      <c r="N217" s="854">
        <v>67.071199999999919</v>
      </c>
      <c r="O217" s="854">
        <v>134.154</v>
      </c>
      <c r="P217" s="855" t="s">
        <v>2444</v>
      </c>
      <c r="Q217" s="856">
        <v>336.67839999999967</v>
      </c>
      <c r="R217" s="857"/>
    </row>
    <row r="218" spans="1:18" s="328" customFormat="1" x14ac:dyDescent="0.25">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x14ac:dyDescent="0.25">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x14ac:dyDescent="0.25">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x14ac:dyDescent="0.25">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x14ac:dyDescent="0.25">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x14ac:dyDescent="0.25">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x14ac:dyDescent="0.25">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x14ac:dyDescent="0.25">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x14ac:dyDescent="0.25">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x14ac:dyDescent="0.25">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x14ac:dyDescent="0.25">
      <c r="A228" s="469">
        <v>214</v>
      </c>
      <c r="B228" s="471" t="s">
        <v>5551</v>
      </c>
      <c r="C228" s="469">
        <v>214</v>
      </c>
      <c r="D228" s="503" t="s">
        <v>3615</v>
      </c>
      <c r="E228" s="470" t="s">
        <v>5571</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x14ac:dyDescent="0.25">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x14ac:dyDescent="0.25">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x14ac:dyDescent="0.25">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x14ac:dyDescent="0.25">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x14ac:dyDescent="0.25">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x14ac:dyDescent="0.25">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x14ac:dyDescent="0.25">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x14ac:dyDescent="0.25">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x14ac:dyDescent="0.25">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x14ac:dyDescent="0.25">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x14ac:dyDescent="0.25">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x14ac:dyDescent="0.25">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x14ac:dyDescent="0.25">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x14ac:dyDescent="0.25">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x14ac:dyDescent="0.25">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x14ac:dyDescent="0.25">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x14ac:dyDescent="0.25">
      <c r="A245" s="469">
        <v>231</v>
      </c>
      <c r="B245" s="471" t="s">
        <v>4220</v>
      </c>
      <c r="C245" s="469">
        <v>231</v>
      </c>
      <c r="D245" s="503" t="s">
        <v>3615</v>
      </c>
      <c r="E245" s="470" t="s">
        <v>4221</v>
      </c>
      <c r="F245" s="544">
        <v>4.4601699999999994E-2</v>
      </c>
      <c r="G245" s="545">
        <v>2538.48</v>
      </c>
      <c r="H245" s="472">
        <v>487.2</v>
      </c>
      <c r="I245" s="471" t="s">
        <v>500</v>
      </c>
      <c r="J245" s="469">
        <v>1</v>
      </c>
      <c r="K245" s="469" t="s">
        <v>5527</v>
      </c>
      <c r="L245" s="547">
        <v>348</v>
      </c>
      <c r="M245" s="523" t="s">
        <v>2443</v>
      </c>
      <c r="N245" s="548">
        <v>67.071199999999919</v>
      </c>
      <c r="O245" s="548">
        <v>134.15400000000011</v>
      </c>
      <c r="P245" s="473" t="s">
        <v>2444</v>
      </c>
      <c r="Q245" s="549">
        <v>336.67839999999967</v>
      </c>
      <c r="R245" s="562"/>
    </row>
    <row r="246" spans="1:18" s="328" customFormat="1" x14ac:dyDescent="0.25">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x14ac:dyDescent="0.25">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x14ac:dyDescent="0.25">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x14ac:dyDescent="0.25">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x14ac:dyDescent="0.25">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x14ac:dyDescent="0.25">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x14ac:dyDescent="0.25">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x14ac:dyDescent="0.25">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x14ac:dyDescent="0.25">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x14ac:dyDescent="0.25">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x14ac:dyDescent="0.25">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x14ac:dyDescent="0.25">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x14ac:dyDescent="0.25">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x14ac:dyDescent="0.25">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x14ac:dyDescent="0.25">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x14ac:dyDescent="0.25">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x14ac:dyDescent="0.25">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x14ac:dyDescent="0.25">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x14ac:dyDescent="0.25">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x14ac:dyDescent="0.25">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x14ac:dyDescent="0.25">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x14ac:dyDescent="0.25">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x14ac:dyDescent="0.25">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x14ac:dyDescent="0.25">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x14ac:dyDescent="0.25">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x14ac:dyDescent="0.25">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x14ac:dyDescent="0.25">
      <c r="A272" s="469">
        <v>258</v>
      </c>
      <c r="B272" s="471" t="s">
        <v>5552</v>
      </c>
      <c r="C272" s="469">
        <v>258</v>
      </c>
      <c r="D272" s="503" t="s">
        <v>3665</v>
      </c>
      <c r="E272" s="470" t="s">
        <v>5572</v>
      </c>
      <c r="F272" s="544">
        <v>4.7321000000000002E-2</v>
      </c>
      <c r="G272" s="545">
        <v>11870.23</v>
      </c>
      <c r="H272" s="472">
        <v>487.2</v>
      </c>
      <c r="I272" s="471" t="s">
        <v>3694</v>
      </c>
      <c r="J272" s="469">
        <v>3</v>
      </c>
      <c r="K272" s="469" t="s">
        <v>5592</v>
      </c>
      <c r="L272" s="547">
        <v>0</v>
      </c>
      <c r="M272" s="523" t="s">
        <v>2443</v>
      </c>
      <c r="N272" s="548">
        <v>481.76540000000057</v>
      </c>
      <c r="O272" s="548">
        <v>963.53080000000114</v>
      </c>
      <c r="P272" s="473" t="s">
        <v>2444</v>
      </c>
      <c r="Q272" s="549">
        <v>0</v>
      </c>
      <c r="R272" s="562"/>
    </row>
    <row r="273" spans="1:18" s="328" customFormat="1" x14ac:dyDescent="0.25">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x14ac:dyDescent="0.25">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x14ac:dyDescent="0.25">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x14ac:dyDescent="0.25">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x14ac:dyDescent="0.25">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x14ac:dyDescent="0.25">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x14ac:dyDescent="0.25">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x14ac:dyDescent="0.25">
      <c r="A280" s="469">
        <v>266</v>
      </c>
      <c r="B280" s="471" t="s">
        <v>5553</v>
      </c>
      <c r="C280" s="469">
        <v>266</v>
      </c>
      <c r="D280" s="503" t="s">
        <v>3665</v>
      </c>
      <c r="E280" s="470" t="s">
        <v>5573</v>
      </c>
      <c r="F280" s="544">
        <v>2.6136E-2</v>
      </c>
      <c r="G280" s="545">
        <v>8691.42</v>
      </c>
      <c r="H280" s="472">
        <v>487.2</v>
      </c>
      <c r="I280" s="471" t="s">
        <v>3694</v>
      </c>
      <c r="J280" s="469">
        <v>3</v>
      </c>
      <c r="K280" s="469" t="s">
        <v>5593</v>
      </c>
      <c r="L280" s="547">
        <v>0</v>
      </c>
      <c r="M280" s="523" t="s">
        <v>2443</v>
      </c>
      <c r="N280" s="548">
        <v>354.90200000000084</v>
      </c>
      <c r="O280" s="548">
        <v>709.80400000000066</v>
      </c>
      <c r="P280" s="473" t="s">
        <v>2444</v>
      </c>
      <c r="Q280" s="549">
        <v>0</v>
      </c>
      <c r="R280" s="562"/>
    </row>
    <row r="281" spans="1:18" s="328" customFormat="1" x14ac:dyDescent="0.25">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x14ac:dyDescent="0.25">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x14ac:dyDescent="0.25">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x14ac:dyDescent="0.25">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x14ac:dyDescent="0.25">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x14ac:dyDescent="0.25">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x14ac:dyDescent="0.25">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x14ac:dyDescent="0.25">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59" customFormat="1" x14ac:dyDescent="0.25">
      <c r="A289" s="469">
        <v>275</v>
      </c>
      <c r="B289" s="845" t="s">
        <v>2581</v>
      </c>
      <c r="C289" s="469">
        <v>275</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2443</v>
      </c>
      <c r="N289" s="854">
        <v>67.071199999999919</v>
      </c>
      <c r="O289" s="854">
        <v>134.15400000000011</v>
      </c>
      <c r="P289" s="855" t="s">
        <v>2444</v>
      </c>
      <c r="Q289" s="856">
        <v>336.67839999999967</v>
      </c>
      <c r="R289" s="857"/>
    </row>
    <row r="290" spans="1:18" s="328" customFormat="1" x14ac:dyDescent="0.25">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x14ac:dyDescent="0.25">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x14ac:dyDescent="0.25">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x14ac:dyDescent="0.25">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x14ac:dyDescent="0.25">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x14ac:dyDescent="0.25">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x14ac:dyDescent="0.25">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x14ac:dyDescent="0.25">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x14ac:dyDescent="0.25">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x14ac:dyDescent="0.25">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x14ac:dyDescent="0.25">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x14ac:dyDescent="0.25">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x14ac:dyDescent="0.25">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x14ac:dyDescent="0.25">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x14ac:dyDescent="0.25">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x14ac:dyDescent="0.25">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x14ac:dyDescent="0.25">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x14ac:dyDescent="0.25">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x14ac:dyDescent="0.25">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x14ac:dyDescent="0.25">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x14ac:dyDescent="0.25">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x14ac:dyDescent="0.25">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x14ac:dyDescent="0.25">
      <c r="A312" s="469">
        <v>298</v>
      </c>
      <c r="B312" s="471" t="s">
        <v>5554</v>
      </c>
      <c r="C312" s="469">
        <v>298</v>
      </c>
      <c r="D312" s="503" t="s">
        <v>2217</v>
      </c>
      <c r="E312" s="470" t="s">
        <v>5574</v>
      </c>
      <c r="F312" s="544">
        <v>6.2548000000000006E-2</v>
      </c>
      <c r="G312" s="545">
        <v>3463</v>
      </c>
      <c r="H312" s="472">
        <v>487.2</v>
      </c>
      <c r="I312" s="471" t="s">
        <v>552</v>
      </c>
      <c r="J312" s="469">
        <v>2</v>
      </c>
      <c r="K312" s="469" t="s">
        <v>5594</v>
      </c>
      <c r="L312" s="547">
        <v>348</v>
      </c>
      <c r="M312" s="523" t="s">
        <v>2443</v>
      </c>
      <c r="N312" s="548">
        <v>121.62599999999989</v>
      </c>
      <c r="O312" s="548">
        <v>243.24040000000008</v>
      </c>
      <c r="P312" s="473" t="s">
        <v>2444</v>
      </c>
      <c r="Q312" s="549">
        <v>336.67840000000001</v>
      </c>
      <c r="R312" s="562"/>
    </row>
    <row r="313" spans="1:18" x14ac:dyDescent="0.25">
      <c r="A313" s="469">
        <v>299</v>
      </c>
      <c r="B313" s="471" t="s">
        <v>5555</v>
      </c>
      <c r="C313" s="469">
        <v>299</v>
      </c>
      <c r="D313" s="503" t="s">
        <v>2217</v>
      </c>
      <c r="E313" s="470" t="s">
        <v>5575</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x14ac:dyDescent="0.25">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x14ac:dyDescent="0.25">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x14ac:dyDescent="0.25">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x14ac:dyDescent="0.25">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x14ac:dyDescent="0.25">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x14ac:dyDescent="0.25">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x14ac:dyDescent="0.25">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x14ac:dyDescent="0.25">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x14ac:dyDescent="0.25">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x14ac:dyDescent="0.25">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x14ac:dyDescent="0.25">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x14ac:dyDescent="0.25">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x14ac:dyDescent="0.25">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x14ac:dyDescent="0.25">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x14ac:dyDescent="0.25">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x14ac:dyDescent="0.25">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x14ac:dyDescent="0.25">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x14ac:dyDescent="0.25">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x14ac:dyDescent="0.25">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x14ac:dyDescent="0.25">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x14ac:dyDescent="0.25">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x14ac:dyDescent="0.25">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x14ac:dyDescent="0.25">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x14ac:dyDescent="0.25">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x14ac:dyDescent="0.25">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x14ac:dyDescent="0.25">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x14ac:dyDescent="0.25">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x14ac:dyDescent="0.25">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x14ac:dyDescent="0.25">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x14ac:dyDescent="0.25">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x14ac:dyDescent="0.25">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x14ac:dyDescent="0.25">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x14ac:dyDescent="0.25">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x14ac:dyDescent="0.25">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x14ac:dyDescent="0.25">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x14ac:dyDescent="0.25">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x14ac:dyDescent="0.25">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x14ac:dyDescent="0.25">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x14ac:dyDescent="0.25">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x14ac:dyDescent="0.25">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x14ac:dyDescent="0.25">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x14ac:dyDescent="0.25">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x14ac:dyDescent="0.25">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x14ac:dyDescent="0.25">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x14ac:dyDescent="0.25">
      <c r="A358" s="469">
        <v>344</v>
      </c>
      <c r="B358" s="471" t="s">
        <v>5556</v>
      </c>
      <c r="C358" s="469">
        <v>344</v>
      </c>
      <c r="D358" s="503" t="s">
        <v>2217</v>
      </c>
      <c r="E358" s="470" t="s">
        <v>5576</v>
      </c>
      <c r="F358" s="544">
        <v>6.2548000000000006E-2</v>
      </c>
      <c r="G358" s="545">
        <v>3463</v>
      </c>
      <c r="H358" s="472">
        <v>487.2</v>
      </c>
      <c r="I358" s="471" t="s">
        <v>552</v>
      </c>
      <c r="J358" s="469">
        <v>2</v>
      </c>
      <c r="K358" s="469" t="s">
        <v>5595</v>
      </c>
      <c r="L358" s="547">
        <v>348</v>
      </c>
      <c r="M358" s="523" t="s">
        <v>2443</v>
      </c>
      <c r="N358" s="548">
        <v>121.62599999999989</v>
      </c>
      <c r="O358" s="548">
        <v>243.24040000000008</v>
      </c>
      <c r="P358" s="473" t="s">
        <v>2444</v>
      </c>
      <c r="Q358" s="549">
        <v>336.67840000000001</v>
      </c>
      <c r="R358" s="562"/>
    </row>
    <row r="359" spans="1:18" x14ac:dyDescent="0.25">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x14ac:dyDescent="0.25">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x14ac:dyDescent="0.25">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x14ac:dyDescent="0.25">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x14ac:dyDescent="0.25">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x14ac:dyDescent="0.25">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x14ac:dyDescent="0.25">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x14ac:dyDescent="0.25">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x14ac:dyDescent="0.25">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x14ac:dyDescent="0.25">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x14ac:dyDescent="0.25">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x14ac:dyDescent="0.25">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x14ac:dyDescent="0.25">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x14ac:dyDescent="0.25">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x14ac:dyDescent="0.25">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x14ac:dyDescent="0.25">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x14ac:dyDescent="0.25">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x14ac:dyDescent="0.25">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x14ac:dyDescent="0.25">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x14ac:dyDescent="0.25">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x14ac:dyDescent="0.25">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x14ac:dyDescent="0.25">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x14ac:dyDescent="0.25">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x14ac:dyDescent="0.25">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x14ac:dyDescent="0.25">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x14ac:dyDescent="0.25">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x14ac:dyDescent="0.25">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x14ac:dyDescent="0.25">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x14ac:dyDescent="0.25">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x14ac:dyDescent="0.25">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x14ac:dyDescent="0.25">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x14ac:dyDescent="0.25">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x14ac:dyDescent="0.25">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x14ac:dyDescent="0.25">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x14ac:dyDescent="0.25">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x14ac:dyDescent="0.25">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x14ac:dyDescent="0.25">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x14ac:dyDescent="0.25">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x14ac:dyDescent="0.25">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x14ac:dyDescent="0.25">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x14ac:dyDescent="0.25">
      <c r="A399" s="469">
        <v>385</v>
      </c>
      <c r="B399" s="471" t="s">
        <v>5557</v>
      </c>
      <c r="C399" s="469">
        <v>385</v>
      </c>
      <c r="D399" s="503" t="s">
        <v>4193</v>
      </c>
      <c r="E399" s="470" t="s">
        <v>5577</v>
      </c>
      <c r="F399" s="544">
        <v>3.9910000000000001E-2</v>
      </c>
      <c r="G399" s="545">
        <v>2538.48</v>
      </c>
      <c r="H399" s="472">
        <v>487.2</v>
      </c>
      <c r="I399" s="471" t="s">
        <v>500</v>
      </c>
      <c r="J399" s="469">
        <v>1</v>
      </c>
      <c r="K399" s="469" t="s">
        <v>5596</v>
      </c>
      <c r="L399" s="547">
        <v>348</v>
      </c>
      <c r="M399" s="523" t="s">
        <v>2443</v>
      </c>
      <c r="N399" s="548">
        <v>67.071199999999919</v>
      </c>
      <c r="O399" s="548">
        <v>134.15399999999985</v>
      </c>
      <c r="P399" s="473" t="s">
        <v>2444</v>
      </c>
      <c r="Q399" s="549">
        <v>336.67840000000001</v>
      </c>
      <c r="R399" s="562"/>
    </row>
    <row r="400" spans="1:18" x14ac:dyDescent="0.25">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x14ac:dyDescent="0.25">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x14ac:dyDescent="0.25">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x14ac:dyDescent="0.25">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x14ac:dyDescent="0.25">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x14ac:dyDescent="0.25">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x14ac:dyDescent="0.25">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x14ac:dyDescent="0.25">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x14ac:dyDescent="0.25">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x14ac:dyDescent="0.25">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x14ac:dyDescent="0.25">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x14ac:dyDescent="0.25">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x14ac:dyDescent="0.25">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x14ac:dyDescent="0.25">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x14ac:dyDescent="0.25">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x14ac:dyDescent="0.25">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x14ac:dyDescent="0.25">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x14ac:dyDescent="0.25">
      <c r="A417" s="469">
        <v>403</v>
      </c>
      <c r="B417" s="471" t="s">
        <v>5558</v>
      </c>
      <c r="C417" s="469">
        <v>403</v>
      </c>
      <c r="D417" s="503" t="s">
        <v>3673</v>
      </c>
      <c r="E417" s="470" t="s">
        <v>5578</v>
      </c>
      <c r="F417" s="544">
        <v>3.1363000000000002E-2</v>
      </c>
      <c r="G417" s="545">
        <v>7453.37</v>
      </c>
      <c r="H417" s="472">
        <v>487.2</v>
      </c>
      <c r="I417" s="471" t="s">
        <v>3694</v>
      </c>
      <c r="J417" s="469">
        <v>3</v>
      </c>
      <c r="K417" s="469" t="s">
        <v>5597</v>
      </c>
      <c r="L417" s="547">
        <v>0</v>
      </c>
      <c r="M417" s="523" t="s">
        <v>2443</v>
      </c>
      <c r="N417" s="548">
        <v>298.14319999999947</v>
      </c>
      <c r="O417" s="548">
        <v>596.28639999999996</v>
      </c>
      <c r="P417" s="473" t="s">
        <v>2444</v>
      </c>
      <c r="Q417" s="549">
        <v>0</v>
      </c>
      <c r="R417" s="562"/>
    </row>
    <row r="418" spans="1:18" x14ac:dyDescent="0.25">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x14ac:dyDescent="0.25">
      <c r="A419" s="469">
        <v>405</v>
      </c>
      <c r="B419" s="471" t="s">
        <v>5559</v>
      </c>
      <c r="C419" s="469">
        <v>405</v>
      </c>
      <c r="D419" s="503" t="s">
        <v>3673</v>
      </c>
      <c r="E419" s="470" t="s">
        <v>5579</v>
      </c>
      <c r="F419" s="544">
        <v>2.8934000000000001E-2</v>
      </c>
      <c r="G419" s="545">
        <v>8154.31</v>
      </c>
      <c r="H419" s="472">
        <v>487.2</v>
      </c>
      <c r="I419" s="471" t="s">
        <v>3694</v>
      </c>
      <c r="J419" s="469">
        <v>3</v>
      </c>
      <c r="K419" s="469" t="s">
        <v>5598</v>
      </c>
      <c r="L419" s="547">
        <v>0</v>
      </c>
      <c r="M419" s="523" t="s">
        <v>2443</v>
      </c>
      <c r="N419" s="548">
        <v>330.29</v>
      </c>
      <c r="O419" s="548">
        <v>660.56199999999978</v>
      </c>
      <c r="P419" s="473" t="s">
        <v>2444</v>
      </c>
      <c r="Q419" s="549">
        <v>0</v>
      </c>
      <c r="R419" s="562"/>
    </row>
    <row r="420" spans="1:18" x14ac:dyDescent="0.25">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x14ac:dyDescent="0.25">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x14ac:dyDescent="0.25">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x14ac:dyDescent="0.25">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x14ac:dyDescent="0.25">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x14ac:dyDescent="0.25">
      <c r="A425" s="469">
        <v>411</v>
      </c>
      <c r="B425" s="471" t="s">
        <v>5528</v>
      </c>
      <c r="C425" s="469">
        <v>411</v>
      </c>
      <c r="D425" s="503" t="s">
        <v>2220</v>
      </c>
      <c r="E425" s="470" t="s">
        <v>5529</v>
      </c>
      <c r="F425" s="544">
        <v>4.8640000000000003E-2</v>
      </c>
      <c r="G425" s="545">
        <v>3463</v>
      </c>
      <c r="H425" s="472">
        <v>487.2</v>
      </c>
      <c r="I425" s="471" t="s">
        <v>552</v>
      </c>
      <c r="J425" s="469">
        <v>2</v>
      </c>
      <c r="K425" s="469" t="s">
        <v>5530</v>
      </c>
      <c r="L425" s="547">
        <v>348</v>
      </c>
      <c r="M425" s="523" t="s">
        <v>2443</v>
      </c>
      <c r="N425" s="548">
        <v>121.62599999999989</v>
      </c>
      <c r="O425" s="548">
        <v>243.24039999999999</v>
      </c>
      <c r="P425" s="473" t="s">
        <v>2444</v>
      </c>
      <c r="Q425" s="549">
        <v>336.67840000000001</v>
      </c>
      <c r="R425" s="562"/>
    </row>
    <row r="426" spans="1:18" x14ac:dyDescent="0.25">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x14ac:dyDescent="0.25">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x14ac:dyDescent="0.25">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x14ac:dyDescent="0.25">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x14ac:dyDescent="0.25">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x14ac:dyDescent="0.25">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x14ac:dyDescent="0.25">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x14ac:dyDescent="0.25">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x14ac:dyDescent="0.25">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x14ac:dyDescent="0.25">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x14ac:dyDescent="0.25">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x14ac:dyDescent="0.25">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x14ac:dyDescent="0.25">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x14ac:dyDescent="0.25">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x14ac:dyDescent="0.25">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x14ac:dyDescent="0.25">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x14ac:dyDescent="0.25">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x14ac:dyDescent="0.25">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x14ac:dyDescent="0.25">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x14ac:dyDescent="0.25">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x14ac:dyDescent="0.25">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x14ac:dyDescent="0.25">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x14ac:dyDescent="0.25">
      <c r="A448" s="469">
        <v>434</v>
      </c>
      <c r="B448" s="471" t="s">
        <v>5531</v>
      </c>
      <c r="C448" s="469">
        <v>434</v>
      </c>
      <c r="D448" s="503" t="s">
        <v>2223</v>
      </c>
      <c r="E448" s="470" t="s">
        <v>5532</v>
      </c>
      <c r="F448" s="544">
        <v>4.5221999999999998E-2</v>
      </c>
      <c r="G448" s="545">
        <v>2538.48</v>
      </c>
      <c r="H448" s="472">
        <v>487.2</v>
      </c>
      <c r="I448" s="471" t="s">
        <v>500</v>
      </c>
      <c r="J448" s="469">
        <v>1</v>
      </c>
      <c r="K448" s="469" t="s">
        <v>5533</v>
      </c>
      <c r="L448" s="547">
        <v>348</v>
      </c>
      <c r="M448" s="523" t="s">
        <v>2443</v>
      </c>
      <c r="N448" s="548">
        <v>67.071199999999919</v>
      </c>
      <c r="O448" s="548">
        <v>134.15399999999985</v>
      </c>
      <c r="P448" s="473" t="s">
        <v>2444</v>
      </c>
      <c r="Q448" s="549">
        <v>336.67840000000001</v>
      </c>
      <c r="R448" s="562"/>
    </row>
    <row r="449" spans="1:18" x14ac:dyDescent="0.25">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x14ac:dyDescent="0.25">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x14ac:dyDescent="0.25">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x14ac:dyDescent="0.25">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x14ac:dyDescent="0.25">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x14ac:dyDescent="0.25">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x14ac:dyDescent="0.25">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x14ac:dyDescent="0.25">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x14ac:dyDescent="0.25">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x14ac:dyDescent="0.25">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x14ac:dyDescent="0.25">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x14ac:dyDescent="0.25">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x14ac:dyDescent="0.25">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x14ac:dyDescent="0.25">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x14ac:dyDescent="0.25">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x14ac:dyDescent="0.25">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x14ac:dyDescent="0.25">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x14ac:dyDescent="0.25">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x14ac:dyDescent="0.25">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x14ac:dyDescent="0.25">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x14ac:dyDescent="0.25">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x14ac:dyDescent="0.25">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x14ac:dyDescent="0.25">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x14ac:dyDescent="0.25">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x14ac:dyDescent="0.25">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x14ac:dyDescent="0.25">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x14ac:dyDescent="0.25">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x14ac:dyDescent="0.25">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x14ac:dyDescent="0.25">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x14ac:dyDescent="0.25">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x14ac:dyDescent="0.25">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x14ac:dyDescent="0.25">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x14ac:dyDescent="0.25">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x14ac:dyDescent="0.25">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x14ac:dyDescent="0.25">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x14ac:dyDescent="0.25">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x14ac:dyDescent="0.25">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x14ac:dyDescent="0.25">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x14ac:dyDescent="0.25">
      <c r="A487" s="469">
        <v>473</v>
      </c>
      <c r="B487" s="471" t="s">
        <v>5534</v>
      </c>
      <c r="C487" s="469">
        <v>473</v>
      </c>
      <c r="D487" s="503" t="s">
        <v>2227</v>
      </c>
      <c r="E487" s="470" t="s">
        <v>5535</v>
      </c>
      <c r="F487" s="544">
        <v>3.0098E-2</v>
      </c>
      <c r="G487" s="545">
        <v>2538.48</v>
      </c>
      <c r="H487" s="472">
        <v>487.2</v>
      </c>
      <c r="I487" s="471" t="s">
        <v>500</v>
      </c>
      <c r="J487" s="469">
        <v>1</v>
      </c>
      <c r="K487" s="469" t="s">
        <v>5536</v>
      </c>
      <c r="L487" s="547">
        <v>348</v>
      </c>
      <c r="M487" s="523" t="s">
        <v>2443</v>
      </c>
      <c r="N487" s="548">
        <v>67.071199999999919</v>
      </c>
      <c r="O487" s="548">
        <v>134.15399999999985</v>
      </c>
      <c r="P487" s="473" t="s">
        <v>2444</v>
      </c>
      <c r="Q487" s="549">
        <v>336.67840000000001</v>
      </c>
      <c r="R487" s="562"/>
    </row>
    <row r="488" spans="1:18" x14ac:dyDescent="0.25">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x14ac:dyDescent="0.25">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x14ac:dyDescent="0.25">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x14ac:dyDescent="0.25">
      <c r="A491" s="469">
        <v>477</v>
      </c>
      <c r="B491" s="471" t="s">
        <v>5537</v>
      </c>
      <c r="C491" s="469">
        <v>477</v>
      </c>
      <c r="D491" s="503" t="s">
        <v>2227</v>
      </c>
      <c r="E491" s="470" t="s">
        <v>5538</v>
      </c>
      <c r="F491" s="544">
        <v>3.0098E-2</v>
      </c>
      <c r="G491" s="545">
        <v>2538.48</v>
      </c>
      <c r="H491" s="472">
        <v>487.2</v>
      </c>
      <c r="I491" s="471" t="s">
        <v>500</v>
      </c>
      <c r="J491" s="469">
        <v>1</v>
      </c>
      <c r="K491" s="469" t="s">
        <v>5539</v>
      </c>
      <c r="L491" s="547">
        <v>348</v>
      </c>
      <c r="M491" s="523" t="s">
        <v>2443</v>
      </c>
      <c r="N491" s="548">
        <v>67.071199999999919</v>
      </c>
      <c r="O491" s="548">
        <v>134.15399999999985</v>
      </c>
      <c r="P491" s="473" t="s">
        <v>2444</v>
      </c>
      <c r="Q491" s="549">
        <v>336.67840000000001</v>
      </c>
      <c r="R491" s="562"/>
    </row>
    <row r="492" spans="1:18" x14ac:dyDescent="0.25">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x14ac:dyDescent="0.25">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x14ac:dyDescent="0.25">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x14ac:dyDescent="0.25">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x14ac:dyDescent="0.25">
      <c r="A496" s="469">
        <v>482</v>
      </c>
      <c r="B496" s="471" t="s">
        <v>5560</v>
      </c>
      <c r="C496" s="469">
        <v>482</v>
      </c>
      <c r="D496" s="503" t="s">
        <v>2227</v>
      </c>
      <c r="E496" s="470" t="s">
        <v>5580</v>
      </c>
      <c r="F496" s="544">
        <v>3.0098E-2</v>
      </c>
      <c r="G496" s="545">
        <v>2538.48</v>
      </c>
      <c r="H496" s="472">
        <v>487.2</v>
      </c>
      <c r="I496" s="471" t="s">
        <v>500</v>
      </c>
      <c r="J496" s="469">
        <v>1</v>
      </c>
      <c r="K496" s="469" t="s">
        <v>5599</v>
      </c>
      <c r="L496" s="547">
        <v>348</v>
      </c>
      <c r="M496" s="523" t="s">
        <v>2443</v>
      </c>
      <c r="N496" s="548">
        <v>67.071199999999919</v>
      </c>
      <c r="O496" s="548">
        <v>134.15399999999985</v>
      </c>
      <c r="P496" s="473" t="s">
        <v>2444</v>
      </c>
      <c r="Q496" s="549">
        <v>336.67840000000001</v>
      </c>
      <c r="R496" s="562"/>
    </row>
    <row r="497" spans="1:18" x14ac:dyDescent="0.25">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x14ac:dyDescent="0.25">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x14ac:dyDescent="0.25">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x14ac:dyDescent="0.25">
      <c r="A500" s="469">
        <v>486</v>
      </c>
      <c r="B500" s="471" t="s">
        <v>5561</v>
      </c>
      <c r="C500" s="469">
        <v>486</v>
      </c>
      <c r="D500" s="503" t="s">
        <v>2227</v>
      </c>
      <c r="E500" s="470" t="s">
        <v>5581</v>
      </c>
      <c r="F500" s="544">
        <v>3.9858999999999999E-2</v>
      </c>
      <c r="G500" s="545">
        <v>2538.48</v>
      </c>
      <c r="H500" s="472">
        <v>487.2</v>
      </c>
      <c r="I500" s="471" t="s">
        <v>500</v>
      </c>
      <c r="J500" s="469">
        <v>1</v>
      </c>
      <c r="K500" s="469" t="s">
        <v>5600</v>
      </c>
      <c r="L500" s="547">
        <v>348</v>
      </c>
      <c r="M500" s="523" t="s">
        <v>2443</v>
      </c>
      <c r="N500" s="548">
        <v>67.071199999999919</v>
      </c>
      <c r="O500" s="548">
        <v>134.15399999999985</v>
      </c>
      <c r="P500" s="473" t="s">
        <v>2444</v>
      </c>
      <c r="Q500" s="549">
        <v>336.67840000000001</v>
      </c>
      <c r="R500" s="562"/>
    </row>
    <row r="501" spans="1:18" x14ac:dyDescent="0.25">
      <c r="A501" s="469">
        <v>487</v>
      </c>
      <c r="B501" s="471" t="s">
        <v>5562</v>
      </c>
      <c r="C501" s="469">
        <v>487</v>
      </c>
      <c r="D501" s="503" t="s">
        <v>2227</v>
      </c>
      <c r="E501" s="470" t="s">
        <v>5582</v>
      </c>
      <c r="F501" s="544">
        <v>5.4182000000000001E-2</v>
      </c>
      <c r="G501" s="545">
        <v>2538.48</v>
      </c>
      <c r="H501" s="472">
        <v>487.2</v>
      </c>
      <c r="I501" s="471" t="s">
        <v>500</v>
      </c>
      <c r="J501" s="469">
        <v>1</v>
      </c>
      <c r="K501" s="469" t="s">
        <v>5601</v>
      </c>
      <c r="L501" s="547">
        <v>348</v>
      </c>
      <c r="M501" s="523" t="s">
        <v>2443</v>
      </c>
      <c r="N501" s="548">
        <v>67.071199999999919</v>
      </c>
      <c r="O501" s="548">
        <v>134.15399999999985</v>
      </c>
      <c r="P501" s="473" t="s">
        <v>2444</v>
      </c>
      <c r="Q501" s="549">
        <v>336.67840000000001</v>
      </c>
      <c r="R501" s="562"/>
    </row>
    <row r="502" spans="1:18" x14ac:dyDescent="0.25">
      <c r="A502" s="469">
        <v>488</v>
      </c>
      <c r="B502" s="471" t="s">
        <v>5563</v>
      </c>
      <c r="C502" s="469">
        <v>488</v>
      </c>
      <c r="D502" s="503" t="s">
        <v>2227</v>
      </c>
      <c r="E502" s="470" t="s">
        <v>5583</v>
      </c>
      <c r="F502" s="544">
        <v>5.4182000000000001E-2</v>
      </c>
      <c r="G502" s="545">
        <v>2538.48</v>
      </c>
      <c r="H502" s="472">
        <v>487.2</v>
      </c>
      <c r="I502" s="471" t="s">
        <v>500</v>
      </c>
      <c r="J502" s="469">
        <v>1</v>
      </c>
      <c r="K502" s="469" t="s">
        <v>5602</v>
      </c>
      <c r="L502" s="547">
        <v>348</v>
      </c>
      <c r="M502" s="523" t="s">
        <v>2443</v>
      </c>
      <c r="N502" s="548">
        <v>67.071199999999919</v>
      </c>
      <c r="O502" s="548">
        <v>134.15399999999985</v>
      </c>
      <c r="P502" s="473" t="s">
        <v>2444</v>
      </c>
      <c r="Q502" s="549">
        <v>336.67840000000001</v>
      </c>
      <c r="R502" s="562"/>
    </row>
    <row r="503" spans="1:18" x14ac:dyDescent="0.25">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x14ac:dyDescent="0.25">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x14ac:dyDescent="0.25">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x14ac:dyDescent="0.25">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x14ac:dyDescent="0.25">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x14ac:dyDescent="0.25">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x14ac:dyDescent="0.25">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x14ac:dyDescent="0.25">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x14ac:dyDescent="0.25">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x14ac:dyDescent="0.25">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x14ac:dyDescent="0.25">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x14ac:dyDescent="0.25">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x14ac:dyDescent="0.25">
      <c r="A515" s="469">
        <v>501</v>
      </c>
      <c r="B515" s="471" t="s">
        <v>3254</v>
      </c>
      <c r="C515" s="469">
        <v>501</v>
      </c>
      <c r="D515" s="503" t="s">
        <v>2227</v>
      </c>
      <c r="E515" s="470" t="s">
        <v>3265</v>
      </c>
      <c r="F515" s="544">
        <v>3.0097700000000002E-2</v>
      </c>
      <c r="G515" s="545">
        <v>2538.48</v>
      </c>
      <c r="H515" s="472">
        <v>487.2</v>
      </c>
      <c r="I515" s="471" t="s">
        <v>500</v>
      </c>
      <c r="J515" s="469">
        <v>1</v>
      </c>
      <c r="K515" s="469" t="s">
        <v>5540</v>
      </c>
      <c r="L515" s="547">
        <v>348</v>
      </c>
      <c r="M515" s="523" t="s">
        <v>2443</v>
      </c>
      <c r="N515" s="548">
        <v>67.071199999999919</v>
      </c>
      <c r="O515" s="548">
        <v>134.15400000000011</v>
      </c>
      <c r="P515" s="473" t="s">
        <v>2444</v>
      </c>
      <c r="Q515" s="549">
        <v>336.67839999999967</v>
      </c>
      <c r="R515" s="562"/>
    </row>
    <row r="516" spans="1:18" x14ac:dyDescent="0.25">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x14ac:dyDescent="0.25">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x14ac:dyDescent="0.25">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x14ac:dyDescent="0.25">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x14ac:dyDescent="0.25">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x14ac:dyDescent="0.25">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x14ac:dyDescent="0.25">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x14ac:dyDescent="0.25">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x14ac:dyDescent="0.25">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x14ac:dyDescent="0.25">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x14ac:dyDescent="0.25">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x14ac:dyDescent="0.25">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x14ac:dyDescent="0.25">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x14ac:dyDescent="0.25">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x14ac:dyDescent="0.25">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x14ac:dyDescent="0.25">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x14ac:dyDescent="0.25">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x14ac:dyDescent="0.25">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x14ac:dyDescent="0.25">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x14ac:dyDescent="0.25">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x14ac:dyDescent="0.25">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x14ac:dyDescent="0.25">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x14ac:dyDescent="0.25">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x14ac:dyDescent="0.25">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x14ac:dyDescent="0.25">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x14ac:dyDescent="0.25">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x14ac:dyDescent="0.25">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x14ac:dyDescent="0.25">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x14ac:dyDescent="0.25">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x14ac:dyDescent="0.25">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x14ac:dyDescent="0.25">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x14ac:dyDescent="0.25">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x14ac:dyDescent="0.25">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x14ac:dyDescent="0.25">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x14ac:dyDescent="0.25">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x14ac:dyDescent="0.25">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x14ac:dyDescent="0.25">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x14ac:dyDescent="0.25">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x14ac:dyDescent="0.25">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x14ac:dyDescent="0.25">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x14ac:dyDescent="0.25">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x14ac:dyDescent="0.25">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x14ac:dyDescent="0.25">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x14ac:dyDescent="0.25">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x14ac:dyDescent="0.25">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x14ac:dyDescent="0.25">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x14ac:dyDescent="0.25">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x14ac:dyDescent="0.25">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59" customFormat="1" x14ac:dyDescent="0.25">
      <c r="A564" s="469">
        <v>550</v>
      </c>
      <c r="B564" s="845" t="s">
        <v>2751</v>
      </c>
      <c r="C564" s="469">
        <v>550</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2443</v>
      </c>
      <c r="N564" s="854">
        <v>67.071199999999919</v>
      </c>
      <c r="O564" s="854">
        <v>134.15400000000011</v>
      </c>
      <c r="P564" s="855" t="s">
        <v>2444</v>
      </c>
      <c r="Q564" s="856">
        <v>336.67839999999967</v>
      </c>
      <c r="R564" s="857"/>
    </row>
    <row r="565" spans="1:18" x14ac:dyDescent="0.25">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59" customFormat="1" x14ac:dyDescent="0.25">
      <c r="A566" s="469">
        <v>552</v>
      </c>
      <c r="B566" s="845" t="s">
        <v>5546</v>
      </c>
      <c r="C566" s="469">
        <v>552</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2443</v>
      </c>
      <c r="N566" s="854">
        <v>67.071199999999919</v>
      </c>
      <c r="O566" s="854">
        <v>134.15400000000011</v>
      </c>
      <c r="P566" s="855" t="s">
        <v>2444</v>
      </c>
      <c r="Q566" s="856">
        <v>336.67839999999967</v>
      </c>
      <c r="R566" s="857"/>
    </row>
    <row r="567" spans="1:18" x14ac:dyDescent="0.25">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x14ac:dyDescent="0.25">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59" customFormat="1" x14ac:dyDescent="0.25">
      <c r="A569" s="469">
        <v>555</v>
      </c>
      <c r="B569" s="845" t="s">
        <v>5547</v>
      </c>
      <c r="C569" s="469">
        <v>555</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2443</v>
      </c>
      <c r="N569" s="854">
        <v>67.071199999999919</v>
      </c>
      <c r="O569" s="854">
        <v>134.15400000000011</v>
      </c>
      <c r="P569" s="855" t="s">
        <v>2444</v>
      </c>
      <c r="Q569" s="856">
        <v>336.67839999999967</v>
      </c>
      <c r="R569" s="857"/>
    </row>
    <row r="570" spans="1:18" x14ac:dyDescent="0.25">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x14ac:dyDescent="0.25">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x14ac:dyDescent="0.25">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x14ac:dyDescent="0.25">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x14ac:dyDescent="0.25">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x14ac:dyDescent="0.25">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x14ac:dyDescent="0.25">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x14ac:dyDescent="0.25">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x14ac:dyDescent="0.25">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x14ac:dyDescent="0.25">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x14ac:dyDescent="0.25">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x14ac:dyDescent="0.25">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x14ac:dyDescent="0.25">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x14ac:dyDescent="0.25">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x14ac:dyDescent="0.25">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x14ac:dyDescent="0.25">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x14ac:dyDescent="0.25">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x14ac:dyDescent="0.25">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x14ac:dyDescent="0.25">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x14ac:dyDescent="0.25">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x14ac:dyDescent="0.25">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x14ac:dyDescent="0.25">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x14ac:dyDescent="0.25">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x14ac:dyDescent="0.25">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x14ac:dyDescent="0.25">
      <c r="A594" s="469">
        <v>580</v>
      </c>
      <c r="B594" s="471" t="s">
        <v>5541</v>
      </c>
      <c r="C594" s="469">
        <v>580</v>
      </c>
      <c r="D594" s="503" t="s">
        <v>2232</v>
      </c>
      <c r="E594" s="470">
        <v>911</v>
      </c>
      <c r="F594" s="544">
        <v>3.6269999999999997E-2</v>
      </c>
      <c r="G594" s="545">
        <v>2538.48</v>
      </c>
      <c r="H594" s="472">
        <v>487.2</v>
      </c>
      <c r="I594" s="471" t="s">
        <v>500</v>
      </c>
      <c r="J594" s="469">
        <v>1</v>
      </c>
      <c r="K594" s="469" t="s">
        <v>5542</v>
      </c>
      <c r="L594" s="547">
        <v>348</v>
      </c>
      <c r="M594" s="523" t="s">
        <v>2443</v>
      </c>
      <c r="N594" s="548">
        <v>67.071199999999919</v>
      </c>
      <c r="O594" s="548">
        <v>134.154</v>
      </c>
      <c r="P594" s="473" t="s">
        <v>2444</v>
      </c>
      <c r="Q594" s="549">
        <v>336.67840000000001</v>
      </c>
      <c r="R594" s="562"/>
    </row>
    <row r="595" spans="1:18" x14ac:dyDescent="0.25">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x14ac:dyDescent="0.25">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x14ac:dyDescent="0.25">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x14ac:dyDescent="0.25">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x14ac:dyDescent="0.25">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x14ac:dyDescent="0.25">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x14ac:dyDescent="0.25">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x14ac:dyDescent="0.25">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x14ac:dyDescent="0.25">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x14ac:dyDescent="0.25">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x14ac:dyDescent="0.25">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x14ac:dyDescent="0.25">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x14ac:dyDescent="0.25">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x14ac:dyDescent="0.25">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x14ac:dyDescent="0.25">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x14ac:dyDescent="0.25">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x14ac:dyDescent="0.25">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x14ac:dyDescent="0.25">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x14ac:dyDescent="0.25">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x14ac:dyDescent="0.25">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x14ac:dyDescent="0.25">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x14ac:dyDescent="0.25">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x14ac:dyDescent="0.25">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x14ac:dyDescent="0.25">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x14ac:dyDescent="0.25">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x14ac:dyDescent="0.25">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x14ac:dyDescent="0.25">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x14ac:dyDescent="0.25">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x14ac:dyDescent="0.25">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x14ac:dyDescent="0.25">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x14ac:dyDescent="0.25">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x14ac:dyDescent="0.25">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x14ac:dyDescent="0.25">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x14ac:dyDescent="0.25">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x14ac:dyDescent="0.25">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x14ac:dyDescent="0.25">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x14ac:dyDescent="0.25">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x14ac:dyDescent="0.25">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x14ac:dyDescent="0.25">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x14ac:dyDescent="0.25">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x14ac:dyDescent="0.25">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x14ac:dyDescent="0.25">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x14ac:dyDescent="0.25">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x14ac:dyDescent="0.25">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x14ac:dyDescent="0.25">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x14ac:dyDescent="0.25">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x14ac:dyDescent="0.25">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x14ac:dyDescent="0.25">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x14ac:dyDescent="0.25">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x14ac:dyDescent="0.25">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x14ac:dyDescent="0.25">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x14ac:dyDescent="0.25">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x14ac:dyDescent="0.25">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x14ac:dyDescent="0.25">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x14ac:dyDescent="0.25">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x14ac:dyDescent="0.25">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x14ac:dyDescent="0.25">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x14ac:dyDescent="0.25">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x14ac:dyDescent="0.25">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x14ac:dyDescent="0.25">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x14ac:dyDescent="0.25">
      <c r="A655" s="469">
        <v>641</v>
      </c>
      <c r="B655" s="471" t="s">
        <v>5564</v>
      </c>
      <c r="C655" s="469">
        <v>641</v>
      </c>
      <c r="D655" s="503" t="s">
        <v>2240</v>
      </c>
      <c r="E655" s="470" t="s">
        <v>5584</v>
      </c>
      <c r="F655" s="544">
        <v>4.3064999999999999E-2</v>
      </c>
      <c r="G655" s="545">
        <v>2538.48</v>
      </c>
      <c r="H655" s="472">
        <v>487.2</v>
      </c>
      <c r="I655" s="471" t="s">
        <v>500</v>
      </c>
      <c r="J655" s="469">
        <v>1</v>
      </c>
      <c r="K655" s="469" t="s">
        <v>5603</v>
      </c>
      <c r="L655" s="547">
        <v>348</v>
      </c>
      <c r="M655" s="523" t="s">
        <v>2443</v>
      </c>
      <c r="N655" s="548">
        <v>67.071199999999919</v>
      </c>
      <c r="O655" s="548">
        <v>134.15399999999985</v>
      </c>
      <c r="P655" s="473" t="s">
        <v>2444</v>
      </c>
      <c r="Q655" s="549">
        <v>336.67840000000001</v>
      </c>
      <c r="R655" s="562"/>
    </row>
    <row r="656" spans="1:18" x14ac:dyDescent="0.25">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x14ac:dyDescent="0.25">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x14ac:dyDescent="0.25">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x14ac:dyDescent="0.25">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x14ac:dyDescent="0.25">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x14ac:dyDescent="0.25">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x14ac:dyDescent="0.25">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x14ac:dyDescent="0.25">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x14ac:dyDescent="0.25">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x14ac:dyDescent="0.25">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x14ac:dyDescent="0.25">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x14ac:dyDescent="0.25">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x14ac:dyDescent="0.25">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x14ac:dyDescent="0.25">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x14ac:dyDescent="0.25">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x14ac:dyDescent="0.25">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x14ac:dyDescent="0.25">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x14ac:dyDescent="0.25">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x14ac:dyDescent="0.25">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x14ac:dyDescent="0.25">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x14ac:dyDescent="0.25">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x14ac:dyDescent="0.25">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x14ac:dyDescent="0.25">
      <c r="A678" s="469">
        <v>664</v>
      </c>
      <c r="B678" s="471" t="s">
        <v>5565</v>
      </c>
      <c r="C678" s="469">
        <v>664</v>
      </c>
      <c r="D678" s="503" t="s">
        <v>2242</v>
      </c>
      <c r="E678" s="470" t="s">
        <v>5585</v>
      </c>
      <c r="F678" s="544">
        <v>3.8318999999999999E-2</v>
      </c>
      <c r="G678" s="545">
        <v>11870.23</v>
      </c>
      <c r="H678" s="472">
        <v>491.2</v>
      </c>
      <c r="I678" s="471" t="s">
        <v>3694</v>
      </c>
      <c r="J678" s="469">
        <v>3</v>
      </c>
      <c r="K678" s="469" t="s">
        <v>5604</v>
      </c>
      <c r="L678" s="547">
        <v>0</v>
      </c>
      <c r="M678" s="523" t="s">
        <v>2443</v>
      </c>
      <c r="N678" s="548">
        <v>481.76540000000057</v>
      </c>
      <c r="O678" s="548">
        <v>963.53080000000114</v>
      </c>
      <c r="P678" s="473" t="s">
        <v>2444</v>
      </c>
      <c r="Q678" s="549">
        <v>0</v>
      </c>
      <c r="R678" s="562"/>
    </row>
    <row r="679" spans="1:18" x14ac:dyDescent="0.25">
      <c r="A679" s="469">
        <v>665</v>
      </c>
      <c r="B679" s="471" t="s">
        <v>5097</v>
      </c>
      <c r="C679" s="469">
        <v>665</v>
      </c>
      <c r="D679" s="503" t="s">
        <v>2242</v>
      </c>
      <c r="E679" s="470" t="s">
        <v>5586</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x14ac:dyDescent="0.25">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x14ac:dyDescent="0.25">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x14ac:dyDescent="0.25">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x14ac:dyDescent="0.25">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x14ac:dyDescent="0.25">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x14ac:dyDescent="0.25">
      <c r="A685" s="469">
        <v>671</v>
      </c>
      <c r="B685" s="471" t="s">
        <v>5566</v>
      </c>
      <c r="C685" s="469">
        <v>671</v>
      </c>
      <c r="D685" s="503" t="s">
        <v>2243</v>
      </c>
      <c r="E685" s="470" t="s">
        <v>5587</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x14ac:dyDescent="0.25">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x14ac:dyDescent="0.25">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x14ac:dyDescent="0.25">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x14ac:dyDescent="0.25">
      <c r="A689" s="469">
        <v>675</v>
      </c>
      <c r="B689" s="471" t="s">
        <v>5543</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x14ac:dyDescent="0.25">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x14ac:dyDescent="0.25">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x14ac:dyDescent="0.25">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x14ac:dyDescent="0.25">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x14ac:dyDescent="0.25">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x14ac:dyDescent="0.25">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x14ac:dyDescent="0.25">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x14ac:dyDescent="0.25">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x14ac:dyDescent="0.25">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x14ac:dyDescent="0.25">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x14ac:dyDescent="0.25">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x14ac:dyDescent="0.25">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x14ac:dyDescent="0.25">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x14ac:dyDescent="0.25">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x14ac:dyDescent="0.25">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x14ac:dyDescent="0.25">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x14ac:dyDescent="0.25">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x14ac:dyDescent="0.25">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x14ac:dyDescent="0.25">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x14ac:dyDescent="0.25">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x14ac:dyDescent="0.25">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x14ac:dyDescent="0.25">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x14ac:dyDescent="0.25">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x14ac:dyDescent="0.25">
      <c r="A713" s="469">
        <v>699</v>
      </c>
      <c r="B713" s="471" t="s">
        <v>5567</v>
      </c>
      <c r="C713" s="469">
        <v>699</v>
      </c>
      <c r="D713" s="503" t="s">
        <v>2243</v>
      </c>
      <c r="E713" s="470" t="s">
        <v>5588</v>
      </c>
      <c r="F713" s="544">
        <v>4.6796999999999998E-2</v>
      </c>
      <c r="G713" s="545">
        <v>2538.48</v>
      </c>
      <c r="H713" s="472">
        <v>489.2</v>
      </c>
      <c r="I713" s="471" t="s">
        <v>500</v>
      </c>
      <c r="J713" s="469">
        <v>1</v>
      </c>
      <c r="K713" s="469" t="s">
        <v>5605</v>
      </c>
      <c r="L713" s="547">
        <v>348</v>
      </c>
      <c r="M713" s="523" t="s">
        <v>2443</v>
      </c>
      <c r="N713" s="548">
        <v>67.071199999999919</v>
      </c>
      <c r="O713" s="548">
        <v>134.15399999999985</v>
      </c>
      <c r="P713" s="473" t="s">
        <v>2444</v>
      </c>
      <c r="Q713" s="549">
        <v>336.67840000000001</v>
      </c>
      <c r="R713" s="562"/>
    </row>
    <row r="714" spans="1:18" x14ac:dyDescent="0.25">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x14ac:dyDescent="0.25">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x14ac:dyDescent="0.25">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x14ac:dyDescent="0.25">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x14ac:dyDescent="0.25">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x14ac:dyDescent="0.25">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x14ac:dyDescent="0.25">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x14ac:dyDescent="0.25">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x14ac:dyDescent="0.25">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x14ac:dyDescent="0.25">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x14ac:dyDescent="0.25">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x14ac:dyDescent="0.25">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x14ac:dyDescent="0.25">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x14ac:dyDescent="0.25">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x14ac:dyDescent="0.25">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x14ac:dyDescent="0.25">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x14ac:dyDescent="0.25">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x14ac:dyDescent="0.25">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x14ac:dyDescent="0.25">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x14ac:dyDescent="0.25">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x14ac:dyDescent="0.25">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x14ac:dyDescent="0.25">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x14ac:dyDescent="0.25">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x14ac:dyDescent="0.25">
      <c r="A737" s="469">
        <v>723</v>
      </c>
      <c r="B737" s="471" t="s">
        <v>3371</v>
      </c>
      <c r="C737" s="469">
        <v>723</v>
      </c>
      <c r="D737" s="503" t="s">
        <v>2243</v>
      </c>
      <c r="E737" s="470" t="s">
        <v>3372</v>
      </c>
      <c r="F737" s="544">
        <v>4.5670000000000002E-2</v>
      </c>
      <c r="G737" s="545">
        <v>2538.48</v>
      </c>
      <c r="H737" s="472">
        <v>487.2</v>
      </c>
      <c r="I737" s="471" t="s">
        <v>500</v>
      </c>
      <c r="J737" s="469">
        <v>1</v>
      </c>
      <c r="K737" s="469" t="s">
        <v>5544</v>
      </c>
      <c r="L737" s="547">
        <v>348</v>
      </c>
      <c r="M737" s="523" t="s">
        <v>2443</v>
      </c>
      <c r="N737" s="548">
        <v>67.071199999999919</v>
      </c>
      <c r="O737" s="548">
        <v>134.15</v>
      </c>
      <c r="P737" s="473" t="s">
        <v>2444</v>
      </c>
      <c r="Q737" s="549">
        <v>336.67839999999967</v>
      </c>
      <c r="R737" s="562"/>
    </row>
    <row r="738" spans="1:18" x14ac:dyDescent="0.25">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x14ac:dyDescent="0.25">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zoomScale="70" zoomScaleNormal="70" workbookViewId="0">
      <selection activeCell="P7" sqref="P7"/>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67" t="s">
        <v>2121</v>
      </c>
      <c r="H5" s="967"/>
      <c r="I5" s="967"/>
      <c r="J5" s="967"/>
      <c r="K5" s="967"/>
      <c r="M5"/>
      <c r="N5" s="437">
        <v>53</v>
      </c>
      <c r="P5" s="437">
        <v>25</v>
      </c>
      <c r="T5">
        <v>1</v>
      </c>
      <c r="U5">
        <v>2</v>
      </c>
      <c r="V5">
        <v>3</v>
      </c>
      <c r="W5">
        <v>4</v>
      </c>
      <c r="X5">
        <v>5</v>
      </c>
    </row>
    <row r="6" spans="1:24" x14ac:dyDescent="0.25">
      <c r="A6" s="2" t="s">
        <v>444</v>
      </c>
      <c r="B6" s="2" t="s">
        <v>445</v>
      </c>
      <c r="C6" s="3" t="s">
        <v>446</v>
      </c>
      <c r="D6" s="2" t="s">
        <v>2140</v>
      </c>
      <c r="E6" s="2" t="s">
        <v>500</v>
      </c>
      <c r="F6" s="2" t="s">
        <v>1718</v>
      </c>
      <c r="G6" s="531" t="s">
        <v>2137</v>
      </c>
      <c r="H6" s="532" t="s">
        <v>3171</v>
      </c>
      <c r="I6" s="533" t="s">
        <v>3739</v>
      </c>
      <c r="J6" s="533" t="s">
        <v>4462</v>
      </c>
      <c r="K6" s="533" t="s">
        <v>5607</v>
      </c>
      <c r="L6" s="2" t="s">
        <v>3172</v>
      </c>
      <c r="M6"/>
      <c r="N6" s="433"/>
      <c r="P6" s="433"/>
      <c r="T6" s="2" t="s">
        <v>3172</v>
      </c>
      <c r="U6" s="120" t="s">
        <v>2137</v>
      </c>
      <c r="V6" s="352" t="s">
        <v>3171</v>
      </c>
      <c r="W6" s="441" t="s">
        <v>3739</v>
      </c>
      <c r="X6" s="441" t="s">
        <v>4462</v>
      </c>
    </row>
    <row r="7" spans="1:24" x14ac:dyDescent="0.25">
      <c r="A7" s="65">
        <v>0</v>
      </c>
      <c r="B7" s="438" t="s">
        <v>2206</v>
      </c>
      <c r="C7" s="65"/>
      <c r="D7" s="164"/>
      <c r="E7" s="164"/>
      <c r="F7" s="65"/>
      <c r="G7" s="534"/>
      <c r="H7" s="534"/>
      <c r="I7" s="534"/>
      <c r="J7" s="534"/>
      <c r="K7" s="534"/>
      <c r="L7" s="65"/>
      <c r="M7"/>
      <c r="N7" s="867" t="s">
        <v>2174</v>
      </c>
      <c r="P7" s="867" t="s">
        <v>2174</v>
      </c>
      <c r="U7" s="439"/>
      <c r="V7" s="439"/>
      <c r="W7" s="439"/>
      <c r="X7" s="439"/>
    </row>
    <row r="8" spans="1:24" x14ac:dyDescent="0.25">
      <c r="A8" s="862">
        <v>726</v>
      </c>
      <c r="B8" s="863" t="s">
        <v>5611</v>
      </c>
      <c r="C8" s="862">
        <v>726</v>
      </c>
      <c r="D8" s="165" t="s">
        <v>2141</v>
      </c>
      <c r="E8" s="165" t="s">
        <v>5612</v>
      </c>
      <c r="F8" s="163">
        <v>1</v>
      </c>
      <c r="G8" s="864"/>
      <c r="H8" s="864">
        <v>0</v>
      </c>
      <c r="I8" s="864">
        <v>0</v>
      </c>
      <c r="J8" s="864">
        <v>19695.311106668822</v>
      </c>
      <c r="K8" s="864">
        <v>20220.09616108198</v>
      </c>
      <c r="L8" s="18" t="s">
        <v>4468</v>
      </c>
      <c r="M8" s="442"/>
      <c r="N8" s="867" t="s">
        <v>2207</v>
      </c>
      <c r="P8" s="867" t="s">
        <v>2280</v>
      </c>
      <c r="T8" s="443"/>
      <c r="U8" s="440"/>
      <c r="V8" s="440"/>
      <c r="W8" s="440"/>
      <c r="X8" s="442"/>
    </row>
    <row r="9" spans="1:24" x14ac:dyDescent="0.25">
      <c r="A9" s="862">
        <v>727</v>
      </c>
      <c r="B9" s="863" t="s">
        <v>5613</v>
      </c>
      <c r="C9" s="862">
        <v>727</v>
      </c>
      <c r="D9" s="165" t="s">
        <v>2141</v>
      </c>
      <c r="E9" s="165" t="s">
        <v>5614</v>
      </c>
      <c r="F9" s="163">
        <v>1</v>
      </c>
      <c r="G9" s="864"/>
      <c r="H9" s="864">
        <v>0</v>
      </c>
      <c r="I9" s="864">
        <v>21630.11966578733</v>
      </c>
      <c r="J9" s="864">
        <v>22213.230372260856</v>
      </c>
      <c r="K9" s="864">
        <v>22827.020371718143</v>
      </c>
      <c r="L9" s="18" t="s">
        <v>3745</v>
      </c>
      <c r="M9" s="442"/>
      <c r="N9" s="867" t="s">
        <v>2208</v>
      </c>
      <c r="P9" s="867" t="s">
        <v>2281</v>
      </c>
      <c r="T9" s="443"/>
      <c r="U9" s="440"/>
      <c r="V9" s="440"/>
      <c r="W9" s="440"/>
      <c r="X9" s="442"/>
    </row>
    <row r="10" spans="1:24" x14ac:dyDescent="0.25">
      <c r="A10" s="862">
        <v>728</v>
      </c>
      <c r="B10" s="863" t="s">
        <v>5615</v>
      </c>
      <c r="C10" s="862">
        <v>728</v>
      </c>
      <c r="D10" s="165" t="s">
        <v>2141</v>
      </c>
      <c r="E10" s="165" t="s">
        <v>5616</v>
      </c>
      <c r="F10" s="163">
        <v>1</v>
      </c>
      <c r="G10" s="864"/>
      <c r="H10" s="864">
        <v>0</v>
      </c>
      <c r="I10" s="864">
        <v>23564.928224905838</v>
      </c>
      <c r="J10" s="864">
        <v>24206.364583439736</v>
      </c>
      <c r="K10" s="864">
        <v>24881.571494516589</v>
      </c>
      <c r="L10" s="18" t="s">
        <v>3744</v>
      </c>
      <c r="M10" s="442"/>
      <c r="N10" s="867" t="s">
        <v>5515</v>
      </c>
      <c r="P10" s="867" t="s">
        <v>2282</v>
      </c>
      <c r="T10" s="443"/>
      <c r="U10" s="440"/>
      <c r="V10" s="440"/>
      <c r="W10" s="440"/>
      <c r="X10" s="442"/>
    </row>
    <row r="11" spans="1:24" x14ac:dyDescent="0.25">
      <c r="A11" s="862">
        <v>729</v>
      </c>
      <c r="B11" s="863" t="s">
        <v>5617</v>
      </c>
      <c r="C11" s="862">
        <v>729</v>
      </c>
      <c r="D11" s="165" t="s">
        <v>2141</v>
      </c>
      <c r="E11" s="165" t="s">
        <v>5618</v>
      </c>
      <c r="F11" s="163">
        <v>1</v>
      </c>
      <c r="G11" s="864"/>
      <c r="H11" s="864">
        <v>35193.993823809367</v>
      </c>
      <c r="I11" s="864">
        <v>36372.603925731724</v>
      </c>
      <c r="J11" s="864">
        <v>37613.255451852929</v>
      </c>
      <c r="K11" s="864">
        <v>38919.204426717348</v>
      </c>
      <c r="L11" s="865" t="s">
        <v>1719</v>
      </c>
      <c r="M11" s="442"/>
      <c r="N11" s="867" t="s">
        <v>2210</v>
      </c>
      <c r="P11" s="867" t="s">
        <v>2283</v>
      </c>
      <c r="T11" s="443"/>
      <c r="U11" s="440"/>
      <c r="V11" s="440"/>
      <c r="W11" s="440"/>
      <c r="X11" s="442"/>
    </row>
    <row r="12" spans="1:24" x14ac:dyDescent="0.25">
      <c r="A12" s="862">
        <v>730</v>
      </c>
      <c r="B12" s="863" t="s">
        <v>5619</v>
      </c>
      <c r="C12" s="862">
        <v>730</v>
      </c>
      <c r="D12" s="165" t="s">
        <v>2141</v>
      </c>
      <c r="E12" s="165" t="s">
        <v>5620</v>
      </c>
      <c r="F12" s="163">
        <v>1</v>
      </c>
      <c r="G12" s="864"/>
      <c r="H12" s="864">
        <v>0</v>
      </c>
      <c r="I12" s="864">
        <v>32407.227431788193</v>
      </c>
      <c r="J12" s="864">
        <v>33393.304828879576</v>
      </c>
      <c r="K12" s="864">
        <v>34431.28464732421</v>
      </c>
      <c r="L12" s="18" t="s">
        <v>3746</v>
      </c>
      <c r="M12" s="442"/>
      <c r="N12" s="867" t="s">
        <v>2143</v>
      </c>
      <c r="P12" s="867" t="s">
        <v>2284</v>
      </c>
      <c r="T12" s="443"/>
      <c r="U12" s="440"/>
      <c r="V12" s="440"/>
      <c r="W12" s="440"/>
      <c r="X12" s="442"/>
    </row>
    <row r="13" spans="1:24" x14ac:dyDescent="0.25">
      <c r="A13" s="862">
        <v>731</v>
      </c>
      <c r="B13" s="863" t="s">
        <v>5621</v>
      </c>
      <c r="C13" s="862">
        <v>731</v>
      </c>
      <c r="D13" s="165" t="s">
        <v>2141</v>
      </c>
      <c r="E13" s="165" t="s">
        <v>5622</v>
      </c>
      <c r="F13" s="163">
        <v>1</v>
      </c>
      <c r="G13" s="864"/>
      <c r="H13" s="864">
        <v>28733.750712740024</v>
      </c>
      <c r="I13" s="864">
        <v>29632.695161888721</v>
      </c>
      <c r="J13" s="864">
        <v>30578.945254822036</v>
      </c>
      <c r="K13" s="864">
        <v>31575.005206185589</v>
      </c>
      <c r="L13" s="18" t="s">
        <v>1720</v>
      </c>
      <c r="M13" s="442"/>
      <c r="N13" s="867" t="s">
        <v>2144</v>
      </c>
      <c r="P13" s="867" t="s">
        <v>2285</v>
      </c>
      <c r="T13" s="443"/>
      <c r="U13" s="440"/>
      <c r="V13" s="440"/>
      <c r="W13" s="440"/>
      <c r="X13" s="442"/>
    </row>
    <row r="14" spans="1:24" x14ac:dyDescent="0.25">
      <c r="A14" s="862">
        <v>732</v>
      </c>
      <c r="B14" s="863" t="s">
        <v>5623</v>
      </c>
      <c r="C14" s="862">
        <v>732</v>
      </c>
      <c r="D14" s="165" t="s">
        <v>2141</v>
      </c>
      <c r="E14" s="165" t="s">
        <v>5624</v>
      </c>
      <c r="F14" s="163">
        <v>1</v>
      </c>
      <c r="G14" s="864"/>
      <c r="H14" s="864">
        <v>0</v>
      </c>
      <c r="I14" s="864">
        <v>0</v>
      </c>
      <c r="J14" s="864">
        <v>47685.415179569703</v>
      </c>
      <c r="K14" s="864">
        <v>49465.927456567442</v>
      </c>
      <c r="L14" s="18" t="s">
        <v>4469</v>
      </c>
      <c r="M14" s="442"/>
      <c r="N14" s="867" t="s">
        <v>2211</v>
      </c>
      <c r="P14" s="867" t="s">
        <v>2286</v>
      </c>
      <c r="T14" s="443"/>
      <c r="U14" s="440"/>
      <c r="V14" s="440"/>
      <c r="W14" s="440"/>
      <c r="X14" s="442"/>
    </row>
    <row r="15" spans="1:24" x14ac:dyDescent="0.25">
      <c r="A15" s="862">
        <v>733</v>
      </c>
      <c r="B15" s="863" t="s">
        <v>5625</v>
      </c>
      <c r="C15" s="862">
        <v>733</v>
      </c>
      <c r="D15" s="165" t="s">
        <v>2141</v>
      </c>
      <c r="E15" s="165" t="s">
        <v>5626</v>
      </c>
      <c r="F15" s="163">
        <v>1</v>
      </c>
      <c r="G15" s="864"/>
      <c r="H15" s="864">
        <v>27263.047197846066</v>
      </c>
      <c r="I15" s="864">
        <v>27981.856470819559</v>
      </c>
      <c r="J15" s="864">
        <v>28738.476076811829</v>
      </c>
      <c r="K15" s="864">
        <v>29534.919125703756</v>
      </c>
      <c r="L15" s="18" t="s">
        <v>3747</v>
      </c>
      <c r="M15" s="442"/>
      <c r="N15" s="867" t="s">
        <v>4345</v>
      </c>
      <c r="P15" s="867" t="s">
        <v>2287</v>
      </c>
      <c r="T15" s="443"/>
      <c r="U15" s="440"/>
      <c r="V15" s="440"/>
      <c r="W15" s="440"/>
      <c r="X15" s="442"/>
    </row>
    <row r="16" spans="1:24" x14ac:dyDescent="0.25">
      <c r="A16" s="862">
        <v>734</v>
      </c>
      <c r="B16" s="863" t="s">
        <v>5627</v>
      </c>
      <c r="C16" s="862">
        <v>734</v>
      </c>
      <c r="D16" s="165" t="s">
        <v>2141</v>
      </c>
      <c r="E16" s="165" t="s">
        <v>5628</v>
      </c>
      <c r="F16" s="163">
        <v>1</v>
      </c>
      <c r="G16" s="864"/>
      <c r="H16" s="864">
        <v>23288.757933738925</v>
      </c>
      <c r="I16" s="864">
        <v>23964.749908092512</v>
      </c>
      <c r="J16" s="864">
        <v>24687.920919141205</v>
      </c>
      <c r="K16" s="864">
        <v>25449.16035421905</v>
      </c>
      <c r="L16" s="18" t="s">
        <v>1721</v>
      </c>
      <c r="M16" s="442"/>
      <c r="N16" s="867" t="s">
        <v>2212</v>
      </c>
      <c r="P16" s="867" t="s">
        <v>2379</v>
      </c>
      <c r="T16" s="443"/>
      <c r="U16" s="440"/>
      <c r="V16" s="440"/>
      <c r="W16" s="440"/>
      <c r="X16" s="442"/>
    </row>
    <row r="17" spans="1:24" x14ac:dyDescent="0.25">
      <c r="A17" s="862">
        <v>735</v>
      </c>
      <c r="B17" s="863" t="s">
        <v>5629</v>
      </c>
      <c r="C17" s="862">
        <v>735</v>
      </c>
      <c r="D17" s="165" t="s">
        <v>2141</v>
      </c>
      <c r="E17" s="165" t="s">
        <v>5630</v>
      </c>
      <c r="F17" s="163">
        <v>1</v>
      </c>
      <c r="G17" s="864"/>
      <c r="H17" s="864">
        <v>0</v>
      </c>
      <c r="I17" s="864">
        <v>0</v>
      </c>
      <c r="J17" s="864">
        <v>0</v>
      </c>
      <c r="K17" s="864">
        <v>27815.787733544912</v>
      </c>
      <c r="L17" s="18" t="s">
        <v>10796</v>
      </c>
      <c r="M17" s="442"/>
      <c r="N17" s="867" t="s">
        <v>2213</v>
      </c>
      <c r="P17" s="867" t="s">
        <v>2288</v>
      </c>
      <c r="T17" s="443"/>
      <c r="U17" s="440"/>
      <c r="V17" s="440"/>
      <c r="W17" s="440"/>
      <c r="X17" s="442"/>
    </row>
    <row r="18" spans="1:24" x14ac:dyDescent="0.25">
      <c r="A18" s="862">
        <v>736</v>
      </c>
      <c r="B18" s="863" t="s">
        <v>5631</v>
      </c>
      <c r="C18" s="862">
        <v>736</v>
      </c>
      <c r="D18" s="165" t="s">
        <v>2141</v>
      </c>
      <c r="E18" s="165" t="s">
        <v>5632</v>
      </c>
      <c r="F18" s="163">
        <v>1</v>
      </c>
      <c r="G18" s="864"/>
      <c r="H18" s="864">
        <v>0</v>
      </c>
      <c r="I18" s="864">
        <v>0</v>
      </c>
      <c r="J18" s="864">
        <v>0</v>
      </c>
      <c r="K18" s="864">
        <v>23668.221020110643</v>
      </c>
      <c r="L18" s="18" t="s">
        <v>10797</v>
      </c>
      <c r="M18" s="442"/>
      <c r="N18" s="867" t="s">
        <v>2214</v>
      </c>
      <c r="P18" s="867" t="s">
        <v>2289</v>
      </c>
      <c r="T18" s="443"/>
      <c r="U18" s="440"/>
      <c r="V18" s="440"/>
      <c r="W18" s="440"/>
      <c r="X18" s="442"/>
    </row>
    <row r="19" spans="1:24" x14ac:dyDescent="0.25">
      <c r="A19" s="862">
        <v>737</v>
      </c>
      <c r="B19" s="863" t="s">
        <v>5633</v>
      </c>
      <c r="C19" s="862">
        <v>737</v>
      </c>
      <c r="D19" s="165" t="s">
        <v>2141</v>
      </c>
      <c r="E19" s="165" t="s">
        <v>5634</v>
      </c>
      <c r="F19" s="163">
        <v>1</v>
      </c>
      <c r="G19" s="864"/>
      <c r="H19" s="864">
        <v>21910.116356566221</v>
      </c>
      <c r="I19" s="864">
        <v>22419.29302992146</v>
      </c>
      <c r="J19" s="864">
        <v>22955.278527139875</v>
      </c>
      <c r="K19" s="864">
        <v>23519.481326055793</v>
      </c>
      <c r="L19" s="18" t="s">
        <v>1722</v>
      </c>
      <c r="M19" s="442"/>
      <c r="N19" s="867" t="s">
        <v>3615</v>
      </c>
      <c r="P19" s="867" t="s">
        <v>2290</v>
      </c>
      <c r="T19" s="443"/>
      <c r="U19" s="440"/>
      <c r="V19" s="440"/>
      <c r="W19" s="440"/>
      <c r="X19" s="442"/>
    </row>
    <row r="20" spans="1:24" x14ac:dyDescent="0.25">
      <c r="A20" s="862">
        <v>738</v>
      </c>
      <c r="B20" s="863" t="s">
        <v>5635</v>
      </c>
      <c r="C20" s="862">
        <v>738</v>
      </c>
      <c r="D20" s="165" t="s">
        <v>2141</v>
      </c>
      <c r="E20" s="165" t="s">
        <v>5636</v>
      </c>
      <c r="F20" s="163">
        <v>1</v>
      </c>
      <c r="G20" s="864"/>
      <c r="H20" s="864">
        <v>27787.132646860879</v>
      </c>
      <c r="I20" s="864">
        <v>28413.547195543015</v>
      </c>
      <c r="J20" s="864">
        <v>29072.929674550229</v>
      </c>
      <c r="K20" s="864">
        <v>29766.998904290489</v>
      </c>
      <c r="L20" s="18" t="s">
        <v>1723</v>
      </c>
      <c r="M20" s="442"/>
      <c r="N20" s="867" t="s">
        <v>2215</v>
      </c>
      <c r="P20" s="867" t="s">
        <v>2291</v>
      </c>
      <c r="T20" s="443"/>
      <c r="U20" s="440"/>
      <c r="V20" s="440"/>
      <c r="W20" s="440"/>
      <c r="X20" s="442"/>
    </row>
    <row r="21" spans="1:24" x14ac:dyDescent="0.25">
      <c r="A21" s="862">
        <v>739</v>
      </c>
      <c r="B21" s="863" t="s">
        <v>5637</v>
      </c>
      <c r="C21" s="862">
        <v>739</v>
      </c>
      <c r="D21" s="165" t="s">
        <v>2886</v>
      </c>
      <c r="E21" s="165" t="s">
        <v>5638</v>
      </c>
      <c r="F21" s="163">
        <v>1</v>
      </c>
      <c r="G21" s="864"/>
      <c r="H21" s="864">
        <v>21627.149459785975</v>
      </c>
      <c r="I21" s="864">
        <v>0</v>
      </c>
      <c r="J21" s="864">
        <v>0</v>
      </c>
      <c r="K21" s="864">
        <v>0</v>
      </c>
      <c r="L21" s="18" t="s">
        <v>3748</v>
      </c>
      <c r="M21" s="442"/>
      <c r="N21" s="867" t="s">
        <v>3665</v>
      </c>
      <c r="P21" s="867" t="s">
        <v>2292</v>
      </c>
      <c r="T21" s="443"/>
      <c r="U21" s="440"/>
      <c r="V21" s="440"/>
      <c r="W21" s="440"/>
      <c r="X21" s="442"/>
    </row>
    <row r="22" spans="1:24" x14ac:dyDescent="0.25">
      <c r="A22" s="862">
        <v>740</v>
      </c>
      <c r="B22" s="863" t="s">
        <v>5639</v>
      </c>
      <c r="C22" s="862">
        <v>740</v>
      </c>
      <c r="D22" s="165" t="s">
        <v>2886</v>
      </c>
      <c r="E22" s="165" t="s">
        <v>5640</v>
      </c>
      <c r="F22" s="163">
        <v>1</v>
      </c>
      <c r="G22" s="864"/>
      <c r="H22" s="864">
        <v>17755.537771701031</v>
      </c>
      <c r="I22" s="864">
        <v>0</v>
      </c>
      <c r="J22" s="864">
        <v>0</v>
      </c>
      <c r="K22" s="864">
        <v>0</v>
      </c>
      <c r="L22" s="18" t="s">
        <v>3749</v>
      </c>
      <c r="M22" s="442"/>
      <c r="N22" s="867" t="s">
        <v>2217</v>
      </c>
      <c r="P22" s="867" t="s">
        <v>3260</v>
      </c>
      <c r="T22" s="443"/>
      <c r="U22" s="440"/>
      <c r="V22" s="440"/>
      <c r="W22" s="440"/>
      <c r="X22" s="442"/>
    </row>
    <row r="23" spans="1:24" x14ac:dyDescent="0.25">
      <c r="A23" s="862">
        <v>741</v>
      </c>
      <c r="B23" s="863" t="s">
        <v>5641</v>
      </c>
      <c r="C23" s="862">
        <v>741</v>
      </c>
      <c r="D23" s="165" t="s">
        <v>2886</v>
      </c>
      <c r="E23" s="165" t="s">
        <v>5642</v>
      </c>
      <c r="F23" s="163">
        <v>1</v>
      </c>
      <c r="G23" s="864"/>
      <c r="H23" s="864">
        <v>20635.704109829985</v>
      </c>
      <c r="I23" s="864">
        <v>21206.382596713353</v>
      </c>
      <c r="J23" s="864">
        <v>21807.127224749645</v>
      </c>
      <c r="K23" s="864">
        <v>22439.48999110363</v>
      </c>
      <c r="L23" s="18" t="s">
        <v>3750</v>
      </c>
      <c r="M23" s="442"/>
      <c r="N23" s="867" t="s">
        <v>2152</v>
      </c>
      <c r="P23" s="867" t="s">
        <v>5005</v>
      </c>
      <c r="T23" s="443"/>
      <c r="U23" s="440"/>
      <c r="V23" s="440"/>
      <c r="W23" s="440"/>
      <c r="X23" s="442"/>
    </row>
    <row r="24" spans="1:24" x14ac:dyDescent="0.25">
      <c r="A24" s="862">
        <v>742</v>
      </c>
      <c r="B24" s="863" t="s">
        <v>5643</v>
      </c>
      <c r="C24" s="862">
        <v>742</v>
      </c>
      <c r="D24" s="165" t="s">
        <v>2886</v>
      </c>
      <c r="E24" s="165" t="s">
        <v>5644</v>
      </c>
      <c r="F24" s="163">
        <v>1</v>
      </c>
      <c r="G24" s="864"/>
      <c r="H24" s="864">
        <v>19618.000799608712</v>
      </c>
      <c r="I24" s="864">
        <v>20180.006361159507</v>
      </c>
      <c r="J24" s="864">
        <v>20771.621594108878</v>
      </c>
      <c r="K24" s="864">
        <v>21394.368064304643</v>
      </c>
      <c r="L24" s="18" t="s">
        <v>2887</v>
      </c>
      <c r="M24" s="442"/>
      <c r="N24" s="867" t="s">
        <v>2216</v>
      </c>
      <c r="P24" s="867" t="s">
        <v>2293</v>
      </c>
      <c r="T24" s="443"/>
      <c r="U24" s="440"/>
      <c r="V24" s="440"/>
      <c r="W24" s="440"/>
      <c r="X24" s="442"/>
    </row>
    <row r="25" spans="1:24" x14ac:dyDescent="0.25">
      <c r="A25" s="862">
        <v>743</v>
      </c>
      <c r="B25" s="863" t="s">
        <v>5645</v>
      </c>
      <c r="C25" s="862">
        <v>743</v>
      </c>
      <c r="D25" s="165" t="s">
        <v>2142</v>
      </c>
      <c r="E25" s="165" t="s">
        <v>5646</v>
      </c>
      <c r="F25" s="163">
        <v>1</v>
      </c>
      <c r="G25" s="864"/>
      <c r="H25" s="864">
        <v>32754.946071601327</v>
      </c>
      <c r="I25" s="864">
        <v>34913.050105402355</v>
      </c>
      <c r="J25" s="864">
        <v>36048.885607866105</v>
      </c>
      <c r="K25" s="864">
        <v>37209.423998939877</v>
      </c>
      <c r="L25" s="18" t="s">
        <v>2888</v>
      </c>
      <c r="M25" s="442"/>
      <c r="N25" s="867" t="s">
        <v>2218</v>
      </c>
      <c r="P25" s="867" t="s">
        <v>2294</v>
      </c>
      <c r="T25" s="443"/>
      <c r="U25" s="440"/>
      <c r="V25" s="440"/>
      <c r="W25" s="440"/>
      <c r="X25" s="442"/>
    </row>
    <row r="26" spans="1:24" x14ac:dyDescent="0.25">
      <c r="A26" s="862">
        <v>744</v>
      </c>
      <c r="B26" s="863" t="s">
        <v>5647</v>
      </c>
      <c r="C26" s="862">
        <v>744</v>
      </c>
      <c r="D26" s="165" t="s">
        <v>2142</v>
      </c>
      <c r="E26" s="165" t="s">
        <v>5648</v>
      </c>
      <c r="F26" s="163">
        <v>1</v>
      </c>
      <c r="G26" s="864"/>
      <c r="H26" s="864">
        <v>27521.592634500652</v>
      </c>
      <c r="I26" s="864">
        <v>28400.064932810579</v>
      </c>
      <c r="J26" s="864">
        <v>29324.79297556472</v>
      </c>
      <c r="K26" s="864">
        <v>30298.208367011073</v>
      </c>
      <c r="L26" s="18" t="s">
        <v>2889</v>
      </c>
      <c r="M26" s="442"/>
      <c r="N26" s="867" t="s">
        <v>2219</v>
      </c>
      <c r="P26" s="867" t="s">
        <v>2295</v>
      </c>
      <c r="T26" s="443"/>
      <c r="U26" s="440"/>
      <c r="V26" s="440"/>
      <c r="W26" s="440"/>
      <c r="X26" s="442"/>
    </row>
    <row r="27" spans="1:24" x14ac:dyDescent="0.25">
      <c r="A27" s="862">
        <v>745</v>
      </c>
      <c r="B27" s="863" t="s">
        <v>5649</v>
      </c>
      <c r="C27" s="862">
        <v>745</v>
      </c>
      <c r="D27" s="165" t="s">
        <v>2142</v>
      </c>
      <c r="E27" s="165" t="s">
        <v>5650</v>
      </c>
      <c r="F27" s="163">
        <v>1</v>
      </c>
      <c r="G27" s="864"/>
      <c r="H27" s="864">
        <v>30315.984638479484</v>
      </c>
      <c r="I27" s="864">
        <v>31291.792949560753</v>
      </c>
      <c r="J27" s="864">
        <v>0</v>
      </c>
      <c r="K27" s="864">
        <v>0</v>
      </c>
      <c r="L27" s="18" t="s">
        <v>4470</v>
      </c>
      <c r="M27" s="442"/>
      <c r="N27" s="867" t="s">
        <v>4193</v>
      </c>
      <c r="P27" s="867" t="s">
        <v>2296</v>
      </c>
      <c r="T27" s="443"/>
      <c r="U27" s="440"/>
      <c r="V27" s="440"/>
      <c r="W27" s="440"/>
      <c r="X27" s="442"/>
    </row>
    <row r="28" spans="1:24" x14ac:dyDescent="0.25">
      <c r="A28" s="862">
        <v>746</v>
      </c>
      <c r="B28" s="863" t="s">
        <v>5651</v>
      </c>
      <c r="C28" s="862">
        <v>746</v>
      </c>
      <c r="D28" s="165" t="s">
        <v>2142</v>
      </c>
      <c r="E28" s="165" t="s">
        <v>5652</v>
      </c>
      <c r="F28" s="163">
        <v>1</v>
      </c>
      <c r="G28" s="864"/>
      <c r="H28" s="864">
        <v>22352.755755722788</v>
      </c>
      <c r="I28" s="864">
        <v>23063.999998252275</v>
      </c>
      <c r="J28" s="864">
        <v>23812.657787960667</v>
      </c>
      <c r="K28" s="864">
        <v>24600.718619232666</v>
      </c>
      <c r="L28" s="18" t="s">
        <v>1724</v>
      </c>
      <c r="M28" s="442"/>
      <c r="N28" s="867" t="s">
        <v>258</v>
      </c>
      <c r="P28" s="867" t="s">
        <v>5006</v>
      </c>
      <c r="T28" s="443"/>
      <c r="U28" s="440"/>
      <c r="V28" s="440"/>
      <c r="W28" s="440"/>
      <c r="X28" s="442"/>
    </row>
    <row r="29" spans="1:24" x14ac:dyDescent="0.25">
      <c r="A29" s="862">
        <v>747</v>
      </c>
      <c r="B29" s="863" t="s">
        <v>5653</v>
      </c>
      <c r="C29" s="862">
        <v>747</v>
      </c>
      <c r="D29" s="165" t="s">
        <v>2142</v>
      </c>
      <c r="E29" s="165" t="s">
        <v>5654</v>
      </c>
      <c r="F29" s="163">
        <v>1</v>
      </c>
      <c r="G29" s="864"/>
      <c r="H29" s="864">
        <v>22023.532064535026</v>
      </c>
      <c r="I29" s="864">
        <v>22722.452494625966</v>
      </c>
      <c r="J29" s="864">
        <v>23458.178570833828</v>
      </c>
      <c r="K29" s="864">
        <v>24232.644523810381</v>
      </c>
      <c r="L29" s="18" t="s">
        <v>4471</v>
      </c>
      <c r="M29" s="442"/>
      <c r="N29" s="867" t="s">
        <v>3673</v>
      </c>
      <c r="P29" s="867" t="s">
        <v>2297</v>
      </c>
      <c r="T29" s="443"/>
      <c r="U29" s="440"/>
      <c r="V29" s="440"/>
      <c r="W29" s="440"/>
      <c r="X29" s="442"/>
    </row>
    <row r="30" spans="1:24" x14ac:dyDescent="0.25">
      <c r="A30" s="862">
        <v>748</v>
      </c>
      <c r="B30" s="863" t="s">
        <v>5655</v>
      </c>
      <c r="C30" s="862">
        <v>748</v>
      </c>
      <c r="D30" s="165" t="s">
        <v>2142</v>
      </c>
      <c r="E30" s="165" t="s">
        <v>5656</v>
      </c>
      <c r="F30" s="163">
        <v>1</v>
      </c>
      <c r="G30" s="864"/>
      <c r="H30" s="864">
        <v>23974.241384791294</v>
      </c>
      <c r="I30" s="864">
        <v>24742.959909545385</v>
      </c>
      <c r="J30" s="864">
        <v>25552.131486788337</v>
      </c>
      <c r="K30" s="864">
        <v>26403.911402103578</v>
      </c>
      <c r="L30" s="18" t="s">
        <v>1725</v>
      </c>
      <c r="M30" s="442"/>
      <c r="N30" s="867" t="s">
        <v>2220</v>
      </c>
      <c r="P30" s="867" t="s">
        <v>4356</v>
      </c>
      <c r="T30" s="443"/>
      <c r="U30" s="440"/>
      <c r="V30" s="440"/>
      <c r="W30" s="440"/>
      <c r="X30" s="442"/>
    </row>
    <row r="31" spans="1:24" x14ac:dyDescent="0.25">
      <c r="A31" s="862">
        <v>749</v>
      </c>
      <c r="B31" s="863" t="s">
        <v>5657</v>
      </c>
      <c r="C31" s="862">
        <v>749</v>
      </c>
      <c r="D31" s="165" t="s">
        <v>2142</v>
      </c>
      <c r="E31" s="165" t="s">
        <v>5658</v>
      </c>
      <c r="F31" s="163">
        <v>1</v>
      </c>
      <c r="G31" s="864"/>
      <c r="H31" s="864">
        <v>23521.395013310117</v>
      </c>
      <c r="I31" s="864">
        <v>24273.368626993008</v>
      </c>
      <c r="J31" s="864">
        <v>25064.911073438219</v>
      </c>
      <c r="K31" s="864">
        <v>25898.122374496274</v>
      </c>
      <c r="L31" s="18" t="s">
        <v>4472</v>
      </c>
      <c r="M31" s="442"/>
      <c r="N31" s="867" t="s">
        <v>2221</v>
      </c>
      <c r="P31" s="867" t="s">
        <v>2298</v>
      </c>
      <c r="T31" s="443"/>
      <c r="U31" s="440"/>
      <c r="V31" s="440"/>
      <c r="W31" s="440"/>
      <c r="X31" s="442"/>
    </row>
    <row r="32" spans="1:24" x14ac:dyDescent="0.25">
      <c r="A32" s="862">
        <v>750</v>
      </c>
      <c r="B32" s="863" t="s">
        <v>5659</v>
      </c>
      <c r="C32" s="862">
        <v>750</v>
      </c>
      <c r="D32" s="165" t="s">
        <v>2142</v>
      </c>
      <c r="E32" s="165" t="s">
        <v>5660</v>
      </c>
      <c r="F32" s="163">
        <v>1</v>
      </c>
      <c r="G32" s="864"/>
      <c r="H32" s="864">
        <v>26913.184087477959</v>
      </c>
      <c r="I32" s="864">
        <v>27786.074748764149</v>
      </c>
      <c r="J32" s="864">
        <v>28704.889572097109</v>
      </c>
      <c r="K32" s="864">
        <v>29672.060161724814</v>
      </c>
      <c r="L32" s="18" t="s">
        <v>1726</v>
      </c>
      <c r="M32" s="442"/>
      <c r="N32" s="867" t="s">
        <v>2222</v>
      </c>
      <c r="P32" s="867"/>
      <c r="T32" s="443"/>
      <c r="U32" s="440"/>
      <c r="V32" s="440"/>
      <c r="W32" s="440"/>
      <c r="X32" s="442"/>
    </row>
    <row r="33" spans="1:24" x14ac:dyDescent="0.25">
      <c r="A33" s="862">
        <v>751</v>
      </c>
      <c r="B33" s="863" t="s">
        <v>5661</v>
      </c>
      <c r="C33" s="862">
        <v>751</v>
      </c>
      <c r="D33" s="165" t="s">
        <v>2142</v>
      </c>
      <c r="E33" s="165" t="s">
        <v>5662</v>
      </c>
      <c r="F33" s="163">
        <v>1</v>
      </c>
      <c r="G33" s="864"/>
      <c r="H33" s="864">
        <v>26225.310766851435</v>
      </c>
      <c r="I33" s="864">
        <v>27073.056429664368</v>
      </c>
      <c r="J33" s="864">
        <v>27965.399924934271</v>
      </c>
      <c r="K33" s="864">
        <v>28904.717593176207</v>
      </c>
      <c r="L33" s="18" t="s">
        <v>4473</v>
      </c>
      <c r="M33" s="442"/>
      <c r="N33" s="867" t="s">
        <v>4230</v>
      </c>
      <c r="P33" s="867"/>
      <c r="T33" s="443"/>
      <c r="U33" s="440"/>
      <c r="V33" s="440"/>
      <c r="W33" s="440"/>
      <c r="X33" s="442"/>
    </row>
    <row r="34" spans="1:24" x14ac:dyDescent="0.25">
      <c r="A34" s="862">
        <v>752</v>
      </c>
      <c r="B34" s="863" t="s">
        <v>5663</v>
      </c>
      <c r="C34" s="862">
        <v>752</v>
      </c>
      <c r="D34" s="165" t="s">
        <v>2142</v>
      </c>
      <c r="E34" s="165" t="s">
        <v>5664</v>
      </c>
      <c r="F34" s="163">
        <v>1</v>
      </c>
      <c r="G34" s="864"/>
      <c r="H34" s="864">
        <v>28534.669716546465</v>
      </c>
      <c r="I34" s="864">
        <v>29465.034660057256</v>
      </c>
      <c r="J34" s="864">
        <v>30444.363270924787</v>
      </c>
      <c r="K34" s="864">
        <v>31475.252944595733</v>
      </c>
      <c r="L34" s="18" t="s">
        <v>1727</v>
      </c>
      <c r="M34" s="442"/>
      <c r="N34" s="867" t="s">
        <v>5051</v>
      </c>
      <c r="P34" s="867"/>
      <c r="T34" s="443"/>
      <c r="U34" s="440"/>
      <c r="V34" s="440"/>
      <c r="W34" s="440"/>
      <c r="X34" s="442"/>
    </row>
    <row r="35" spans="1:24" x14ac:dyDescent="0.25">
      <c r="A35" s="862">
        <v>753</v>
      </c>
      <c r="B35" s="863" t="s">
        <v>5665</v>
      </c>
      <c r="C35" s="862">
        <v>753</v>
      </c>
      <c r="D35" s="165" t="s">
        <v>2142</v>
      </c>
      <c r="E35" s="165" t="s">
        <v>5666</v>
      </c>
      <c r="F35" s="163">
        <v>1</v>
      </c>
      <c r="G35" s="864"/>
      <c r="H35" s="864">
        <v>27723.17371562653</v>
      </c>
      <c r="I35" s="864">
        <v>28623.972562031391</v>
      </c>
      <c r="J35" s="864">
        <v>29572.187691271563</v>
      </c>
      <c r="K35" s="864">
        <v>30570.305971327914</v>
      </c>
      <c r="L35" s="18" t="s">
        <v>4474</v>
      </c>
      <c r="M35" s="442"/>
      <c r="N35" s="867" t="s">
        <v>2223</v>
      </c>
      <c r="P35" s="867"/>
      <c r="T35" s="443"/>
      <c r="U35" s="440"/>
      <c r="V35" s="440"/>
      <c r="W35" s="440"/>
      <c r="X35" s="442"/>
    </row>
    <row r="36" spans="1:24" x14ac:dyDescent="0.25">
      <c r="A36" s="862">
        <v>754</v>
      </c>
      <c r="B36" s="863" t="s">
        <v>5667</v>
      </c>
      <c r="C36" s="862">
        <v>754</v>
      </c>
      <c r="D36" s="165" t="s">
        <v>2142</v>
      </c>
      <c r="E36" s="165" t="s">
        <v>5668</v>
      </c>
      <c r="F36" s="163">
        <v>1</v>
      </c>
      <c r="G36" s="864"/>
      <c r="H36" s="864">
        <v>30054.812493798185</v>
      </c>
      <c r="I36" s="864">
        <v>0</v>
      </c>
      <c r="J36" s="864">
        <v>0</v>
      </c>
      <c r="K36" s="864">
        <v>0</v>
      </c>
      <c r="L36" s="18" t="s">
        <v>1728</v>
      </c>
      <c r="M36" s="442"/>
      <c r="N36" s="867" t="s">
        <v>3311</v>
      </c>
      <c r="P36" s="867"/>
      <c r="T36" s="443"/>
      <c r="U36" s="440"/>
      <c r="V36" s="440"/>
      <c r="W36" s="440"/>
      <c r="X36" s="442"/>
    </row>
    <row r="37" spans="1:24" x14ac:dyDescent="0.25">
      <c r="A37" s="862">
        <v>755</v>
      </c>
      <c r="B37" s="863" t="s">
        <v>5669</v>
      </c>
      <c r="C37" s="862">
        <v>755</v>
      </c>
      <c r="D37" s="165" t="s">
        <v>2142</v>
      </c>
      <c r="E37" s="165" t="s">
        <v>5670</v>
      </c>
      <c r="F37" s="163">
        <v>1</v>
      </c>
      <c r="G37" s="864"/>
      <c r="H37" s="864">
        <v>29026.478147151407</v>
      </c>
      <c r="I37" s="864">
        <v>29973.422210534678</v>
      </c>
      <c r="J37" s="864">
        <v>30970.214161001233</v>
      </c>
      <c r="K37" s="864">
        <v>32019.45139399773</v>
      </c>
      <c r="L37" s="18" t="s">
        <v>4475</v>
      </c>
      <c r="M37" s="442"/>
      <c r="N37" s="867" t="s">
        <v>2224</v>
      </c>
      <c r="P37" s="867"/>
      <c r="T37" s="443"/>
      <c r="U37" s="440"/>
      <c r="V37" s="440"/>
      <c r="W37" s="440"/>
      <c r="X37" s="442"/>
    </row>
    <row r="38" spans="1:24" x14ac:dyDescent="0.25">
      <c r="A38" s="862">
        <v>756</v>
      </c>
      <c r="B38" s="863" t="s">
        <v>5671</v>
      </c>
      <c r="C38" s="862">
        <v>756</v>
      </c>
      <c r="D38" s="165" t="s">
        <v>2142</v>
      </c>
      <c r="E38" s="165" t="s">
        <v>5672</v>
      </c>
      <c r="F38" s="163">
        <v>1</v>
      </c>
      <c r="G38" s="864"/>
      <c r="H38" s="864">
        <v>31676.298122866683</v>
      </c>
      <c r="I38" s="864">
        <v>32718.01948818766</v>
      </c>
      <c r="J38" s="864">
        <v>33814.562476553641</v>
      </c>
      <c r="K38" s="864">
        <v>34968.800802075857</v>
      </c>
      <c r="L38" s="18" t="s">
        <v>1729</v>
      </c>
      <c r="M38" s="442"/>
      <c r="N38" s="867" t="s">
        <v>4300</v>
      </c>
      <c r="P38" s="867"/>
      <c r="T38" s="443"/>
      <c r="U38" s="440"/>
      <c r="V38" s="440"/>
      <c r="W38" s="440"/>
      <c r="X38" s="442"/>
    </row>
    <row r="39" spans="1:24" x14ac:dyDescent="0.25">
      <c r="A39" s="862">
        <v>757</v>
      </c>
      <c r="B39" s="863" t="s">
        <v>5673</v>
      </c>
      <c r="C39" s="862">
        <v>757</v>
      </c>
      <c r="D39" s="165" t="s">
        <v>2142</v>
      </c>
      <c r="E39" s="165" t="s">
        <v>5674</v>
      </c>
      <c r="F39" s="163">
        <v>1</v>
      </c>
      <c r="G39" s="864"/>
      <c r="H39" s="864">
        <v>30524.341095926502</v>
      </c>
      <c r="I39" s="864">
        <v>31524.338342901723</v>
      </c>
      <c r="J39" s="864">
        <v>32576.94666360562</v>
      </c>
      <c r="K39" s="864">
        <v>33684.984508416528</v>
      </c>
      <c r="L39" s="18" t="s">
        <v>4476</v>
      </c>
      <c r="M39" s="442"/>
      <c r="N39" s="867" t="s">
        <v>2225</v>
      </c>
      <c r="P39" s="867"/>
      <c r="T39" s="443"/>
      <c r="U39" s="440"/>
      <c r="V39" s="440"/>
      <c r="W39" s="440"/>
      <c r="X39" s="442"/>
    </row>
    <row r="40" spans="1:24" x14ac:dyDescent="0.25">
      <c r="A40" s="862">
        <v>758</v>
      </c>
      <c r="B40" s="863" t="s">
        <v>5675</v>
      </c>
      <c r="C40" s="862">
        <v>758</v>
      </c>
      <c r="D40" s="165" t="s">
        <v>2142</v>
      </c>
      <c r="E40" s="165" t="s">
        <v>5676</v>
      </c>
      <c r="F40" s="163">
        <v>1</v>
      </c>
      <c r="G40" s="864"/>
      <c r="H40" s="864">
        <v>30054.812493798185</v>
      </c>
      <c r="I40" s="864">
        <v>0</v>
      </c>
      <c r="J40" s="864">
        <v>0</v>
      </c>
      <c r="K40" s="864">
        <v>0</v>
      </c>
      <c r="L40" s="18" t="s">
        <v>1730</v>
      </c>
      <c r="M40" s="442"/>
      <c r="N40" s="867" t="s">
        <v>2226</v>
      </c>
      <c r="P40" s="867"/>
      <c r="T40" s="443"/>
      <c r="U40" s="440" t="s">
        <v>3647</v>
      </c>
      <c r="V40" s="440"/>
      <c r="W40" s="440"/>
      <c r="X40" s="442"/>
    </row>
    <row r="41" spans="1:24" x14ac:dyDescent="0.25">
      <c r="A41" s="862">
        <v>759</v>
      </c>
      <c r="B41" s="863" t="s">
        <v>5677</v>
      </c>
      <c r="C41" s="862">
        <v>759</v>
      </c>
      <c r="D41" s="165" t="s">
        <v>2142</v>
      </c>
      <c r="E41" s="165" t="s">
        <v>5678</v>
      </c>
      <c r="F41" s="163">
        <v>1</v>
      </c>
      <c r="G41" s="864"/>
      <c r="H41" s="864">
        <v>29119.859603783563</v>
      </c>
      <c r="I41" s="864">
        <v>0</v>
      </c>
      <c r="J41" s="864">
        <v>0</v>
      </c>
      <c r="K41" s="864">
        <v>0</v>
      </c>
      <c r="L41" s="18" t="s">
        <v>4477</v>
      </c>
      <c r="M41" s="442"/>
      <c r="N41" s="867" t="s">
        <v>2227</v>
      </c>
      <c r="P41" s="867"/>
      <c r="T41" s="443"/>
      <c r="U41" s="440"/>
      <c r="V41" s="440"/>
      <c r="W41" s="440"/>
      <c r="X41" s="442"/>
    </row>
    <row r="42" spans="1:24" x14ac:dyDescent="0.25">
      <c r="A42" s="862">
        <v>760</v>
      </c>
      <c r="B42" s="863" t="s">
        <v>5679</v>
      </c>
      <c r="C42" s="862">
        <v>760</v>
      </c>
      <c r="D42" s="165" t="s">
        <v>2142</v>
      </c>
      <c r="E42" s="165" t="s">
        <v>5680</v>
      </c>
      <c r="F42" s="163">
        <v>1</v>
      </c>
      <c r="G42" s="864"/>
      <c r="H42" s="864">
        <v>31676.298122866683</v>
      </c>
      <c r="I42" s="864">
        <v>0</v>
      </c>
      <c r="J42" s="864">
        <v>0</v>
      </c>
      <c r="K42" s="864">
        <v>0</v>
      </c>
      <c r="L42" s="18" t="s">
        <v>1731</v>
      </c>
      <c r="M42" s="442"/>
      <c r="N42" s="867" t="s">
        <v>2228</v>
      </c>
      <c r="P42" s="867"/>
      <c r="T42" s="443"/>
      <c r="U42" s="440"/>
      <c r="V42" s="440"/>
      <c r="W42" s="440"/>
      <c r="X42" s="442"/>
    </row>
    <row r="43" spans="1:24" x14ac:dyDescent="0.25">
      <c r="A43" s="862">
        <v>761</v>
      </c>
      <c r="B43" s="863" t="s">
        <v>5681</v>
      </c>
      <c r="C43" s="862">
        <v>761</v>
      </c>
      <c r="D43" s="165" t="s">
        <v>2142</v>
      </c>
      <c r="E43" s="165" t="s">
        <v>5682</v>
      </c>
      <c r="F43" s="163">
        <v>1</v>
      </c>
      <c r="G43" s="864"/>
      <c r="H43" s="864">
        <v>30617.722552558655</v>
      </c>
      <c r="I43" s="864">
        <v>0</v>
      </c>
      <c r="J43" s="864">
        <v>0</v>
      </c>
      <c r="K43" s="864">
        <v>0</v>
      </c>
      <c r="L43" s="18" t="s">
        <v>4478</v>
      </c>
      <c r="M43" s="442"/>
      <c r="N43" s="867" t="s">
        <v>2229</v>
      </c>
      <c r="P43" s="867"/>
      <c r="T43" s="443"/>
      <c r="U43" s="440"/>
      <c r="V43" s="440"/>
      <c r="W43" s="440"/>
      <c r="X43" s="442"/>
    </row>
    <row r="44" spans="1:24" x14ac:dyDescent="0.25">
      <c r="A44" s="862">
        <v>762</v>
      </c>
      <c r="B44" s="863" t="s">
        <v>5683</v>
      </c>
      <c r="C44" s="862">
        <v>762</v>
      </c>
      <c r="D44" s="165" t="s">
        <v>2142</v>
      </c>
      <c r="E44" s="165" t="s">
        <v>5684</v>
      </c>
      <c r="F44" s="163">
        <v>1</v>
      </c>
      <c r="G44" s="864"/>
      <c r="H44" s="864">
        <v>0</v>
      </c>
      <c r="I44" s="864">
        <v>36191.328610034383</v>
      </c>
      <c r="J44" s="864">
        <v>37371.651417489309</v>
      </c>
      <c r="K44" s="864">
        <v>38614.145924466036</v>
      </c>
      <c r="L44" s="18" t="s">
        <v>3751</v>
      </c>
      <c r="M44" s="442"/>
      <c r="N44" s="867" t="s">
        <v>2230</v>
      </c>
      <c r="P44" s="867"/>
      <c r="T44" s="443"/>
      <c r="U44" s="440"/>
      <c r="V44" s="440"/>
      <c r="W44" s="440"/>
      <c r="X44" s="442"/>
    </row>
    <row r="45" spans="1:24" x14ac:dyDescent="0.25">
      <c r="A45" s="862">
        <v>763</v>
      </c>
      <c r="B45" s="863" t="s">
        <v>5685</v>
      </c>
      <c r="C45" s="862">
        <v>763</v>
      </c>
      <c r="D45" s="165" t="s">
        <v>2142</v>
      </c>
      <c r="E45" s="165" t="s">
        <v>5686</v>
      </c>
      <c r="F45" s="163">
        <v>1</v>
      </c>
      <c r="G45" s="864"/>
      <c r="H45" s="864">
        <v>0</v>
      </c>
      <c r="I45" s="864">
        <v>36191.328610034383</v>
      </c>
      <c r="J45" s="864">
        <v>37371.651417489309</v>
      </c>
      <c r="K45" s="864">
        <v>38587.453541471339</v>
      </c>
      <c r="L45" s="18" t="s">
        <v>3752</v>
      </c>
      <c r="M45" s="442"/>
      <c r="N45" s="867" t="s">
        <v>2231</v>
      </c>
      <c r="P45" s="867"/>
      <c r="T45" s="443"/>
      <c r="U45" s="440"/>
      <c r="V45" s="440"/>
      <c r="W45" s="440"/>
      <c r="X45" s="442"/>
    </row>
    <row r="46" spans="1:24" x14ac:dyDescent="0.25">
      <c r="A46" s="862">
        <v>764</v>
      </c>
      <c r="B46" s="863" t="s">
        <v>5687</v>
      </c>
      <c r="C46" s="862">
        <v>764</v>
      </c>
      <c r="D46" s="165" t="s">
        <v>2142</v>
      </c>
      <c r="E46" s="165" t="s">
        <v>5688</v>
      </c>
      <c r="F46" s="163">
        <v>1</v>
      </c>
      <c r="G46" s="864"/>
      <c r="H46" s="864">
        <v>0</v>
      </c>
      <c r="I46" s="864">
        <v>25505.187924483696</v>
      </c>
      <c r="J46" s="864">
        <v>26313.530545733021</v>
      </c>
      <c r="K46" s="864">
        <v>27164.370977588809</v>
      </c>
      <c r="L46" s="18" t="s">
        <v>3753</v>
      </c>
      <c r="M46" s="442"/>
      <c r="N46" s="867" t="s">
        <v>2232</v>
      </c>
      <c r="P46" s="867"/>
      <c r="T46" s="443"/>
      <c r="U46" s="440"/>
      <c r="V46" s="440"/>
      <c r="W46" s="440"/>
      <c r="X46" s="442"/>
    </row>
    <row r="47" spans="1:24" x14ac:dyDescent="0.25">
      <c r="A47" s="862">
        <v>765</v>
      </c>
      <c r="B47" s="863" t="s">
        <v>5689</v>
      </c>
      <c r="C47" s="862">
        <v>765</v>
      </c>
      <c r="D47" s="165" t="s">
        <v>2142</v>
      </c>
      <c r="E47" s="165" t="s">
        <v>5690</v>
      </c>
      <c r="F47" s="163">
        <v>1</v>
      </c>
      <c r="G47" s="864"/>
      <c r="H47" s="864">
        <v>0</v>
      </c>
      <c r="I47" s="864">
        <v>24077.008028783388</v>
      </c>
      <c r="J47" s="864">
        <v>24835.613290415273</v>
      </c>
      <c r="K47" s="864">
        <v>25634.11896720693</v>
      </c>
      <c r="L47" s="18" t="s">
        <v>3754</v>
      </c>
      <c r="M47" s="442"/>
      <c r="N47" s="867" t="s">
        <v>2233</v>
      </c>
      <c r="P47" s="867"/>
      <c r="T47" s="443"/>
      <c r="U47" s="440"/>
      <c r="V47" s="440"/>
      <c r="W47" s="440"/>
      <c r="X47" s="442"/>
    </row>
    <row r="48" spans="1:24" x14ac:dyDescent="0.25">
      <c r="A48" s="862">
        <v>766</v>
      </c>
      <c r="B48" s="863" t="s">
        <v>5691</v>
      </c>
      <c r="C48" s="862">
        <v>766</v>
      </c>
      <c r="D48" s="165" t="s">
        <v>2142</v>
      </c>
      <c r="E48" s="165" t="s">
        <v>5692</v>
      </c>
      <c r="F48" s="163">
        <v>1</v>
      </c>
      <c r="G48" s="864"/>
      <c r="H48" s="864">
        <v>0</v>
      </c>
      <c r="I48" s="864">
        <v>26265.871985832717</v>
      </c>
      <c r="J48" s="864">
        <v>27100.685935145102</v>
      </c>
      <c r="K48" s="864">
        <v>27979.434552119568</v>
      </c>
      <c r="L48" s="18" t="s">
        <v>4479</v>
      </c>
      <c r="M48" s="442"/>
      <c r="N48" s="867" t="s">
        <v>501</v>
      </c>
      <c r="P48" s="867"/>
      <c r="T48" s="443"/>
      <c r="U48" s="440"/>
      <c r="V48" s="440"/>
      <c r="W48" s="440"/>
      <c r="X48" s="442"/>
    </row>
    <row r="49" spans="1:24" x14ac:dyDescent="0.25">
      <c r="A49" s="862">
        <v>767</v>
      </c>
      <c r="B49" s="863" t="s">
        <v>5693</v>
      </c>
      <c r="C49" s="862">
        <v>767</v>
      </c>
      <c r="D49" s="165" t="s">
        <v>2142</v>
      </c>
      <c r="E49" s="165" t="s">
        <v>5694</v>
      </c>
      <c r="F49" s="163">
        <v>1</v>
      </c>
      <c r="G49" s="864"/>
      <c r="H49" s="864">
        <v>0</v>
      </c>
      <c r="I49" s="864">
        <v>24701.860638988812</v>
      </c>
      <c r="J49" s="864">
        <v>25482.239811386557</v>
      </c>
      <c r="K49" s="864">
        <v>26303.679937335146</v>
      </c>
      <c r="L49" s="18" t="s">
        <v>4480</v>
      </c>
      <c r="M49" s="442"/>
      <c r="N49" s="867" t="s">
        <v>2234</v>
      </c>
      <c r="P49" s="867"/>
      <c r="T49" s="443"/>
      <c r="U49" s="440"/>
      <c r="V49" s="440"/>
      <c r="W49" s="440"/>
      <c r="X49" s="442"/>
    </row>
    <row r="50" spans="1:24" x14ac:dyDescent="0.25">
      <c r="A50" s="862">
        <v>768</v>
      </c>
      <c r="B50" s="863" t="s">
        <v>5695</v>
      </c>
      <c r="C50" s="862">
        <v>768</v>
      </c>
      <c r="D50" s="165" t="s">
        <v>2142</v>
      </c>
      <c r="E50" s="165" t="s">
        <v>5696</v>
      </c>
      <c r="F50" s="163">
        <v>1</v>
      </c>
      <c r="G50" s="864"/>
      <c r="H50" s="864">
        <v>0</v>
      </c>
      <c r="I50" s="864">
        <v>29018.359465078382</v>
      </c>
      <c r="J50" s="864">
        <v>29949.000727253719</v>
      </c>
      <c r="K50" s="864">
        <v>30928.605656785792</v>
      </c>
      <c r="L50" s="18" t="s">
        <v>3755</v>
      </c>
      <c r="M50" s="442"/>
      <c r="N50" s="867" t="s">
        <v>2235</v>
      </c>
      <c r="P50" s="867"/>
      <c r="T50" s="443"/>
      <c r="U50" s="440"/>
      <c r="V50" s="440"/>
      <c r="W50" s="440"/>
      <c r="X50" s="442"/>
    </row>
    <row r="51" spans="1:24" x14ac:dyDescent="0.25">
      <c r="A51" s="862">
        <v>769</v>
      </c>
      <c r="B51" s="863" t="s">
        <v>5697</v>
      </c>
      <c r="C51" s="862">
        <v>769</v>
      </c>
      <c r="D51" s="165" t="s">
        <v>2142</v>
      </c>
      <c r="E51" s="165" t="s">
        <v>5698</v>
      </c>
      <c r="F51" s="163">
        <v>1</v>
      </c>
      <c r="G51" s="864"/>
      <c r="H51" s="864">
        <v>0</v>
      </c>
      <c r="I51" s="864">
        <v>29442.770034109381</v>
      </c>
      <c r="J51" s="864">
        <v>30388.166712971226</v>
      </c>
      <c r="K51" s="864">
        <v>31383.300751450523</v>
      </c>
      <c r="L51" s="18" t="s">
        <v>3756</v>
      </c>
      <c r="M51" s="442"/>
      <c r="N51" s="867" t="s">
        <v>2236</v>
      </c>
      <c r="P51" s="867"/>
      <c r="T51" s="443"/>
      <c r="U51" s="440"/>
      <c r="V51" s="440"/>
      <c r="W51" s="440"/>
      <c r="X51" s="442"/>
    </row>
    <row r="52" spans="1:24" x14ac:dyDescent="0.25">
      <c r="A52" s="862">
        <v>770</v>
      </c>
      <c r="B52" s="863" t="s">
        <v>5699</v>
      </c>
      <c r="C52" s="862">
        <v>770</v>
      </c>
      <c r="D52" s="165" t="s">
        <v>2142</v>
      </c>
      <c r="E52" s="165" t="s">
        <v>5700</v>
      </c>
      <c r="F52" s="163">
        <v>1</v>
      </c>
      <c r="G52" s="864"/>
      <c r="H52" s="864">
        <v>0</v>
      </c>
      <c r="I52" s="864">
        <v>30608.259258920934</v>
      </c>
      <c r="J52" s="864">
        <v>31594.219517737467</v>
      </c>
      <c r="K52" s="864">
        <v>32632.072421754856</v>
      </c>
      <c r="L52" s="18" t="s">
        <v>4481</v>
      </c>
      <c r="M52" s="442"/>
      <c r="N52" s="867" t="s">
        <v>2237</v>
      </c>
      <c r="P52" s="867"/>
      <c r="T52" s="443"/>
      <c r="U52" s="440"/>
      <c r="V52" s="440"/>
      <c r="W52" s="440"/>
      <c r="X52" s="442"/>
    </row>
    <row r="53" spans="1:24" x14ac:dyDescent="0.25">
      <c r="A53" s="862">
        <v>771</v>
      </c>
      <c r="B53" s="863" t="s">
        <v>5701</v>
      </c>
      <c r="C53" s="862">
        <v>771</v>
      </c>
      <c r="D53" s="165" t="s">
        <v>2142</v>
      </c>
      <c r="E53" s="165" t="s">
        <v>5702</v>
      </c>
      <c r="F53" s="163">
        <v>1</v>
      </c>
      <c r="G53" s="864"/>
      <c r="H53" s="864">
        <v>0</v>
      </c>
      <c r="I53" s="864">
        <v>29044.247912077033</v>
      </c>
      <c r="J53" s="864">
        <v>29975.77339397891</v>
      </c>
      <c r="K53" s="864">
        <v>30956.317806970423</v>
      </c>
      <c r="L53" s="18" t="s">
        <v>4482</v>
      </c>
      <c r="M53" s="442"/>
      <c r="N53" s="867" t="s">
        <v>2238</v>
      </c>
      <c r="P53" s="867"/>
      <c r="T53" s="443"/>
      <c r="U53" s="440"/>
      <c r="V53" s="440"/>
      <c r="W53" s="440"/>
      <c r="X53" s="442"/>
    </row>
    <row r="54" spans="1:24" x14ac:dyDescent="0.25">
      <c r="A54" s="862">
        <v>772</v>
      </c>
      <c r="B54" s="863" t="s">
        <v>5703</v>
      </c>
      <c r="C54" s="862">
        <v>772</v>
      </c>
      <c r="D54" s="165" t="s">
        <v>2142</v>
      </c>
      <c r="E54" s="165" t="s">
        <v>5704</v>
      </c>
      <c r="F54" s="163">
        <v>1</v>
      </c>
      <c r="G54" s="864"/>
      <c r="H54" s="864">
        <v>0</v>
      </c>
      <c r="I54" s="864">
        <v>31942.932403463208</v>
      </c>
      <c r="J54" s="864">
        <v>32975.369461655588</v>
      </c>
      <c r="K54" s="864">
        <v>34062.130769296811</v>
      </c>
      <c r="L54" s="18" t="s">
        <v>3757</v>
      </c>
      <c r="M54" s="442"/>
      <c r="N54" s="867" t="s">
        <v>3684</v>
      </c>
      <c r="P54" s="867"/>
      <c r="T54" s="443"/>
      <c r="U54" s="440"/>
      <c r="V54" s="440"/>
      <c r="W54" s="440"/>
      <c r="X54" s="442"/>
    </row>
    <row r="55" spans="1:24" x14ac:dyDescent="0.25">
      <c r="A55" s="862">
        <v>773</v>
      </c>
      <c r="B55" s="863" t="s">
        <v>5705</v>
      </c>
      <c r="C55" s="862">
        <v>773</v>
      </c>
      <c r="D55" s="165" t="s">
        <v>2142</v>
      </c>
      <c r="E55" s="165" t="s">
        <v>5706</v>
      </c>
      <c r="F55" s="163">
        <v>1</v>
      </c>
      <c r="G55" s="864"/>
      <c r="H55" s="864">
        <v>0</v>
      </c>
      <c r="I55" s="864">
        <v>33149.777697542275</v>
      </c>
      <c r="J55" s="864">
        <v>34224.215192744945</v>
      </c>
      <c r="K55" s="864">
        <v>35355.242750445686</v>
      </c>
      <c r="L55" s="18" t="s">
        <v>4483</v>
      </c>
      <c r="M55" s="442"/>
      <c r="N55" s="867" t="s">
        <v>2239</v>
      </c>
      <c r="P55" s="867"/>
      <c r="T55" s="443"/>
      <c r="U55" s="440"/>
      <c r="V55" s="440"/>
      <c r="W55" s="440"/>
      <c r="X55" s="442"/>
    </row>
    <row r="56" spans="1:24" x14ac:dyDescent="0.25">
      <c r="A56" s="862">
        <v>774</v>
      </c>
      <c r="B56" s="863" t="s">
        <v>5707</v>
      </c>
      <c r="C56" s="862">
        <v>774</v>
      </c>
      <c r="D56" s="165" t="s">
        <v>2142</v>
      </c>
      <c r="E56" s="165" t="s">
        <v>5708</v>
      </c>
      <c r="F56" s="163">
        <v>1</v>
      </c>
      <c r="G56" s="864"/>
      <c r="H56" s="864">
        <v>0</v>
      </c>
      <c r="I56" s="864">
        <v>33322.721259933671</v>
      </c>
      <c r="J56" s="864">
        <v>34403.182502023345</v>
      </c>
      <c r="K56" s="864">
        <v>35540.510125275629</v>
      </c>
      <c r="L56" s="18" t="s">
        <v>3758</v>
      </c>
      <c r="M56" s="442"/>
      <c r="N56" s="867" t="s">
        <v>2240</v>
      </c>
      <c r="P56" s="867"/>
      <c r="T56" s="443"/>
      <c r="U56" s="440"/>
      <c r="V56" s="440"/>
      <c r="W56" s="440"/>
      <c r="X56" s="442"/>
    </row>
    <row r="57" spans="1:24" x14ac:dyDescent="0.25">
      <c r="A57" s="862">
        <v>775</v>
      </c>
      <c r="B57" s="863" t="s">
        <v>5709</v>
      </c>
      <c r="C57" s="862">
        <v>775</v>
      </c>
      <c r="D57" s="165" t="s">
        <v>2142</v>
      </c>
      <c r="E57" s="165" t="s">
        <v>5710</v>
      </c>
      <c r="F57" s="163">
        <v>1</v>
      </c>
      <c r="G57" s="864"/>
      <c r="H57" s="864">
        <v>0</v>
      </c>
      <c r="I57" s="864">
        <v>34529.566554012745</v>
      </c>
      <c r="J57" s="864">
        <v>35652.083496845604</v>
      </c>
      <c r="K57" s="864">
        <v>36833.677370157413</v>
      </c>
      <c r="L57" s="18" t="s">
        <v>4484</v>
      </c>
      <c r="M57" s="442"/>
      <c r="N57" s="867" t="s">
        <v>2241</v>
      </c>
      <c r="P57" s="867"/>
      <c r="T57" s="443"/>
      <c r="U57" s="440"/>
      <c r="V57" s="440"/>
      <c r="W57" s="440"/>
      <c r="X57" s="442"/>
    </row>
    <row r="58" spans="1:24" x14ac:dyDescent="0.25">
      <c r="A58" s="862">
        <v>776</v>
      </c>
      <c r="B58" s="863" t="s">
        <v>5711</v>
      </c>
      <c r="C58" s="862">
        <v>776</v>
      </c>
      <c r="D58" s="165" t="s">
        <v>2142</v>
      </c>
      <c r="E58" s="165" t="s">
        <v>5712</v>
      </c>
      <c r="F58" s="163">
        <v>1</v>
      </c>
      <c r="G58" s="864"/>
      <c r="H58" s="864">
        <v>0</v>
      </c>
      <c r="I58" s="864">
        <v>30172.292724770625</v>
      </c>
      <c r="J58" s="864">
        <v>31236.119583254902</v>
      </c>
      <c r="K58" s="864">
        <v>32243.964280303106</v>
      </c>
      <c r="L58" s="18" t="s">
        <v>3759</v>
      </c>
      <c r="M58" s="442"/>
      <c r="N58" s="867" t="s">
        <v>2243</v>
      </c>
      <c r="P58" s="867"/>
      <c r="T58" s="443"/>
      <c r="U58" s="440"/>
      <c r="V58" s="440"/>
      <c r="W58" s="440"/>
      <c r="X58" s="442"/>
    </row>
    <row r="59" spans="1:24" x14ac:dyDescent="0.25">
      <c r="A59" s="862">
        <v>777</v>
      </c>
      <c r="B59" s="863" t="s">
        <v>5713</v>
      </c>
      <c r="C59" s="862">
        <v>777</v>
      </c>
      <c r="D59" s="165" t="s">
        <v>2142</v>
      </c>
      <c r="E59" s="165" t="s">
        <v>5714</v>
      </c>
      <c r="F59" s="163">
        <v>1</v>
      </c>
      <c r="G59" s="864"/>
      <c r="H59" s="864">
        <v>25085.309226965321</v>
      </c>
      <c r="I59" s="864">
        <v>25919.957385078989</v>
      </c>
      <c r="J59" s="864">
        <v>26798.540210854731</v>
      </c>
      <c r="K59" s="864">
        <v>27723.378781074698</v>
      </c>
      <c r="L59" s="18" t="s">
        <v>1732</v>
      </c>
      <c r="M59" s="442"/>
      <c r="N59" s="867" t="s">
        <v>2242</v>
      </c>
      <c r="P59" s="867"/>
      <c r="T59" s="443"/>
      <c r="U59" s="440"/>
      <c r="V59" s="440"/>
      <c r="W59" s="440"/>
      <c r="X59" s="442"/>
    </row>
    <row r="60" spans="1:24" x14ac:dyDescent="0.25">
      <c r="A60" s="862">
        <v>778</v>
      </c>
      <c r="B60" s="863" t="s">
        <v>5715</v>
      </c>
      <c r="C60" s="862">
        <v>778</v>
      </c>
      <c r="D60" s="165" t="s">
        <v>2142</v>
      </c>
      <c r="E60" s="165" t="s">
        <v>5716</v>
      </c>
      <c r="F60" s="163">
        <v>1</v>
      </c>
      <c r="G60" s="864"/>
      <c r="H60" s="864">
        <v>26577.232873006047</v>
      </c>
      <c r="I60" s="864">
        <v>0</v>
      </c>
      <c r="J60" s="864">
        <v>28402.593970966351</v>
      </c>
      <c r="K60" s="864">
        <v>29387.946328720867</v>
      </c>
      <c r="L60" s="18" t="s">
        <v>1733</v>
      </c>
      <c r="M60" s="442"/>
      <c r="N60" s="867"/>
      <c r="P60" s="867"/>
      <c r="T60" s="443"/>
      <c r="U60" s="440"/>
      <c r="V60" s="440"/>
      <c r="W60" s="440"/>
      <c r="X60" s="442"/>
    </row>
    <row r="61" spans="1:24" x14ac:dyDescent="0.25">
      <c r="A61" s="862">
        <v>779</v>
      </c>
      <c r="B61" s="863" t="s">
        <v>5717</v>
      </c>
      <c r="C61" s="862">
        <v>779</v>
      </c>
      <c r="D61" s="165" t="s">
        <v>2142</v>
      </c>
      <c r="E61" s="165" t="s">
        <v>5718</v>
      </c>
      <c r="F61" s="163">
        <v>1</v>
      </c>
      <c r="G61" s="864"/>
      <c r="H61" s="864">
        <v>0</v>
      </c>
      <c r="I61" s="864">
        <v>0</v>
      </c>
      <c r="J61" s="864">
        <v>33665.813563919663</v>
      </c>
      <c r="K61" s="864">
        <v>34849.783777746532</v>
      </c>
      <c r="L61" s="18" t="s">
        <v>1734</v>
      </c>
      <c r="M61" s="442"/>
      <c r="N61" s="867"/>
      <c r="P61" s="867"/>
      <c r="T61" s="443"/>
      <c r="U61" s="440"/>
      <c r="V61" s="440"/>
      <c r="W61" s="440"/>
      <c r="X61" s="442"/>
    </row>
    <row r="62" spans="1:24" x14ac:dyDescent="0.25">
      <c r="A62" s="862">
        <v>780</v>
      </c>
      <c r="B62" s="863" t="s">
        <v>5719</v>
      </c>
      <c r="C62" s="862">
        <v>780</v>
      </c>
      <c r="D62" s="165" t="s">
        <v>2142</v>
      </c>
      <c r="E62" s="165" t="s">
        <v>5720</v>
      </c>
      <c r="F62" s="163">
        <v>1</v>
      </c>
      <c r="G62" s="864"/>
      <c r="H62" s="864">
        <v>31837.662408964105</v>
      </c>
      <c r="I62" s="864">
        <v>32866.396797051631</v>
      </c>
      <c r="J62" s="864">
        <v>33949.344907122177</v>
      </c>
      <c r="K62" s="864">
        <v>35089.269925821151</v>
      </c>
      <c r="L62" s="18" t="s">
        <v>2890</v>
      </c>
      <c r="M62" s="442"/>
      <c r="N62" s="867"/>
      <c r="P62" s="867"/>
      <c r="T62" s="443"/>
      <c r="U62" s="440"/>
      <c r="V62" s="440"/>
      <c r="W62" s="440"/>
      <c r="X62" s="442"/>
    </row>
    <row r="63" spans="1:24" x14ac:dyDescent="0.25">
      <c r="A63" s="862">
        <v>781</v>
      </c>
      <c r="B63" s="863" t="s">
        <v>5721</v>
      </c>
      <c r="C63" s="862">
        <v>781</v>
      </c>
      <c r="D63" s="165" t="s">
        <v>2142</v>
      </c>
      <c r="E63" s="165" t="s">
        <v>5722</v>
      </c>
      <c r="F63" s="163">
        <v>1</v>
      </c>
      <c r="G63" s="864"/>
      <c r="H63" s="864">
        <v>33281.365190666162</v>
      </c>
      <c r="I63" s="864">
        <v>34360.389575700217</v>
      </c>
      <c r="J63" s="864">
        <v>35496.225078163989</v>
      </c>
      <c r="K63" s="864">
        <v>36691.855939634501</v>
      </c>
      <c r="L63" s="18" t="s">
        <v>2891</v>
      </c>
      <c r="M63" s="442"/>
      <c r="N63" s="867"/>
      <c r="P63" s="867"/>
      <c r="T63" s="443"/>
      <c r="U63" s="440"/>
      <c r="V63" s="440"/>
      <c r="W63" s="440"/>
      <c r="X63" s="442"/>
    </row>
    <row r="64" spans="1:24" x14ac:dyDescent="0.25">
      <c r="A64" s="862">
        <v>782</v>
      </c>
      <c r="B64" s="863" t="s">
        <v>5723</v>
      </c>
      <c r="C64" s="862">
        <v>782</v>
      </c>
      <c r="D64" s="165" t="s">
        <v>2142</v>
      </c>
      <c r="E64" s="165" t="s">
        <v>5724</v>
      </c>
      <c r="F64" s="163">
        <v>1</v>
      </c>
      <c r="G64" s="864"/>
      <c r="H64" s="864">
        <v>0</v>
      </c>
      <c r="I64" s="864">
        <v>34771.026107614518</v>
      </c>
      <c r="J64" s="864">
        <v>36048.226238857649</v>
      </c>
      <c r="K64" s="864">
        <v>37392.68233305015</v>
      </c>
      <c r="L64" s="18" t="s">
        <v>5028</v>
      </c>
      <c r="M64" s="442"/>
      <c r="N64" s="861"/>
      <c r="P64" s="867"/>
      <c r="T64" s="443"/>
      <c r="U64" s="440"/>
      <c r="V64" s="440"/>
      <c r="W64" s="440"/>
      <c r="X64" s="442"/>
    </row>
    <row r="65" spans="1:24" x14ac:dyDescent="0.25">
      <c r="A65" s="862">
        <v>783</v>
      </c>
      <c r="B65" s="863" t="s">
        <v>5725</v>
      </c>
      <c r="C65" s="862">
        <v>783</v>
      </c>
      <c r="D65" s="165" t="s">
        <v>2142</v>
      </c>
      <c r="E65" s="165" t="s">
        <v>5726</v>
      </c>
      <c r="F65" s="163">
        <v>1</v>
      </c>
      <c r="G65" s="864"/>
      <c r="H65" s="864">
        <v>38439.208428747181</v>
      </c>
      <c r="I65" s="864">
        <v>39762.774831900351</v>
      </c>
      <c r="J65" s="864">
        <v>41156.028802250854</v>
      </c>
      <c r="K65" s="864">
        <v>42622.617746170639</v>
      </c>
      <c r="L65" s="18" t="s">
        <v>1735</v>
      </c>
      <c r="M65" s="442"/>
      <c r="N65" s="861"/>
      <c r="P65" s="867"/>
      <c r="T65" s="443"/>
      <c r="U65" s="440"/>
      <c r="V65" s="440"/>
      <c r="W65" s="440"/>
      <c r="X65" s="442"/>
    </row>
    <row r="66" spans="1:24" x14ac:dyDescent="0.25">
      <c r="A66" s="862">
        <v>784</v>
      </c>
      <c r="B66" s="863" t="s">
        <v>5727</v>
      </c>
      <c r="C66" s="862">
        <v>784</v>
      </c>
      <c r="D66" s="165" t="s">
        <v>2142</v>
      </c>
      <c r="E66" s="165" t="s">
        <v>5728</v>
      </c>
      <c r="F66" s="163">
        <v>1</v>
      </c>
      <c r="G66" s="864"/>
      <c r="H66" s="864">
        <v>29195.026117337351</v>
      </c>
      <c r="I66" s="864">
        <v>30109.647636253692</v>
      </c>
      <c r="J66" s="864">
        <v>31072.398102399788</v>
      </c>
      <c r="K66" s="864">
        <v>32085.816034731441</v>
      </c>
      <c r="L66" s="18" t="s">
        <v>1736</v>
      </c>
      <c r="M66" s="442"/>
      <c r="N66" s="861"/>
      <c r="P66" s="867"/>
      <c r="T66" s="443"/>
      <c r="U66" s="440"/>
      <c r="V66" s="440"/>
      <c r="W66" s="440"/>
      <c r="X66" s="442"/>
    </row>
    <row r="67" spans="1:24" x14ac:dyDescent="0.25">
      <c r="A67" s="862">
        <v>785</v>
      </c>
      <c r="B67" s="863" t="s">
        <v>5729</v>
      </c>
      <c r="C67" s="862">
        <v>785</v>
      </c>
      <c r="D67" s="165" t="s">
        <v>2142</v>
      </c>
      <c r="E67" s="165" t="s">
        <v>5730</v>
      </c>
      <c r="F67" s="163">
        <v>1</v>
      </c>
      <c r="G67" s="864"/>
      <c r="H67" s="864">
        <v>0</v>
      </c>
      <c r="I67" s="864">
        <v>0</v>
      </c>
      <c r="J67" s="864">
        <v>40875.252875165599</v>
      </c>
      <c r="K67" s="864">
        <v>42218.658958432839</v>
      </c>
      <c r="L67" s="18" t="s">
        <v>4485</v>
      </c>
      <c r="M67" s="442"/>
      <c r="N67" s="861"/>
      <c r="P67" s="867"/>
      <c r="T67" s="527"/>
      <c r="U67" s="440"/>
      <c r="V67" s="440"/>
      <c r="W67" s="440"/>
      <c r="X67" s="442"/>
    </row>
    <row r="68" spans="1:24" x14ac:dyDescent="0.25">
      <c r="A68" s="862">
        <v>786</v>
      </c>
      <c r="B68" s="863" t="s">
        <v>5731</v>
      </c>
      <c r="C68" s="862">
        <v>786</v>
      </c>
      <c r="D68" s="165" t="s">
        <v>2142</v>
      </c>
      <c r="E68" s="165" t="s">
        <v>5732</v>
      </c>
      <c r="F68" s="163">
        <v>1</v>
      </c>
      <c r="G68" s="864"/>
      <c r="H68" s="864">
        <v>0</v>
      </c>
      <c r="I68" s="864">
        <v>0</v>
      </c>
      <c r="J68" s="864">
        <v>30852.636031865302</v>
      </c>
      <c r="K68" s="864">
        <v>31847.106905549703</v>
      </c>
      <c r="L68" s="18" t="s">
        <v>10798</v>
      </c>
      <c r="M68" s="442"/>
      <c r="N68" s="861"/>
      <c r="P68" s="867"/>
      <c r="T68" s="527"/>
      <c r="U68" s="440"/>
      <c r="V68" s="440"/>
      <c r="W68" s="440"/>
      <c r="X68" s="442"/>
    </row>
    <row r="69" spans="1:24" x14ac:dyDescent="0.25">
      <c r="A69" s="862">
        <v>787</v>
      </c>
      <c r="B69" s="863" t="s">
        <v>5733</v>
      </c>
      <c r="C69" s="862">
        <v>787</v>
      </c>
      <c r="D69" s="165" t="s">
        <v>2142</v>
      </c>
      <c r="E69" s="165" t="s">
        <v>5734</v>
      </c>
      <c r="F69" s="163">
        <v>1</v>
      </c>
      <c r="G69" s="864"/>
      <c r="H69" s="864">
        <v>0</v>
      </c>
      <c r="I69" s="864">
        <v>0</v>
      </c>
      <c r="J69" s="864">
        <v>33830.273019125809</v>
      </c>
      <c r="K69" s="864">
        <v>34928.418655746122</v>
      </c>
      <c r="L69" s="18" t="s">
        <v>10799</v>
      </c>
      <c r="M69" s="442"/>
      <c r="N69" s="861"/>
      <c r="P69" s="867"/>
      <c r="T69" s="527"/>
      <c r="U69" s="440"/>
      <c r="V69" s="440"/>
      <c r="W69" s="440"/>
      <c r="X69" s="442"/>
    </row>
    <row r="70" spans="1:24" x14ac:dyDescent="0.25">
      <c r="A70" s="862">
        <v>788</v>
      </c>
      <c r="B70" s="863" t="s">
        <v>5735</v>
      </c>
      <c r="C70" s="862">
        <v>788</v>
      </c>
      <c r="D70" s="165" t="s">
        <v>2142</v>
      </c>
      <c r="E70" s="165" t="s">
        <v>5736</v>
      </c>
      <c r="F70" s="163">
        <v>1</v>
      </c>
      <c r="G70" s="864"/>
      <c r="H70" s="864">
        <v>0</v>
      </c>
      <c r="I70" s="864">
        <v>0</v>
      </c>
      <c r="J70" s="864">
        <v>38409.517779837035</v>
      </c>
      <c r="K70" s="864">
        <v>39667.099285897733</v>
      </c>
      <c r="L70" s="18" t="s">
        <v>4486</v>
      </c>
      <c r="M70" s="442"/>
      <c r="N70" s="861"/>
      <c r="P70" s="867"/>
      <c r="T70" s="527"/>
      <c r="U70" s="440"/>
      <c r="V70" s="440"/>
      <c r="W70" s="440"/>
      <c r="X70" s="442"/>
    </row>
    <row r="71" spans="1:24" x14ac:dyDescent="0.25">
      <c r="A71" s="862">
        <v>789</v>
      </c>
      <c r="B71" s="863" t="s">
        <v>5737</v>
      </c>
      <c r="C71" s="862">
        <v>789</v>
      </c>
      <c r="D71" s="165" t="s">
        <v>2142</v>
      </c>
      <c r="E71" s="165" t="s">
        <v>5738</v>
      </c>
      <c r="F71" s="163">
        <v>1</v>
      </c>
      <c r="G71" s="864"/>
      <c r="H71" s="864">
        <v>0</v>
      </c>
      <c r="I71" s="864">
        <v>0</v>
      </c>
      <c r="J71" s="864">
        <v>35950.711479750709</v>
      </c>
      <c r="K71" s="864">
        <v>37122.689463536481</v>
      </c>
      <c r="L71" s="18" t="s">
        <v>4487</v>
      </c>
      <c r="M71" s="442"/>
      <c r="N71" s="861"/>
      <c r="P71" s="867"/>
      <c r="T71" s="527"/>
      <c r="U71" s="440"/>
      <c r="V71" s="440"/>
      <c r="W71" s="440"/>
      <c r="X71" s="442"/>
    </row>
    <row r="72" spans="1:24" x14ac:dyDescent="0.25">
      <c r="A72" s="862">
        <v>790</v>
      </c>
      <c r="B72" s="863" t="s">
        <v>5739</v>
      </c>
      <c r="C72" s="862">
        <v>790</v>
      </c>
      <c r="D72" s="165" t="s">
        <v>2142</v>
      </c>
      <c r="E72" s="165" t="s">
        <v>5740</v>
      </c>
      <c r="F72" s="163">
        <v>1</v>
      </c>
      <c r="G72" s="864"/>
      <c r="H72" s="864">
        <v>0</v>
      </c>
      <c r="I72" s="864">
        <v>35522.112216432906</v>
      </c>
      <c r="J72" s="864">
        <v>35522.112216432906</v>
      </c>
      <c r="K72" s="864">
        <v>36679.168992333449</v>
      </c>
      <c r="L72" s="18" t="s">
        <v>4488</v>
      </c>
      <c r="M72" s="442"/>
      <c r="N72" s="861"/>
      <c r="P72" s="867"/>
      <c r="T72" s="527"/>
      <c r="U72" s="440"/>
      <c r="V72" s="440"/>
      <c r="W72" s="440"/>
      <c r="X72" s="442"/>
    </row>
    <row r="73" spans="1:24" x14ac:dyDescent="0.25">
      <c r="A73" s="862">
        <v>791</v>
      </c>
      <c r="B73" s="863" t="s">
        <v>5741</v>
      </c>
      <c r="C73" s="862">
        <v>791</v>
      </c>
      <c r="D73" s="165" t="s">
        <v>2142</v>
      </c>
      <c r="E73" s="165" t="s">
        <v>5742</v>
      </c>
      <c r="F73" s="163">
        <v>1</v>
      </c>
      <c r="G73" s="864"/>
      <c r="H73" s="864">
        <v>25656.809874802155</v>
      </c>
      <c r="I73" s="864">
        <v>26470.402550677765</v>
      </c>
      <c r="J73" s="864">
        <v>27326.82461955729</v>
      </c>
      <c r="K73" s="864">
        <v>28228.341894489979</v>
      </c>
      <c r="L73" s="18" t="s">
        <v>2892</v>
      </c>
      <c r="M73" s="442"/>
      <c r="N73" s="861"/>
      <c r="P73" s="867"/>
      <c r="T73" s="527"/>
      <c r="U73" s="440"/>
      <c r="V73" s="440"/>
      <c r="W73" s="440"/>
      <c r="X73" s="442"/>
    </row>
    <row r="74" spans="1:24" x14ac:dyDescent="0.25">
      <c r="A74" s="862">
        <v>792</v>
      </c>
      <c r="B74" s="863" t="s">
        <v>5743</v>
      </c>
      <c r="C74" s="862">
        <v>792</v>
      </c>
      <c r="D74" s="165" t="s">
        <v>2142</v>
      </c>
      <c r="E74" s="165" t="s">
        <v>5744</v>
      </c>
      <c r="F74" s="163">
        <v>1</v>
      </c>
      <c r="G74" s="864"/>
      <c r="H74" s="864">
        <v>27423.841925322908</v>
      </c>
      <c r="I74" s="864">
        <v>28298.943135925427</v>
      </c>
      <c r="J74" s="864">
        <v>29220.134299773454</v>
      </c>
      <c r="K74" s="864">
        <v>30189.791757382027</v>
      </c>
      <c r="L74" s="18" t="s">
        <v>2893</v>
      </c>
      <c r="M74" s="442"/>
      <c r="N74" s="861"/>
      <c r="P74" s="867"/>
      <c r="T74" s="527"/>
      <c r="U74" s="440"/>
      <c r="V74" s="440"/>
      <c r="W74" s="440"/>
      <c r="X74" s="442"/>
    </row>
    <row r="75" spans="1:24" x14ac:dyDescent="0.25">
      <c r="A75" s="862">
        <v>793</v>
      </c>
      <c r="B75" s="863" t="s">
        <v>5745</v>
      </c>
      <c r="C75" s="862">
        <v>793</v>
      </c>
      <c r="D75" s="165" t="s">
        <v>2142</v>
      </c>
      <c r="E75" s="165" t="s">
        <v>5746</v>
      </c>
      <c r="F75" s="163">
        <v>1</v>
      </c>
      <c r="G75" s="864"/>
      <c r="H75" s="864">
        <v>27100.512656504212</v>
      </c>
      <c r="I75" s="864">
        <v>27964.340065593442</v>
      </c>
      <c r="J75" s="864">
        <v>28873.649526866186</v>
      </c>
      <c r="K75" s="864">
        <v>29996.608579562329</v>
      </c>
      <c r="L75" s="18" t="s">
        <v>2894</v>
      </c>
      <c r="M75" s="442"/>
      <c r="N75" s="861"/>
      <c r="P75" s="867"/>
      <c r="T75" s="527"/>
      <c r="U75" s="440"/>
      <c r="V75" s="440"/>
      <c r="W75" s="440"/>
      <c r="X75" s="442"/>
    </row>
    <row r="76" spans="1:24" x14ac:dyDescent="0.25">
      <c r="A76" s="862">
        <v>794</v>
      </c>
      <c r="B76" s="863" t="s">
        <v>5747</v>
      </c>
      <c r="C76" s="862">
        <v>794</v>
      </c>
      <c r="D76" s="165" t="s">
        <v>2142</v>
      </c>
      <c r="E76" s="165" t="s">
        <v>5748</v>
      </c>
      <c r="F76" s="163">
        <v>1</v>
      </c>
      <c r="G76" s="864"/>
      <c r="H76" s="864">
        <v>28867.544707024961</v>
      </c>
      <c r="I76" s="864">
        <v>29792.880650841107</v>
      </c>
      <c r="J76" s="864">
        <v>30766.959207082356</v>
      </c>
      <c r="K76" s="864">
        <v>31792.322507462472</v>
      </c>
      <c r="L76" s="18" t="s">
        <v>2895</v>
      </c>
      <c r="M76" s="442"/>
      <c r="N76" s="861"/>
      <c r="P76" s="867"/>
      <c r="T76" s="527"/>
      <c r="U76" s="440"/>
      <c r="V76" s="440"/>
      <c r="W76" s="440"/>
      <c r="X76" s="442"/>
    </row>
    <row r="77" spans="1:24" x14ac:dyDescent="0.25">
      <c r="A77" s="862">
        <v>795</v>
      </c>
      <c r="B77" s="863" t="s">
        <v>5749</v>
      </c>
      <c r="C77" s="862">
        <v>795</v>
      </c>
      <c r="D77" s="165" t="s">
        <v>2142</v>
      </c>
      <c r="E77" s="165" t="s">
        <v>5750</v>
      </c>
      <c r="F77" s="163">
        <v>1</v>
      </c>
      <c r="G77" s="864"/>
      <c r="H77" s="864">
        <v>29311.182540985497</v>
      </c>
      <c r="I77" s="864">
        <v>30251.99233001595</v>
      </c>
      <c r="J77" s="864">
        <v>31242.318423732228</v>
      </c>
      <c r="K77" s="864">
        <v>32284.758217581013</v>
      </c>
      <c r="L77" s="18" t="s">
        <v>2896</v>
      </c>
      <c r="M77" s="442"/>
      <c r="N77" s="861"/>
      <c r="P77" s="867"/>
      <c r="T77" s="527"/>
      <c r="U77" s="440"/>
      <c r="V77" s="440"/>
      <c r="W77" s="440"/>
      <c r="X77" s="442"/>
    </row>
    <row r="78" spans="1:24" x14ac:dyDescent="0.25">
      <c r="A78" s="862">
        <v>796</v>
      </c>
      <c r="B78" s="863" t="s">
        <v>5751</v>
      </c>
      <c r="C78" s="862">
        <v>796</v>
      </c>
      <c r="D78" s="165" t="s">
        <v>2142</v>
      </c>
      <c r="E78" s="165" t="s">
        <v>5752</v>
      </c>
      <c r="F78" s="163">
        <v>1</v>
      </c>
      <c r="G78" s="864"/>
      <c r="H78" s="864">
        <v>31078.214591506254</v>
      </c>
      <c r="I78" s="864">
        <v>32080.532915263622</v>
      </c>
      <c r="J78" s="864">
        <v>33135.628103948387</v>
      </c>
      <c r="K78" s="864">
        <v>34246.263344205981</v>
      </c>
      <c r="L78" s="18" t="s">
        <v>2897</v>
      </c>
      <c r="M78" s="442"/>
      <c r="N78" s="861"/>
      <c r="P78" s="867"/>
      <c r="T78" s="527"/>
      <c r="U78" s="440"/>
      <c r="V78" s="440"/>
      <c r="W78" s="440"/>
      <c r="X78" s="442"/>
    </row>
    <row r="79" spans="1:24" x14ac:dyDescent="0.25">
      <c r="A79" s="862">
        <v>797</v>
      </c>
      <c r="B79" s="863" t="s">
        <v>5753</v>
      </c>
      <c r="C79" s="862">
        <v>797</v>
      </c>
      <c r="D79" s="165" t="s">
        <v>2142</v>
      </c>
      <c r="E79" s="165" t="s">
        <v>5754</v>
      </c>
      <c r="F79" s="163">
        <v>1</v>
      </c>
      <c r="G79" s="864"/>
      <c r="H79" s="864">
        <v>32559.513799815137</v>
      </c>
      <c r="I79" s="864">
        <v>33613.393186375921</v>
      </c>
      <c r="J79" s="864">
        <v>34722.757360776632</v>
      </c>
      <c r="K79" s="864">
        <v>35890.535300861375</v>
      </c>
      <c r="L79" s="18" t="s">
        <v>2898</v>
      </c>
      <c r="M79" s="442"/>
      <c r="N79" s="861"/>
      <c r="P79" s="867"/>
      <c r="T79" s="527"/>
      <c r="U79" s="440"/>
      <c r="V79" s="440"/>
      <c r="W79" s="440"/>
      <c r="X79" s="442"/>
    </row>
    <row r="80" spans="1:24" x14ac:dyDescent="0.25">
      <c r="A80" s="862">
        <v>798</v>
      </c>
      <c r="B80" s="863" t="s">
        <v>5755</v>
      </c>
      <c r="C80" s="862">
        <v>798</v>
      </c>
      <c r="D80" s="165" t="s">
        <v>2142</v>
      </c>
      <c r="E80" s="165" t="s">
        <v>5756</v>
      </c>
      <c r="F80" s="163">
        <v>1</v>
      </c>
      <c r="G80" s="864"/>
      <c r="H80" s="864">
        <v>34003.216581517197</v>
      </c>
      <c r="I80" s="864">
        <v>35107.385965024521</v>
      </c>
      <c r="J80" s="864">
        <v>36269.692795551346</v>
      </c>
      <c r="K80" s="864">
        <v>37493.17657840762</v>
      </c>
      <c r="L80" s="18" t="s">
        <v>2899</v>
      </c>
      <c r="M80" s="442"/>
      <c r="N80" s="861"/>
      <c r="P80" s="867"/>
      <c r="T80" s="527"/>
      <c r="U80" s="440"/>
      <c r="V80" s="440"/>
      <c r="W80" s="440"/>
      <c r="X80" s="442"/>
    </row>
    <row r="81" spans="1:24" x14ac:dyDescent="0.25">
      <c r="A81" s="862">
        <v>799</v>
      </c>
      <c r="B81" s="863" t="s">
        <v>5757</v>
      </c>
      <c r="C81" s="862">
        <v>799</v>
      </c>
      <c r="D81" s="165" t="s">
        <v>2142</v>
      </c>
      <c r="E81" s="165" t="s">
        <v>5758</v>
      </c>
      <c r="F81" s="163">
        <v>1</v>
      </c>
      <c r="G81" s="864"/>
      <c r="H81" s="864">
        <v>0</v>
      </c>
      <c r="I81" s="864">
        <v>25995.129991086615</v>
      </c>
      <c r="J81" s="864">
        <v>26576.2509520891</v>
      </c>
      <c r="K81" s="864">
        <v>27187.949464715268</v>
      </c>
      <c r="L81" s="18" t="s">
        <v>3760</v>
      </c>
      <c r="M81" s="442"/>
      <c r="N81" s="861"/>
      <c r="P81" s="867"/>
      <c r="T81" s="527"/>
      <c r="U81" s="440"/>
      <c r="V81" s="440"/>
      <c r="W81" s="440"/>
      <c r="X81" s="442"/>
    </row>
    <row r="82" spans="1:24" x14ac:dyDescent="0.25">
      <c r="A82" s="862">
        <v>800</v>
      </c>
      <c r="B82" s="863" t="s">
        <v>5759</v>
      </c>
      <c r="C82" s="862">
        <v>800</v>
      </c>
      <c r="D82" s="165" t="s">
        <v>2142</v>
      </c>
      <c r="E82" s="165" t="s">
        <v>5760</v>
      </c>
      <c r="F82" s="163">
        <v>1</v>
      </c>
      <c r="G82" s="864"/>
      <c r="H82" s="864">
        <v>27405.289036621143</v>
      </c>
      <c r="I82" s="864">
        <v>0</v>
      </c>
      <c r="J82" s="864">
        <v>0</v>
      </c>
      <c r="K82" s="864">
        <v>0</v>
      </c>
      <c r="L82" s="18" t="s">
        <v>1737</v>
      </c>
      <c r="M82" s="442"/>
      <c r="N82" s="861"/>
      <c r="P82" s="867"/>
      <c r="T82" s="527"/>
      <c r="U82" s="440"/>
      <c r="V82" s="440"/>
      <c r="W82" s="440"/>
      <c r="X82" s="442"/>
    </row>
    <row r="83" spans="1:24" x14ac:dyDescent="0.25">
      <c r="A83" s="862">
        <v>801</v>
      </c>
      <c r="B83" s="863" t="s">
        <v>5761</v>
      </c>
      <c r="C83" s="862">
        <v>801</v>
      </c>
      <c r="D83" s="165" t="s">
        <v>2142</v>
      </c>
      <c r="E83" s="165" t="s">
        <v>5762</v>
      </c>
      <c r="F83" s="163">
        <v>1</v>
      </c>
      <c r="G83" s="864"/>
      <c r="H83" s="864">
        <v>35102.341782040785</v>
      </c>
      <c r="I83" s="864">
        <v>35929.951237964728</v>
      </c>
      <c r="J83" s="864">
        <v>36801.116498934622</v>
      </c>
      <c r="K83" s="864">
        <v>37718.123507314609</v>
      </c>
      <c r="L83" s="18" t="s">
        <v>1738</v>
      </c>
      <c r="M83" s="442"/>
      <c r="N83" s="861"/>
      <c r="P83" s="867"/>
      <c r="T83" s="527"/>
      <c r="U83" s="440"/>
      <c r="V83" s="440"/>
      <c r="W83" s="440"/>
      <c r="X83" s="442"/>
    </row>
    <row r="84" spans="1:24" x14ac:dyDescent="0.25">
      <c r="A84" s="862">
        <v>802</v>
      </c>
      <c r="B84" s="863" t="s">
        <v>5763</v>
      </c>
      <c r="C84" s="862">
        <v>802</v>
      </c>
      <c r="D84" s="165" t="s">
        <v>2142</v>
      </c>
      <c r="E84" s="165" t="s">
        <v>5764</v>
      </c>
      <c r="F84" s="163">
        <v>1</v>
      </c>
      <c r="G84" s="864"/>
      <c r="H84" s="864">
        <v>0</v>
      </c>
      <c r="I84" s="864">
        <v>38754.172946847488</v>
      </c>
      <c r="J84" s="864">
        <v>39648.025571280945</v>
      </c>
      <c r="K84" s="864">
        <v>40588.924364370112</v>
      </c>
      <c r="L84" s="18" t="s">
        <v>3761</v>
      </c>
      <c r="M84" s="442"/>
      <c r="N84" s="861"/>
      <c r="P84" s="867"/>
      <c r="T84" s="527"/>
      <c r="U84" s="440"/>
      <c r="V84" s="440"/>
      <c r="W84" s="440"/>
      <c r="X84" s="442"/>
    </row>
    <row r="85" spans="1:24" x14ac:dyDescent="0.25">
      <c r="A85" s="862">
        <v>803</v>
      </c>
      <c r="B85" s="863" t="s">
        <v>5765</v>
      </c>
      <c r="C85" s="862">
        <v>803</v>
      </c>
      <c r="D85" s="165" t="s">
        <v>2142</v>
      </c>
      <c r="E85" s="165" t="s">
        <v>5766</v>
      </c>
      <c r="F85" s="163">
        <v>1</v>
      </c>
      <c r="G85" s="864"/>
      <c r="H85" s="864">
        <v>0</v>
      </c>
      <c r="I85" s="864">
        <v>39160.315230063265</v>
      </c>
      <c r="J85" s="864">
        <v>40064.122764792206</v>
      </c>
      <c r="K85" s="864">
        <v>41015.492648710708</v>
      </c>
      <c r="L85" s="18" t="s">
        <v>3762</v>
      </c>
      <c r="M85" s="442"/>
      <c r="N85" s="861"/>
      <c r="P85" s="867"/>
      <c r="T85" s="527"/>
      <c r="U85" s="440"/>
      <c r="V85" s="440"/>
      <c r="W85" s="440"/>
      <c r="X85" s="442"/>
    </row>
    <row r="86" spans="1:24" x14ac:dyDescent="0.25">
      <c r="A86" s="862">
        <v>804</v>
      </c>
      <c r="B86" s="863" t="s">
        <v>5767</v>
      </c>
      <c r="C86" s="862">
        <v>804</v>
      </c>
      <c r="D86" s="165" t="s">
        <v>2142</v>
      </c>
      <c r="E86" s="165" t="s">
        <v>5768</v>
      </c>
      <c r="F86" s="163">
        <v>1</v>
      </c>
      <c r="G86" s="864"/>
      <c r="H86" s="864">
        <v>18247.550296058311</v>
      </c>
      <c r="I86" s="864">
        <v>18638.741400632985</v>
      </c>
      <c r="J86" s="864">
        <v>19050.530566510442</v>
      </c>
      <c r="K86" s="864">
        <v>19483.999314809185</v>
      </c>
      <c r="L86" s="18" t="s">
        <v>2900</v>
      </c>
      <c r="M86" s="442"/>
      <c r="N86" s="828"/>
      <c r="P86" s="867"/>
      <c r="T86" s="527"/>
      <c r="U86" s="440"/>
      <c r="V86" s="440"/>
      <c r="W86" s="440"/>
      <c r="X86" s="442"/>
    </row>
    <row r="87" spans="1:24" x14ac:dyDescent="0.25">
      <c r="A87" s="862">
        <v>805</v>
      </c>
      <c r="B87" s="863" t="s">
        <v>5769</v>
      </c>
      <c r="C87" s="862">
        <v>805</v>
      </c>
      <c r="D87" s="165" t="s">
        <v>2142</v>
      </c>
      <c r="E87" s="165" t="s">
        <v>5770</v>
      </c>
      <c r="F87" s="163">
        <v>1</v>
      </c>
      <c r="G87" s="864"/>
      <c r="H87" s="864">
        <v>26746.170233863442</v>
      </c>
      <c r="I87" s="864">
        <v>27396.041525968372</v>
      </c>
      <c r="J87" s="864">
        <v>28080.103633433861</v>
      </c>
      <c r="K87" s="864">
        <v>28800.175478141078</v>
      </c>
      <c r="L87" s="18" t="s">
        <v>1739</v>
      </c>
      <c r="M87" s="442"/>
      <c r="N87" s="828"/>
      <c r="P87" s="867"/>
      <c r="T87" s="527"/>
      <c r="U87" s="440"/>
      <c r="V87" s="440"/>
      <c r="W87" s="440"/>
      <c r="X87" s="442"/>
    </row>
    <row r="88" spans="1:24" x14ac:dyDescent="0.25">
      <c r="A88" s="862">
        <v>806</v>
      </c>
      <c r="B88" s="863" t="s">
        <v>5771</v>
      </c>
      <c r="C88" s="862">
        <v>806</v>
      </c>
      <c r="D88" s="165" t="s">
        <v>2142</v>
      </c>
      <c r="E88" s="165" t="s">
        <v>5772</v>
      </c>
      <c r="F88" s="163">
        <v>1</v>
      </c>
      <c r="G88" s="864"/>
      <c r="H88" s="864">
        <v>33034.254655454315</v>
      </c>
      <c r="I88" s="864">
        <v>33808.574616265592</v>
      </c>
      <c r="J88" s="864">
        <v>34623.648259224843</v>
      </c>
      <c r="K88" s="864">
        <v>35481.638626569096</v>
      </c>
      <c r="L88" s="18" t="s">
        <v>1740</v>
      </c>
      <c r="M88" s="442"/>
      <c r="N88" s="828"/>
      <c r="P88" s="867"/>
      <c r="T88" s="527"/>
      <c r="U88" s="440"/>
      <c r="V88" s="440"/>
      <c r="W88" s="440"/>
      <c r="X88" s="442"/>
    </row>
    <row r="89" spans="1:24" x14ac:dyDescent="0.25">
      <c r="A89" s="862">
        <v>807</v>
      </c>
      <c r="B89" s="863" t="s">
        <v>5773</v>
      </c>
      <c r="C89" s="862">
        <v>807</v>
      </c>
      <c r="D89" s="165" t="s">
        <v>2142</v>
      </c>
      <c r="E89" s="165" t="s">
        <v>5774</v>
      </c>
      <c r="F89" s="163">
        <v>1</v>
      </c>
      <c r="G89" s="864"/>
      <c r="H89" s="864">
        <v>0</v>
      </c>
      <c r="I89" s="864">
        <v>0</v>
      </c>
      <c r="J89" s="864">
        <v>30783.333751104095</v>
      </c>
      <c r="K89" s="864">
        <v>31481.799753466279</v>
      </c>
      <c r="L89" s="18" t="s">
        <v>4489</v>
      </c>
      <c r="M89" s="442"/>
      <c r="N89" s="828"/>
      <c r="P89" s="867"/>
      <c r="T89" s="527"/>
      <c r="U89" s="440"/>
      <c r="V89" s="440"/>
      <c r="W89" s="440"/>
      <c r="X89" s="442"/>
    </row>
    <row r="90" spans="1:24" x14ac:dyDescent="0.25">
      <c r="A90" s="862">
        <v>808</v>
      </c>
      <c r="B90" s="863" t="s">
        <v>5775</v>
      </c>
      <c r="C90" s="862">
        <v>808</v>
      </c>
      <c r="D90" s="165" t="s">
        <v>2142</v>
      </c>
      <c r="E90" s="165" t="s">
        <v>5776</v>
      </c>
      <c r="F90" s="163">
        <v>1</v>
      </c>
      <c r="G90" s="864"/>
      <c r="H90" s="864">
        <v>0</v>
      </c>
      <c r="I90" s="864">
        <v>0</v>
      </c>
      <c r="J90" s="864">
        <v>0</v>
      </c>
      <c r="K90" s="864">
        <v>24755.327231796367</v>
      </c>
      <c r="L90" s="18" t="s">
        <v>10800</v>
      </c>
      <c r="M90" s="442"/>
      <c r="N90" s="828"/>
      <c r="P90" s="867"/>
      <c r="T90" s="527"/>
      <c r="U90" s="440"/>
      <c r="V90" s="440"/>
      <c r="W90" s="440"/>
      <c r="X90" s="442"/>
    </row>
    <row r="91" spans="1:24" x14ac:dyDescent="0.25">
      <c r="A91" s="862">
        <v>809</v>
      </c>
      <c r="B91" s="863" t="s">
        <v>5777</v>
      </c>
      <c r="C91" s="862">
        <v>809</v>
      </c>
      <c r="D91" s="165" t="s">
        <v>2142</v>
      </c>
      <c r="E91" s="165" t="s">
        <v>5778</v>
      </c>
      <c r="F91" s="163">
        <v>1</v>
      </c>
      <c r="G91" s="864"/>
      <c r="H91" s="864">
        <v>0</v>
      </c>
      <c r="I91" s="864">
        <v>0</v>
      </c>
      <c r="J91" s="864">
        <v>26407.447537088115</v>
      </c>
      <c r="K91" s="864">
        <v>26998.670888538622</v>
      </c>
      <c r="L91" s="18" t="s">
        <v>10801</v>
      </c>
      <c r="M91" s="442"/>
      <c r="N91" s="828"/>
      <c r="P91" s="867"/>
      <c r="T91" s="527"/>
      <c r="U91" s="440"/>
      <c r="V91" s="440"/>
      <c r="W91" s="440"/>
      <c r="X91" s="442"/>
    </row>
    <row r="92" spans="1:24" x14ac:dyDescent="0.25">
      <c r="A92" s="862">
        <v>810</v>
      </c>
      <c r="B92" s="863" t="s">
        <v>5779</v>
      </c>
      <c r="C92" s="862">
        <v>810</v>
      </c>
      <c r="D92" s="165" t="s">
        <v>2142</v>
      </c>
      <c r="E92" s="165" t="s">
        <v>5780</v>
      </c>
      <c r="F92" s="163">
        <v>1</v>
      </c>
      <c r="G92" s="864"/>
      <c r="H92" s="864">
        <v>0</v>
      </c>
      <c r="I92" s="864">
        <v>24829.97900296736</v>
      </c>
      <c r="J92" s="864">
        <v>25444.13551813563</v>
      </c>
      <c r="K92" s="864">
        <v>26090.614766732466</v>
      </c>
      <c r="L92" s="18" t="s">
        <v>1741</v>
      </c>
      <c r="M92" s="442"/>
      <c r="N92" s="828"/>
      <c r="P92" s="867"/>
      <c r="T92" s="527"/>
      <c r="U92" s="440"/>
      <c r="V92" s="440"/>
      <c r="W92" s="440"/>
      <c r="X92" s="442"/>
    </row>
    <row r="93" spans="1:24" x14ac:dyDescent="0.25">
      <c r="A93" s="862">
        <v>811</v>
      </c>
      <c r="B93" s="863" t="s">
        <v>5781</v>
      </c>
      <c r="C93" s="862">
        <v>811</v>
      </c>
      <c r="D93" s="165" t="s">
        <v>2142</v>
      </c>
      <c r="E93" s="165" t="s">
        <v>5782</v>
      </c>
      <c r="F93" s="163">
        <v>1</v>
      </c>
      <c r="G93" s="864"/>
      <c r="H93" s="864">
        <v>23585.622471106391</v>
      </c>
      <c r="I93" s="864">
        <v>24165.883131219143</v>
      </c>
      <c r="J93" s="864">
        <v>24776.672182904735</v>
      </c>
      <c r="K93" s="864">
        <v>25419.611907840954</v>
      </c>
      <c r="L93" s="18" t="s">
        <v>1742</v>
      </c>
      <c r="M93" s="442"/>
      <c r="N93" s="828"/>
      <c r="P93" s="867"/>
      <c r="T93" s="527"/>
      <c r="U93" s="440"/>
      <c r="V93" s="440"/>
      <c r="W93" s="440"/>
      <c r="X93" s="442"/>
    </row>
    <row r="94" spans="1:24" x14ac:dyDescent="0.25">
      <c r="A94" s="862">
        <v>812</v>
      </c>
      <c r="B94" s="863" t="s">
        <v>5783</v>
      </c>
      <c r="C94" s="862">
        <v>812</v>
      </c>
      <c r="D94" s="165" t="s">
        <v>2142</v>
      </c>
      <c r="E94" s="165" t="s">
        <v>5784</v>
      </c>
      <c r="F94" s="163">
        <v>1</v>
      </c>
      <c r="G94" s="864"/>
      <c r="H94" s="864">
        <v>0</v>
      </c>
      <c r="I94" s="864">
        <v>26575.147655106284</v>
      </c>
      <c r="J94" s="864">
        <v>27154.179313947985</v>
      </c>
      <c r="K94" s="864">
        <v>27763.69020431169</v>
      </c>
      <c r="L94" s="18" t="s">
        <v>4490</v>
      </c>
      <c r="M94" s="442"/>
      <c r="N94" s="828"/>
      <c r="P94" s="867"/>
      <c r="T94" s="527"/>
      <c r="U94" s="440"/>
      <c r="V94" s="440"/>
      <c r="W94" s="440"/>
      <c r="X94" s="442"/>
    </row>
    <row r="95" spans="1:24" x14ac:dyDescent="0.25">
      <c r="A95" s="862">
        <v>813</v>
      </c>
      <c r="B95" s="863" t="s">
        <v>5785</v>
      </c>
      <c r="C95" s="862">
        <v>813</v>
      </c>
      <c r="D95" s="165" t="s">
        <v>2142</v>
      </c>
      <c r="E95" s="165" t="s">
        <v>5786</v>
      </c>
      <c r="F95" s="163">
        <v>1</v>
      </c>
      <c r="G95" s="864"/>
      <c r="H95" s="864">
        <v>0</v>
      </c>
      <c r="I95" s="864">
        <v>25092.591583940455</v>
      </c>
      <c r="J95" s="864">
        <v>25651.590522064078</v>
      </c>
      <c r="K95" s="864">
        <v>26240.011750616588</v>
      </c>
      <c r="L95" s="18" t="s">
        <v>3763</v>
      </c>
      <c r="M95" s="442"/>
      <c r="N95" s="828"/>
      <c r="P95" s="867"/>
      <c r="T95" s="527"/>
      <c r="U95" s="440"/>
      <c r="V95" s="440"/>
      <c r="W95" s="440"/>
      <c r="X95" s="442"/>
    </row>
    <row r="96" spans="1:24" x14ac:dyDescent="0.25">
      <c r="A96" s="862">
        <v>814</v>
      </c>
      <c r="B96" s="863" t="s">
        <v>5787</v>
      </c>
      <c r="C96" s="862">
        <v>814</v>
      </c>
      <c r="D96" s="165" t="s">
        <v>2142</v>
      </c>
      <c r="E96" s="165" t="s">
        <v>5788</v>
      </c>
      <c r="F96" s="163">
        <v>1</v>
      </c>
      <c r="G96" s="864"/>
      <c r="H96" s="864">
        <v>0</v>
      </c>
      <c r="I96" s="864">
        <v>26161.38706608722</v>
      </c>
      <c r="J96" s="864">
        <v>26746.563731284165</v>
      </c>
      <c r="K96" s="864">
        <v>27362.539168333591</v>
      </c>
      <c r="L96" s="18" t="s">
        <v>3764</v>
      </c>
      <c r="M96" s="442"/>
      <c r="N96" s="828"/>
      <c r="P96" s="867"/>
      <c r="T96" s="527"/>
      <c r="U96" s="440"/>
      <c r="V96" s="440"/>
      <c r="W96" s="440"/>
      <c r="X96" s="442"/>
    </row>
    <row r="97" spans="1:24" x14ac:dyDescent="0.25">
      <c r="A97" s="862">
        <v>815</v>
      </c>
      <c r="B97" s="863" t="s">
        <v>5789</v>
      </c>
      <c r="C97" s="862">
        <v>815</v>
      </c>
      <c r="D97" s="165" t="s">
        <v>2142</v>
      </c>
      <c r="E97" s="165" t="s">
        <v>5790</v>
      </c>
      <c r="F97" s="163">
        <v>1</v>
      </c>
      <c r="G97" s="864"/>
      <c r="H97" s="864">
        <v>30591.659706116563</v>
      </c>
      <c r="I97" s="864">
        <v>31284.598313776387</v>
      </c>
      <c r="J97" s="864">
        <v>32014.017901069397</v>
      </c>
      <c r="K97" s="864">
        <v>32781.818519018161</v>
      </c>
      <c r="L97" s="18" t="s">
        <v>1743</v>
      </c>
      <c r="M97" s="442"/>
      <c r="N97" s="828"/>
      <c r="P97" s="867"/>
      <c r="T97" s="527"/>
      <c r="U97" s="440"/>
      <c r="V97" s="440"/>
      <c r="W97" s="440"/>
      <c r="X97" s="442"/>
    </row>
    <row r="98" spans="1:24" x14ac:dyDescent="0.25">
      <c r="A98" s="862">
        <v>816</v>
      </c>
      <c r="B98" s="863" t="s">
        <v>5791</v>
      </c>
      <c r="C98" s="862">
        <v>816</v>
      </c>
      <c r="D98" s="165" t="s">
        <v>2142</v>
      </c>
      <c r="E98" s="165" t="s">
        <v>5792</v>
      </c>
      <c r="F98" s="163">
        <v>1</v>
      </c>
      <c r="G98" s="864"/>
      <c r="H98" s="864">
        <v>32445.101710377639</v>
      </c>
      <c r="I98" s="864">
        <v>33183.441537208157</v>
      </c>
      <c r="J98" s="864">
        <v>33960.622407047253</v>
      </c>
      <c r="K98" s="864">
        <v>34778.704375214125</v>
      </c>
      <c r="L98" s="18" t="s">
        <v>1744</v>
      </c>
      <c r="M98" s="442"/>
      <c r="N98" s="828"/>
      <c r="P98" s="867"/>
      <c r="T98" s="527"/>
      <c r="U98" s="440"/>
      <c r="V98" s="440"/>
      <c r="W98" s="440"/>
      <c r="X98" s="442"/>
    </row>
    <row r="99" spans="1:24" x14ac:dyDescent="0.25">
      <c r="A99" s="862">
        <v>817</v>
      </c>
      <c r="B99" s="863" t="s">
        <v>5793</v>
      </c>
      <c r="C99" s="862">
        <v>817</v>
      </c>
      <c r="D99" s="165" t="s">
        <v>2142</v>
      </c>
      <c r="E99" s="165" t="s">
        <v>5794</v>
      </c>
      <c r="F99" s="163">
        <v>1</v>
      </c>
      <c r="G99" s="864"/>
      <c r="H99" s="864">
        <v>0</v>
      </c>
      <c r="I99" s="864">
        <v>36579.899137844557</v>
      </c>
      <c r="J99" s="864">
        <v>37396.461065193384</v>
      </c>
      <c r="K99" s="864">
        <v>38256.004146726278</v>
      </c>
      <c r="L99" s="18" t="s">
        <v>3765</v>
      </c>
      <c r="M99" s="442"/>
      <c r="N99" s="828"/>
      <c r="P99" s="867"/>
      <c r="T99" s="527"/>
      <c r="U99" s="440"/>
      <c r="V99" s="440"/>
      <c r="W99" s="440"/>
      <c r="X99" s="442"/>
    </row>
    <row r="100" spans="1:24" x14ac:dyDescent="0.25">
      <c r="A100" s="862">
        <v>818</v>
      </c>
      <c r="B100" s="863" t="s">
        <v>5795</v>
      </c>
      <c r="C100" s="862">
        <v>818</v>
      </c>
      <c r="D100" s="165" t="s">
        <v>2142</v>
      </c>
      <c r="E100" s="165" t="s">
        <v>5796</v>
      </c>
      <c r="F100" s="163">
        <v>1</v>
      </c>
      <c r="G100" s="864"/>
      <c r="H100" s="864">
        <v>34828.104287438189</v>
      </c>
      <c r="I100" s="864">
        <v>35624.765680392818</v>
      </c>
      <c r="J100" s="864">
        <v>36463.348199066284</v>
      </c>
      <c r="K100" s="864">
        <v>37346.071903074444</v>
      </c>
      <c r="L100" s="18" t="s">
        <v>1745</v>
      </c>
      <c r="M100" s="442"/>
      <c r="N100" s="828"/>
      <c r="P100" s="867"/>
      <c r="T100" s="527"/>
      <c r="U100" s="440"/>
      <c r="V100" s="440"/>
      <c r="W100" s="440"/>
      <c r="X100" s="442"/>
    </row>
    <row r="101" spans="1:24" x14ac:dyDescent="0.25">
      <c r="A101" s="862">
        <v>819</v>
      </c>
      <c r="B101" s="863" t="s">
        <v>5797</v>
      </c>
      <c r="C101" s="862">
        <v>819</v>
      </c>
      <c r="D101" s="165" t="s">
        <v>2142</v>
      </c>
      <c r="E101" s="165" t="s">
        <v>5798</v>
      </c>
      <c r="F101" s="163">
        <v>1</v>
      </c>
      <c r="G101" s="864"/>
      <c r="H101" s="864">
        <v>0</v>
      </c>
      <c r="I101" s="864">
        <v>29563.336317123729</v>
      </c>
      <c r="J101" s="864">
        <v>30212.813757709577</v>
      </c>
      <c r="K101" s="864">
        <v>30896.492116701542</v>
      </c>
      <c r="L101" s="18" t="s">
        <v>3766</v>
      </c>
      <c r="M101" s="442"/>
      <c r="N101" s="828"/>
      <c r="P101" s="867"/>
      <c r="T101" s="527"/>
      <c r="U101" s="440"/>
      <c r="V101" s="440"/>
      <c r="W101" s="440"/>
      <c r="X101" s="442"/>
    </row>
    <row r="102" spans="1:24" x14ac:dyDescent="0.25">
      <c r="A102" s="862">
        <v>820</v>
      </c>
      <c r="B102" s="863" t="s">
        <v>5799</v>
      </c>
      <c r="C102" s="862">
        <v>820</v>
      </c>
      <c r="D102" s="165" t="s">
        <v>2142</v>
      </c>
      <c r="E102" s="165" t="s">
        <v>5800</v>
      </c>
      <c r="F102" s="163">
        <v>1</v>
      </c>
      <c r="G102" s="864"/>
      <c r="H102" s="864">
        <v>35429.791916455586</v>
      </c>
      <c r="I102" s="864">
        <v>36264.674335769341</v>
      </c>
      <c r="J102" s="864">
        <v>37143.497935046958</v>
      </c>
      <c r="K102" s="864">
        <v>38068.58277658969</v>
      </c>
      <c r="L102" s="18" t="s">
        <v>1746</v>
      </c>
      <c r="M102" s="442"/>
      <c r="N102" s="828"/>
      <c r="P102" s="867"/>
      <c r="T102" s="527"/>
      <c r="U102" s="440"/>
      <c r="V102" s="440"/>
      <c r="W102" s="440"/>
      <c r="X102" s="442"/>
    </row>
    <row r="103" spans="1:24" x14ac:dyDescent="0.25">
      <c r="A103" s="862">
        <v>821</v>
      </c>
      <c r="B103" s="863" t="s">
        <v>5801</v>
      </c>
      <c r="C103" s="862">
        <v>821</v>
      </c>
      <c r="D103" s="165" t="s">
        <v>2142</v>
      </c>
      <c r="E103" s="165" t="s">
        <v>5802</v>
      </c>
      <c r="F103" s="163">
        <v>1</v>
      </c>
      <c r="G103" s="864"/>
      <c r="H103" s="864">
        <v>25760.214184856432</v>
      </c>
      <c r="I103" s="864">
        <v>26335.729639321919</v>
      </c>
      <c r="J103" s="864">
        <v>26941.525906925926</v>
      </c>
      <c r="K103" s="864">
        <v>27579.223031171889</v>
      </c>
      <c r="L103" s="18" t="s">
        <v>2901</v>
      </c>
      <c r="M103" s="442"/>
      <c r="N103" s="828"/>
      <c r="P103" s="867"/>
      <c r="T103" s="527"/>
      <c r="U103" s="440"/>
      <c r="V103" s="440"/>
      <c r="W103" s="440"/>
      <c r="X103" s="442"/>
    </row>
    <row r="104" spans="1:24" x14ac:dyDescent="0.25">
      <c r="A104" s="862">
        <v>822</v>
      </c>
      <c r="B104" s="863" t="s">
        <v>5803</v>
      </c>
      <c r="C104" s="862">
        <v>822</v>
      </c>
      <c r="D104" s="165" t="s">
        <v>2142</v>
      </c>
      <c r="E104" s="165" t="s">
        <v>5804</v>
      </c>
      <c r="F104" s="163">
        <v>1</v>
      </c>
      <c r="G104" s="864"/>
      <c r="H104" s="864">
        <v>26063.952809647813</v>
      </c>
      <c r="I104" s="864">
        <v>0</v>
      </c>
      <c r="J104" s="864">
        <v>0</v>
      </c>
      <c r="K104" s="864">
        <v>0</v>
      </c>
      <c r="L104" s="18" t="s">
        <v>1747</v>
      </c>
      <c r="M104" s="442"/>
      <c r="N104" s="828"/>
      <c r="P104" s="867"/>
      <c r="T104" s="527"/>
      <c r="U104" s="440"/>
      <c r="V104" s="440"/>
      <c r="W104" s="440"/>
      <c r="X104" s="442"/>
    </row>
    <row r="105" spans="1:24" x14ac:dyDescent="0.25">
      <c r="A105" s="862">
        <v>823</v>
      </c>
      <c r="B105" s="863" t="s">
        <v>5805</v>
      </c>
      <c r="C105" s="862">
        <v>823</v>
      </c>
      <c r="D105" s="165" t="s">
        <v>2142</v>
      </c>
      <c r="E105" s="165" t="s">
        <v>5806</v>
      </c>
      <c r="F105" s="163">
        <v>1</v>
      </c>
      <c r="G105" s="864"/>
      <c r="H105" s="864">
        <v>0</v>
      </c>
      <c r="I105" s="864">
        <v>28807.369809646007</v>
      </c>
      <c r="J105" s="864">
        <v>29438.846766860217</v>
      </c>
      <c r="K105" s="864">
        <v>30103.564616700722</v>
      </c>
      <c r="L105" s="18" t="s">
        <v>3767</v>
      </c>
      <c r="M105" s="442"/>
      <c r="N105" s="828"/>
      <c r="P105" s="867"/>
      <c r="T105" s="527"/>
      <c r="U105" s="440"/>
      <c r="V105" s="440"/>
      <c r="W105" s="440"/>
      <c r="X105" s="442"/>
    </row>
    <row r="106" spans="1:24" x14ac:dyDescent="0.25">
      <c r="A106" s="862">
        <v>824</v>
      </c>
      <c r="B106" s="863" t="s">
        <v>5807</v>
      </c>
      <c r="C106" s="862">
        <v>824</v>
      </c>
      <c r="D106" s="165" t="s">
        <v>2142</v>
      </c>
      <c r="E106" s="165" t="s">
        <v>5808</v>
      </c>
      <c r="F106" s="163">
        <v>1</v>
      </c>
      <c r="G106" s="864"/>
      <c r="H106" s="864">
        <v>0</v>
      </c>
      <c r="I106" s="864">
        <v>31254.31403121863</v>
      </c>
      <c r="J106" s="864">
        <v>31944.072553482787</v>
      </c>
      <c r="K106" s="864">
        <v>32670.132050546432</v>
      </c>
      <c r="L106" s="18" t="s">
        <v>3768</v>
      </c>
      <c r="M106" s="442"/>
      <c r="N106" s="828"/>
      <c r="P106" s="867"/>
      <c r="T106" s="527"/>
      <c r="U106" s="440"/>
      <c r="V106" s="440"/>
      <c r="W106" s="440"/>
      <c r="X106" s="442"/>
    </row>
    <row r="107" spans="1:24" x14ac:dyDescent="0.25">
      <c r="A107" s="862">
        <v>825</v>
      </c>
      <c r="B107" s="863" t="s">
        <v>5809</v>
      </c>
      <c r="C107" s="862">
        <v>825</v>
      </c>
      <c r="D107" s="165" t="s">
        <v>2142</v>
      </c>
      <c r="E107" s="165" t="s">
        <v>5810</v>
      </c>
      <c r="F107" s="163">
        <v>1</v>
      </c>
      <c r="G107" s="864"/>
      <c r="H107" s="864">
        <v>0</v>
      </c>
      <c r="I107" s="864">
        <v>0</v>
      </c>
      <c r="J107" s="864">
        <v>32207.22970774975</v>
      </c>
      <c r="K107" s="864">
        <v>32919.668839062178</v>
      </c>
      <c r="L107" s="18" t="s">
        <v>4491</v>
      </c>
      <c r="M107" s="442"/>
      <c r="N107" s="828"/>
      <c r="P107" s="867"/>
      <c r="T107" s="527"/>
      <c r="U107" s="440"/>
      <c r="V107" s="440"/>
      <c r="W107" s="440"/>
      <c r="X107" s="442"/>
    </row>
    <row r="108" spans="1:24" x14ac:dyDescent="0.25">
      <c r="A108" s="862">
        <v>826</v>
      </c>
      <c r="B108" s="863" t="s">
        <v>5811</v>
      </c>
      <c r="C108" s="862">
        <v>826</v>
      </c>
      <c r="D108" s="165" t="s">
        <v>2142</v>
      </c>
      <c r="E108" s="165" t="s">
        <v>5812</v>
      </c>
      <c r="F108" s="163">
        <v>1</v>
      </c>
      <c r="G108" s="864"/>
      <c r="H108" s="864">
        <v>33784.419941982618</v>
      </c>
      <c r="I108" s="864">
        <v>34596.48174848855</v>
      </c>
      <c r="J108" s="864">
        <v>35365.822407792439</v>
      </c>
      <c r="K108" s="864">
        <v>36175.644154145441</v>
      </c>
      <c r="L108" s="18" t="s">
        <v>3769</v>
      </c>
      <c r="M108" s="442"/>
      <c r="N108" s="828"/>
      <c r="P108" s="867"/>
      <c r="T108" s="527"/>
      <c r="U108" s="440"/>
      <c r="V108" s="440"/>
      <c r="W108" s="440"/>
      <c r="X108" s="442"/>
    </row>
    <row r="109" spans="1:24" x14ac:dyDescent="0.25">
      <c r="A109" s="862">
        <v>827</v>
      </c>
      <c r="B109" s="863" t="s">
        <v>5813</v>
      </c>
      <c r="C109" s="862">
        <v>827</v>
      </c>
      <c r="D109" s="165" t="s">
        <v>2142</v>
      </c>
      <c r="E109" s="165" t="s">
        <v>5814</v>
      </c>
      <c r="F109" s="163">
        <v>1</v>
      </c>
      <c r="G109" s="864"/>
      <c r="H109" s="864">
        <v>0</v>
      </c>
      <c r="I109" s="864">
        <v>35424.066135622044</v>
      </c>
      <c r="J109" s="864">
        <v>36213.107323949349</v>
      </c>
      <c r="K109" s="864">
        <v>37043.66962725389</v>
      </c>
      <c r="L109" s="18" t="s">
        <v>3770</v>
      </c>
      <c r="M109" s="442"/>
      <c r="N109" s="828"/>
      <c r="P109" s="867"/>
      <c r="T109" s="527"/>
      <c r="U109" s="440"/>
      <c r="V109" s="440"/>
      <c r="W109" s="440"/>
      <c r="X109" s="442"/>
    </row>
    <row r="110" spans="1:24" x14ac:dyDescent="0.25">
      <c r="A110" s="862">
        <v>828</v>
      </c>
      <c r="B110" s="863" t="s">
        <v>5815</v>
      </c>
      <c r="C110" s="862">
        <v>828</v>
      </c>
      <c r="D110" s="165" t="s">
        <v>2142</v>
      </c>
      <c r="E110" s="165" t="s">
        <v>5816</v>
      </c>
      <c r="F110" s="163">
        <v>1</v>
      </c>
      <c r="G110" s="864"/>
      <c r="H110" s="864">
        <v>0</v>
      </c>
      <c r="I110" s="864">
        <v>30300.016551489109</v>
      </c>
      <c r="J110" s="864">
        <v>31008.710816299514</v>
      </c>
      <c r="K110" s="864">
        <v>31754.705757430962</v>
      </c>
      <c r="L110" s="18" t="s">
        <v>3771</v>
      </c>
      <c r="M110" s="442"/>
      <c r="N110" s="828"/>
      <c r="P110" s="867"/>
      <c r="T110" s="527"/>
      <c r="U110" s="440"/>
      <c r="V110" s="440"/>
      <c r="W110" s="440"/>
      <c r="X110" s="442"/>
    </row>
    <row r="111" spans="1:24" x14ac:dyDescent="0.25">
      <c r="A111" s="862">
        <v>829</v>
      </c>
      <c r="B111" s="863" t="s">
        <v>5817</v>
      </c>
      <c r="C111" s="862">
        <v>829</v>
      </c>
      <c r="D111" s="165" t="s">
        <v>2142</v>
      </c>
      <c r="E111" s="165" t="s">
        <v>5818</v>
      </c>
      <c r="F111" s="163">
        <v>1</v>
      </c>
      <c r="G111" s="864"/>
      <c r="H111" s="864">
        <v>0</v>
      </c>
      <c r="I111" s="864">
        <v>34322.77383677425</v>
      </c>
      <c r="J111" s="864">
        <v>35133.222562400675</v>
      </c>
      <c r="K111" s="864">
        <v>35986.324527766439</v>
      </c>
      <c r="L111" s="18" t="s">
        <v>3772</v>
      </c>
      <c r="M111" s="442"/>
      <c r="N111" s="828"/>
      <c r="P111" s="867"/>
      <c r="T111" s="527"/>
      <c r="U111" s="440"/>
      <c r="V111" s="440"/>
      <c r="W111" s="440"/>
      <c r="X111" s="442"/>
    </row>
    <row r="112" spans="1:24" x14ac:dyDescent="0.25">
      <c r="A112" s="862">
        <v>830</v>
      </c>
      <c r="B112" s="863" t="s">
        <v>5819</v>
      </c>
      <c r="C112" s="862">
        <v>830</v>
      </c>
      <c r="D112" s="165" t="s">
        <v>2142</v>
      </c>
      <c r="E112" s="165" t="s">
        <v>5820</v>
      </c>
      <c r="F112" s="163">
        <v>1</v>
      </c>
      <c r="G112" s="864"/>
      <c r="H112" s="864">
        <v>30444.19412394274</v>
      </c>
      <c r="I112" s="864">
        <v>31865.968781920183</v>
      </c>
      <c r="J112" s="864">
        <v>32614.268298967832</v>
      </c>
      <c r="K112" s="864">
        <v>33401.950044776975</v>
      </c>
      <c r="L112" s="18" t="s">
        <v>3773</v>
      </c>
      <c r="M112" s="442"/>
      <c r="N112" s="828"/>
      <c r="P112" s="867"/>
      <c r="T112" s="527"/>
      <c r="U112" s="440"/>
      <c r="V112" s="440"/>
      <c r="W112" s="440"/>
      <c r="X112" s="442"/>
    </row>
    <row r="113" spans="1:24" x14ac:dyDescent="0.25">
      <c r="A113" s="862">
        <v>831</v>
      </c>
      <c r="B113" s="863" t="s">
        <v>5821</v>
      </c>
      <c r="C113" s="862">
        <v>831</v>
      </c>
      <c r="D113" s="165" t="s">
        <v>2142</v>
      </c>
      <c r="E113" s="165" t="s">
        <v>5822</v>
      </c>
      <c r="F113" s="163">
        <v>1</v>
      </c>
      <c r="G113" s="864"/>
      <c r="H113" s="864">
        <v>0</v>
      </c>
      <c r="I113" s="864">
        <v>25602.159860195912</v>
      </c>
      <c r="J113" s="864">
        <v>26192.001197715254</v>
      </c>
      <c r="K113" s="864">
        <v>26812.879968944693</v>
      </c>
      <c r="L113" s="18" t="s">
        <v>3774</v>
      </c>
      <c r="M113" s="442"/>
      <c r="N113" s="828"/>
      <c r="P113" s="867"/>
      <c r="T113" s="527"/>
      <c r="U113" s="440"/>
      <c r="V113" s="440"/>
      <c r="W113" s="440"/>
      <c r="X113" s="442"/>
    </row>
    <row r="114" spans="1:24" x14ac:dyDescent="0.25">
      <c r="A114" s="862">
        <v>832</v>
      </c>
      <c r="B114" s="863" t="s">
        <v>5823</v>
      </c>
      <c r="C114" s="862">
        <v>832</v>
      </c>
      <c r="D114" s="165" t="s">
        <v>2142</v>
      </c>
      <c r="E114" s="165" t="s">
        <v>5824</v>
      </c>
      <c r="F114" s="163">
        <v>1</v>
      </c>
      <c r="G114" s="864"/>
      <c r="H114" s="864">
        <v>0</v>
      </c>
      <c r="I114" s="864">
        <v>27168.112090626983</v>
      </c>
      <c r="J114" s="864">
        <v>27797.558680383572</v>
      </c>
      <c r="K114" s="864">
        <v>28460.142841580349</v>
      </c>
      <c r="L114" s="18" t="s">
        <v>3775</v>
      </c>
      <c r="M114" s="442"/>
      <c r="N114" s="826"/>
      <c r="P114" s="867"/>
      <c r="T114" s="527"/>
      <c r="U114" s="440"/>
      <c r="V114" s="440"/>
      <c r="W114" s="440"/>
      <c r="X114" s="442"/>
    </row>
    <row r="115" spans="1:24" x14ac:dyDescent="0.25">
      <c r="A115" s="862">
        <v>833</v>
      </c>
      <c r="B115" s="863" t="s">
        <v>5825</v>
      </c>
      <c r="C115" s="862">
        <v>833</v>
      </c>
      <c r="D115" s="165" t="s">
        <v>2142</v>
      </c>
      <c r="E115" s="165" t="s">
        <v>5826</v>
      </c>
      <c r="F115" s="163">
        <v>1</v>
      </c>
      <c r="G115" s="864"/>
      <c r="H115" s="864">
        <v>32500.377784732107</v>
      </c>
      <c r="I115" s="864">
        <v>33329.33745884672</v>
      </c>
      <c r="J115" s="864">
        <v>34114.658872870714</v>
      </c>
      <c r="K115" s="864">
        <v>34941.313971069125</v>
      </c>
      <c r="L115" s="18" t="s">
        <v>2902</v>
      </c>
      <c r="M115" s="442"/>
      <c r="N115" s="826"/>
      <c r="P115" s="867"/>
      <c r="T115" s="527"/>
      <c r="U115" s="440"/>
      <c r="V115" s="440"/>
      <c r="W115" s="440"/>
      <c r="X115" s="442"/>
    </row>
    <row r="116" spans="1:24" x14ac:dyDescent="0.25">
      <c r="A116" s="862">
        <v>834</v>
      </c>
      <c r="B116" s="863" t="s">
        <v>5827</v>
      </c>
      <c r="C116" s="862">
        <v>834</v>
      </c>
      <c r="D116" s="165" t="s">
        <v>2142</v>
      </c>
      <c r="E116" s="165" t="s">
        <v>5828</v>
      </c>
      <c r="F116" s="163">
        <v>1</v>
      </c>
      <c r="G116" s="864"/>
      <c r="H116" s="864">
        <v>27842.775566053089</v>
      </c>
      <c r="I116" s="864">
        <v>28541.95416256434</v>
      </c>
      <c r="J116" s="864">
        <v>29277.931632576194</v>
      </c>
      <c r="K116" s="864">
        <v>30052.640846211896</v>
      </c>
      <c r="L116" s="18" t="s">
        <v>1748</v>
      </c>
      <c r="M116" s="442"/>
      <c r="N116" s="826"/>
      <c r="P116" s="867"/>
      <c r="T116" s="527"/>
      <c r="U116" s="440"/>
      <c r="V116" s="440"/>
      <c r="W116" s="440"/>
      <c r="X116" s="442"/>
    </row>
    <row r="117" spans="1:24" x14ac:dyDescent="0.25">
      <c r="A117" s="862">
        <v>835</v>
      </c>
      <c r="B117" s="863" t="s">
        <v>5829</v>
      </c>
      <c r="C117" s="862">
        <v>835</v>
      </c>
      <c r="D117" s="165" t="s">
        <v>2142</v>
      </c>
      <c r="E117" s="165" t="s">
        <v>5830</v>
      </c>
      <c r="F117" s="163">
        <v>1</v>
      </c>
      <c r="G117" s="864"/>
      <c r="H117" s="864">
        <v>0</v>
      </c>
      <c r="I117" s="864">
        <v>26994.117398356855</v>
      </c>
      <c r="J117" s="864">
        <v>27619.177859756823</v>
      </c>
      <c r="K117" s="864">
        <v>28277.13428383155</v>
      </c>
      <c r="L117" s="18" t="s">
        <v>3776</v>
      </c>
      <c r="M117" s="442"/>
      <c r="N117" s="826"/>
      <c r="P117" s="867"/>
      <c r="T117" s="527"/>
      <c r="U117" s="440"/>
      <c r="V117" s="440"/>
      <c r="W117" s="440"/>
      <c r="X117" s="442"/>
    </row>
    <row r="118" spans="1:24" x14ac:dyDescent="0.25">
      <c r="A118" s="862">
        <v>836</v>
      </c>
      <c r="B118" s="863" t="s">
        <v>5831</v>
      </c>
      <c r="C118" s="862">
        <v>836</v>
      </c>
      <c r="D118" s="165" t="s">
        <v>2142</v>
      </c>
      <c r="E118" s="165" t="s">
        <v>5832</v>
      </c>
      <c r="F118" s="163">
        <v>1</v>
      </c>
      <c r="G118" s="864"/>
      <c r="H118" s="864">
        <v>0</v>
      </c>
      <c r="I118" s="864">
        <v>28304.297431150848</v>
      </c>
      <c r="J118" s="864">
        <v>28962.495463990988</v>
      </c>
      <c r="K118" s="864">
        <v>29655.336476732697</v>
      </c>
      <c r="L118" s="18" t="s">
        <v>3777</v>
      </c>
      <c r="M118" s="442"/>
      <c r="N118" s="826"/>
      <c r="P118" s="867"/>
      <c r="T118" s="527"/>
      <c r="U118" s="440"/>
      <c r="V118" s="440"/>
      <c r="W118" s="440"/>
      <c r="X118" s="442"/>
    </row>
    <row r="119" spans="1:24" x14ac:dyDescent="0.25">
      <c r="A119" s="862">
        <v>837</v>
      </c>
      <c r="B119" s="863" t="s">
        <v>5833</v>
      </c>
      <c r="C119" s="862">
        <v>837</v>
      </c>
      <c r="D119" s="165" t="s">
        <v>2142</v>
      </c>
      <c r="E119" s="165" t="s">
        <v>5834</v>
      </c>
      <c r="F119" s="163">
        <v>1</v>
      </c>
      <c r="G119" s="864"/>
      <c r="H119" s="864">
        <v>0</v>
      </c>
      <c r="I119" s="864">
        <v>36951.833636975745</v>
      </c>
      <c r="J119" s="864">
        <v>37828.799114247951</v>
      </c>
      <c r="K119" s="864">
        <v>38751.930451002707</v>
      </c>
      <c r="L119" s="18" t="s">
        <v>3778</v>
      </c>
      <c r="M119" s="442"/>
      <c r="N119" s="800"/>
      <c r="P119" s="867"/>
      <c r="T119" s="527"/>
      <c r="U119" s="440"/>
      <c r="V119" s="440"/>
      <c r="W119" s="440"/>
      <c r="X119" s="442"/>
    </row>
    <row r="120" spans="1:24" x14ac:dyDescent="0.25">
      <c r="A120" s="862">
        <v>838</v>
      </c>
      <c r="B120" s="863" t="s">
        <v>5835</v>
      </c>
      <c r="C120" s="862">
        <v>838</v>
      </c>
      <c r="D120" s="165" t="s">
        <v>2142</v>
      </c>
      <c r="E120" s="165" t="s">
        <v>5836</v>
      </c>
      <c r="F120" s="163">
        <v>1</v>
      </c>
      <c r="G120" s="864"/>
      <c r="H120" s="864">
        <v>32573.979089194556</v>
      </c>
      <c r="I120" s="864">
        <v>33421.003664845812</v>
      </c>
      <c r="J120" s="864">
        <v>34312.614350359654</v>
      </c>
      <c r="K120" s="864">
        <v>35251.152892231577</v>
      </c>
      <c r="L120" s="18" t="s">
        <v>1749</v>
      </c>
      <c r="M120" s="442"/>
      <c r="N120" s="800"/>
      <c r="P120" s="867"/>
      <c r="T120" s="527"/>
      <c r="U120" s="440"/>
      <c r="V120" s="440"/>
      <c r="W120" s="440"/>
      <c r="X120" s="442"/>
    </row>
    <row r="121" spans="1:24" x14ac:dyDescent="0.25">
      <c r="A121" s="862">
        <v>839</v>
      </c>
      <c r="B121" s="863" t="s">
        <v>5837</v>
      </c>
      <c r="C121" s="862">
        <v>839</v>
      </c>
      <c r="D121" s="165" t="s">
        <v>2142</v>
      </c>
      <c r="E121" s="165" t="s">
        <v>5838</v>
      </c>
      <c r="F121" s="163">
        <v>1</v>
      </c>
      <c r="G121" s="864"/>
      <c r="H121" s="864">
        <v>53637.352906828091</v>
      </c>
      <c r="I121" s="864">
        <v>54892.263853992263</v>
      </c>
      <c r="J121" s="864">
        <v>55327.361739057662</v>
      </c>
      <c r="K121" s="864">
        <v>56671.227901795159</v>
      </c>
      <c r="L121" s="18" t="s">
        <v>2903</v>
      </c>
      <c r="M121" s="442"/>
      <c r="N121" s="800"/>
      <c r="P121" s="867"/>
      <c r="T121" s="527"/>
      <c r="U121" s="440"/>
      <c r="V121" s="440"/>
      <c r="W121" s="440"/>
      <c r="X121" s="442"/>
    </row>
    <row r="122" spans="1:24" x14ac:dyDescent="0.25">
      <c r="A122" s="862">
        <v>840</v>
      </c>
      <c r="B122" s="863" t="s">
        <v>5839</v>
      </c>
      <c r="C122" s="862">
        <v>840</v>
      </c>
      <c r="D122" s="165" t="s">
        <v>2142</v>
      </c>
      <c r="E122" s="165" t="s">
        <v>5840</v>
      </c>
      <c r="F122" s="163">
        <v>1</v>
      </c>
      <c r="G122" s="864"/>
      <c r="H122" s="864">
        <v>49983.443146464197</v>
      </c>
      <c r="I122" s="864">
        <v>51149.062245261943</v>
      </c>
      <c r="J122" s="864">
        <v>55328.975531562202</v>
      </c>
      <c r="K122" s="864">
        <v>56775.963539915436</v>
      </c>
      <c r="L122" s="18" t="s">
        <v>2904</v>
      </c>
      <c r="M122" s="442"/>
      <c r="N122" s="800"/>
      <c r="P122" s="867"/>
      <c r="T122" s="527"/>
      <c r="U122" s="440"/>
      <c r="V122" s="440"/>
      <c r="W122" s="440"/>
      <c r="X122" s="442"/>
    </row>
    <row r="123" spans="1:24" x14ac:dyDescent="0.25">
      <c r="A123" s="862">
        <v>841</v>
      </c>
      <c r="B123" s="863" t="s">
        <v>5841</v>
      </c>
      <c r="C123" s="862">
        <v>841</v>
      </c>
      <c r="D123" s="165" t="s">
        <v>2142</v>
      </c>
      <c r="E123" s="165" t="s">
        <v>5842</v>
      </c>
      <c r="F123" s="163">
        <v>1</v>
      </c>
      <c r="G123" s="864"/>
      <c r="H123" s="864">
        <v>51810.398026646129</v>
      </c>
      <c r="I123" s="864">
        <v>53020.677075993473</v>
      </c>
      <c r="J123" s="864">
        <v>54294.6638814326</v>
      </c>
      <c r="K123" s="864">
        <v>55635.696718161606</v>
      </c>
      <c r="L123" s="18" t="s">
        <v>2905</v>
      </c>
      <c r="M123" s="442"/>
      <c r="N123" s="800"/>
      <c r="P123" s="867"/>
      <c r="T123" s="527"/>
      <c r="U123" s="440"/>
      <c r="V123" s="440"/>
      <c r="W123" s="440"/>
      <c r="X123" s="442"/>
    </row>
    <row r="124" spans="1:24" x14ac:dyDescent="0.25">
      <c r="A124" s="862">
        <v>842</v>
      </c>
      <c r="B124" s="863" t="s">
        <v>5843</v>
      </c>
      <c r="C124" s="862">
        <v>842</v>
      </c>
      <c r="D124" s="165" t="s">
        <v>2142</v>
      </c>
      <c r="E124" s="165" t="s">
        <v>5844</v>
      </c>
      <c r="F124" s="163">
        <v>1</v>
      </c>
      <c r="G124" s="864"/>
      <c r="H124" s="864">
        <v>78922.317141651816</v>
      </c>
      <c r="I124" s="864">
        <v>80846.734608801227</v>
      </c>
      <c r="J124" s="864">
        <v>82872.422441204399</v>
      </c>
      <c r="K124" s="864">
        <v>0</v>
      </c>
      <c r="L124" s="18" t="s">
        <v>2906</v>
      </c>
      <c r="M124" s="442"/>
      <c r="N124" s="800"/>
      <c r="P124" s="867"/>
      <c r="T124" s="527"/>
      <c r="U124" s="440"/>
      <c r="V124" s="440"/>
      <c r="W124" s="440"/>
      <c r="X124" s="442"/>
    </row>
    <row r="125" spans="1:24" x14ac:dyDescent="0.25">
      <c r="A125" s="862">
        <v>843</v>
      </c>
      <c r="B125" s="863" t="s">
        <v>5845</v>
      </c>
      <c r="C125" s="862">
        <v>843</v>
      </c>
      <c r="D125" s="165" t="s">
        <v>2142</v>
      </c>
      <c r="E125" s="165" t="s">
        <v>5846</v>
      </c>
      <c r="F125" s="163">
        <v>1</v>
      </c>
      <c r="G125" s="864"/>
      <c r="H125" s="864">
        <v>0</v>
      </c>
      <c r="I125" s="864">
        <v>69710.205959857296</v>
      </c>
      <c r="J125" s="864">
        <v>71357.939323821658</v>
      </c>
      <c r="K125" s="864">
        <v>73092.383684738772</v>
      </c>
      <c r="L125" s="18" t="s">
        <v>3779</v>
      </c>
      <c r="M125" s="442"/>
      <c r="N125" s="800"/>
      <c r="P125" s="867"/>
      <c r="T125" s="527"/>
      <c r="U125" s="440"/>
      <c r="V125" s="440"/>
      <c r="W125" s="440"/>
      <c r="X125" s="442"/>
    </row>
    <row r="126" spans="1:24" x14ac:dyDescent="0.25">
      <c r="A126" s="862">
        <v>844</v>
      </c>
      <c r="B126" s="863" t="s">
        <v>5847</v>
      </c>
      <c r="C126" s="862">
        <v>844</v>
      </c>
      <c r="D126" s="165" t="s">
        <v>2142</v>
      </c>
      <c r="E126" s="165" t="s">
        <v>5848</v>
      </c>
      <c r="F126" s="163">
        <v>1</v>
      </c>
      <c r="G126" s="864"/>
      <c r="H126" s="864">
        <v>89097.094744742091</v>
      </c>
      <c r="I126" s="864">
        <v>91280.158407913608</v>
      </c>
      <c r="J126" s="864">
        <v>93578.126064458964</v>
      </c>
      <c r="K126" s="864">
        <v>95997.029051920967</v>
      </c>
      <c r="L126" s="18" t="s">
        <v>2907</v>
      </c>
      <c r="M126" s="442"/>
      <c r="N126" s="800"/>
      <c r="P126" s="867"/>
      <c r="T126" s="527"/>
      <c r="U126" s="440"/>
      <c r="V126" s="440"/>
      <c r="W126" s="440"/>
      <c r="X126" s="442"/>
    </row>
    <row r="127" spans="1:24" x14ac:dyDescent="0.25">
      <c r="A127" s="862">
        <v>845</v>
      </c>
      <c r="B127" s="863" t="s">
        <v>5849</v>
      </c>
      <c r="C127" s="862">
        <v>845</v>
      </c>
      <c r="D127" s="165" t="s">
        <v>2142</v>
      </c>
      <c r="E127" s="165" t="s">
        <v>5850</v>
      </c>
      <c r="F127" s="163">
        <v>1</v>
      </c>
      <c r="G127" s="864"/>
      <c r="H127" s="864">
        <v>0</v>
      </c>
      <c r="I127" s="864">
        <v>78409.991103580804</v>
      </c>
      <c r="J127" s="864">
        <v>80270.336129112591</v>
      </c>
      <c r="K127" s="864">
        <v>82228.585191967271</v>
      </c>
      <c r="L127" s="18" t="s">
        <v>3780</v>
      </c>
      <c r="M127" s="442"/>
      <c r="N127" s="800"/>
      <c r="P127" s="867"/>
      <c r="T127" s="527"/>
      <c r="U127" s="440"/>
      <c r="V127" s="440"/>
      <c r="W127" s="440"/>
      <c r="X127" s="442"/>
    </row>
    <row r="128" spans="1:24" x14ac:dyDescent="0.25">
      <c r="A128" s="862">
        <v>846</v>
      </c>
      <c r="B128" s="863" t="s">
        <v>5851</v>
      </c>
      <c r="C128" s="862">
        <v>846</v>
      </c>
      <c r="D128" s="165" t="s">
        <v>2142</v>
      </c>
      <c r="E128" s="165" t="s">
        <v>5852</v>
      </c>
      <c r="F128" s="163">
        <v>1</v>
      </c>
      <c r="G128" s="864"/>
      <c r="H128" s="864">
        <v>0</v>
      </c>
      <c r="I128" s="864">
        <v>0</v>
      </c>
      <c r="J128" s="864">
        <v>44569.833088230123</v>
      </c>
      <c r="K128" s="864">
        <v>45691.5663304958</v>
      </c>
      <c r="L128" s="18" t="s">
        <v>4492</v>
      </c>
      <c r="M128" s="442"/>
      <c r="N128" s="800"/>
      <c r="P128" s="867"/>
      <c r="T128" s="527"/>
      <c r="U128" s="440"/>
      <c r="V128" s="440"/>
      <c r="W128" s="440"/>
      <c r="X128" s="442"/>
    </row>
    <row r="129" spans="1:24" x14ac:dyDescent="0.25">
      <c r="A129" s="862">
        <v>847</v>
      </c>
      <c r="B129" s="863" t="s">
        <v>5853</v>
      </c>
      <c r="C129" s="862">
        <v>847</v>
      </c>
      <c r="D129" s="165" t="s">
        <v>2142</v>
      </c>
      <c r="E129" s="165" t="s">
        <v>5854</v>
      </c>
      <c r="F129" s="163">
        <v>1</v>
      </c>
      <c r="G129" s="864"/>
      <c r="H129" s="864">
        <v>0</v>
      </c>
      <c r="I129" s="864">
        <v>32773.002024545196</v>
      </c>
      <c r="J129" s="864">
        <v>33581.767109196087</v>
      </c>
      <c r="K129" s="864">
        <v>34433.102014990873</v>
      </c>
      <c r="L129" s="18" t="s">
        <v>3781</v>
      </c>
      <c r="M129" s="442"/>
      <c r="N129" s="800"/>
      <c r="P129" s="867"/>
      <c r="T129" s="527"/>
      <c r="U129" s="440"/>
      <c r="V129" s="440"/>
      <c r="W129" s="440"/>
      <c r="X129" s="442"/>
    </row>
    <row r="130" spans="1:24" x14ac:dyDescent="0.25">
      <c r="A130" s="862">
        <v>848</v>
      </c>
      <c r="B130" s="863" t="s">
        <v>5855</v>
      </c>
      <c r="C130" s="862">
        <v>848</v>
      </c>
      <c r="D130" s="165" t="s">
        <v>2142</v>
      </c>
      <c r="E130" s="165" t="s">
        <v>5856</v>
      </c>
      <c r="F130" s="163">
        <v>1</v>
      </c>
      <c r="G130" s="864"/>
      <c r="H130" s="864">
        <v>0</v>
      </c>
      <c r="I130" s="864">
        <v>31630.664565864336</v>
      </c>
      <c r="J130" s="864">
        <v>32409.132487345658</v>
      </c>
      <c r="K130" s="864">
        <v>33228.570785823817</v>
      </c>
      <c r="L130" s="18" t="s">
        <v>3782</v>
      </c>
      <c r="M130" s="442"/>
      <c r="N130" s="800"/>
      <c r="P130" s="867"/>
      <c r="T130" s="527"/>
      <c r="U130" s="440"/>
      <c r="V130" s="440"/>
      <c r="W130" s="440"/>
      <c r="X130" s="442"/>
    </row>
    <row r="131" spans="1:24" x14ac:dyDescent="0.25">
      <c r="A131" s="862">
        <v>849</v>
      </c>
      <c r="B131" s="863" t="s">
        <v>5857</v>
      </c>
      <c r="C131" s="862">
        <v>849</v>
      </c>
      <c r="D131" s="165" t="s">
        <v>2142</v>
      </c>
      <c r="E131" s="165" t="s">
        <v>5858</v>
      </c>
      <c r="F131" s="163">
        <v>1</v>
      </c>
      <c r="G131" s="864"/>
      <c r="H131" s="864">
        <v>0</v>
      </c>
      <c r="I131" s="864">
        <v>29872.248524662555</v>
      </c>
      <c r="J131" s="864">
        <v>30623.679688350909</v>
      </c>
      <c r="K131" s="864">
        <v>31414.666336136816</v>
      </c>
      <c r="L131" s="18" t="s">
        <v>3783</v>
      </c>
      <c r="M131" s="442"/>
      <c r="N131" s="800"/>
      <c r="P131" s="867"/>
      <c r="T131" s="527"/>
      <c r="U131" s="440"/>
      <c r="V131" s="440"/>
      <c r="W131" s="440"/>
      <c r="X131" s="442"/>
    </row>
    <row r="132" spans="1:24" x14ac:dyDescent="0.25">
      <c r="A132" s="862">
        <v>850</v>
      </c>
      <c r="B132" s="863" t="s">
        <v>5859</v>
      </c>
      <c r="C132" s="862">
        <v>850</v>
      </c>
      <c r="D132" s="165" t="s">
        <v>2142</v>
      </c>
      <c r="E132" s="165" t="s">
        <v>5860</v>
      </c>
      <c r="F132" s="163">
        <v>1</v>
      </c>
      <c r="G132" s="864"/>
      <c r="H132" s="864">
        <v>0</v>
      </c>
      <c r="I132" s="864">
        <v>27780.767649829366</v>
      </c>
      <c r="J132" s="864">
        <v>28457.086455690165</v>
      </c>
      <c r="K132" s="864">
        <v>29169.023652363543</v>
      </c>
      <c r="L132" s="18" t="s">
        <v>3784</v>
      </c>
      <c r="M132" s="442"/>
      <c r="N132" s="800"/>
      <c r="P132" s="867"/>
      <c r="T132" s="527"/>
      <c r="U132" s="440"/>
      <c r="V132" s="440"/>
      <c r="W132" s="440"/>
      <c r="X132" s="442"/>
    </row>
    <row r="133" spans="1:24" x14ac:dyDescent="0.25">
      <c r="A133" s="862">
        <v>851</v>
      </c>
      <c r="B133" s="863" t="s">
        <v>5861</v>
      </c>
      <c r="C133" s="862">
        <v>851</v>
      </c>
      <c r="D133" s="165" t="s">
        <v>2142</v>
      </c>
      <c r="E133" s="165" t="s">
        <v>5862</v>
      </c>
      <c r="F133" s="163">
        <v>1</v>
      </c>
      <c r="G133" s="864"/>
      <c r="H133" s="864">
        <v>0</v>
      </c>
      <c r="I133" s="864">
        <v>30746.451436789255</v>
      </c>
      <c r="J133" s="864">
        <v>31501.450591267123</v>
      </c>
      <c r="K133" s="864">
        <v>32296.189781090277</v>
      </c>
      <c r="L133" s="18" t="s">
        <v>3785</v>
      </c>
      <c r="M133" s="442"/>
      <c r="N133" s="800"/>
      <c r="P133" s="867"/>
      <c r="T133" s="527"/>
      <c r="U133" s="440"/>
      <c r="V133" s="440"/>
      <c r="W133" s="440"/>
      <c r="X133" s="442"/>
    </row>
    <row r="134" spans="1:24" x14ac:dyDescent="0.25">
      <c r="A134" s="862">
        <v>852</v>
      </c>
      <c r="B134" s="863" t="s">
        <v>5863</v>
      </c>
      <c r="C134" s="862">
        <v>852</v>
      </c>
      <c r="D134" s="165" t="s">
        <v>2142</v>
      </c>
      <c r="E134" s="165" t="s">
        <v>5864</v>
      </c>
      <c r="F134" s="163">
        <v>1</v>
      </c>
      <c r="G134" s="864"/>
      <c r="H134" s="864">
        <v>0</v>
      </c>
      <c r="I134" s="864">
        <v>35258.769631885843</v>
      </c>
      <c r="J134" s="864">
        <v>36133.481029060204</v>
      </c>
      <c r="K134" s="864">
        <v>37054.237962544059</v>
      </c>
      <c r="L134" s="18" t="s">
        <v>3786</v>
      </c>
      <c r="M134" s="442"/>
      <c r="N134" s="581"/>
      <c r="P134" s="867"/>
      <c r="T134" s="527"/>
      <c r="U134" s="440"/>
      <c r="V134" s="440"/>
      <c r="W134" s="440"/>
      <c r="X134" s="442"/>
    </row>
    <row r="135" spans="1:24" x14ac:dyDescent="0.25">
      <c r="A135" s="862">
        <v>853</v>
      </c>
      <c r="B135" s="863" t="s">
        <v>5865</v>
      </c>
      <c r="C135" s="862">
        <v>853</v>
      </c>
      <c r="D135" s="165" t="s">
        <v>2142</v>
      </c>
      <c r="E135" s="165" t="s">
        <v>5866</v>
      </c>
      <c r="F135" s="163">
        <v>1</v>
      </c>
      <c r="G135" s="864"/>
      <c r="H135" s="864">
        <v>0</v>
      </c>
      <c r="I135" s="864">
        <v>36573.470877464169</v>
      </c>
      <c r="J135" s="864">
        <v>37483.062460460162</v>
      </c>
      <c r="K135" s="864">
        <v>38440.545092242995</v>
      </c>
      <c r="L135" s="18" t="s">
        <v>3787</v>
      </c>
      <c r="M135" s="442"/>
      <c r="N135" s="581"/>
      <c r="P135" s="867"/>
      <c r="T135" s="527"/>
      <c r="U135" s="440"/>
      <c r="V135" s="440"/>
      <c r="W135" s="440"/>
      <c r="X135" s="442"/>
    </row>
    <row r="136" spans="1:24" x14ac:dyDescent="0.25">
      <c r="A136" s="862">
        <v>854</v>
      </c>
      <c r="B136" s="863" t="s">
        <v>5867</v>
      </c>
      <c r="C136" s="862">
        <v>854</v>
      </c>
      <c r="D136" s="165" t="s">
        <v>2142</v>
      </c>
      <c r="E136" s="165" t="s">
        <v>5868</v>
      </c>
      <c r="F136" s="163">
        <v>1</v>
      </c>
      <c r="G136" s="864"/>
      <c r="H136" s="864">
        <v>0</v>
      </c>
      <c r="I136" s="864">
        <v>29428.36975369597</v>
      </c>
      <c r="J136" s="864">
        <v>30148.396446728337</v>
      </c>
      <c r="K136" s="864">
        <v>30906.34842116994</v>
      </c>
      <c r="L136" s="18" t="s">
        <v>3788</v>
      </c>
      <c r="M136" s="442"/>
      <c r="N136" s="581"/>
      <c r="P136" s="867"/>
      <c r="T136" s="527"/>
      <c r="U136" s="440"/>
      <c r="V136" s="440"/>
      <c r="W136" s="440"/>
      <c r="X136" s="442"/>
    </row>
    <row r="137" spans="1:24" x14ac:dyDescent="0.25">
      <c r="A137" s="862">
        <v>855</v>
      </c>
      <c r="B137" s="863" t="s">
        <v>5869</v>
      </c>
      <c r="C137" s="862">
        <v>855</v>
      </c>
      <c r="D137" s="165" t="s">
        <v>2142</v>
      </c>
      <c r="E137" s="165" t="s">
        <v>5870</v>
      </c>
      <c r="F137" s="163">
        <v>1</v>
      </c>
      <c r="G137" s="864"/>
      <c r="H137" s="864">
        <v>0</v>
      </c>
      <c r="I137" s="864">
        <v>31045.765818991687</v>
      </c>
      <c r="J137" s="864">
        <v>31808.700677122102</v>
      </c>
      <c r="K137" s="864">
        <v>32611.806190175856</v>
      </c>
      <c r="L137" s="18" t="s">
        <v>3789</v>
      </c>
      <c r="M137" s="442"/>
      <c r="N137" s="581"/>
      <c r="P137" s="867"/>
      <c r="T137" s="527"/>
      <c r="U137" s="440"/>
      <c r="V137" s="440"/>
      <c r="W137" s="440"/>
      <c r="X137" s="442"/>
    </row>
    <row r="138" spans="1:24" x14ac:dyDescent="0.25">
      <c r="A138" s="862">
        <v>856</v>
      </c>
      <c r="B138" s="863" t="s">
        <v>5871</v>
      </c>
      <c r="C138" s="862">
        <v>856</v>
      </c>
      <c r="D138" s="165" t="s">
        <v>2142</v>
      </c>
      <c r="E138" s="165" t="s">
        <v>5872</v>
      </c>
      <c r="F138" s="163">
        <v>1</v>
      </c>
      <c r="G138" s="864"/>
      <c r="H138" s="864">
        <v>0</v>
      </c>
      <c r="I138" s="864">
        <v>29098.849332922644</v>
      </c>
      <c r="J138" s="864">
        <v>29810.140600228948</v>
      </c>
      <c r="K138" s="864">
        <v>30558.865012283881</v>
      </c>
      <c r="L138" s="18" t="s">
        <v>3790</v>
      </c>
      <c r="M138" s="442"/>
      <c r="N138" s="580"/>
      <c r="P138" s="867"/>
      <c r="T138" s="527"/>
      <c r="U138" s="440"/>
      <c r="V138" s="440"/>
      <c r="W138" s="440"/>
      <c r="X138" s="442"/>
    </row>
    <row r="139" spans="1:24" x14ac:dyDescent="0.25">
      <c r="A139" s="862">
        <v>857</v>
      </c>
      <c r="B139" s="863" t="s">
        <v>5873</v>
      </c>
      <c r="C139" s="862">
        <v>857</v>
      </c>
      <c r="D139" s="165" t="s">
        <v>2142</v>
      </c>
      <c r="E139" s="165" t="s">
        <v>5874</v>
      </c>
      <c r="F139" s="163">
        <v>1</v>
      </c>
      <c r="G139" s="864"/>
      <c r="H139" s="864">
        <v>0</v>
      </c>
      <c r="I139" s="864">
        <v>0</v>
      </c>
      <c r="J139" s="864">
        <v>47917.273632936296</v>
      </c>
      <c r="K139" s="864">
        <v>49657.580306399774</v>
      </c>
      <c r="L139" s="18" t="s">
        <v>4493</v>
      </c>
      <c r="M139" s="442"/>
      <c r="N139" s="580"/>
      <c r="P139" s="867"/>
      <c r="T139" s="527"/>
      <c r="U139" s="440"/>
      <c r="V139" s="440"/>
      <c r="W139" s="440"/>
      <c r="X139" s="442"/>
    </row>
    <row r="140" spans="1:24" x14ac:dyDescent="0.25">
      <c r="A140" s="862">
        <v>858</v>
      </c>
      <c r="B140" s="863" t="s">
        <v>5875</v>
      </c>
      <c r="C140" s="862">
        <v>858</v>
      </c>
      <c r="D140" s="165" t="s">
        <v>2142</v>
      </c>
      <c r="E140" s="165" t="s">
        <v>5876</v>
      </c>
      <c r="F140" s="163">
        <v>1</v>
      </c>
      <c r="G140" s="864"/>
      <c r="H140" s="864">
        <v>45427.401337354589</v>
      </c>
      <c r="I140" s="864">
        <v>47119.319764173182</v>
      </c>
      <c r="J140" s="864">
        <v>48900.284017657781</v>
      </c>
      <c r="K140" s="864">
        <v>50775.018394078448</v>
      </c>
      <c r="L140" s="18" t="s">
        <v>1750</v>
      </c>
      <c r="M140" s="442"/>
      <c r="N140" s="580"/>
      <c r="P140" s="867"/>
      <c r="T140" s="527"/>
      <c r="U140" s="440"/>
      <c r="V140" s="440"/>
      <c r="W140" s="440"/>
      <c r="X140" s="442"/>
    </row>
    <row r="141" spans="1:24" x14ac:dyDescent="0.25">
      <c r="A141" s="862">
        <v>859</v>
      </c>
      <c r="B141" s="863" t="s">
        <v>5877</v>
      </c>
      <c r="C141" s="862">
        <v>859</v>
      </c>
      <c r="D141" s="165" t="s">
        <v>2142</v>
      </c>
      <c r="E141" s="165" t="s">
        <v>5878</v>
      </c>
      <c r="F141" s="163">
        <v>1</v>
      </c>
      <c r="G141" s="864"/>
      <c r="H141" s="864">
        <v>42660.874347929057</v>
      </c>
      <c r="I141" s="864">
        <v>44244.277121029241</v>
      </c>
      <c r="J141" s="864">
        <v>45911.047021238504</v>
      </c>
      <c r="K141" s="864">
        <v>47665.526583512154</v>
      </c>
      <c r="L141" s="18" t="s">
        <v>1751</v>
      </c>
      <c r="M141" s="442"/>
      <c r="N141" s="579"/>
      <c r="P141" s="867"/>
      <c r="T141" s="527"/>
      <c r="U141" s="440"/>
      <c r="V141" s="440"/>
      <c r="W141" s="440"/>
      <c r="X141" s="442"/>
    </row>
    <row r="142" spans="1:24" x14ac:dyDescent="0.25">
      <c r="A142" s="862">
        <v>860</v>
      </c>
      <c r="B142" s="863" t="s">
        <v>5879</v>
      </c>
      <c r="C142" s="862">
        <v>860</v>
      </c>
      <c r="D142" s="165" t="s">
        <v>2142</v>
      </c>
      <c r="E142" s="165" t="s">
        <v>5880</v>
      </c>
      <c r="F142" s="163">
        <v>1</v>
      </c>
      <c r="G142" s="864"/>
      <c r="H142" s="864">
        <v>39375.623547986215</v>
      </c>
      <c r="I142" s="864">
        <v>40830.181877357441</v>
      </c>
      <c r="J142" s="864">
        <v>42361.331070500899</v>
      </c>
      <c r="K142" s="864">
        <v>43973.07962122147</v>
      </c>
      <c r="L142" s="18" t="s">
        <v>1752</v>
      </c>
      <c r="M142" s="442"/>
      <c r="N142" s="579"/>
      <c r="P142" s="867"/>
      <c r="T142" s="527"/>
      <c r="U142" s="440"/>
      <c r="V142" s="440"/>
      <c r="W142" s="440"/>
      <c r="X142" s="442"/>
    </row>
    <row r="143" spans="1:24" x14ac:dyDescent="0.25">
      <c r="A143" s="862">
        <v>861</v>
      </c>
      <c r="B143" s="863" t="s">
        <v>5881</v>
      </c>
      <c r="C143" s="862">
        <v>861</v>
      </c>
      <c r="D143" s="165" t="s">
        <v>2142</v>
      </c>
      <c r="E143" s="165" t="s">
        <v>5882</v>
      </c>
      <c r="F143" s="163">
        <v>1</v>
      </c>
      <c r="G143" s="864"/>
      <c r="H143" s="864">
        <v>51479.179126722971</v>
      </c>
      <c r="I143" s="864">
        <v>53408.409930824557</v>
      </c>
      <c r="J143" s="864">
        <v>55439.236964814641</v>
      </c>
      <c r="K143" s="864">
        <v>57576.957166935426</v>
      </c>
      <c r="L143" s="18" t="s">
        <v>1753</v>
      </c>
      <c r="M143" s="442"/>
      <c r="N143" s="579"/>
      <c r="P143" s="867"/>
      <c r="T143" s="527"/>
      <c r="U143" s="440"/>
      <c r="V143" s="440"/>
      <c r="W143" s="440"/>
      <c r="X143" s="442"/>
    </row>
    <row r="144" spans="1:24" x14ac:dyDescent="0.25">
      <c r="A144" s="862">
        <v>862</v>
      </c>
      <c r="B144" s="863" t="s">
        <v>5883</v>
      </c>
      <c r="C144" s="862">
        <v>862</v>
      </c>
      <c r="D144" s="165" t="s">
        <v>2142</v>
      </c>
      <c r="E144" s="165" t="s">
        <v>5884</v>
      </c>
      <c r="F144" s="163">
        <v>1</v>
      </c>
      <c r="G144" s="864"/>
      <c r="H144" s="864">
        <v>48712.652137297431</v>
      </c>
      <c r="I144" s="864">
        <v>50533.41500784496</v>
      </c>
      <c r="J144" s="864">
        <v>52449.999968395379</v>
      </c>
      <c r="K144" s="864">
        <v>54467.465356369139</v>
      </c>
      <c r="L144" s="18" t="s">
        <v>1754</v>
      </c>
      <c r="M144" s="442"/>
      <c r="N144" s="579"/>
      <c r="P144" s="867"/>
      <c r="T144" s="527"/>
      <c r="U144" s="440"/>
      <c r="V144" s="440"/>
      <c r="W144" s="440"/>
      <c r="X144" s="442"/>
    </row>
    <row r="145" spans="1:24" x14ac:dyDescent="0.25">
      <c r="A145" s="862">
        <v>863</v>
      </c>
      <c r="B145" s="863" t="s">
        <v>5885</v>
      </c>
      <c r="C145" s="862">
        <v>863</v>
      </c>
      <c r="D145" s="165" t="s">
        <v>2142</v>
      </c>
      <c r="E145" s="165" t="s">
        <v>5886</v>
      </c>
      <c r="F145" s="163">
        <v>1</v>
      </c>
      <c r="G145" s="864"/>
      <c r="H145" s="864">
        <v>0</v>
      </c>
      <c r="I145" s="864">
        <v>0</v>
      </c>
      <c r="J145" s="864">
        <v>48338.076150162247</v>
      </c>
      <c r="K145" s="864">
        <v>50094.416798845312</v>
      </c>
      <c r="L145" s="18" t="s">
        <v>10802</v>
      </c>
      <c r="M145" s="442"/>
      <c r="N145" s="578"/>
      <c r="P145" s="867"/>
      <c r="T145" s="527"/>
      <c r="U145" s="440"/>
      <c r="V145" s="440"/>
      <c r="W145" s="440"/>
      <c r="X145" s="442"/>
    </row>
    <row r="146" spans="1:24" x14ac:dyDescent="0.25">
      <c r="A146" s="862">
        <v>864</v>
      </c>
      <c r="B146" s="863" t="s">
        <v>5887</v>
      </c>
      <c r="C146" s="862">
        <v>864</v>
      </c>
      <c r="D146" s="165" t="s">
        <v>2142</v>
      </c>
      <c r="E146" s="165" t="s">
        <v>5888</v>
      </c>
      <c r="F146" s="163">
        <v>1</v>
      </c>
      <c r="G146" s="864"/>
      <c r="H146" s="864">
        <v>50355.277537268848</v>
      </c>
      <c r="I146" s="864">
        <v>0</v>
      </c>
      <c r="J146" s="864">
        <v>0</v>
      </c>
      <c r="K146" s="864">
        <v>0</v>
      </c>
      <c r="L146" s="18" t="s">
        <v>1755</v>
      </c>
      <c r="M146" s="442"/>
      <c r="N146" s="578"/>
      <c r="P146" s="867"/>
      <c r="T146" s="527"/>
      <c r="U146" s="440"/>
      <c r="V146" s="440"/>
      <c r="W146" s="440"/>
      <c r="X146" s="442"/>
    </row>
    <row r="147" spans="1:24" x14ac:dyDescent="0.25">
      <c r="A147" s="862">
        <v>865</v>
      </c>
      <c r="B147" s="863" t="s">
        <v>5889</v>
      </c>
      <c r="C147" s="862">
        <v>865</v>
      </c>
      <c r="D147" s="165" t="s">
        <v>2142</v>
      </c>
      <c r="E147" s="165" t="s">
        <v>5890</v>
      </c>
      <c r="F147" s="163">
        <v>1</v>
      </c>
      <c r="G147" s="864"/>
      <c r="H147" s="864">
        <v>0</v>
      </c>
      <c r="I147" s="864">
        <v>43762.589624832348</v>
      </c>
      <c r="J147" s="864">
        <v>45344.41763250919</v>
      </c>
      <c r="K147" s="864">
        <v>47009.517326966408</v>
      </c>
      <c r="L147" s="18" t="s">
        <v>3791</v>
      </c>
      <c r="M147" s="442"/>
      <c r="N147" s="578"/>
      <c r="P147" s="867"/>
      <c r="T147" s="527"/>
      <c r="U147" s="440"/>
      <c r="V147" s="440"/>
      <c r="W147" s="440"/>
      <c r="X147" s="442"/>
    </row>
    <row r="148" spans="1:24" x14ac:dyDescent="0.25">
      <c r="A148" s="862">
        <v>866</v>
      </c>
      <c r="B148" s="863" t="s">
        <v>5891</v>
      </c>
      <c r="C148" s="862">
        <v>866</v>
      </c>
      <c r="D148" s="165" t="s">
        <v>2142</v>
      </c>
      <c r="E148" s="165" t="s">
        <v>5892</v>
      </c>
      <c r="F148" s="163">
        <v>1</v>
      </c>
      <c r="G148" s="864"/>
      <c r="H148" s="864">
        <v>38813.714950414658</v>
      </c>
      <c r="I148" s="864">
        <v>0</v>
      </c>
      <c r="J148" s="864">
        <v>0</v>
      </c>
      <c r="K148" s="864">
        <v>0</v>
      </c>
      <c r="L148" s="18" t="s">
        <v>3792</v>
      </c>
      <c r="M148" s="442"/>
      <c r="N148" s="578"/>
      <c r="P148" s="867"/>
      <c r="T148" s="527"/>
      <c r="U148" s="440"/>
      <c r="V148" s="440"/>
      <c r="W148" s="440"/>
      <c r="X148" s="442"/>
    </row>
    <row r="149" spans="1:24" x14ac:dyDescent="0.25">
      <c r="A149" s="862">
        <v>867</v>
      </c>
      <c r="B149" s="863" t="s">
        <v>5893</v>
      </c>
      <c r="C149" s="862">
        <v>867</v>
      </c>
      <c r="D149" s="165" t="s">
        <v>2142</v>
      </c>
      <c r="E149" s="165" t="s">
        <v>5894</v>
      </c>
      <c r="F149" s="163">
        <v>1</v>
      </c>
      <c r="G149" s="864"/>
      <c r="H149" s="864">
        <v>0</v>
      </c>
      <c r="I149" s="864">
        <v>0</v>
      </c>
      <c r="J149" s="864">
        <v>51388.29709490676</v>
      </c>
      <c r="K149" s="864">
        <v>52690.912859893746</v>
      </c>
      <c r="L149" s="18" t="s">
        <v>4494</v>
      </c>
      <c r="M149" s="442"/>
      <c r="N149" s="578"/>
      <c r="P149" s="867"/>
      <c r="T149" s="527"/>
      <c r="U149" s="440"/>
      <c r="V149" s="440"/>
      <c r="W149" s="440"/>
      <c r="X149" s="442"/>
    </row>
    <row r="150" spans="1:24" x14ac:dyDescent="0.25">
      <c r="A150" s="862">
        <v>868</v>
      </c>
      <c r="B150" s="863" t="s">
        <v>5895</v>
      </c>
      <c r="C150" s="862">
        <v>868</v>
      </c>
      <c r="D150" s="165" t="s">
        <v>2142</v>
      </c>
      <c r="E150" s="165" t="s">
        <v>5896</v>
      </c>
      <c r="F150" s="163">
        <v>1</v>
      </c>
      <c r="G150" s="864"/>
      <c r="H150" s="864">
        <v>41595.804803355662</v>
      </c>
      <c r="I150" s="864">
        <v>42743.450578730197</v>
      </c>
      <c r="J150" s="864">
        <v>43951.490749925513</v>
      </c>
      <c r="K150" s="864">
        <v>45223.097291512073</v>
      </c>
      <c r="L150" s="18" t="s">
        <v>1756</v>
      </c>
      <c r="M150" s="442"/>
      <c r="N150" s="578"/>
      <c r="P150" s="867"/>
      <c r="T150" s="527"/>
      <c r="U150" s="440"/>
      <c r="V150" s="440"/>
      <c r="W150" s="440"/>
      <c r="X150" s="442"/>
    </row>
    <row r="151" spans="1:24" x14ac:dyDescent="0.25">
      <c r="A151" s="862">
        <v>869</v>
      </c>
      <c r="B151" s="863" t="s">
        <v>5897</v>
      </c>
      <c r="C151" s="862">
        <v>869</v>
      </c>
      <c r="D151" s="165" t="s">
        <v>2142</v>
      </c>
      <c r="E151" s="165" t="s">
        <v>5898</v>
      </c>
      <c r="F151" s="163">
        <v>1</v>
      </c>
      <c r="G151" s="864"/>
      <c r="H151" s="864">
        <v>38646.52906961109</v>
      </c>
      <c r="I151" s="864">
        <v>39707.871760873633</v>
      </c>
      <c r="J151" s="864">
        <v>40825.091956168697</v>
      </c>
      <c r="K151" s="864">
        <v>42001.107872101071</v>
      </c>
      <c r="L151" s="18" t="s">
        <v>1757</v>
      </c>
      <c r="M151" s="442"/>
      <c r="N151" s="578"/>
      <c r="P151" s="867"/>
      <c r="T151" s="527"/>
      <c r="U151" s="440"/>
      <c r="V151" s="440"/>
      <c r="W151" s="440"/>
      <c r="X151" s="442"/>
    </row>
    <row r="152" spans="1:24" x14ac:dyDescent="0.25">
      <c r="A152" s="862">
        <v>870</v>
      </c>
      <c r="B152" s="863" t="s">
        <v>5899</v>
      </c>
      <c r="C152" s="862">
        <v>870</v>
      </c>
      <c r="D152" s="165" t="s">
        <v>2142</v>
      </c>
      <c r="E152" s="165" t="s">
        <v>5900</v>
      </c>
      <c r="F152" s="163">
        <v>1</v>
      </c>
      <c r="G152" s="864"/>
      <c r="H152" s="864">
        <v>45810.278667615472</v>
      </c>
      <c r="I152" s="864">
        <v>46993.72969194092</v>
      </c>
      <c r="J152" s="864">
        <v>48239.478296829395</v>
      </c>
      <c r="K152" s="864">
        <v>49550.797960037606</v>
      </c>
      <c r="L152" s="18" t="s">
        <v>1758</v>
      </c>
      <c r="M152" s="442"/>
      <c r="N152" s="578"/>
      <c r="P152" s="867"/>
      <c r="T152" s="527"/>
      <c r="U152" s="440"/>
      <c r="V152" s="440"/>
      <c r="W152" s="440"/>
      <c r="X152" s="442"/>
    </row>
    <row r="153" spans="1:24" x14ac:dyDescent="0.25">
      <c r="A153" s="862">
        <v>871</v>
      </c>
      <c r="B153" s="863" t="s">
        <v>5901</v>
      </c>
      <c r="C153" s="862">
        <v>871</v>
      </c>
      <c r="D153" s="165" t="s">
        <v>2142</v>
      </c>
      <c r="E153" s="165" t="s">
        <v>5902</v>
      </c>
      <c r="F153" s="163">
        <v>1</v>
      </c>
      <c r="G153" s="864"/>
      <c r="H153" s="864">
        <v>43115.737491168875</v>
      </c>
      <c r="I153" s="864">
        <v>44225.801711833075</v>
      </c>
      <c r="J153" s="864">
        <v>45260.516525025843</v>
      </c>
      <c r="K153" s="864">
        <v>46624.271251408769</v>
      </c>
      <c r="L153" s="18" t="s">
        <v>1759</v>
      </c>
      <c r="M153" s="442"/>
      <c r="N153" s="578"/>
      <c r="P153" s="800"/>
      <c r="T153" s="527"/>
      <c r="U153" s="440"/>
      <c r="V153" s="440"/>
      <c r="W153" s="440"/>
      <c r="X153" s="442"/>
    </row>
    <row r="154" spans="1:24" x14ac:dyDescent="0.25">
      <c r="A154" s="862">
        <v>872</v>
      </c>
      <c r="B154" s="863" t="s">
        <v>5903</v>
      </c>
      <c r="C154" s="862">
        <v>872</v>
      </c>
      <c r="D154" s="165" t="s">
        <v>2142</v>
      </c>
      <c r="E154" s="165" t="s">
        <v>5904</v>
      </c>
      <c r="F154" s="163">
        <v>1</v>
      </c>
      <c r="G154" s="864"/>
      <c r="H154" s="864">
        <v>48535.082757158722</v>
      </c>
      <c r="I154" s="864">
        <v>49792.783362228554</v>
      </c>
      <c r="J154" s="864">
        <v>51116.664044735626</v>
      </c>
      <c r="K154" s="864">
        <v>52510.226664605681</v>
      </c>
      <c r="L154" s="18" t="s">
        <v>1760</v>
      </c>
      <c r="M154" s="442"/>
      <c r="N154" s="578"/>
      <c r="P154" s="800"/>
      <c r="T154" s="527"/>
      <c r="U154" s="440"/>
      <c r="V154" s="440"/>
      <c r="W154" s="440"/>
      <c r="X154" s="442"/>
    </row>
    <row r="155" spans="1:24" x14ac:dyDescent="0.25">
      <c r="A155" s="862">
        <v>873</v>
      </c>
      <c r="B155" s="863" t="s">
        <v>5905</v>
      </c>
      <c r="C155" s="862">
        <v>873</v>
      </c>
      <c r="D155" s="165" t="s">
        <v>2142</v>
      </c>
      <c r="E155" s="165" t="s">
        <v>5906</v>
      </c>
      <c r="F155" s="163">
        <v>1</v>
      </c>
      <c r="G155" s="864"/>
      <c r="H155" s="864">
        <v>53318.627714356851</v>
      </c>
      <c r="I155" s="864">
        <v>54706.607658982968</v>
      </c>
      <c r="J155" s="864">
        <v>56000.388797480337</v>
      </c>
      <c r="K155" s="864">
        <v>57705.595424230625</v>
      </c>
      <c r="L155" s="18" t="s">
        <v>1761</v>
      </c>
      <c r="M155" s="442"/>
      <c r="N155" s="578"/>
      <c r="P155" s="800"/>
      <c r="T155" s="527"/>
      <c r="U155" s="440"/>
      <c r="V155" s="440"/>
      <c r="W155" s="440"/>
      <c r="X155" s="442"/>
    </row>
    <row r="156" spans="1:24" x14ac:dyDescent="0.25">
      <c r="A156" s="862">
        <v>874</v>
      </c>
      <c r="B156" s="863" t="s">
        <v>5907</v>
      </c>
      <c r="C156" s="862">
        <v>874</v>
      </c>
      <c r="D156" s="165" t="s">
        <v>2142</v>
      </c>
      <c r="E156" s="165" t="s">
        <v>5908</v>
      </c>
      <c r="F156" s="163">
        <v>1</v>
      </c>
      <c r="G156" s="864"/>
      <c r="H156" s="864">
        <v>54711.305360123384</v>
      </c>
      <c r="I156" s="864">
        <v>56137.222120611776</v>
      </c>
      <c r="J156" s="864">
        <v>57638.200487334536</v>
      </c>
      <c r="K156" s="864">
        <v>59218.173708759023</v>
      </c>
      <c r="L156" s="18" t="s">
        <v>2908</v>
      </c>
      <c r="M156" s="442"/>
      <c r="N156" s="578"/>
      <c r="P156" s="800"/>
      <c r="T156" s="527"/>
      <c r="U156" s="440"/>
      <c r="V156" s="440"/>
      <c r="W156" s="440"/>
      <c r="X156" s="442"/>
    </row>
    <row r="157" spans="1:24" x14ac:dyDescent="0.25">
      <c r="A157" s="862">
        <v>875</v>
      </c>
      <c r="B157" s="863" t="s">
        <v>5909</v>
      </c>
      <c r="C157" s="862">
        <v>875</v>
      </c>
      <c r="D157" s="165" t="s">
        <v>2142</v>
      </c>
      <c r="E157" s="165" t="s">
        <v>5910</v>
      </c>
      <c r="F157" s="163">
        <v>1</v>
      </c>
      <c r="G157" s="864"/>
      <c r="H157" s="864">
        <v>0</v>
      </c>
      <c r="I157" s="864">
        <v>54356.922442140742</v>
      </c>
      <c r="J157" s="864">
        <v>55736.223864342217</v>
      </c>
      <c r="K157" s="864">
        <v>57188.125440511423</v>
      </c>
      <c r="L157" s="18" t="s">
        <v>3793</v>
      </c>
      <c r="M157" s="442"/>
      <c r="N157" s="578"/>
      <c r="P157" s="800"/>
      <c r="T157" s="527"/>
      <c r="U157" s="440"/>
      <c r="V157" s="440"/>
      <c r="W157" s="440"/>
      <c r="X157" s="442"/>
    </row>
    <row r="158" spans="1:24" x14ac:dyDescent="0.25">
      <c r="A158" s="862">
        <v>876</v>
      </c>
      <c r="B158" s="863" t="s">
        <v>5911</v>
      </c>
      <c r="C158" s="862">
        <v>876</v>
      </c>
      <c r="D158" s="165" t="s">
        <v>2142</v>
      </c>
      <c r="E158" s="165" t="s">
        <v>5912</v>
      </c>
      <c r="F158" s="163">
        <v>1</v>
      </c>
      <c r="G158" s="864"/>
      <c r="H158" s="864">
        <v>82183.716920963823</v>
      </c>
      <c r="I158" s="864">
        <v>84269.240365587888</v>
      </c>
      <c r="J158" s="864">
        <v>86450.616332789534</v>
      </c>
      <c r="K158" s="864">
        <v>88775.376533522489</v>
      </c>
      <c r="L158" s="18" t="s">
        <v>2909</v>
      </c>
      <c r="M158" s="442"/>
      <c r="N158" s="578"/>
      <c r="P158" s="800"/>
      <c r="T158" s="527"/>
      <c r="U158" s="440"/>
      <c r="V158" s="440"/>
      <c r="W158" s="440"/>
      <c r="X158" s="442"/>
    </row>
    <row r="159" spans="1:24" x14ac:dyDescent="0.25">
      <c r="A159" s="862">
        <v>877</v>
      </c>
      <c r="B159" s="863" t="s">
        <v>5913</v>
      </c>
      <c r="C159" s="862">
        <v>877</v>
      </c>
      <c r="D159" s="165" t="s">
        <v>2142</v>
      </c>
      <c r="E159" s="165" t="s">
        <v>5914</v>
      </c>
      <c r="F159" s="163">
        <v>1</v>
      </c>
      <c r="G159" s="864"/>
      <c r="H159" s="864">
        <v>93078.587096304895</v>
      </c>
      <c r="I159" s="864">
        <v>0</v>
      </c>
      <c r="J159" s="864">
        <v>0</v>
      </c>
      <c r="K159" s="864">
        <v>0</v>
      </c>
      <c r="L159" s="18" t="s">
        <v>2910</v>
      </c>
      <c r="M159" s="442"/>
      <c r="N159" s="578"/>
      <c r="P159" s="800"/>
      <c r="T159" s="527"/>
      <c r="U159" s="440"/>
      <c r="V159" s="440"/>
      <c r="W159" s="440"/>
      <c r="X159" s="442"/>
    </row>
    <row r="160" spans="1:24" x14ac:dyDescent="0.25">
      <c r="A160" s="862">
        <v>878</v>
      </c>
      <c r="B160" s="863" t="s">
        <v>5915</v>
      </c>
      <c r="C160" s="862">
        <v>878</v>
      </c>
      <c r="D160" s="165" t="s">
        <v>2142</v>
      </c>
      <c r="E160" s="165" t="s">
        <v>5916</v>
      </c>
      <c r="F160" s="163">
        <v>1</v>
      </c>
      <c r="G160" s="864"/>
      <c r="H160" s="864">
        <v>0</v>
      </c>
      <c r="I160" s="864">
        <v>0</v>
      </c>
      <c r="J160" s="864">
        <v>0</v>
      </c>
      <c r="K160" s="864">
        <v>106115.61737646598</v>
      </c>
      <c r="L160" s="18" t="s">
        <v>10803</v>
      </c>
      <c r="M160" s="442"/>
      <c r="N160" s="578"/>
      <c r="P160" s="800"/>
      <c r="T160" s="527"/>
      <c r="U160" s="440"/>
      <c r="V160" s="440"/>
      <c r="W160" s="440"/>
      <c r="X160" s="442"/>
    </row>
    <row r="161" spans="1:24" x14ac:dyDescent="0.25">
      <c r="A161" s="862">
        <v>879</v>
      </c>
      <c r="B161" s="863" t="s">
        <v>5917</v>
      </c>
      <c r="C161" s="862">
        <v>879</v>
      </c>
      <c r="D161" s="165" t="s">
        <v>2142</v>
      </c>
      <c r="E161" s="165" t="s">
        <v>5918</v>
      </c>
      <c r="F161" s="163">
        <v>1</v>
      </c>
      <c r="G161" s="864"/>
      <c r="H161" s="864">
        <v>91152.577692783379</v>
      </c>
      <c r="I161" s="864">
        <v>93400.423787021849</v>
      </c>
      <c r="J161" s="864">
        <v>0</v>
      </c>
      <c r="K161" s="864">
        <v>0</v>
      </c>
      <c r="L161" s="18" t="s">
        <v>1762</v>
      </c>
      <c r="M161" s="442"/>
      <c r="N161" s="578"/>
      <c r="P161" s="800"/>
      <c r="T161" s="527"/>
      <c r="U161" s="440"/>
      <c r="V161" s="440"/>
      <c r="W161" s="440"/>
      <c r="X161" s="442"/>
    </row>
    <row r="162" spans="1:24" x14ac:dyDescent="0.25">
      <c r="A162" s="862">
        <v>880</v>
      </c>
      <c r="B162" s="863" t="s">
        <v>5919</v>
      </c>
      <c r="C162" s="862">
        <v>880</v>
      </c>
      <c r="D162" s="165" t="s">
        <v>2142</v>
      </c>
      <c r="E162" s="165" t="s">
        <v>5920</v>
      </c>
      <c r="F162" s="163">
        <v>1</v>
      </c>
      <c r="G162" s="864"/>
      <c r="H162" s="864">
        <v>107857.51651236411</v>
      </c>
      <c r="I162" s="864">
        <v>0</v>
      </c>
      <c r="J162" s="864">
        <v>0</v>
      </c>
      <c r="K162" s="864">
        <v>0</v>
      </c>
      <c r="L162" s="18" t="s">
        <v>2911</v>
      </c>
      <c r="M162" s="442"/>
      <c r="N162" s="578"/>
      <c r="P162" s="800"/>
      <c r="T162" s="527"/>
      <c r="U162" s="440"/>
      <c r="V162" s="440"/>
      <c r="W162" s="440"/>
      <c r="X162" s="442"/>
    </row>
    <row r="163" spans="1:24" x14ac:dyDescent="0.25">
      <c r="A163" s="862">
        <v>881</v>
      </c>
      <c r="B163" s="863" t="s">
        <v>5921</v>
      </c>
      <c r="C163" s="862">
        <v>881</v>
      </c>
      <c r="D163" s="165" t="s">
        <v>2142</v>
      </c>
      <c r="E163" s="165" t="s">
        <v>5922</v>
      </c>
      <c r="F163" s="163">
        <v>1</v>
      </c>
      <c r="G163" s="864"/>
      <c r="H163" s="864">
        <v>0</v>
      </c>
      <c r="I163" s="864">
        <v>0</v>
      </c>
      <c r="J163" s="864">
        <v>118875.08277790147</v>
      </c>
      <c r="K163" s="864">
        <v>0</v>
      </c>
      <c r="L163" s="18" t="s">
        <v>4495</v>
      </c>
      <c r="M163" s="442"/>
      <c r="N163" s="578"/>
      <c r="P163" s="800"/>
      <c r="T163" s="527"/>
      <c r="U163" s="440"/>
      <c r="V163" s="440"/>
      <c r="W163" s="440"/>
      <c r="X163" s="442"/>
    </row>
    <row r="164" spans="1:24" x14ac:dyDescent="0.25">
      <c r="A164" s="862">
        <v>882</v>
      </c>
      <c r="B164" s="863" t="s">
        <v>5923</v>
      </c>
      <c r="C164" s="862">
        <v>882</v>
      </c>
      <c r="D164" s="165" t="s">
        <v>2142</v>
      </c>
      <c r="E164" s="165" t="s">
        <v>5924</v>
      </c>
      <c r="F164" s="163">
        <v>1</v>
      </c>
      <c r="G164" s="864"/>
      <c r="H164" s="864">
        <v>52176.986943396398</v>
      </c>
      <c r="I164" s="864">
        <v>53413.265066243592</v>
      </c>
      <c r="J164" s="864">
        <v>54714.612521787611</v>
      </c>
      <c r="K164" s="864">
        <v>56084.459169432695</v>
      </c>
      <c r="L164" s="18" t="s">
        <v>4496</v>
      </c>
      <c r="M164" s="442"/>
      <c r="N164" s="578"/>
      <c r="P164" s="800"/>
      <c r="T164" s="527"/>
      <c r="U164" s="440"/>
      <c r="V164" s="440"/>
      <c r="W164" s="440"/>
      <c r="X164" s="442"/>
    </row>
    <row r="165" spans="1:24" x14ac:dyDescent="0.25">
      <c r="A165" s="862">
        <v>883</v>
      </c>
      <c r="B165" s="863" t="s">
        <v>5925</v>
      </c>
      <c r="C165" s="862">
        <v>883</v>
      </c>
      <c r="D165" s="165" t="s">
        <v>2142</v>
      </c>
      <c r="E165" s="165" t="s">
        <v>5926</v>
      </c>
      <c r="F165" s="163">
        <v>1</v>
      </c>
      <c r="G165" s="864"/>
      <c r="H165" s="864">
        <v>0</v>
      </c>
      <c r="I165" s="864">
        <v>0</v>
      </c>
      <c r="J165" s="864">
        <v>0</v>
      </c>
      <c r="K165" s="864">
        <v>73491.380397045767</v>
      </c>
      <c r="L165" s="18" t="s">
        <v>10804</v>
      </c>
      <c r="M165" s="442"/>
      <c r="N165" s="578"/>
      <c r="P165" s="800"/>
      <c r="T165" s="527"/>
      <c r="U165" s="440"/>
      <c r="V165" s="440"/>
      <c r="W165" s="440"/>
      <c r="X165" s="442"/>
    </row>
    <row r="166" spans="1:24" x14ac:dyDescent="0.25">
      <c r="A166" s="862">
        <v>884</v>
      </c>
      <c r="B166" s="863" t="s">
        <v>5927</v>
      </c>
      <c r="C166" s="862">
        <v>884</v>
      </c>
      <c r="D166" s="165" t="s">
        <v>2142</v>
      </c>
      <c r="E166" s="165" t="s">
        <v>5928</v>
      </c>
      <c r="F166" s="163">
        <v>1</v>
      </c>
      <c r="G166" s="864"/>
      <c r="H166" s="864">
        <v>46945.981745319863</v>
      </c>
      <c r="I166" s="864">
        <v>0</v>
      </c>
      <c r="J166" s="864">
        <v>49989.945940868522</v>
      </c>
      <c r="K166" s="864">
        <v>0</v>
      </c>
      <c r="L166" s="18" t="s">
        <v>1763</v>
      </c>
      <c r="M166" s="442"/>
      <c r="N166" s="578"/>
      <c r="P166" s="800"/>
      <c r="T166" s="527"/>
      <c r="U166" s="440"/>
      <c r="V166" s="440"/>
      <c r="W166" s="440"/>
      <c r="X166" s="442"/>
    </row>
    <row r="167" spans="1:24" x14ac:dyDescent="0.25">
      <c r="A167" s="862">
        <v>885</v>
      </c>
      <c r="B167" s="863" t="s">
        <v>5929</v>
      </c>
      <c r="C167" s="862">
        <v>885</v>
      </c>
      <c r="D167" s="165" t="s">
        <v>2142</v>
      </c>
      <c r="E167" s="165" t="s">
        <v>5930</v>
      </c>
      <c r="F167" s="163">
        <v>1</v>
      </c>
      <c r="G167" s="864"/>
      <c r="H167" s="864">
        <v>0</v>
      </c>
      <c r="I167" s="864">
        <v>0</v>
      </c>
      <c r="J167" s="864">
        <v>46969.495274012188</v>
      </c>
      <c r="K167" s="864">
        <v>48396.339987072548</v>
      </c>
      <c r="L167" s="18" t="s">
        <v>10805</v>
      </c>
      <c r="M167" s="442"/>
      <c r="N167" s="578"/>
      <c r="P167" s="800"/>
      <c r="T167" s="527"/>
      <c r="U167" s="440"/>
      <c r="V167" s="440"/>
      <c r="W167" s="440"/>
      <c r="X167" s="442"/>
    </row>
    <row r="168" spans="1:24" x14ac:dyDescent="0.25">
      <c r="A168" s="862">
        <v>886</v>
      </c>
      <c r="B168" s="863" t="s">
        <v>5931</v>
      </c>
      <c r="C168" s="862">
        <v>886</v>
      </c>
      <c r="D168" s="165" t="s">
        <v>2142</v>
      </c>
      <c r="E168" s="165" t="s">
        <v>5932</v>
      </c>
      <c r="F168" s="163">
        <v>1</v>
      </c>
      <c r="G168" s="864"/>
      <c r="H168" s="864">
        <v>0</v>
      </c>
      <c r="I168" s="864">
        <v>42568.653350436325</v>
      </c>
      <c r="J168" s="864">
        <v>43921.297130407154</v>
      </c>
      <c r="K168" s="864">
        <v>45345.159050104296</v>
      </c>
      <c r="L168" s="18" t="s">
        <v>3794</v>
      </c>
      <c r="M168" s="442"/>
      <c r="N168" s="578"/>
      <c r="P168" s="800"/>
      <c r="T168" s="527"/>
      <c r="U168" s="440"/>
      <c r="V168" s="440"/>
      <c r="W168" s="440"/>
      <c r="X168" s="442"/>
    </row>
    <row r="169" spans="1:24" x14ac:dyDescent="0.25">
      <c r="A169" s="862">
        <v>887</v>
      </c>
      <c r="B169" s="863" t="s">
        <v>5933</v>
      </c>
      <c r="C169" s="862">
        <v>887</v>
      </c>
      <c r="D169" s="165" t="s">
        <v>2142</v>
      </c>
      <c r="E169" s="165" t="s">
        <v>5934</v>
      </c>
      <c r="F169" s="163">
        <v>1</v>
      </c>
      <c r="G169" s="864"/>
      <c r="H169" s="864">
        <v>41633.023284004586</v>
      </c>
      <c r="I169" s="864">
        <v>42554.557908725568</v>
      </c>
      <c r="J169" s="864">
        <v>43524.580945823691</v>
      </c>
      <c r="K169" s="864">
        <v>44545.659890052921</v>
      </c>
      <c r="L169" s="18" t="s">
        <v>3795</v>
      </c>
      <c r="M169" s="442"/>
      <c r="N169" s="578"/>
      <c r="P169" s="800"/>
      <c r="T169" s="527"/>
      <c r="U169" s="440"/>
      <c r="V169" s="440"/>
      <c r="W169" s="440"/>
      <c r="X169" s="442"/>
    </row>
    <row r="170" spans="1:24" x14ac:dyDescent="0.25">
      <c r="A170" s="862">
        <v>888</v>
      </c>
      <c r="B170" s="863" t="s">
        <v>5935</v>
      </c>
      <c r="C170" s="862">
        <v>888</v>
      </c>
      <c r="D170" s="165" t="s">
        <v>2142</v>
      </c>
      <c r="E170" s="165" t="s">
        <v>5936</v>
      </c>
      <c r="F170" s="163">
        <v>1</v>
      </c>
      <c r="G170" s="864"/>
      <c r="H170" s="864">
        <v>0</v>
      </c>
      <c r="I170" s="864">
        <v>40945.54616117206</v>
      </c>
      <c r="J170" s="864">
        <v>41876.801987404397</v>
      </c>
      <c r="K170" s="864">
        <v>42857.07540432192</v>
      </c>
      <c r="L170" s="18" t="s">
        <v>3796</v>
      </c>
      <c r="M170" s="442"/>
      <c r="N170" s="578"/>
      <c r="P170" s="800"/>
      <c r="T170" s="527"/>
      <c r="U170" s="440"/>
      <c r="V170" s="440"/>
      <c r="W170" s="440"/>
      <c r="X170" s="442"/>
    </row>
    <row r="171" spans="1:24" x14ac:dyDescent="0.25">
      <c r="A171" s="862">
        <v>889</v>
      </c>
      <c r="B171" s="863" t="s">
        <v>5937</v>
      </c>
      <c r="C171" s="862">
        <v>889</v>
      </c>
      <c r="D171" s="165" t="s">
        <v>2142</v>
      </c>
      <c r="E171" s="165" t="s">
        <v>5938</v>
      </c>
      <c r="F171" s="163">
        <v>1</v>
      </c>
      <c r="G171" s="864"/>
      <c r="H171" s="864">
        <v>0</v>
      </c>
      <c r="I171" s="864">
        <v>65698.969807500005</v>
      </c>
      <c r="J171" s="864">
        <v>67258.170879305922</v>
      </c>
      <c r="K171" s="864">
        <v>68899.429385809053</v>
      </c>
      <c r="L171" s="18" t="s">
        <v>3797</v>
      </c>
      <c r="M171" s="442"/>
      <c r="N171" s="578"/>
      <c r="P171" s="800"/>
      <c r="T171" s="527"/>
      <c r="U171" s="440"/>
      <c r="V171" s="440"/>
      <c r="W171" s="440"/>
      <c r="X171" s="442"/>
    </row>
    <row r="172" spans="1:24" x14ac:dyDescent="0.25">
      <c r="A172" s="862">
        <v>890</v>
      </c>
      <c r="B172" s="863" t="s">
        <v>5939</v>
      </c>
      <c r="C172" s="862">
        <v>890</v>
      </c>
      <c r="D172" s="165" t="s">
        <v>2142</v>
      </c>
      <c r="E172" s="165" t="s">
        <v>5940</v>
      </c>
      <c r="F172" s="163">
        <v>1</v>
      </c>
      <c r="G172" s="864"/>
      <c r="H172" s="864">
        <v>0</v>
      </c>
      <c r="I172" s="864">
        <v>73528.02617493931</v>
      </c>
      <c r="J172" s="864">
        <v>75231.939609625013</v>
      </c>
      <c r="K172" s="864">
        <v>77025.53558857202</v>
      </c>
      <c r="L172" s="18" t="s">
        <v>4497</v>
      </c>
      <c r="M172" s="442"/>
      <c r="N172" s="577"/>
      <c r="P172" s="800"/>
      <c r="T172" s="527"/>
      <c r="U172" s="440"/>
      <c r="V172" s="440"/>
      <c r="W172" s="440"/>
      <c r="X172" s="442"/>
    </row>
    <row r="173" spans="1:24" x14ac:dyDescent="0.25">
      <c r="A173" s="862">
        <v>891</v>
      </c>
      <c r="B173" s="863" t="s">
        <v>5941</v>
      </c>
      <c r="C173" s="862">
        <v>891</v>
      </c>
      <c r="D173" s="165" t="s">
        <v>2142</v>
      </c>
      <c r="E173" s="165" t="s">
        <v>5942</v>
      </c>
      <c r="F173" s="163">
        <v>1</v>
      </c>
      <c r="G173" s="864"/>
      <c r="H173" s="864">
        <v>0</v>
      </c>
      <c r="I173" s="864">
        <v>74789.209777821845</v>
      </c>
      <c r="J173" s="864">
        <v>76694.105623719763</v>
      </c>
      <c r="K173" s="864">
        <v>78699.272557218617</v>
      </c>
      <c r="L173" s="18" t="s">
        <v>4498</v>
      </c>
      <c r="M173" s="442"/>
      <c r="N173" s="577"/>
      <c r="P173" s="800"/>
      <c r="T173" s="527"/>
      <c r="U173" s="440"/>
      <c r="V173" s="440"/>
      <c r="W173" s="440"/>
      <c r="X173" s="442"/>
    </row>
    <row r="174" spans="1:24" x14ac:dyDescent="0.25">
      <c r="A174" s="862">
        <v>892</v>
      </c>
      <c r="B174" s="863" t="s">
        <v>5943</v>
      </c>
      <c r="C174" s="862">
        <v>892</v>
      </c>
      <c r="D174" s="165" t="s">
        <v>2142</v>
      </c>
      <c r="E174" s="165" t="s">
        <v>5944</v>
      </c>
      <c r="F174" s="163">
        <v>1</v>
      </c>
      <c r="G174" s="864"/>
      <c r="H174" s="864">
        <v>0</v>
      </c>
      <c r="I174" s="864">
        <v>0</v>
      </c>
      <c r="J174" s="864">
        <v>57406.074056580292</v>
      </c>
      <c r="K174" s="864">
        <v>59508.290456429095</v>
      </c>
      <c r="L174" s="18" t="s">
        <v>4499</v>
      </c>
      <c r="M174" s="442"/>
      <c r="N174" s="577"/>
      <c r="P174" s="800"/>
      <c r="T174" s="527"/>
      <c r="U174" s="440"/>
      <c r="V174" s="440"/>
      <c r="W174" s="440"/>
      <c r="X174" s="442"/>
    </row>
    <row r="175" spans="1:24" x14ac:dyDescent="0.25">
      <c r="A175" s="862">
        <v>893</v>
      </c>
      <c r="B175" s="863" t="s">
        <v>5945</v>
      </c>
      <c r="C175" s="862">
        <v>893</v>
      </c>
      <c r="D175" s="165" t="s">
        <v>2142</v>
      </c>
      <c r="E175" s="165" t="s">
        <v>5946</v>
      </c>
      <c r="F175" s="163">
        <v>1</v>
      </c>
      <c r="G175" s="864"/>
      <c r="H175" s="864">
        <v>37673.97054132176</v>
      </c>
      <c r="I175" s="864">
        <v>38632.062515088444</v>
      </c>
      <c r="J175" s="864">
        <v>39704.062413293279</v>
      </c>
      <c r="K175" s="864">
        <v>40768.994645371</v>
      </c>
      <c r="L175" s="18" t="s">
        <v>1764</v>
      </c>
      <c r="M175" s="442"/>
      <c r="N175" s="577"/>
      <c r="P175" s="800"/>
      <c r="T175" s="527"/>
      <c r="U175" s="440"/>
      <c r="V175" s="440"/>
      <c r="W175" s="440"/>
      <c r="X175" s="442"/>
    </row>
    <row r="176" spans="1:24" x14ac:dyDescent="0.25">
      <c r="A176" s="862">
        <v>894</v>
      </c>
      <c r="B176" s="863" t="s">
        <v>5947</v>
      </c>
      <c r="C176" s="862">
        <v>894</v>
      </c>
      <c r="D176" s="165" t="s">
        <v>2142</v>
      </c>
      <c r="E176" s="165" t="s">
        <v>5948</v>
      </c>
      <c r="F176" s="163">
        <v>1</v>
      </c>
      <c r="G176" s="864"/>
      <c r="H176" s="864">
        <v>25525.873662412036</v>
      </c>
      <c r="I176" s="864">
        <v>26156.123266994207</v>
      </c>
      <c r="J176" s="864">
        <v>26819.552813155253</v>
      </c>
      <c r="K176" s="864">
        <v>27517.897476411377</v>
      </c>
      <c r="L176" s="18" t="s">
        <v>1765</v>
      </c>
      <c r="M176" s="442"/>
      <c r="N176" s="577"/>
      <c r="P176" s="800"/>
      <c r="T176" s="527"/>
      <c r="U176" s="440"/>
      <c r="V176" s="440"/>
      <c r="W176" s="440"/>
      <c r="X176" s="442"/>
    </row>
    <row r="177" spans="1:24" x14ac:dyDescent="0.25">
      <c r="A177" s="862">
        <v>895</v>
      </c>
      <c r="B177" s="863" t="s">
        <v>5949</v>
      </c>
      <c r="C177" s="862">
        <v>895</v>
      </c>
      <c r="D177" s="165" t="s">
        <v>2142</v>
      </c>
      <c r="E177" s="165" t="s">
        <v>5950</v>
      </c>
      <c r="F177" s="163">
        <v>1</v>
      </c>
      <c r="G177" s="864"/>
      <c r="H177" s="864">
        <v>24819.803925710676</v>
      </c>
      <c r="I177" s="864">
        <v>25477.477767720284</v>
      </c>
      <c r="J177" s="864">
        <v>26169.770477346607</v>
      </c>
      <c r="K177" s="864">
        <v>26898.501872814002</v>
      </c>
      <c r="L177" s="18" t="s">
        <v>1766</v>
      </c>
      <c r="M177" s="442"/>
      <c r="N177" s="577"/>
      <c r="P177" s="800"/>
      <c r="T177" s="527"/>
      <c r="U177" s="440"/>
      <c r="V177" s="440"/>
      <c r="W177" s="440"/>
      <c r="X177" s="442"/>
    </row>
    <row r="178" spans="1:24" x14ac:dyDescent="0.25">
      <c r="A178" s="862">
        <v>896</v>
      </c>
      <c r="B178" s="863" t="s">
        <v>5951</v>
      </c>
      <c r="C178" s="862">
        <v>896</v>
      </c>
      <c r="D178" s="165" t="s">
        <v>2142</v>
      </c>
      <c r="E178" s="165" t="s">
        <v>5952</v>
      </c>
      <c r="F178" s="163">
        <v>1</v>
      </c>
      <c r="G178" s="864"/>
      <c r="H178" s="864">
        <v>0</v>
      </c>
      <c r="I178" s="864">
        <v>44647.939884754262</v>
      </c>
      <c r="J178" s="864">
        <v>45765.562202630041</v>
      </c>
      <c r="K178" s="864">
        <v>46942.011202641806</v>
      </c>
      <c r="L178" s="18" t="s">
        <v>3798</v>
      </c>
      <c r="M178" s="442"/>
      <c r="N178" s="577"/>
      <c r="P178" s="800"/>
      <c r="T178" s="527"/>
      <c r="U178" s="440"/>
      <c r="V178" s="440"/>
      <c r="W178" s="440"/>
      <c r="X178" s="442"/>
    </row>
    <row r="179" spans="1:24" x14ac:dyDescent="0.25">
      <c r="A179" s="862">
        <v>897</v>
      </c>
      <c r="B179" s="863" t="s">
        <v>5953</v>
      </c>
      <c r="C179" s="862">
        <v>897</v>
      </c>
      <c r="D179" s="165" t="s">
        <v>2142</v>
      </c>
      <c r="E179" s="165" t="s">
        <v>5954</v>
      </c>
      <c r="F179" s="163">
        <v>1</v>
      </c>
      <c r="G179" s="864"/>
      <c r="H179" s="864">
        <v>0</v>
      </c>
      <c r="I179" s="864">
        <v>45617.503398482149</v>
      </c>
      <c r="J179" s="864">
        <v>46760.624332175867</v>
      </c>
      <c r="K179" s="864">
        <v>47963.926231335317</v>
      </c>
      <c r="L179" s="18" t="s">
        <v>3799</v>
      </c>
      <c r="M179" s="442"/>
      <c r="N179" s="577"/>
      <c r="P179" s="800"/>
      <c r="T179" s="527"/>
      <c r="U179" s="440"/>
      <c r="V179" s="440"/>
      <c r="W179" s="440"/>
      <c r="X179" s="442"/>
    </row>
    <row r="180" spans="1:24" x14ac:dyDescent="0.25">
      <c r="A180" s="862">
        <v>898</v>
      </c>
      <c r="B180" s="863" t="s">
        <v>5955</v>
      </c>
      <c r="C180" s="862">
        <v>898</v>
      </c>
      <c r="D180" s="165" t="s">
        <v>2142</v>
      </c>
      <c r="E180" s="165" t="s">
        <v>5956</v>
      </c>
      <c r="F180" s="163">
        <v>1</v>
      </c>
      <c r="G180" s="864"/>
      <c r="H180" s="864">
        <v>34559.721476414037</v>
      </c>
      <c r="I180" s="864">
        <v>35478.539233617994</v>
      </c>
      <c r="J180" s="864">
        <v>36445.709137829414</v>
      </c>
      <c r="K180" s="864">
        <v>37463.791630968604</v>
      </c>
      <c r="L180" s="18" t="s">
        <v>883</v>
      </c>
      <c r="M180" s="442"/>
      <c r="N180" s="577"/>
      <c r="P180" s="800"/>
      <c r="T180" s="527"/>
      <c r="U180" s="440"/>
      <c r="V180" s="440"/>
      <c r="W180" s="440"/>
      <c r="X180" s="442"/>
    </row>
    <row r="181" spans="1:24" x14ac:dyDescent="0.25">
      <c r="A181" s="862">
        <v>899</v>
      </c>
      <c r="B181" s="863" t="s">
        <v>5957</v>
      </c>
      <c r="C181" s="862">
        <v>899</v>
      </c>
      <c r="D181" s="165" t="s">
        <v>2142</v>
      </c>
      <c r="E181" s="165" t="s">
        <v>5958</v>
      </c>
      <c r="F181" s="163">
        <v>1</v>
      </c>
      <c r="G181" s="864"/>
      <c r="H181" s="864">
        <v>42122.474413741722</v>
      </c>
      <c r="I181" s="864">
        <v>43255.840275325827</v>
      </c>
      <c r="J181" s="864">
        <v>44448.836924772979</v>
      </c>
      <c r="K181" s="864">
        <v>45704.63846363726</v>
      </c>
      <c r="L181" s="18" t="s">
        <v>884</v>
      </c>
      <c r="M181" s="442"/>
      <c r="N181" s="577"/>
      <c r="P181" s="800"/>
      <c r="T181" s="527"/>
      <c r="U181" s="440"/>
      <c r="V181" s="440"/>
      <c r="W181" s="440"/>
      <c r="X181" s="442"/>
    </row>
    <row r="182" spans="1:24" x14ac:dyDescent="0.25">
      <c r="A182" s="862">
        <v>900</v>
      </c>
      <c r="B182" s="863" t="s">
        <v>5959</v>
      </c>
      <c r="C182" s="862">
        <v>900</v>
      </c>
      <c r="D182" s="165" t="s">
        <v>2142</v>
      </c>
      <c r="E182" s="165" t="s">
        <v>5960</v>
      </c>
      <c r="F182" s="163">
        <v>1</v>
      </c>
      <c r="G182" s="864"/>
      <c r="H182" s="864">
        <v>0</v>
      </c>
      <c r="I182" s="864">
        <v>46295.626406118943</v>
      </c>
      <c r="J182" s="864">
        <v>47456.585790546706</v>
      </c>
      <c r="K182" s="864">
        <v>48678.657210229409</v>
      </c>
      <c r="L182" s="18" t="s">
        <v>3800</v>
      </c>
      <c r="M182" s="442"/>
      <c r="N182" s="577"/>
      <c r="P182" s="800"/>
      <c r="T182" s="527"/>
      <c r="U182" s="440"/>
      <c r="V182" s="440"/>
      <c r="W182" s="440"/>
      <c r="X182" s="442"/>
    </row>
    <row r="183" spans="1:24" x14ac:dyDescent="0.25">
      <c r="A183" s="862">
        <v>901</v>
      </c>
      <c r="B183" s="863" t="s">
        <v>5961</v>
      </c>
      <c r="C183" s="862">
        <v>901</v>
      </c>
      <c r="D183" s="165" t="s">
        <v>2143</v>
      </c>
      <c r="E183" s="165" t="s">
        <v>5962</v>
      </c>
      <c r="F183" s="163">
        <v>1</v>
      </c>
      <c r="G183" s="864"/>
      <c r="H183" s="864">
        <v>24143.974580371694</v>
      </c>
      <c r="I183" s="864">
        <v>24926.830654602472</v>
      </c>
      <c r="J183" s="864">
        <v>25750.922497199248</v>
      </c>
      <c r="K183" s="864">
        <v>26618.370092221176</v>
      </c>
      <c r="L183" s="18" t="s">
        <v>2912</v>
      </c>
      <c r="M183" s="442"/>
      <c r="N183" s="577"/>
      <c r="P183" s="800"/>
      <c r="T183" s="527"/>
      <c r="U183" s="440"/>
      <c r="V183" s="440"/>
      <c r="W183" s="440"/>
      <c r="X183" s="442"/>
    </row>
    <row r="184" spans="1:24" x14ac:dyDescent="0.25">
      <c r="A184" s="862">
        <v>902</v>
      </c>
      <c r="B184" s="863" t="s">
        <v>5963</v>
      </c>
      <c r="C184" s="862">
        <v>902</v>
      </c>
      <c r="D184" s="165" t="s">
        <v>2143</v>
      </c>
      <c r="E184" s="165" t="s">
        <v>5964</v>
      </c>
      <c r="F184" s="163">
        <v>1</v>
      </c>
      <c r="G184" s="864"/>
      <c r="H184" s="864">
        <v>27453.324755822323</v>
      </c>
      <c r="I184" s="864">
        <v>28354.733664105363</v>
      </c>
      <c r="J184" s="864">
        <v>29303.57201967228</v>
      </c>
      <c r="K184" s="864">
        <v>30302.375489731061</v>
      </c>
      <c r="L184" s="18" t="s">
        <v>2913</v>
      </c>
      <c r="M184" s="442"/>
      <c r="N184" s="577"/>
      <c r="P184" s="800"/>
      <c r="T184" s="527"/>
      <c r="U184" s="440"/>
      <c r="V184" s="440"/>
      <c r="W184" s="440"/>
      <c r="X184" s="442"/>
    </row>
    <row r="185" spans="1:24" x14ac:dyDescent="0.25">
      <c r="A185" s="862">
        <v>903</v>
      </c>
      <c r="B185" s="863" t="s">
        <v>5965</v>
      </c>
      <c r="C185" s="862">
        <v>903</v>
      </c>
      <c r="D185" s="165" t="s">
        <v>2143</v>
      </c>
      <c r="E185" s="165" t="s">
        <v>5966</v>
      </c>
      <c r="F185" s="163">
        <v>1</v>
      </c>
      <c r="G185" s="864"/>
      <c r="H185" s="864">
        <v>26837.631699924543</v>
      </c>
      <c r="I185" s="864">
        <v>27716.9678330036</v>
      </c>
      <c r="J185" s="864">
        <v>28642.611068864637</v>
      </c>
      <c r="K185" s="864">
        <v>29616.972369770985</v>
      </c>
      <c r="L185" s="18" t="s">
        <v>2914</v>
      </c>
      <c r="M185" s="442"/>
      <c r="N185" s="577"/>
      <c r="P185" s="800"/>
      <c r="T185" s="527"/>
      <c r="U185" s="440"/>
      <c r="V185" s="440"/>
      <c r="W185" s="440"/>
      <c r="X185" s="442"/>
    </row>
    <row r="186" spans="1:24" x14ac:dyDescent="0.25">
      <c r="A186" s="862">
        <v>904</v>
      </c>
      <c r="B186" s="863" t="s">
        <v>5967</v>
      </c>
      <c r="C186" s="862">
        <v>904</v>
      </c>
      <c r="D186" s="165" t="s">
        <v>2143</v>
      </c>
      <c r="E186" s="165" t="s">
        <v>5968</v>
      </c>
      <c r="F186" s="163">
        <v>1</v>
      </c>
      <c r="G186" s="864"/>
      <c r="H186" s="864">
        <v>0</v>
      </c>
      <c r="I186" s="864">
        <v>23203.943218242028</v>
      </c>
      <c r="J186" s="864">
        <v>23953.128957415887</v>
      </c>
      <c r="K186" s="864">
        <v>24741.763027415695</v>
      </c>
      <c r="L186" s="18" t="s">
        <v>3801</v>
      </c>
      <c r="M186" s="442"/>
      <c r="N186" s="577"/>
      <c r="P186" s="800"/>
      <c r="T186" s="527"/>
      <c r="U186" s="440"/>
      <c r="V186" s="440"/>
      <c r="W186" s="440"/>
      <c r="X186" s="442"/>
    </row>
    <row r="187" spans="1:24" x14ac:dyDescent="0.25">
      <c r="A187" s="862">
        <v>905</v>
      </c>
      <c r="B187" s="863" t="s">
        <v>5969</v>
      </c>
      <c r="C187" s="862">
        <v>905</v>
      </c>
      <c r="D187" s="165" t="s">
        <v>2143</v>
      </c>
      <c r="E187" s="165" t="s">
        <v>5970</v>
      </c>
      <c r="F187" s="163">
        <v>1</v>
      </c>
      <c r="G187" s="864"/>
      <c r="H187" s="864">
        <v>25298.399060180058</v>
      </c>
      <c r="I187" s="864">
        <v>26122.615607721495</v>
      </c>
      <c r="J187" s="864">
        <v>26990.229476002958</v>
      </c>
      <c r="K187" s="864">
        <v>27903.526922343128</v>
      </c>
      <c r="L187" s="18" t="s">
        <v>2915</v>
      </c>
      <c r="M187" s="442"/>
      <c r="N187" s="577"/>
      <c r="P187" s="800"/>
      <c r="T187" s="527"/>
      <c r="U187" s="440"/>
      <c r="V187" s="440"/>
      <c r="W187" s="440"/>
      <c r="X187" s="442"/>
    </row>
    <row r="188" spans="1:24" x14ac:dyDescent="0.25">
      <c r="A188" s="862">
        <v>906</v>
      </c>
      <c r="B188" s="863" t="s">
        <v>5971</v>
      </c>
      <c r="C188" s="862">
        <v>906</v>
      </c>
      <c r="D188" s="165" t="s">
        <v>2143</v>
      </c>
      <c r="E188" s="165" t="s">
        <v>5972</v>
      </c>
      <c r="F188" s="163">
        <v>1</v>
      </c>
      <c r="G188" s="864"/>
      <c r="H188" s="864">
        <v>0</v>
      </c>
      <c r="I188" s="864">
        <v>27053.653273792854</v>
      </c>
      <c r="J188" s="864">
        <v>27926.089066600995</v>
      </c>
      <c r="K188" s="864">
        <v>28844.457847357142</v>
      </c>
      <c r="L188" s="18" t="s">
        <v>4500</v>
      </c>
      <c r="M188" s="442"/>
      <c r="N188" s="577"/>
      <c r="P188" s="800"/>
      <c r="T188" s="527"/>
      <c r="U188" s="440"/>
      <c r="V188" s="440"/>
      <c r="W188" s="440"/>
      <c r="X188" s="442"/>
    </row>
    <row r="189" spans="1:24" x14ac:dyDescent="0.25">
      <c r="A189" s="862">
        <v>907</v>
      </c>
      <c r="B189" s="863" t="s">
        <v>5973</v>
      </c>
      <c r="C189" s="862">
        <v>907</v>
      </c>
      <c r="D189" s="165" t="s">
        <v>2143</v>
      </c>
      <c r="E189" s="165" t="s">
        <v>5974</v>
      </c>
      <c r="F189" s="163">
        <v>1</v>
      </c>
      <c r="G189" s="864"/>
      <c r="H189" s="864">
        <v>28607.74923563069</v>
      </c>
      <c r="I189" s="864">
        <v>29550.518617224385</v>
      </c>
      <c r="J189" s="864">
        <v>30542.878998475986</v>
      </c>
      <c r="K189" s="864">
        <v>31587.490751538127</v>
      </c>
      <c r="L189" s="18" t="s">
        <v>2916</v>
      </c>
      <c r="M189" s="442"/>
      <c r="N189" s="577"/>
      <c r="P189" s="800"/>
      <c r="T189" s="527"/>
      <c r="U189" s="440"/>
      <c r="V189" s="440"/>
      <c r="W189" s="440"/>
      <c r="X189" s="442"/>
    </row>
    <row r="190" spans="1:24" x14ac:dyDescent="0.25">
      <c r="A190" s="862">
        <v>908</v>
      </c>
      <c r="B190" s="863" t="s">
        <v>5975</v>
      </c>
      <c r="C190" s="862">
        <v>908</v>
      </c>
      <c r="D190" s="165" t="s">
        <v>2143</v>
      </c>
      <c r="E190" s="165" t="s">
        <v>5976</v>
      </c>
      <c r="F190" s="163">
        <v>1</v>
      </c>
      <c r="G190" s="864"/>
      <c r="H190" s="864">
        <v>27992.056179732899</v>
      </c>
      <c r="I190" s="864">
        <v>28912.794354437494</v>
      </c>
      <c r="J190" s="864">
        <v>29881.918047668336</v>
      </c>
      <c r="K190" s="864">
        <v>30902.087631578052</v>
      </c>
      <c r="L190" s="18" t="s">
        <v>2917</v>
      </c>
      <c r="M190" s="442"/>
      <c r="N190" s="577"/>
      <c r="P190" s="800"/>
      <c r="T190" s="527"/>
      <c r="U190" s="440"/>
      <c r="V190" s="440"/>
      <c r="W190" s="440"/>
      <c r="X190" s="442"/>
    </row>
    <row r="191" spans="1:24" x14ac:dyDescent="0.25">
      <c r="A191" s="862">
        <v>909</v>
      </c>
      <c r="B191" s="863" t="s">
        <v>5977</v>
      </c>
      <c r="C191" s="862">
        <v>909</v>
      </c>
      <c r="D191" s="165" t="s">
        <v>2143</v>
      </c>
      <c r="E191" s="165" t="s">
        <v>5978</v>
      </c>
      <c r="F191" s="163">
        <v>1</v>
      </c>
      <c r="G191" s="864"/>
      <c r="H191" s="864">
        <v>29069.519027554037</v>
      </c>
      <c r="I191" s="864">
        <v>30028.832598471992</v>
      </c>
      <c r="J191" s="864">
        <v>31038.610103660438</v>
      </c>
      <c r="K191" s="864">
        <v>32101.553483586911</v>
      </c>
      <c r="L191" s="18" t="s">
        <v>2918</v>
      </c>
      <c r="M191" s="442"/>
      <c r="N191" s="577"/>
      <c r="P191" s="800"/>
      <c r="T191" s="527"/>
      <c r="U191" s="440"/>
      <c r="V191" s="440"/>
      <c r="W191" s="440"/>
      <c r="X191" s="442"/>
    </row>
    <row r="192" spans="1:24" x14ac:dyDescent="0.25">
      <c r="A192" s="862">
        <v>910</v>
      </c>
      <c r="B192" s="863" t="s">
        <v>5979</v>
      </c>
      <c r="C192" s="862">
        <v>910</v>
      </c>
      <c r="D192" s="165" t="s">
        <v>2143</v>
      </c>
      <c r="E192" s="165" t="s">
        <v>5980</v>
      </c>
      <c r="F192" s="163">
        <v>1</v>
      </c>
      <c r="G192" s="864"/>
      <c r="H192" s="864">
        <v>20671.240055481099</v>
      </c>
      <c r="I192" s="864">
        <v>0</v>
      </c>
      <c r="J192" s="864">
        <v>0</v>
      </c>
      <c r="K192" s="864">
        <v>0</v>
      </c>
      <c r="L192" s="18" t="s">
        <v>885</v>
      </c>
      <c r="M192" s="442"/>
      <c r="N192" s="577"/>
      <c r="P192" s="800"/>
      <c r="T192" s="527"/>
      <c r="U192" s="440"/>
      <c r="V192" s="440"/>
      <c r="W192" s="440"/>
      <c r="X192" s="442"/>
    </row>
    <row r="193" spans="1:24" x14ac:dyDescent="0.25">
      <c r="A193" s="862">
        <v>911</v>
      </c>
      <c r="B193" s="863" t="s">
        <v>5981</v>
      </c>
      <c r="C193" s="862">
        <v>911</v>
      </c>
      <c r="D193" s="165" t="s">
        <v>2143</v>
      </c>
      <c r="E193" s="165" t="s">
        <v>5982</v>
      </c>
      <c r="F193" s="163">
        <v>1</v>
      </c>
      <c r="G193" s="864"/>
      <c r="H193" s="864">
        <v>21384.993868147769</v>
      </c>
      <c r="I193" s="864">
        <v>0</v>
      </c>
      <c r="J193" s="864">
        <v>0</v>
      </c>
      <c r="K193" s="864">
        <v>0</v>
      </c>
      <c r="L193" s="18" t="s">
        <v>886</v>
      </c>
      <c r="M193" s="442"/>
      <c r="N193" s="577"/>
      <c r="P193" s="800"/>
      <c r="T193" s="527"/>
      <c r="U193" s="440"/>
      <c r="V193" s="440"/>
      <c r="W193" s="440"/>
      <c r="X193" s="442"/>
    </row>
    <row r="194" spans="1:24" x14ac:dyDescent="0.25">
      <c r="A194" s="862">
        <v>912</v>
      </c>
      <c r="B194" s="863" t="s">
        <v>5983</v>
      </c>
      <c r="C194" s="862">
        <v>912</v>
      </c>
      <c r="D194" s="165" t="s">
        <v>2143</v>
      </c>
      <c r="E194" s="165" t="s">
        <v>5984</v>
      </c>
      <c r="F194" s="163">
        <v>1</v>
      </c>
      <c r="G194" s="864"/>
      <c r="H194" s="864">
        <v>22644.712692150773</v>
      </c>
      <c r="I194" s="864">
        <v>0</v>
      </c>
      <c r="J194" s="864">
        <v>0</v>
      </c>
      <c r="K194" s="864">
        <v>0</v>
      </c>
      <c r="L194" s="18" t="s">
        <v>887</v>
      </c>
      <c r="M194" s="442"/>
      <c r="N194" s="577"/>
      <c r="P194" s="800"/>
      <c r="T194" s="527"/>
      <c r="U194" s="440"/>
      <c r="V194" s="440"/>
      <c r="W194" s="440"/>
      <c r="X194" s="442"/>
    </row>
    <row r="195" spans="1:24" x14ac:dyDescent="0.25">
      <c r="A195" s="862">
        <v>913</v>
      </c>
      <c r="B195" s="863" t="s">
        <v>5985</v>
      </c>
      <c r="C195" s="862">
        <v>913</v>
      </c>
      <c r="D195" s="165" t="s">
        <v>2143</v>
      </c>
      <c r="E195" s="165" t="s">
        <v>5986</v>
      </c>
      <c r="F195" s="163">
        <v>1</v>
      </c>
      <c r="G195" s="864"/>
      <c r="H195" s="864">
        <v>21901.905339420133</v>
      </c>
      <c r="I195" s="864">
        <v>0</v>
      </c>
      <c r="J195" s="864">
        <v>0</v>
      </c>
      <c r="K195" s="864">
        <v>0</v>
      </c>
      <c r="L195" s="18" t="s">
        <v>888</v>
      </c>
      <c r="M195" s="442"/>
      <c r="N195" s="577"/>
      <c r="P195" s="800"/>
      <c r="T195" s="527"/>
      <c r="U195" s="440"/>
      <c r="V195" s="440"/>
      <c r="W195" s="440"/>
      <c r="X195" s="442"/>
    </row>
    <row r="196" spans="1:24" x14ac:dyDescent="0.25">
      <c r="A196" s="862">
        <v>914</v>
      </c>
      <c r="B196" s="863" t="s">
        <v>5987</v>
      </c>
      <c r="C196" s="862">
        <v>914</v>
      </c>
      <c r="D196" s="165" t="s">
        <v>2143</v>
      </c>
      <c r="E196" s="165" t="s">
        <v>5988</v>
      </c>
      <c r="F196" s="163">
        <v>1</v>
      </c>
      <c r="G196" s="864"/>
      <c r="H196" s="864">
        <v>25234.056201339932</v>
      </c>
      <c r="I196" s="864">
        <v>0</v>
      </c>
      <c r="J196" s="864">
        <v>0</v>
      </c>
      <c r="K196" s="864">
        <v>0</v>
      </c>
      <c r="L196" s="18" t="s">
        <v>889</v>
      </c>
      <c r="M196" s="442"/>
      <c r="N196" s="577"/>
      <c r="P196" s="800"/>
      <c r="T196" s="527"/>
      <c r="U196" s="440"/>
      <c r="V196" s="440"/>
      <c r="W196" s="440"/>
      <c r="X196" s="442"/>
    </row>
    <row r="197" spans="1:24" x14ac:dyDescent="0.25">
      <c r="A197" s="862">
        <v>915</v>
      </c>
      <c r="B197" s="863" t="s">
        <v>5989</v>
      </c>
      <c r="C197" s="862">
        <v>915</v>
      </c>
      <c r="D197" s="165" t="s">
        <v>2143</v>
      </c>
      <c r="E197" s="165" t="s">
        <v>5990</v>
      </c>
      <c r="F197" s="163">
        <v>1</v>
      </c>
      <c r="G197" s="864"/>
      <c r="H197" s="864">
        <v>22927.425102440251</v>
      </c>
      <c r="I197" s="864">
        <v>0</v>
      </c>
      <c r="J197" s="864">
        <v>0</v>
      </c>
      <c r="K197" s="864">
        <v>0</v>
      </c>
      <c r="L197" s="18" t="s">
        <v>890</v>
      </c>
      <c r="M197" s="442"/>
      <c r="N197" s="577"/>
      <c r="P197" s="800"/>
      <c r="T197" s="527"/>
      <c r="U197" s="440"/>
      <c r="V197" s="440"/>
      <c r="W197" s="440"/>
      <c r="X197" s="442"/>
    </row>
    <row r="198" spans="1:24" x14ac:dyDescent="0.25">
      <c r="A198" s="862">
        <v>916</v>
      </c>
      <c r="B198" s="863" t="s">
        <v>5991</v>
      </c>
      <c r="C198" s="862">
        <v>916</v>
      </c>
      <c r="D198" s="165" t="s">
        <v>2143</v>
      </c>
      <c r="E198" s="165" t="s">
        <v>5992</v>
      </c>
      <c r="F198" s="163">
        <v>1</v>
      </c>
      <c r="G198" s="864"/>
      <c r="H198" s="864">
        <v>23974.378945651813</v>
      </c>
      <c r="I198" s="864">
        <v>0</v>
      </c>
      <c r="J198" s="864">
        <v>0</v>
      </c>
      <c r="K198" s="864">
        <v>0</v>
      </c>
      <c r="L198" s="18" t="s">
        <v>891</v>
      </c>
      <c r="M198" s="442"/>
      <c r="N198" s="577"/>
      <c r="P198" s="800"/>
      <c r="T198" s="527"/>
      <c r="U198" s="440"/>
      <c r="V198" s="440"/>
      <c r="W198" s="440"/>
      <c r="X198" s="442"/>
    </row>
    <row r="199" spans="1:24" x14ac:dyDescent="0.25">
      <c r="A199" s="862">
        <v>917</v>
      </c>
      <c r="B199" s="863" t="s">
        <v>5993</v>
      </c>
      <c r="C199" s="862">
        <v>917</v>
      </c>
      <c r="D199" s="165" t="s">
        <v>2143</v>
      </c>
      <c r="E199" s="165" t="s">
        <v>5994</v>
      </c>
      <c r="F199" s="163">
        <v>1</v>
      </c>
      <c r="G199" s="864"/>
      <c r="H199" s="864">
        <v>23200.910895350586</v>
      </c>
      <c r="I199" s="864">
        <v>0</v>
      </c>
      <c r="J199" s="864">
        <v>0</v>
      </c>
      <c r="K199" s="864">
        <v>0</v>
      </c>
      <c r="L199" s="18" t="s">
        <v>892</v>
      </c>
      <c r="M199" s="442"/>
      <c r="N199" s="577"/>
      <c r="P199" s="800"/>
      <c r="T199" s="527"/>
      <c r="U199" s="440"/>
      <c r="V199" s="440"/>
      <c r="W199" s="440"/>
      <c r="X199" s="442"/>
    </row>
    <row r="200" spans="1:24" x14ac:dyDescent="0.25">
      <c r="A200" s="862">
        <v>918</v>
      </c>
      <c r="B200" s="863" t="s">
        <v>5995</v>
      </c>
      <c r="C200" s="862">
        <v>918</v>
      </c>
      <c r="D200" s="165" t="s">
        <v>2143</v>
      </c>
      <c r="E200" s="165" t="s">
        <v>5996</v>
      </c>
      <c r="F200" s="163">
        <v>1</v>
      </c>
      <c r="G200" s="864"/>
      <c r="H200" s="864">
        <v>21696.759818501221</v>
      </c>
      <c r="I200" s="864">
        <v>0</v>
      </c>
      <c r="J200" s="864">
        <v>0</v>
      </c>
      <c r="K200" s="864">
        <v>0</v>
      </c>
      <c r="L200" s="18" t="s">
        <v>893</v>
      </c>
      <c r="M200" s="442"/>
      <c r="N200" s="577"/>
      <c r="P200" s="800"/>
      <c r="T200" s="527"/>
      <c r="U200" s="440"/>
      <c r="V200" s="440"/>
      <c r="W200" s="440"/>
      <c r="X200" s="442"/>
    </row>
    <row r="201" spans="1:24" x14ac:dyDescent="0.25">
      <c r="A201" s="862">
        <v>919</v>
      </c>
      <c r="B201" s="863" t="s">
        <v>5997</v>
      </c>
      <c r="C201" s="862">
        <v>919</v>
      </c>
      <c r="D201" s="165" t="s">
        <v>2143</v>
      </c>
      <c r="E201" s="165" t="s">
        <v>5998</v>
      </c>
      <c r="F201" s="163">
        <v>1</v>
      </c>
      <c r="G201" s="864"/>
      <c r="H201" s="864">
        <v>22434.745698711977</v>
      </c>
      <c r="I201" s="864">
        <v>0</v>
      </c>
      <c r="J201" s="864">
        <v>0</v>
      </c>
      <c r="K201" s="864">
        <v>0</v>
      </c>
      <c r="L201" s="18" t="s">
        <v>894</v>
      </c>
      <c r="M201" s="442"/>
      <c r="N201" s="577"/>
      <c r="P201" s="800"/>
      <c r="T201" s="527"/>
      <c r="U201" s="440"/>
      <c r="V201" s="440"/>
      <c r="W201" s="440"/>
      <c r="X201" s="442"/>
    </row>
    <row r="202" spans="1:24" x14ac:dyDescent="0.25">
      <c r="A202" s="862">
        <v>920</v>
      </c>
      <c r="B202" s="863" t="s">
        <v>5999</v>
      </c>
      <c r="C202" s="862">
        <v>920</v>
      </c>
      <c r="D202" s="165" t="s">
        <v>2143</v>
      </c>
      <c r="E202" s="165" t="s">
        <v>6000</v>
      </c>
      <c r="F202" s="163">
        <v>1</v>
      </c>
      <c r="G202" s="864"/>
      <c r="H202" s="864">
        <v>23694.422954400092</v>
      </c>
      <c r="I202" s="864">
        <v>0</v>
      </c>
      <c r="J202" s="864">
        <v>0</v>
      </c>
      <c r="K202" s="864">
        <v>0</v>
      </c>
      <c r="L202" s="18" t="s">
        <v>895</v>
      </c>
      <c r="M202" s="442"/>
      <c r="N202" s="577"/>
      <c r="P202" s="800"/>
      <c r="T202" s="527"/>
      <c r="U202" s="440"/>
      <c r="V202" s="440"/>
      <c r="W202" s="440"/>
      <c r="X202" s="442"/>
    </row>
    <row r="203" spans="1:24" x14ac:dyDescent="0.25">
      <c r="A203" s="862">
        <v>921</v>
      </c>
      <c r="B203" s="863" t="s">
        <v>6001</v>
      </c>
      <c r="C203" s="862">
        <v>921</v>
      </c>
      <c r="D203" s="165" t="s">
        <v>2143</v>
      </c>
      <c r="E203" s="165" t="s">
        <v>6002</v>
      </c>
      <c r="F203" s="163">
        <v>1</v>
      </c>
      <c r="G203" s="864"/>
      <c r="H203" s="864">
        <v>22927.425102440251</v>
      </c>
      <c r="I203" s="864">
        <v>0</v>
      </c>
      <c r="J203" s="864">
        <v>0</v>
      </c>
      <c r="K203" s="864">
        <v>0</v>
      </c>
      <c r="L203" s="18" t="s">
        <v>896</v>
      </c>
      <c r="M203" s="442"/>
      <c r="N203" s="577"/>
      <c r="P203" s="800"/>
      <c r="T203" s="527"/>
      <c r="U203" s="440"/>
      <c r="V203" s="440"/>
      <c r="W203" s="440"/>
      <c r="X203" s="442"/>
    </row>
    <row r="204" spans="1:24" x14ac:dyDescent="0.25">
      <c r="A204" s="862">
        <v>922</v>
      </c>
      <c r="B204" s="863" t="s">
        <v>6003</v>
      </c>
      <c r="C204" s="862">
        <v>922</v>
      </c>
      <c r="D204" s="165" t="s">
        <v>2143</v>
      </c>
      <c r="E204" s="165" t="s">
        <v>6004</v>
      </c>
      <c r="F204" s="163">
        <v>1</v>
      </c>
      <c r="G204" s="864"/>
      <c r="H204" s="864">
        <v>26283.766463589254</v>
      </c>
      <c r="I204" s="864">
        <v>0</v>
      </c>
      <c r="J204" s="864">
        <v>0</v>
      </c>
      <c r="K204" s="864">
        <v>0</v>
      </c>
      <c r="L204" s="18" t="s">
        <v>897</v>
      </c>
      <c r="M204" s="442"/>
      <c r="N204" s="577"/>
      <c r="P204" s="800"/>
      <c r="T204" s="527"/>
      <c r="U204" s="440"/>
      <c r="V204" s="440"/>
      <c r="W204" s="440"/>
      <c r="X204" s="442"/>
    </row>
    <row r="205" spans="1:24" x14ac:dyDescent="0.25">
      <c r="A205" s="862">
        <v>923</v>
      </c>
      <c r="B205" s="863" t="s">
        <v>6005</v>
      </c>
      <c r="C205" s="862">
        <v>923</v>
      </c>
      <c r="D205" s="165" t="s">
        <v>2143</v>
      </c>
      <c r="E205" s="165" t="s">
        <v>6006</v>
      </c>
      <c r="F205" s="163">
        <v>1</v>
      </c>
      <c r="G205" s="864"/>
      <c r="H205" s="864">
        <v>23952.94486546038</v>
      </c>
      <c r="I205" s="864">
        <v>0</v>
      </c>
      <c r="J205" s="864">
        <v>0</v>
      </c>
      <c r="K205" s="864">
        <v>0</v>
      </c>
      <c r="L205" s="18" t="s">
        <v>898</v>
      </c>
      <c r="M205" s="442"/>
      <c r="N205" s="577"/>
      <c r="P205" s="786"/>
      <c r="T205" s="527"/>
      <c r="U205" s="440"/>
      <c r="V205" s="440"/>
      <c r="W205" s="440"/>
      <c r="X205" s="442"/>
    </row>
    <row r="206" spans="1:24" x14ac:dyDescent="0.25">
      <c r="A206" s="862">
        <v>924</v>
      </c>
      <c r="B206" s="863" t="s">
        <v>6007</v>
      </c>
      <c r="C206" s="862">
        <v>924</v>
      </c>
      <c r="D206" s="165" t="s">
        <v>2143</v>
      </c>
      <c r="E206" s="165" t="s">
        <v>6008</v>
      </c>
      <c r="F206" s="163">
        <v>1</v>
      </c>
      <c r="G206" s="864"/>
      <c r="H206" s="864">
        <v>25024.089207901136</v>
      </c>
      <c r="I206" s="864">
        <v>0</v>
      </c>
      <c r="J206" s="864">
        <v>0</v>
      </c>
      <c r="K206" s="864">
        <v>0</v>
      </c>
      <c r="L206" s="18" t="s">
        <v>899</v>
      </c>
      <c r="M206" s="442"/>
      <c r="N206" s="577"/>
      <c r="P206" s="786"/>
      <c r="T206" s="527"/>
      <c r="U206" s="440"/>
      <c r="V206" s="440"/>
      <c r="W206" s="440"/>
      <c r="X206" s="442"/>
    </row>
    <row r="207" spans="1:24" x14ac:dyDescent="0.25">
      <c r="A207" s="862">
        <v>925</v>
      </c>
      <c r="B207" s="863" t="s">
        <v>6009</v>
      </c>
      <c r="C207" s="862">
        <v>925</v>
      </c>
      <c r="D207" s="165" t="s">
        <v>2143</v>
      </c>
      <c r="E207" s="165" t="s">
        <v>6010</v>
      </c>
      <c r="F207" s="163">
        <v>1</v>
      </c>
      <c r="G207" s="864"/>
      <c r="H207" s="864">
        <v>25050.439364337719</v>
      </c>
      <c r="I207" s="864">
        <v>25917.803822729871</v>
      </c>
      <c r="J207" s="864">
        <v>26830.810290865844</v>
      </c>
      <c r="K207" s="864">
        <v>27791.869731008974</v>
      </c>
      <c r="L207" s="18" t="s">
        <v>900</v>
      </c>
      <c r="M207" s="442"/>
      <c r="N207" s="577"/>
      <c r="P207" s="786"/>
      <c r="T207" s="527"/>
      <c r="U207" s="440"/>
      <c r="V207" s="440"/>
      <c r="W207" s="440"/>
      <c r="X207" s="442"/>
    </row>
    <row r="208" spans="1:24" x14ac:dyDescent="0.25">
      <c r="A208" s="862">
        <v>926</v>
      </c>
      <c r="B208" s="863" t="s">
        <v>6011</v>
      </c>
      <c r="C208" s="862">
        <v>926</v>
      </c>
      <c r="D208" s="165" t="s">
        <v>2143</v>
      </c>
      <c r="E208" s="165" t="s">
        <v>6012</v>
      </c>
      <c r="F208" s="163">
        <v>1</v>
      </c>
      <c r="G208" s="864"/>
      <c r="H208" s="864">
        <v>27628.76414550102</v>
      </c>
      <c r="I208" s="864">
        <v>0</v>
      </c>
      <c r="J208" s="864">
        <v>0</v>
      </c>
      <c r="K208" s="864">
        <v>0</v>
      </c>
      <c r="L208" s="18" t="s">
        <v>901</v>
      </c>
      <c r="M208" s="442"/>
      <c r="N208" s="577"/>
      <c r="P208" s="786"/>
      <c r="T208" s="527"/>
      <c r="U208" s="440"/>
      <c r="V208" s="440"/>
      <c r="W208" s="440"/>
      <c r="X208" s="442"/>
    </row>
    <row r="209" spans="1:24" x14ac:dyDescent="0.25">
      <c r="A209" s="862">
        <v>927</v>
      </c>
      <c r="B209" s="863" t="s">
        <v>6013</v>
      </c>
      <c r="C209" s="862">
        <v>927</v>
      </c>
      <c r="D209" s="165" t="s">
        <v>2143</v>
      </c>
      <c r="E209" s="165" t="s">
        <v>6014</v>
      </c>
      <c r="F209" s="163">
        <v>1</v>
      </c>
      <c r="G209" s="864"/>
      <c r="H209" s="864">
        <v>33854.815202838086</v>
      </c>
      <c r="I209" s="864">
        <v>0</v>
      </c>
      <c r="J209" s="864">
        <v>0</v>
      </c>
      <c r="K209" s="864">
        <v>0</v>
      </c>
      <c r="L209" s="18" t="s">
        <v>902</v>
      </c>
      <c r="M209" s="442"/>
      <c r="N209" s="577"/>
      <c r="P209" s="786"/>
      <c r="T209" s="527"/>
      <c r="U209" s="440"/>
      <c r="V209" s="440"/>
      <c r="W209" s="440"/>
      <c r="X209" s="442"/>
    </row>
    <row r="210" spans="1:24" x14ac:dyDescent="0.25">
      <c r="A210" s="862">
        <v>928</v>
      </c>
      <c r="B210" s="863" t="s">
        <v>6015</v>
      </c>
      <c r="C210" s="862">
        <v>928</v>
      </c>
      <c r="D210" s="165" t="s">
        <v>2143</v>
      </c>
      <c r="E210" s="165" t="s">
        <v>6016</v>
      </c>
      <c r="F210" s="163">
        <v>1</v>
      </c>
      <c r="G210" s="864"/>
      <c r="H210" s="864">
        <v>32749.461302365264</v>
      </c>
      <c r="I210" s="864">
        <v>33841.959754175019</v>
      </c>
      <c r="J210" s="864">
        <v>0</v>
      </c>
      <c r="K210" s="864">
        <v>0</v>
      </c>
      <c r="L210" s="18" t="s">
        <v>903</v>
      </c>
      <c r="M210" s="442"/>
      <c r="N210" s="577"/>
      <c r="P210" s="578"/>
      <c r="T210" s="527"/>
      <c r="U210" s="440"/>
      <c r="V210" s="440"/>
      <c r="W210" s="440"/>
      <c r="X210" s="442"/>
    </row>
    <row r="211" spans="1:24" x14ac:dyDescent="0.25">
      <c r="A211" s="862">
        <v>929</v>
      </c>
      <c r="B211" s="863" t="s">
        <v>6017</v>
      </c>
      <c r="C211" s="862">
        <v>929</v>
      </c>
      <c r="D211" s="165" t="s">
        <v>2143</v>
      </c>
      <c r="E211" s="165" t="s">
        <v>6018</v>
      </c>
      <c r="F211" s="163">
        <v>1</v>
      </c>
      <c r="G211" s="864"/>
      <c r="H211" s="864">
        <v>28741.959179601934</v>
      </c>
      <c r="I211" s="864">
        <v>29690.922240113516</v>
      </c>
      <c r="J211" s="864">
        <v>30689.850415116951</v>
      </c>
      <c r="K211" s="864">
        <v>31741.36250845002</v>
      </c>
      <c r="L211" s="18" t="s">
        <v>904</v>
      </c>
      <c r="M211" s="442"/>
      <c r="N211" s="577"/>
      <c r="P211" s="578"/>
      <c r="T211" s="527"/>
      <c r="U211" s="440"/>
      <c r="V211" s="440"/>
      <c r="W211" s="440"/>
      <c r="X211" s="442"/>
    </row>
    <row r="212" spans="1:24" x14ac:dyDescent="0.25">
      <c r="A212" s="862">
        <v>930</v>
      </c>
      <c r="B212" s="863" t="s">
        <v>6019</v>
      </c>
      <c r="C212" s="862">
        <v>930</v>
      </c>
      <c r="D212" s="165" t="s">
        <v>2143</v>
      </c>
      <c r="E212" s="165" t="s">
        <v>6020</v>
      </c>
      <c r="F212" s="163">
        <v>1</v>
      </c>
      <c r="G212" s="864"/>
      <c r="H212" s="864">
        <v>34774.553989758882</v>
      </c>
      <c r="I212" s="864">
        <v>35996.163627601716</v>
      </c>
      <c r="J212" s="864">
        <v>37282.079448571778</v>
      </c>
      <c r="K212" s="864">
        <v>38635.710054489638</v>
      </c>
      <c r="L212" s="18" t="s">
        <v>905</v>
      </c>
      <c r="M212" s="442"/>
      <c r="N212" s="577"/>
      <c r="P212" s="578"/>
      <c r="T212" s="527"/>
      <c r="U212" s="440"/>
      <c r="V212" s="440"/>
      <c r="W212" s="440"/>
      <c r="X212" s="442"/>
    </row>
    <row r="213" spans="1:24" x14ac:dyDescent="0.25">
      <c r="A213" s="862">
        <v>931</v>
      </c>
      <c r="B213" s="863" t="s">
        <v>6021</v>
      </c>
      <c r="C213" s="862">
        <v>931</v>
      </c>
      <c r="D213" s="165" t="s">
        <v>2143</v>
      </c>
      <c r="E213" s="165" t="s">
        <v>6022</v>
      </c>
      <c r="F213" s="163">
        <v>1</v>
      </c>
      <c r="G213" s="864"/>
      <c r="H213" s="864">
        <v>33862.656336466178</v>
      </c>
      <c r="I213" s="864">
        <v>34995.060370565625</v>
      </c>
      <c r="J213" s="864">
        <v>0</v>
      </c>
      <c r="K213" s="864">
        <v>0</v>
      </c>
      <c r="L213" s="18" t="s">
        <v>906</v>
      </c>
      <c r="M213" s="442"/>
      <c r="N213" s="577"/>
      <c r="P213" s="578"/>
      <c r="T213" s="527"/>
      <c r="U213" s="440"/>
      <c r="V213" s="440"/>
      <c r="W213" s="440"/>
      <c r="X213" s="442"/>
    </row>
    <row r="214" spans="1:24" x14ac:dyDescent="0.25">
      <c r="A214" s="862">
        <v>932</v>
      </c>
      <c r="B214" s="863" t="s">
        <v>6023</v>
      </c>
      <c r="C214" s="862">
        <v>932</v>
      </c>
      <c r="D214" s="165" t="s">
        <v>2143</v>
      </c>
      <c r="E214" s="165" t="s">
        <v>6024</v>
      </c>
      <c r="F214" s="163">
        <v>1</v>
      </c>
      <c r="G214" s="864"/>
      <c r="H214" s="864">
        <v>34261.048210359826</v>
      </c>
      <c r="I214" s="864">
        <v>35461.956827389891</v>
      </c>
      <c r="J214" s="864">
        <v>36726.049283045286</v>
      </c>
      <c r="K214" s="864">
        <v>38056.692610831698</v>
      </c>
      <c r="L214" s="18" t="s">
        <v>907</v>
      </c>
      <c r="M214" s="442"/>
      <c r="N214" s="577"/>
      <c r="P214" s="578"/>
      <c r="T214" s="527"/>
      <c r="U214" s="440"/>
      <c r="V214" s="440"/>
      <c r="W214" s="440"/>
      <c r="X214" s="442"/>
    </row>
    <row r="215" spans="1:24" x14ac:dyDescent="0.25">
      <c r="A215" s="862">
        <v>933</v>
      </c>
      <c r="B215" s="863" t="s">
        <v>6025</v>
      </c>
      <c r="C215" s="862">
        <v>933</v>
      </c>
      <c r="D215" s="165" t="s">
        <v>2143</v>
      </c>
      <c r="E215" s="165" t="s">
        <v>6026</v>
      </c>
      <c r="F215" s="163">
        <v>1</v>
      </c>
      <c r="G215" s="864"/>
      <c r="H215" s="864">
        <v>36018.301554980811</v>
      </c>
      <c r="I215" s="864">
        <v>37247.144079613652</v>
      </c>
      <c r="J215" s="864">
        <v>38540.666902207689</v>
      </c>
      <c r="K215" s="864">
        <v>39902.278624583487</v>
      </c>
      <c r="L215" s="18" t="s">
        <v>908</v>
      </c>
      <c r="M215" s="442"/>
      <c r="N215" s="577"/>
      <c r="P215" s="578"/>
      <c r="T215" s="527"/>
      <c r="U215" s="440"/>
      <c r="V215" s="440"/>
      <c r="W215" s="440"/>
      <c r="X215" s="442"/>
    </row>
    <row r="216" spans="1:24" x14ac:dyDescent="0.25">
      <c r="A216" s="862">
        <v>934</v>
      </c>
      <c r="B216" s="863" t="s">
        <v>6027</v>
      </c>
      <c r="C216" s="862">
        <v>934</v>
      </c>
      <c r="D216" s="165" t="s">
        <v>2143</v>
      </c>
      <c r="E216" s="165" t="s">
        <v>6028</v>
      </c>
      <c r="F216" s="163">
        <v>1</v>
      </c>
      <c r="G216" s="864"/>
      <c r="H216" s="864">
        <v>36517.477108505751</v>
      </c>
      <c r="I216" s="864">
        <v>37764.526555058263</v>
      </c>
      <c r="J216" s="864">
        <v>39077.212370814312</v>
      </c>
      <c r="K216" s="864">
        <v>40458.984725909373</v>
      </c>
      <c r="L216" s="18" t="s">
        <v>909</v>
      </c>
      <c r="M216" s="442"/>
      <c r="N216" s="577"/>
      <c r="P216" s="578"/>
      <c r="T216" s="527"/>
      <c r="U216" s="440"/>
      <c r="V216" s="440"/>
      <c r="W216" s="440"/>
      <c r="X216" s="442"/>
    </row>
    <row r="217" spans="1:24" x14ac:dyDescent="0.25">
      <c r="A217" s="862">
        <v>935</v>
      </c>
      <c r="B217" s="863" t="s">
        <v>6029</v>
      </c>
      <c r="C217" s="862">
        <v>935</v>
      </c>
      <c r="D217" s="165" t="s">
        <v>2143</v>
      </c>
      <c r="E217" s="165" t="s">
        <v>6030</v>
      </c>
      <c r="F217" s="163">
        <v>1</v>
      </c>
      <c r="G217" s="864"/>
      <c r="H217" s="864">
        <v>0</v>
      </c>
      <c r="I217" s="864">
        <v>0</v>
      </c>
      <c r="J217" s="864">
        <v>39463.417869237797</v>
      </c>
      <c r="K217" s="864">
        <v>40799.215668069955</v>
      </c>
      <c r="L217" s="18" t="s">
        <v>4501</v>
      </c>
      <c r="M217" s="442"/>
      <c r="N217" s="577"/>
      <c r="P217" s="578"/>
      <c r="T217" s="527"/>
      <c r="U217" s="440"/>
      <c r="V217" s="440"/>
      <c r="W217" s="440"/>
      <c r="X217" s="442"/>
    </row>
    <row r="218" spans="1:24" x14ac:dyDescent="0.25">
      <c r="A218" s="862">
        <v>936</v>
      </c>
      <c r="B218" s="863" t="s">
        <v>6031</v>
      </c>
      <c r="C218" s="862">
        <v>936</v>
      </c>
      <c r="D218" s="165" t="s">
        <v>2143</v>
      </c>
      <c r="E218" s="165" t="s">
        <v>6032</v>
      </c>
      <c r="F218" s="163">
        <v>1</v>
      </c>
      <c r="G218" s="864"/>
      <c r="H218" s="864">
        <v>0</v>
      </c>
      <c r="I218" s="864">
        <v>0</v>
      </c>
      <c r="J218" s="864">
        <v>38363.965983706017</v>
      </c>
      <c r="K218" s="864">
        <v>39660.357020027113</v>
      </c>
      <c r="L218" s="18" t="s">
        <v>4502</v>
      </c>
      <c r="M218" s="442"/>
      <c r="N218" s="577"/>
      <c r="P218" s="578"/>
      <c r="T218" s="527"/>
      <c r="U218" s="440"/>
      <c r="V218" s="440"/>
      <c r="W218" s="440"/>
      <c r="X218" s="442"/>
    </row>
    <row r="219" spans="1:24" x14ac:dyDescent="0.25">
      <c r="A219" s="862">
        <v>937</v>
      </c>
      <c r="B219" s="863" t="s">
        <v>6033</v>
      </c>
      <c r="C219" s="862">
        <v>937</v>
      </c>
      <c r="D219" s="165" t="s">
        <v>2143</v>
      </c>
      <c r="E219" s="165" t="s">
        <v>6034</v>
      </c>
      <c r="F219" s="163">
        <v>1</v>
      </c>
      <c r="G219" s="864"/>
      <c r="H219" s="864">
        <v>0</v>
      </c>
      <c r="I219" s="864">
        <v>0</v>
      </c>
      <c r="J219" s="864">
        <v>40573.864273624888</v>
      </c>
      <c r="K219" s="864">
        <v>41949.442949802076</v>
      </c>
      <c r="L219" s="18" t="s">
        <v>4503</v>
      </c>
      <c r="M219" s="442"/>
      <c r="N219" s="577"/>
      <c r="P219" s="578"/>
      <c r="T219" s="527"/>
      <c r="U219" s="440"/>
      <c r="V219" s="440"/>
      <c r="W219" s="440"/>
      <c r="X219" s="442"/>
    </row>
    <row r="220" spans="1:24" x14ac:dyDescent="0.25">
      <c r="A220" s="862">
        <v>938</v>
      </c>
      <c r="B220" s="863" t="s">
        <v>6035</v>
      </c>
      <c r="C220" s="862">
        <v>938</v>
      </c>
      <c r="D220" s="165" t="s">
        <v>2143</v>
      </c>
      <c r="E220" s="165" t="s">
        <v>6036</v>
      </c>
      <c r="F220" s="163">
        <v>1</v>
      </c>
      <c r="G220" s="864"/>
      <c r="H220" s="864">
        <v>0</v>
      </c>
      <c r="I220" s="864">
        <v>0</v>
      </c>
      <c r="J220" s="864">
        <v>39474.412388093107</v>
      </c>
      <c r="K220" s="864">
        <v>40810.584301759241</v>
      </c>
      <c r="L220" s="18" t="s">
        <v>4504</v>
      </c>
      <c r="M220" s="442"/>
      <c r="N220" s="577"/>
      <c r="P220" s="578"/>
      <c r="T220" s="527"/>
      <c r="U220" s="440"/>
      <c r="V220" s="440"/>
      <c r="W220" s="440"/>
      <c r="X220" s="442"/>
    </row>
    <row r="221" spans="1:24" x14ac:dyDescent="0.25">
      <c r="A221" s="862">
        <v>939</v>
      </c>
      <c r="B221" s="863" t="s">
        <v>6037</v>
      </c>
      <c r="C221" s="862">
        <v>939</v>
      </c>
      <c r="D221" s="165" t="s">
        <v>2143</v>
      </c>
      <c r="E221" s="165" t="s">
        <v>6038</v>
      </c>
      <c r="F221" s="163">
        <v>1</v>
      </c>
      <c r="G221" s="864"/>
      <c r="H221" s="864">
        <v>0</v>
      </c>
      <c r="I221" s="864">
        <v>0</v>
      </c>
      <c r="J221" s="864">
        <v>41926.190092828976</v>
      </c>
      <c r="K221" s="864">
        <v>43350.195855847269</v>
      </c>
      <c r="L221" s="18" t="s">
        <v>4505</v>
      </c>
      <c r="M221" s="442"/>
      <c r="N221" s="577"/>
      <c r="P221" s="578"/>
      <c r="T221" s="527"/>
      <c r="U221" s="440"/>
      <c r="V221" s="440"/>
      <c r="W221" s="440"/>
      <c r="X221" s="442"/>
    </row>
    <row r="222" spans="1:24" x14ac:dyDescent="0.25">
      <c r="A222" s="862">
        <v>940</v>
      </c>
      <c r="B222" s="863" t="s">
        <v>6039</v>
      </c>
      <c r="C222" s="862">
        <v>940</v>
      </c>
      <c r="D222" s="165" t="s">
        <v>2143</v>
      </c>
      <c r="E222" s="165" t="s">
        <v>6040</v>
      </c>
      <c r="F222" s="163">
        <v>1</v>
      </c>
      <c r="G222" s="864"/>
      <c r="H222" s="864">
        <v>0</v>
      </c>
      <c r="I222" s="864">
        <v>0</v>
      </c>
      <c r="J222" s="864">
        <v>40826.738207297203</v>
      </c>
      <c r="K222" s="864">
        <v>42211.337207804441</v>
      </c>
      <c r="L222" s="18" t="s">
        <v>4506</v>
      </c>
      <c r="M222" s="442"/>
      <c r="N222" s="577"/>
      <c r="P222" s="578"/>
      <c r="T222" s="527"/>
      <c r="U222" s="440"/>
      <c r="V222" s="440"/>
      <c r="W222" s="440"/>
      <c r="X222" s="442"/>
    </row>
    <row r="223" spans="1:24" x14ac:dyDescent="0.25">
      <c r="A223" s="862">
        <v>941</v>
      </c>
      <c r="B223" s="863" t="s">
        <v>6041</v>
      </c>
      <c r="C223" s="862">
        <v>941</v>
      </c>
      <c r="D223" s="165" t="s">
        <v>2143</v>
      </c>
      <c r="E223" s="165" t="s">
        <v>6042</v>
      </c>
      <c r="F223" s="163">
        <v>1</v>
      </c>
      <c r="G223" s="864"/>
      <c r="H223" s="864">
        <v>0</v>
      </c>
      <c r="I223" s="864">
        <v>0</v>
      </c>
      <c r="J223" s="864">
        <v>31680.717255691998</v>
      </c>
      <c r="K223" s="864">
        <v>32733.559535101398</v>
      </c>
      <c r="L223" s="18" t="s">
        <v>4507</v>
      </c>
      <c r="M223" s="442"/>
      <c r="N223" s="577"/>
      <c r="P223" s="578"/>
      <c r="T223" s="527"/>
      <c r="U223" s="440"/>
      <c r="V223" s="440"/>
      <c r="W223" s="440"/>
      <c r="X223" s="442"/>
    </row>
    <row r="224" spans="1:24" x14ac:dyDescent="0.25">
      <c r="A224" s="862">
        <v>942</v>
      </c>
      <c r="B224" s="863" t="s">
        <v>6043</v>
      </c>
      <c r="C224" s="862">
        <v>942</v>
      </c>
      <c r="D224" s="165" t="s">
        <v>2143</v>
      </c>
      <c r="E224" s="165" t="s">
        <v>6044</v>
      </c>
      <c r="F224" s="163">
        <v>1</v>
      </c>
      <c r="G224" s="864"/>
      <c r="H224" s="864">
        <v>0</v>
      </c>
      <c r="I224" s="864">
        <v>0</v>
      </c>
      <c r="J224" s="864">
        <v>25950.675974268535</v>
      </c>
      <c r="K224" s="864">
        <v>27678.712392356345</v>
      </c>
      <c r="L224" s="18" t="s">
        <v>4508</v>
      </c>
      <c r="M224" s="442"/>
      <c r="N224" s="577"/>
      <c r="P224" s="578"/>
      <c r="T224" s="527"/>
      <c r="U224" s="440"/>
      <c r="V224" s="440"/>
      <c r="W224" s="440"/>
      <c r="X224" s="442"/>
    </row>
    <row r="225" spans="1:24" x14ac:dyDescent="0.25">
      <c r="A225" s="862">
        <v>943</v>
      </c>
      <c r="B225" s="863" t="s">
        <v>6045</v>
      </c>
      <c r="C225" s="862">
        <v>943</v>
      </c>
      <c r="D225" s="165" t="s">
        <v>2143</v>
      </c>
      <c r="E225" s="165" t="s">
        <v>6046</v>
      </c>
      <c r="F225" s="163">
        <v>1</v>
      </c>
      <c r="G225" s="864"/>
      <c r="H225" s="864">
        <v>0</v>
      </c>
      <c r="I225" s="864">
        <v>28954.0765795732</v>
      </c>
      <c r="J225" s="864">
        <v>29909.25082145102</v>
      </c>
      <c r="K225" s="864">
        <v>30914.687719443049</v>
      </c>
      <c r="L225" s="18" t="s">
        <v>3802</v>
      </c>
      <c r="M225" s="442"/>
      <c r="N225" s="577"/>
      <c r="P225" s="578"/>
      <c r="T225" s="527"/>
      <c r="U225" s="440"/>
      <c r="V225" s="440"/>
      <c r="W225" s="440"/>
      <c r="X225" s="442"/>
    </row>
    <row r="226" spans="1:24" x14ac:dyDescent="0.25">
      <c r="A226" s="862">
        <v>944</v>
      </c>
      <c r="B226" s="863" t="s">
        <v>6047</v>
      </c>
      <c r="C226" s="862">
        <v>944</v>
      </c>
      <c r="D226" s="165" t="s">
        <v>2143</v>
      </c>
      <c r="E226" s="165" t="s">
        <v>6048</v>
      </c>
      <c r="F226" s="163">
        <v>1</v>
      </c>
      <c r="G226" s="864"/>
      <c r="H226" s="864">
        <v>0</v>
      </c>
      <c r="I226" s="864">
        <v>32488.814391557858</v>
      </c>
      <c r="J226" s="864">
        <v>33570.596969351456</v>
      </c>
      <c r="K226" s="864">
        <v>34676.305394070492</v>
      </c>
      <c r="L226" s="18" t="s">
        <v>3803</v>
      </c>
      <c r="M226" s="442"/>
      <c r="N226" s="577"/>
      <c r="P226" s="578"/>
      <c r="T226" s="527"/>
      <c r="U226" s="440"/>
      <c r="V226" s="440"/>
      <c r="W226" s="440"/>
      <c r="X226" s="442"/>
    </row>
    <row r="227" spans="1:24" x14ac:dyDescent="0.25">
      <c r="A227" s="862">
        <v>945</v>
      </c>
      <c r="B227" s="863" t="s">
        <v>6049</v>
      </c>
      <c r="C227" s="862">
        <v>945</v>
      </c>
      <c r="D227" s="165" t="s">
        <v>2143</v>
      </c>
      <c r="E227" s="165" t="s">
        <v>6050</v>
      </c>
      <c r="F227" s="163">
        <v>1</v>
      </c>
      <c r="G227" s="864"/>
      <c r="H227" s="864">
        <v>0</v>
      </c>
      <c r="I227" s="864">
        <v>28954.0765795732</v>
      </c>
      <c r="J227" s="864">
        <v>29909.233319002644</v>
      </c>
      <c r="K227" s="864">
        <v>30914.64615112816</v>
      </c>
      <c r="L227" s="18" t="s">
        <v>3804</v>
      </c>
      <c r="M227" s="442"/>
      <c r="N227" s="577"/>
      <c r="P227" s="578"/>
      <c r="T227" s="527"/>
      <c r="U227" s="440"/>
      <c r="V227" s="440"/>
      <c r="W227" s="440"/>
      <c r="X227" s="442"/>
    </row>
    <row r="228" spans="1:24" x14ac:dyDescent="0.25">
      <c r="A228" s="862">
        <v>946</v>
      </c>
      <c r="B228" s="863" t="s">
        <v>6051</v>
      </c>
      <c r="C228" s="862">
        <v>946</v>
      </c>
      <c r="D228" s="165" t="s">
        <v>2143</v>
      </c>
      <c r="E228" s="165" t="s">
        <v>6052</v>
      </c>
      <c r="F228" s="163">
        <v>1</v>
      </c>
      <c r="G228" s="864"/>
      <c r="H228" s="864">
        <v>0</v>
      </c>
      <c r="I228" s="864">
        <v>29855.627125709245</v>
      </c>
      <c r="J228" s="864">
        <v>30843.09338483465</v>
      </c>
      <c r="K228" s="864">
        <v>31882.539727820811</v>
      </c>
      <c r="L228" s="18" t="s">
        <v>3805</v>
      </c>
      <c r="M228" s="442"/>
      <c r="N228" s="577"/>
      <c r="P228" s="578"/>
      <c r="T228" s="527"/>
      <c r="U228" s="440"/>
      <c r="V228" s="440"/>
      <c r="W228" s="440"/>
      <c r="X228" s="442"/>
    </row>
    <row r="229" spans="1:24" x14ac:dyDescent="0.25">
      <c r="A229" s="862">
        <v>947</v>
      </c>
      <c r="B229" s="863" t="s">
        <v>6053</v>
      </c>
      <c r="C229" s="862">
        <v>947</v>
      </c>
      <c r="D229" s="165" t="s">
        <v>2143</v>
      </c>
      <c r="E229" s="165" t="s">
        <v>6054</v>
      </c>
      <c r="F229" s="163">
        <v>1</v>
      </c>
      <c r="G229" s="864"/>
      <c r="H229" s="864">
        <v>0</v>
      </c>
      <c r="I229" s="864">
        <v>54878.430202951415</v>
      </c>
      <c r="J229" s="864">
        <v>57213.202120713991</v>
      </c>
      <c r="K229" s="864">
        <v>59670.841226052718</v>
      </c>
      <c r="L229" s="18" t="s">
        <v>3806</v>
      </c>
      <c r="M229" s="442"/>
      <c r="N229" s="577"/>
      <c r="P229" s="578"/>
      <c r="T229" s="527"/>
      <c r="U229" s="440"/>
      <c r="V229" s="440"/>
      <c r="W229" s="440"/>
      <c r="X229" s="442"/>
    </row>
    <row r="230" spans="1:24" x14ac:dyDescent="0.25">
      <c r="A230" s="862">
        <v>948</v>
      </c>
      <c r="B230" s="863" t="s">
        <v>6055</v>
      </c>
      <c r="C230" s="862">
        <v>948</v>
      </c>
      <c r="D230" s="165" t="s">
        <v>2143</v>
      </c>
      <c r="E230" s="165" t="s">
        <v>6056</v>
      </c>
      <c r="F230" s="163">
        <v>1</v>
      </c>
      <c r="G230" s="864"/>
      <c r="H230" s="864">
        <v>0</v>
      </c>
      <c r="I230" s="864">
        <v>24847.623787112032</v>
      </c>
      <c r="J230" s="864">
        <v>25655.711828478052</v>
      </c>
      <c r="K230" s="864">
        <v>26506.324255971518</v>
      </c>
      <c r="L230" s="18" t="s">
        <v>3807</v>
      </c>
      <c r="M230" s="442"/>
      <c r="N230" s="577"/>
      <c r="P230" s="578"/>
      <c r="T230" s="527"/>
      <c r="U230" s="440"/>
      <c r="V230" s="440"/>
      <c r="W230" s="440"/>
      <c r="X230" s="442"/>
    </row>
    <row r="231" spans="1:24" x14ac:dyDescent="0.25">
      <c r="A231" s="862">
        <v>949</v>
      </c>
      <c r="B231" s="863" t="s">
        <v>6057</v>
      </c>
      <c r="C231" s="862">
        <v>949</v>
      </c>
      <c r="D231" s="165" t="s">
        <v>2143</v>
      </c>
      <c r="E231" s="165" t="s">
        <v>6058</v>
      </c>
      <c r="F231" s="163">
        <v>1</v>
      </c>
      <c r="G231" s="864"/>
      <c r="H231" s="864">
        <v>0</v>
      </c>
      <c r="I231" s="864">
        <v>28801.307219029306</v>
      </c>
      <c r="J231" s="864">
        <v>29767.249842268415</v>
      </c>
      <c r="K231" s="864">
        <v>30783.991134103129</v>
      </c>
      <c r="L231" s="18" t="s">
        <v>3808</v>
      </c>
      <c r="M231" s="442"/>
      <c r="N231" s="577"/>
      <c r="P231" s="578"/>
      <c r="T231" s="527"/>
      <c r="U231" s="440"/>
      <c r="V231" s="440"/>
      <c r="W231" s="440"/>
      <c r="X231" s="442"/>
    </row>
    <row r="232" spans="1:24" x14ac:dyDescent="0.25">
      <c r="A232" s="862">
        <v>950</v>
      </c>
      <c r="B232" s="863" t="s">
        <v>6059</v>
      </c>
      <c r="C232" s="862">
        <v>950</v>
      </c>
      <c r="D232" s="165" t="s">
        <v>2143</v>
      </c>
      <c r="E232" s="165" t="s">
        <v>6060</v>
      </c>
      <c r="F232" s="163">
        <v>1</v>
      </c>
      <c r="G232" s="864"/>
      <c r="H232" s="864">
        <v>0</v>
      </c>
      <c r="I232" s="864">
        <v>31873.121335660057</v>
      </c>
      <c r="J232" s="864">
        <v>32932.822387025488</v>
      </c>
      <c r="K232" s="864">
        <v>34048.349685281595</v>
      </c>
      <c r="L232" s="18" t="s">
        <v>3809</v>
      </c>
      <c r="M232" s="442"/>
      <c r="N232" s="577"/>
      <c r="P232" s="578"/>
      <c r="T232" s="527"/>
      <c r="U232" s="440"/>
      <c r="V232" s="440"/>
      <c r="W232" s="440"/>
      <c r="X232" s="442"/>
    </row>
    <row r="233" spans="1:24" x14ac:dyDescent="0.25">
      <c r="A233" s="862">
        <v>951</v>
      </c>
      <c r="B233" s="863" t="s">
        <v>6061</v>
      </c>
      <c r="C233" s="862">
        <v>951</v>
      </c>
      <c r="D233" s="165" t="s">
        <v>2143</v>
      </c>
      <c r="E233" s="165" t="s">
        <v>6062</v>
      </c>
      <c r="F233" s="163">
        <v>1</v>
      </c>
      <c r="G233" s="864"/>
      <c r="H233" s="864">
        <v>0</v>
      </c>
      <c r="I233" s="864">
        <v>30053.52846510497</v>
      </c>
      <c r="J233" s="864">
        <v>31048.083215821291</v>
      </c>
      <c r="K233" s="864">
        <v>32094.989977426318</v>
      </c>
      <c r="L233" s="18" t="s">
        <v>3810</v>
      </c>
      <c r="M233" s="442"/>
      <c r="N233" s="577"/>
      <c r="P233" s="578"/>
      <c r="T233" s="527"/>
      <c r="U233" s="440"/>
      <c r="V233" s="440"/>
      <c r="W233" s="440"/>
      <c r="X233" s="442"/>
    </row>
    <row r="234" spans="1:24" x14ac:dyDescent="0.25">
      <c r="A234" s="862">
        <v>952</v>
      </c>
      <c r="B234" s="863" t="s">
        <v>6063</v>
      </c>
      <c r="C234" s="862">
        <v>952</v>
      </c>
      <c r="D234" s="165" t="s">
        <v>2143</v>
      </c>
      <c r="E234" s="165" t="s">
        <v>6064</v>
      </c>
      <c r="F234" s="163">
        <v>1</v>
      </c>
      <c r="G234" s="864"/>
      <c r="H234" s="864">
        <v>0</v>
      </c>
      <c r="I234" s="864">
        <v>27656.723354645714</v>
      </c>
      <c r="J234" s="864">
        <v>28565.428596094102</v>
      </c>
      <c r="K234" s="864">
        <v>29521.976780169178</v>
      </c>
      <c r="L234" s="18" t="s">
        <v>3811</v>
      </c>
      <c r="M234" s="442"/>
      <c r="N234" s="577"/>
      <c r="P234" s="578"/>
      <c r="T234" s="527"/>
      <c r="U234" s="440"/>
      <c r="V234" s="440"/>
      <c r="W234" s="440"/>
      <c r="X234" s="442"/>
    </row>
    <row r="235" spans="1:24" x14ac:dyDescent="0.25">
      <c r="A235" s="862">
        <v>953</v>
      </c>
      <c r="B235" s="863" t="s">
        <v>6065</v>
      </c>
      <c r="C235" s="862">
        <v>953</v>
      </c>
      <c r="D235" s="165" t="s">
        <v>2143</v>
      </c>
      <c r="E235" s="165" t="s">
        <v>6066</v>
      </c>
      <c r="F235" s="163">
        <v>1</v>
      </c>
      <c r="G235" s="864"/>
      <c r="H235" s="864">
        <v>0</v>
      </c>
      <c r="I235" s="864">
        <v>31990.45867919442</v>
      </c>
      <c r="J235" s="864">
        <v>33072.584742537336</v>
      </c>
      <c r="K235" s="864">
        <v>34211.661585078866</v>
      </c>
      <c r="L235" s="18" t="s">
        <v>3812</v>
      </c>
      <c r="M235" s="442"/>
      <c r="N235" s="577"/>
      <c r="P235" s="578"/>
      <c r="T235" s="527"/>
      <c r="U235" s="440"/>
      <c r="V235" s="440"/>
      <c r="W235" s="440"/>
      <c r="X235" s="442"/>
    </row>
    <row r="236" spans="1:24" x14ac:dyDescent="0.25">
      <c r="A236" s="862">
        <v>954</v>
      </c>
      <c r="B236" s="863" t="s">
        <v>6067</v>
      </c>
      <c r="C236" s="862">
        <v>954</v>
      </c>
      <c r="D236" s="165" t="s">
        <v>2143</v>
      </c>
      <c r="E236" s="165" t="s">
        <v>6068</v>
      </c>
      <c r="F236" s="163">
        <v>1</v>
      </c>
      <c r="G236" s="864"/>
      <c r="H236" s="864">
        <v>35508.307505229757</v>
      </c>
      <c r="I236" s="864">
        <v>0</v>
      </c>
      <c r="J236" s="864">
        <v>0</v>
      </c>
      <c r="K236" s="864">
        <v>0</v>
      </c>
      <c r="L236" s="18" t="s">
        <v>910</v>
      </c>
      <c r="M236" s="442"/>
      <c r="N236" s="577"/>
      <c r="P236" s="578"/>
      <c r="T236" s="527"/>
      <c r="U236" s="440"/>
      <c r="V236" s="440"/>
      <c r="W236" s="440"/>
      <c r="X236" s="442"/>
    </row>
    <row r="237" spans="1:24" x14ac:dyDescent="0.25">
      <c r="A237" s="862">
        <v>955</v>
      </c>
      <c r="B237" s="863" t="s">
        <v>6069</v>
      </c>
      <c r="C237" s="862">
        <v>955</v>
      </c>
      <c r="D237" s="165" t="s">
        <v>2143</v>
      </c>
      <c r="E237" s="165" t="s">
        <v>6070</v>
      </c>
      <c r="F237" s="163">
        <v>1</v>
      </c>
      <c r="G237" s="864"/>
      <c r="H237" s="864">
        <v>24210.228894836771</v>
      </c>
      <c r="I237" s="864">
        <v>0</v>
      </c>
      <c r="J237" s="864">
        <v>0</v>
      </c>
      <c r="K237" s="864">
        <v>0</v>
      </c>
      <c r="L237" s="18" t="s">
        <v>911</v>
      </c>
      <c r="M237" s="442"/>
      <c r="N237" s="577"/>
      <c r="P237" s="578"/>
      <c r="T237" s="527"/>
      <c r="U237" s="440"/>
      <c r="V237" s="440"/>
      <c r="W237" s="440"/>
      <c r="X237" s="442"/>
    </row>
    <row r="238" spans="1:24" x14ac:dyDescent="0.25">
      <c r="A238" s="862">
        <v>956</v>
      </c>
      <c r="B238" s="863" t="s">
        <v>6071</v>
      </c>
      <c r="C238" s="862">
        <v>956</v>
      </c>
      <c r="D238" s="165" t="s">
        <v>2143</v>
      </c>
      <c r="E238" s="165" t="s">
        <v>6072</v>
      </c>
      <c r="F238" s="163">
        <v>1</v>
      </c>
      <c r="G238" s="864"/>
      <c r="H238" s="864">
        <v>0</v>
      </c>
      <c r="I238" s="864">
        <v>42088.814851145391</v>
      </c>
      <c r="J238" s="864">
        <v>43064.396060103543</v>
      </c>
      <c r="K238" s="864">
        <v>44091.324942166109</v>
      </c>
      <c r="L238" s="18" t="s">
        <v>3813</v>
      </c>
      <c r="M238" s="442"/>
      <c r="N238" s="577"/>
      <c r="P238" s="578"/>
      <c r="T238" s="527"/>
      <c r="U238" s="440"/>
      <c r="V238" s="440"/>
      <c r="W238" s="440"/>
      <c r="X238" s="442"/>
    </row>
    <row r="239" spans="1:24" x14ac:dyDescent="0.25">
      <c r="A239" s="862">
        <v>957</v>
      </c>
      <c r="B239" s="863" t="s">
        <v>6073</v>
      </c>
      <c r="C239" s="862">
        <v>957</v>
      </c>
      <c r="D239" s="165" t="s">
        <v>2143</v>
      </c>
      <c r="E239" s="165" t="s">
        <v>6074</v>
      </c>
      <c r="F239" s="163">
        <v>1</v>
      </c>
      <c r="G239" s="864"/>
      <c r="H239" s="864">
        <v>0</v>
      </c>
      <c r="I239" s="864">
        <v>41514.040391857576</v>
      </c>
      <c r="J239" s="864">
        <v>42475.537246249522</v>
      </c>
      <c r="K239" s="864">
        <v>43487.644372983232</v>
      </c>
      <c r="L239" s="18" t="s">
        <v>3814</v>
      </c>
      <c r="M239" s="442"/>
      <c r="N239" s="577"/>
      <c r="P239" s="578"/>
      <c r="T239" s="527"/>
      <c r="U239" s="440"/>
      <c r="V239" s="440"/>
      <c r="W239" s="440"/>
      <c r="X239" s="442"/>
    </row>
    <row r="240" spans="1:24" x14ac:dyDescent="0.25">
      <c r="A240" s="862">
        <v>958</v>
      </c>
      <c r="B240" s="863" t="s">
        <v>6075</v>
      </c>
      <c r="C240" s="862">
        <v>958</v>
      </c>
      <c r="D240" s="165" t="s">
        <v>2143</v>
      </c>
      <c r="E240" s="165" t="s">
        <v>6076</v>
      </c>
      <c r="F240" s="163">
        <v>1</v>
      </c>
      <c r="G240" s="864"/>
      <c r="H240" s="864">
        <v>42795.358026876223</v>
      </c>
      <c r="I240" s="864">
        <v>43760.88600543722</v>
      </c>
      <c r="J240" s="864">
        <v>44777.442116772108</v>
      </c>
      <c r="K240" s="864">
        <v>45847.508943448462</v>
      </c>
      <c r="L240" s="18" t="s">
        <v>3815</v>
      </c>
      <c r="M240" s="442"/>
      <c r="N240" s="577"/>
      <c r="P240" s="578"/>
      <c r="T240" s="527"/>
      <c r="U240" s="440"/>
      <c r="V240" s="440"/>
      <c r="W240" s="440"/>
      <c r="X240" s="442"/>
    </row>
    <row r="241" spans="1:24" x14ac:dyDescent="0.25">
      <c r="A241" s="862">
        <v>959</v>
      </c>
      <c r="B241" s="863" t="s">
        <v>6077</v>
      </c>
      <c r="C241" s="862">
        <v>959</v>
      </c>
      <c r="D241" s="165" t="s">
        <v>2143</v>
      </c>
      <c r="E241" s="165" t="s">
        <v>6078</v>
      </c>
      <c r="F241" s="163">
        <v>1</v>
      </c>
      <c r="G241" s="864"/>
      <c r="H241" s="864">
        <v>30051.79690214459</v>
      </c>
      <c r="I241" s="864">
        <v>30826.952583820181</v>
      </c>
      <c r="J241" s="864">
        <v>31642.861947643742</v>
      </c>
      <c r="K241" s="864">
        <v>32501.712615877721</v>
      </c>
      <c r="L241" s="18" t="s">
        <v>912</v>
      </c>
      <c r="M241" s="442"/>
      <c r="N241" s="577"/>
      <c r="P241" s="578"/>
      <c r="T241" s="527"/>
      <c r="U241" s="440"/>
      <c r="V241" s="440"/>
      <c r="W241" s="440"/>
      <c r="X241" s="442"/>
    </row>
    <row r="242" spans="1:24" x14ac:dyDescent="0.25">
      <c r="A242" s="862">
        <v>960</v>
      </c>
      <c r="B242" s="863" t="s">
        <v>6079</v>
      </c>
      <c r="C242" s="862">
        <v>960</v>
      </c>
      <c r="D242" s="165" t="s">
        <v>2143</v>
      </c>
      <c r="E242" s="165" t="s">
        <v>6080</v>
      </c>
      <c r="F242" s="163">
        <v>1</v>
      </c>
      <c r="G242" s="864"/>
      <c r="H242" s="864">
        <v>0</v>
      </c>
      <c r="I242" s="864">
        <v>35733.044383979315</v>
      </c>
      <c r="J242" s="864">
        <v>36552.83739181939</v>
      </c>
      <c r="K242" s="864">
        <v>37415.76834427326</v>
      </c>
      <c r="L242" s="18" t="s">
        <v>3816</v>
      </c>
      <c r="M242" s="442"/>
      <c r="N242" s="577"/>
      <c r="P242" s="578"/>
      <c r="T242" s="527"/>
      <c r="U242" s="440"/>
      <c r="V242" s="440"/>
      <c r="W242" s="440"/>
      <c r="X242" s="442"/>
    </row>
    <row r="243" spans="1:24" x14ac:dyDescent="0.25">
      <c r="A243" s="862">
        <v>961</v>
      </c>
      <c r="B243" s="863" t="s">
        <v>6081</v>
      </c>
      <c r="C243" s="862">
        <v>961</v>
      </c>
      <c r="D243" s="165" t="s">
        <v>2143</v>
      </c>
      <c r="E243" s="165" t="s">
        <v>6082</v>
      </c>
      <c r="F243" s="163">
        <v>1</v>
      </c>
      <c r="G243" s="864"/>
      <c r="H243" s="864">
        <v>0</v>
      </c>
      <c r="I243" s="864">
        <v>38108.145455416576</v>
      </c>
      <c r="J243" s="864">
        <v>38986.168543478903</v>
      </c>
      <c r="K243" s="864">
        <v>39910.402079332664</v>
      </c>
      <c r="L243" s="18" t="s">
        <v>3817</v>
      </c>
      <c r="M243" s="442"/>
      <c r="N243" s="577"/>
      <c r="P243" s="578"/>
      <c r="T243" s="527"/>
      <c r="U243" s="440"/>
      <c r="V243" s="440"/>
      <c r="W243" s="440"/>
      <c r="X243" s="442"/>
    </row>
    <row r="244" spans="1:24" x14ac:dyDescent="0.25">
      <c r="A244" s="862">
        <v>962</v>
      </c>
      <c r="B244" s="863" t="s">
        <v>6083</v>
      </c>
      <c r="C244" s="862">
        <v>962</v>
      </c>
      <c r="D244" s="165" t="s">
        <v>2143</v>
      </c>
      <c r="E244" s="165" t="s">
        <v>6084</v>
      </c>
      <c r="F244" s="163">
        <v>1</v>
      </c>
      <c r="G244" s="864"/>
      <c r="H244" s="864">
        <v>25216.773497777314</v>
      </c>
      <c r="I244" s="864">
        <v>0</v>
      </c>
      <c r="J244" s="864">
        <v>0</v>
      </c>
      <c r="K244" s="864">
        <v>0</v>
      </c>
      <c r="L244" s="18" t="s">
        <v>913</v>
      </c>
      <c r="M244" s="442"/>
      <c r="N244" s="576"/>
      <c r="P244" s="578"/>
      <c r="T244" s="527"/>
      <c r="U244" s="440"/>
      <c r="V244" s="440"/>
      <c r="W244" s="440"/>
      <c r="X244" s="442"/>
    </row>
    <row r="245" spans="1:24" x14ac:dyDescent="0.25">
      <c r="A245" s="862">
        <v>963</v>
      </c>
      <c r="B245" s="863" t="s">
        <v>6085</v>
      </c>
      <c r="C245" s="862">
        <v>963</v>
      </c>
      <c r="D245" s="165" t="s">
        <v>2143</v>
      </c>
      <c r="E245" s="165" t="s">
        <v>6086</v>
      </c>
      <c r="F245" s="163">
        <v>1</v>
      </c>
      <c r="G245" s="864"/>
      <c r="H245" s="864">
        <v>28422.365081555319</v>
      </c>
      <c r="I245" s="864">
        <v>0</v>
      </c>
      <c r="J245" s="864">
        <v>0</v>
      </c>
      <c r="K245" s="864">
        <v>0</v>
      </c>
      <c r="L245" s="18" t="s">
        <v>914</v>
      </c>
      <c r="M245" s="442"/>
      <c r="N245" s="576"/>
      <c r="P245" s="578"/>
      <c r="T245" s="527"/>
      <c r="U245" s="440"/>
      <c r="V245" s="440"/>
      <c r="W245" s="440"/>
      <c r="X245" s="442"/>
    </row>
    <row r="246" spans="1:24" x14ac:dyDescent="0.25">
      <c r="A246" s="862">
        <v>964</v>
      </c>
      <c r="B246" s="863" t="s">
        <v>6087</v>
      </c>
      <c r="C246" s="862">
        <v>964</v>
      </c>
      <c r="D246" s="165" t="s">
        <v>2143</v>
      </c>
      <c r="E246" s="165" t="s">
        <v>6088</v>
      </c>
      <c r="F246" s="163">
        <v>1</v>
      </c>
      <c r="G246" s="864"/>
      <c r="H246" s="864">
        <v>27265.666190381267</v>
      </c>
      <c r="I246" s="864">
        <v>0</v>
      </c>
      <c r="J246" s="864">
        <v>0</v>
      </c>
      <c r="K246" s="864">
        <v>0</v>
      </c>
      <c r="L246" s="18" t="s">
        <v>915</v>
      </c>
      <c r="M246" s="442"/>
      <c r="N246" s="576"/>
      <c r="P246" s="578"/>
      <c r="T246" s="527"/>
      <c r="U246" s="440"/>
      <c r="V246" s="440"/>
      <c r="W246" s="440"/>
      <c r="X246" s="442"/>
    </row>
    <row r="247" spans="1:24" x14ac:dyDescent="0.25">
      <c r="A247" s="862">
        <v>965</v>
      </c>
      <c r="B247" s="863" t="s">
        <v>6089</v>
      </c>
      <c r="C247" s="862">
        <v>965</v>
      </c>
      <c r="D247" s="165" t="s">
        <v>2143</v>
      </c>
      <c r="E247" s="165" t="s">
        <v>6090</v>
      </c>
      <c r="F247" s="163">
        <v>1</v>
      </c>
      <c r="G247" s="864"/>
      <c r="H247" s="864">
        <v>26226.150097080492</v>
      </c>
      <c r="I247" s="864">
        <v>0</v>
      </c>
      <c r="J247" s="864">
        <v>0</v>
      </c>
      <c r="K247" s="864">
        <v>0</v>
      </c>
      <c r="L247" s="18" t="s">
        <v>916</v>
      </c>
      <c r="M247" s="442"/>
      <c r="N247" s="575"/>
      <c r="P247" s="578"/>
      <c r="T247" s="527"/>
      <c r="U247" s="440"/>
      <c r="V247" s="440"/>
      <c r="W247" s="440"/>
      <c r="X247" s="442"/>
    </row>
    <row r="248" spans="1:24" x14ac:dyDescent="0.25">
      <c r="A248" s="862">
        <v>966</v>
      </c>
      <c r="B248" s="863" t="s">
        <v>6091</v>
      </c>
      <c r="C248" s="862">
        <v>966</v>
      </c>
      <c r="D248" s="165" t="s">
        <v>2143</v>
      </c>
      <c r="E248" s="165" t="s">
        <v>6092</v>
      </c>
      <c r="F248" s="163">
        <v>1</v>
      </c>
      <c r="G248" s="864"/>
      <c r="H248" s="864">
        <v>25221.919380246316</v>
      </c>
      <c r="I248" s="864">
        <v>0</v>
      </c>
      <c r="J248" s="864">
        <v>0</v>
      </c>
      <c r="K248" s="864">
        <v>0</v>
      </c>
      <c r="L248" s="18" t="s">
        <v>917</v>
      </c>
      <c r="M248" s="442"/>
      <c r="N248" s="575"/>
      <c r="P248" s="578"/>
      <c r="T248" s="527"/>
      <c r="U248" s="440"/>
      <c r="V248" s="440"/>
      <c r="W248" s="440"/>
      <c r="X248" s="442"/>
    </row>
    <row r="249" spans="1:24" x14ac:dyDescent="0.25">
      <c r="A249" s="862">
        <v>967</v>
      </c>
      <c r="B249" s="863" t="s">
        <v>6093</v>
      </c>
      <c r="C249" s="862">
        <v>967</v>
      </c>
      <c r="D249" s="165" t="s">
        <v>2143</v>
      </c>
      <c r="E249" s="165" t="s">
        <v>6094</v>
      </c>
      <c r="F249" s="163">
        <v>1</v>
      </c>
      <c r="G249" s="864"/>
      <c r="H249" s="864">
        <v>0</v>
      </c>
      <c r="I249" s="864">
        <v>43038.855279720294</v>
      </c>
      <c r="J249" s="864">
        <v>44037.713772752097</v>
      </c>
      <c r="K249" s="864">
        <v>45089.148940159364</v>
      </c>
      <c r="L249" s="18" t="s">
        <v>3818</v>
      </c>
      <c r="M249" s="442"/>
      <c r="N249" s="575"/>
      <c r="P249" s="578"/>
      <c r="T249" s="527"/>
      <c r="U249" s="440"/>
      <c r="V249" s="440"/>
      <c r="W249" s="440"/>
      <c r="X249" s="442"/>
    </row>
    <row r="250" spans="1:24" x14ac:dyDescent="0.25">
      <c r="A250" s="862">
        <v>968</v>
      </c>
      <c r="B250" s="863" t="s">
        <v>6095</v>
      </c>
      <c r="C250" s="862">
        <v>968</v>
      </c>
      <c r="D250" s="165" t="s">
        <v>2143</v>
      </c>
      <c r="E250" s="165" t="s">
        <v>6096</v>
      </c>
      <c r="F250" s="163">
        <v>1</v>
      </c>
      <c r="G250" s="864"/>
      <c r="H250" s="864">
        <v>0</v>
      </c>
      <c r="I250" s="864">
        <v>42464.080820432479</v>
      </c>
      <c r="J250" s="864">
        <v>43448.854958898075</v>
      </c>
      <c r="K250" s="864">
        <v>44485.468370976494</v>
      </c>
      <c r="L250" s="18" t="s">
        <v>3819</v>
      </c>
      <c r="M250" s="442"/>
      <c r="N250" s="575"/>
      <c r="P250" s="578"/>
      <c r="T250" s="527"/>
      <c r="U250" s="440"/>
      <c r="V250" s="440"/>
      <c r="W250" s="440"/>
      <c r="X250" s="442"/>
    </row>
    <row r="251" spans="1:24" x14ac:dyDescent="0.25">
      <c r="A251" s="862">
        <v>969</v>
      </c>
      <c r="B251" s="863" t="s">
        <v>6097</v>
      </c>
      <c r="C251" s="862">
        <v>969</v>
      </c>
      <c r="D251" s="165" t="s">
        <v>2143</v>
      </c>
      <c r="E251" s="165" t="s">
        <v>6098</v>
      </c>
      <c r="F251" s="163">
        <v>1</v>
      </c>
      <c r="G251" s="864"/>
      <c r="H251" s="864">
        <v>43723.055212343475</v>
      </c>
      <c r="I251" s="864">
        <v>44710.926434012115</v>
      </c>
      <c r="J251" s="864">
        <v>45750.784409446103</v>
      </c>
      <c r="K251" s="864">
        <v>46845.357521467151</v>
      </c>
      <c r="L251" s="18" t="s">
        <v>3820</v>
      </c>
      <c r="M251" s="442"/>
      <c r="N251" s="575"/>
      <c r="P251" s="578"/>
      <c r="T251" s="527"/>
      <c r="U251" s="440"/>
      <c r="V251" s="440"/>
      <c r="W251" s="440"/>
      <c r="X251" s="442"/>
    </row>
    <row r="252" spans="1:24" x14ac:dyDescent="0.25">
      <c r="A252" s="862">
        <v>970</v>
      </c>
      <c r="B252" s="863" t="s">
        <v>6099</v>
      </c>
      <c r="C252" s="862">
        <v>970</v>
      </c>
      <c r="D252" s="165" t="s">
        <v>2143</v>
      </c>
      <c r="E252" s="165" t="s">
        <v>6100</v>
      </c>
      <c r="F252" s="163">
        <v>1</v>
      </c>
      <c r="G252" s="864"/>
      <c r="H252" s="864">
        <v>30943.609467444017</v>
      </c>
      <c r="I252" s="864">
        <v>31743.615554820219</v>
      </c>
      <c r="J252" s="864">
        <v>32585.727225742525</v>
      </c>
      <c r="K252" s="864">
        <v>33472.15668249884</v>
      </c>
      <c r="L252" s="18" t="s">
        <v>918</v>
      </c>
      <c r="M252" s="442"/>
      <c r="N252" s="575"/>
      <c r="P252" s="578"/>
      <c r="T252" s="527"/>
      <c r="U252" s="440"/>
      <c r="V252" s="440"/>
      <c r="W252" s="440"/>
      <c r="X252" s="442"/>
    </row>
    <row r="253" spans="1:24" x14ac:dyDescent="0.25">
      <c r="A253" s="862">
        <v>971</v>
      </c>
      <c r="B253" s="863" t="s">
        <v>6101</v>
      </c>
      <c r="C253" s="862">
        <v>971</v>
      </c>
      <c r="D253" s="165" t="s">
        <v>2143</v>
      </c>
      <c r="E253" s="165" t="s">
        <v>6102</v>
      </c>
      <c r="F253" s="163">
        <v>1</v>
      </c>
      <c r="G253" s="864"/>
      <c r="H253" s="864">
        <v>0</v>
      </c>
      <c r="I253" s="864">
        <v>36683.084812554211</v>
      </c>
      <c r="J253" s="864">
        <v>37526.155104467944</v>
      </c>
      <c r="K253" s="864">
        <v>38413.616922291927</v>
      </c>
      <c r="L253" s="18" t="s">
        <v>3821</v>
      </c>
      <c r="M253" s="442"/>
      <c r="N253" s="575"/>
      <c r="P253" s="578"/>
      <c r="T253" s="527"/>
      <c r="U253" s="440"/>
      <c r="V253" s="440"/>
      <c r="W253" s="440"/>
      <c r="X253" s="442"/>
    </row>
    <row r="254" spans="1:24" x14ac:dyDescent="0.25">
      <c r="A254" s="862">
        <v>972</v>
      </c>
      <c r="B254" s="863" t="s">
        <v>6103</v>
      </c>
      <c r="C254" s="862">
        <v>972</v>
      </c>
      <c r="D254" s="165" t="s">
        <v>2143</v>
      </c>
      <c r="E254" s="165" t="s">
        <v>6104</v>
      </c>
      <c r="F254" s="163">
        <v>1</v>
      </c>
      <c r="G254" s="864"/>
      <c r="H254" s="864">
        <v>0</v>
      </c>
      <c r="I254" s="864">
        <v>39058.185883991457</v>
      </c>
      <c r="J254" s="864">
        <v>39959.486256127464</v>
      </c>
      <c r="K254" s="864">
        <v>40908.226077325926</v>
      </c>
      <c r="L254" s="18" t="s">
        <v>3822</v>
      </c>
      <c r="M254" s="442"/>
      <c r="N254" s="575"/>
      <c r="P254" s="578"/>
      <c r="T254" s="527"/>
      <c r="U254" s="440"/>
      <c r="V254" s="440"/>
      <c r="W254" s="440"/>
      <c r="X254" s="442"/>
    </row>
    <row r="255" spans="1:24" x14ac:dyDescent="0.25">
      <c r="A255" s="862">
        <v>973</v>
      </c>
      <c r="B255" s="863" t="s">
        <v>6105</v>
      </c>
      <c r="C255" s="862">
        <v>973</v>
      </c>
      <c r="D255" s="165" t="s">
        <v>2143</v>
      </c>
      <c r="E255" s="165" t="s">
        <v>6106</v>
      </c>
      <c r="F255" s="163">
        <v>1</v>
      </c>
      <c r="G255" s="864"/>
      <c r="H255" s="864">
        <v>27566.101411530472</v>
      </c>
      <c r="I255" s="864">
        <v>0</v>
      </c>
      <c r="J255" s="864">
        <v>0</v>
      </c>
      <c r="K255" s="864">
        <v>0</v>
      </c>
      <c r="L255" s="18" t="s">
        <v>919</v>
      </c>
      <c r="M255" s="442"/>
      <c r="N255" s="575"/>
      <c r="P255" s="578"/>
      <c r="T255" s="527"/>
      <c r="U255" s="440"/>
      <c r="V255" s="440"/>
      <c r="W255" s="440"/>
      <c r="X255" s="442"/>
    </row>
    <row r="256" spans="1:24" x14ac:dyDescent="0.25">
      <c r="A256" s="862">
        <v>974</v>
      </c>
      <c r="B256" s="863" t="s">
        <v>6107</v>
      </c>
      <c r="C256" s="862">
        <v>974</v>
      </c>
      <c r="D256" s="165" t="s">
        <v>2143</v>
      </c>
      <c r="E256" s="165" t="s">
        <v>6108</v>
      </c>
      <c r="F256" s="163">
        <v>1</v>
      </c>
      <c r="G256" s="864"/>
      <c r="H256" s="864">
        <v>26043.24466214922</v>
      </c>
      <c r="I256" s="864">
        <v>0</v>
      </c>
      <c r="J256" s="864">
        <v>0</v>
      </c>
      <c r="K256" s="864">
        <v>0</v>
      </c>
      <c r="L256" s="18" t="s">
        <v>920</v>
      </c>
      <c r="M256" s="442"/>
      <c r="N256" s="568"/>
      <c r="P256" s="578"/>
      <c r="T256" s="527"/>
      <c r="U256" s="440"/>
      <c r="V256" s="440"/>
      <c r="W256" s="440"/>
      <c r="X256" s="442"/>
    </row>
    <row r="257" spans="1:24" x14ac:dyDescent="0.25">
      <c r="A257" s="862">
        <v>975</v>
      </c>
      <c r="B257" s="863" t="s">
        <v>6109</v>
      </c>
      <c r="C257" s="862">
        <v>975</v>
      </c>
      <c r="D257" s="165" t="s">
        <v>2143</v>
      </c>
      <c r="E257" s="165" t="s">
        <v>6110</v>
      </c>
      <c r="F257" s="163">
        <v>1</v>
      </c>
      <c r="G257" s="864"/>
      <c r="H257" s="864">
        <v>28175.239195277878</v>
      </c>
      <c r="I257" s="864">
        <v>0</v>
      </c>
      <c r="J257" s="864">
        <v>0</v>
      </c>
      <c r="K257" s="864">
        <v>0</v>
      </c>
      <c r="L257" s="18" t="s">
        <v>921</v>
      </c>
      <c r="M257" s="442"/>
      <c r="N257" s="568"/>
      <c r="P257" s="578"/>
      <c r="T257" s="527"/>
      <c r="U257" s="440"/>
      <c r="V257" s="440"/>
      <c r="W257" s="440"/>
      <c r="X257" s="442"/>
    </row>
    <row r="258" spans="1:24" x14ac:dyDescent="0.25">
      <c r="A258" s="862">
        <v>976</v>
      </c>
      <c r="B258" s="863" t="s">
        <v>6111</v>
      </c>
      <c r="C258" s="862">
        <v>976</v>
      </c>
      <c r="D258" s="165" t="s">
        <v>2143</v>
      </c>
      <c r="E258" s="165" t="s">
        <v>6112</v>
      </c>
      <c r="F258" s="163">
        <v>1</v>
      </c>
      <c r="G258" s="864"/>
      <c r="H258" s="864">
        <v>29698.07136463371</v>
      </c>
      <c r="I258" s="864">
        <v>0</v>
      </c>
      <c r="J258" s="864">
        <v>0</v>
      </c>
      <c r="K258" s="864">
        <v>0</v>
      </c>
      <c r="L258" s="18" t="s">
        <v>922</v>
      </c>
      <c r="M258" s="442"/>
      <c r="N258" s="568"/>
      <c r="P258" s="578"/>
      <c r="T258" s="527"/>
      <c r="U258" s="440"/>
      <c r="V258" s="440"/>
      <c r="W258" s="440"/>
      <c r="X258" s="442"/>
    </row>
    <row r="259" spans="1:24" x14ac:dyDescent="0.25">
      <c r="A259" s="862">
        <v>977</v>
      </c>
      <c r="B259" s="863" t="s">
        <v>6113</v>
      </c>
      <c r="C259" s="862">
        <v>977</v>
      </c>
      <c r="D259" s="165" t="s">
        <v>2143</v>
      </c>
      <c r="E259" s="165" t="s">
        <v>6114</v>
      </c>
      <c r="F259" s="163">
        <v>1</v>
      </c>
      <c r="G259" s="864"/>
      <c r="H259" s="864">
        <v>36890.082978636354</v>
      </c>
      <c r="I259" s="864">
        <v>0</v>
      </c>
      <c r="J259" s="864">
        <v>0</v>
      </c>
      <c r="K259" s="864">
        <v>0</v>
      </c>
      <c r="L259" s="18" t="s">
        <v>923</v>
      </c>
      <c r="M259" s="442"/>
      <c r="N259" s="568"/>
      <c r="P259" s="578"/>
      <c r="T259" s="527"/>
      <c r="U259" s="440"/>
      <c r="V259" s="440"/>
      <c r="W259" s="440"/>
      <c r="X259" s="442"/>
    </row>
    <row r="260" spans="1:24" x14ac:dyDescent="0.25">
      <c r="A260" s="862">
        <v>978</v>
      </c>
      <c r="B260" s="863" t="s">
        <v>6115</v>
      </c>
      <c r="C260" s="862">
        <v>978</v>
      </c>
      <c r="D260" s="165" t="s">
        <v>2143</v>
      </c>
      <c r="E260" s="165" t="s">
        <v>6116</v>
      </c>
      <c r="F260" s="163">
        <v>1</v>
      </c>
      <c r="G260" s="864"/>
      <c r="H260" s="864">
        <v>26190.993965208727</v>
      </c>
      <c r="I260" s="864">
        <v>0</v>
      </c>
      <c r="J260" s="864">
        <v>0</v>
      </c>
      <c r="K260" s="864">
        <v>0</v>
      </c>
      <c r="L260" s="18" t="s">
        <v>924</v>
      </c>
      <c r="M260" s="442"/>
      <c r="N260" s="568"/>
      <c r="P260" s="578"/>
      <c r="T260" s="527"/>
      <c r="U260" s="440"/>
      <c r="V260" s="440"/>
      <c r="W260" s="440"/>
      <c r="X260" s="442"/>
    </row>
    <row r="261" spans="1:24" x14ac:dyDescent="0.25">
      <c r="A261" s="862">
        <v>979</v>
      </c>
      <c r="B261" s="863" t="s">
        <v>6117</v>
      </c>
      <c r="C261" s="862">
        <v>979</v>
      </c>
      <c r="D261" s="165" t="s">
        <v>2143</v>
      </c>
      <c r="E261" s="165" t="s">
        <v>6118</v>
      </c>
      <c r="F261" s="163">
        <v>1</v>
      </c>
      <c r="G261" s="864"/>
      <c r="H261" s="864">
        <v>29289.88924993587</v>
      </c>
      <c r="I261" s="864">
        <v>0</v>
      </c>
      <c r="J261" s="864">
        <v>0</v>
      </c>
      <c r="K261" s="864">
        <v>0</v>
      </c>
      <c r="L261" s="18" t="s">
        <v>925</v>
      </c>
      <c r="M261" s="442"/>
      <c r="N261" s="568"/>
      <c r="P261" s="578"/>
      <c r="T261" s="527"/>
      <c r="U261" s="440"/>
      <c r="V261" s="440"/>
      <c r="W261" s="440"/>
      <c r="X261" s="442"/>
    </row>
    <row r="262" spans="1:24" x14ac:dyDescent="0.25">
      <c r="A262" s="862">
        <v>980</v>
      </c>
      <c r="B262" s="863" t="s">
        <v>6119</v>
      </c>
      <c r="C262" s="862">
        <v>980</v>
      </c>
      <c r="D262" s="165" t="s">
        <v>2143</v>
      </c>
      <c r="E262" s="165" t="s">
        <v>6120</v>
      </c>
      <c r="F262" s="163">
        <v>1</v>
      </c>
      <c r="G262" s="864"/>
      <c r="H262" s="864">
        <v>28133.190358761807</v>
      </c>
      <c r="I262" s="864">
        <v>0</v>
      </c>
      <c r="J262" s="864">
        <v>0</v>
      </c>
      <c r="K262" s="864">
        <v>0</v>
      </c>
      <c r="L262" s="18" t="s">
        <v>926</v>
      </c>
      <c r="M262" s="442"/>
      <c r="N262" s="568"/>
      <c r="P262" s="578"/>
      <c r="T262" s="527"/>
      <c r="U262" s="440"/>
      <c r="V262" s="440"/>
      <c r="W262" s="440"/>
      <c r="X262" s="442"/>
    </row>
    <row r="263" spans="1:24" x14ac:dyDescent="0.25">
      <c r="A263" s="862">
        <v>981</v>
      </c>
      <c r="B263" s="863" t="s">
        <v>6121</v>
      </c>
      <c r="C263" s="862">
        <v>981</v>
      </c>
      <c r="D263" s="165" t="s">
        <v>2143</v>
      </c>
      <c r="E263" s="165" t="s">
        <v>6122</v>
      </c>
      <c r="F263" s="163">
        <v>1</v>
      </c>
      <c r="G263" s="864"/>
      <c r="H263" s="864">
        <v>27742.180341721421</v>
      </c>
      <c r="I263" s="864">
        <v>0</v>
      </c>
      <c r="J263" s="864">
        <v>0</v>
      </c>
      <c r="K263" s="864">
        <v>0</v>
      </c>
      <c r="L263" s="18" t="s">
        <v>927</v>
      </c>
      <c r="M263" s="442"/>
      <c r="N263" s="568"/>
      <c r="P263" s="578"/>
      <c r="T263" s="527"/>
      <c r="U263" s="440"/>
      <c r="V263" s="440"/>
      <c r="W263" s="440"/>
      <c r="X263" s="442"/>
    </row>
    <row r="264" spans="1:24" x14ac:dyDescent="0.25">
      <c r="A264" s="862">
        <v>982</v>
      </c>
      <c r="B264" s="863" t="s">
        <v>6123</v>
      </c>
      <c r="C264" s="862">
        <v>982</v>
      </c>
      <c r="D264" s="165" t="s">
        <v>2143</v>
      </c>
      <c r="E264" s="165" t="s">
        <v>6124</v>
      </c>
      <c r="F264" s="163">
        <v>1</v>
      </c>
      <c r="G264" s="864"/>
      <c r="H264" s="864">
        <v>0</v>
      </c>
      <c r="I264" s="864">
        <v>37854.13959295291</v>
      </c>
      <c r="J264" s="864">
        <v>39128.083739236063</v>
      </c>
      <c r="K264" s="864">
        <v>40469.077577428863</v>
      </c>
      <c r="L264" s="18" t="s">
        <v>3823</v>
      </c>
      <c r="M264" s="442"/>
      <c r="N264" s="568"/>
      <c r="P264" s="578"/>
      <c r="T264" s="527"/>
      <c r="U264" s="440"/>
      <c r="V264" s="440"/>
      <c r="W264" s="440"/>
      <c r="X264" s="442"/>
    </row>
    <row r="265" spans="1:24" x14ac:dyDescent="0.25">
      <c r="A265" s="862">
        <v>983</v>
      </c>
      <c r="B265" s="863" t="s">
        <v>6125</v>
      </c>
      <c r="C265" s="862">
        <v>983</v>
      </c>
      <c r="D265" s="165" t="s">
        <v>2143</v>
      </c>
      <c r="E265" s="165" t="s">
        <v>6126</v>
      </c>
      <c r="F265" s="163">
        <v>1</v>
      </c>
      <c r="G265" s="864"/>
      <c r="H265" s="864">
        <v>0</v>
      </c>
      <c r="I265" s="864">
        <v>34847.138686023507</v>
      </c>
      <c r="J265" s="864">
        <v>36013.379328439412</v>
      </c>
      <c r="K265" s="864">
        <v>37241.016371940583</v>
      </c>
      <c r="L265" s="18" t="s">
        <v>3824</v>
      </c>
      <c r="M265" s="442"/>
      <c r="N265" s="568"/>
      <c r="P265" s="578"/>
      <c r="T265" s="527"/>
      <c r="U265" s="440"/>
      <c r="V265" s="440"/>
      <c r="W265" s="440"/>
      <c r="X265" s="442"/>
    </row>
    <row r="266" spans="1:24" x14ac:dyDescent="0.25">
      <c r="A266" s="862">
        <v>984</v>
      </c>
      <c r="B266" s="863" t="s">
        <v>6127</v>
      </c>
      <c r="C266" s="862">
        <v>984</v>
      </c>
      <c r="D266" s="165" t="s">
        <v>2143</v>
      </c>
      <c r="E266" s="165" t="s">
        <v>6128</v>
      </c>
      <c r="F266" s="163">
        <v>1</v>
      </c>
      <c r="G266" s="864"/>
      <c r="H266" s="864">
        <v>0</v>
      </c>
      <c r="I266" s="864">
        <v>34847.138686023507</v>
      </c>
      <c r="J266" s="864">
        <v>36013.379328439412</v>
      </c>
      <c r="K266" s="864">
        <v>37241.016371940583</v>
      </c>
      <c r="L266" s="18" t="s">
        <v>3825</v>
      </c>
      <c r="M266" s="442"/>
      <c r="N266" s="568"/>
      <c r="P266" s="578"/>
      <c r="T266" s="527"/>
      <c r="U266" s="440"/>
      <c r="V266" s="440"/>
      <c r="W266" s="440"/>
      <c r="X266" s="442"/>
    </row>
    <row r="267" spans="1:24" x14ac:dyDescent="0.25">
      <c r="A267" s="862">
        <v>985</v>
      </c>
      <c r="B267" s="863" t="s">
        <v>6129</v>
      </c>
      <c r="C267" s="862">
        <v>985</v>
      </c>
      <c r="D267" s="165" t="s">
        <v>2143</v>
      </c>
      <c r="E267" s="165" t="s">
        <v>6130</v>
      </c>
      <c r="F267" s="163">
        <v>1</v>
      </c>
      <c r="G267" s="864"/>
      <c r="H267" s="864">
        <v>0</v>
      </c>
      <c r="I267" s="864">
        <v>35517.8043361979</v>
      </c>
      <c r="J267" s="864">
        <v>36708.07146461738</v>
      </c>
      <c r="K267" s="864">
        <v>37960.982043568678</v>
      </c>
      <c r="L267" s="18" t="s">
        <v>3826</v>
      </c>
      <c r="M267" s="442"/>
      <c r="N267" s="568"/>
      <c r="P267" s="578"/>
      <c r="T267" s="527"/>
      <c r="U267" s="440"/>
      <c r="V267" s="440"/>
      <c r="W267" s="440"/>
      <c r="X267" s="442"/>
    </row>
    <row r="268" spans="1:24" x14ac:dyDescent="0.25">
      <c r="A268" s="862">
        <v>986</v>
      </c>
      <c r="B268" s="863" t="s">
        <v>6131</v>
      </c>
      <c r="C268" s="862">
        <v>986</v>
      </c>
      <c r="D268" s="165" t="s">
        <v>2143</v>
      </c>
      <c r="E268" s="165" t="s">
        <v>6132</v>
      </c>
      <c r="F268" s="163">
        <v>1</v>
      </c>
      <c r="G268" s="864"/>
      <c r="H268" s="864">
        <v>0</v>
      </c>
      <c r="I268" s="864">
        <v>33725.697762781099</v>
      </c>
      <c r="J268" s="864">
        <v>34851.783413018013</v>
      </c>
      <c r="K268" s="864">
        <v>36037.145480281048</v>
      </c>
      <c r="L268" s="18" t="s">
        <v>3827</v>
      </c>
      <c r="M268" s="442"/>
      <c r="N268" s="568"/>
      <c r="P268" s="578"/>
      <c r="T268" s="527"/>
      <c r="U268" s="440"/>
      <c r="V268" s="440"/>
      <c r="W268" s="440"/>
      <c r="X268" s="442"/>
    </row>
    <row r="269" spans="1:24" x14ac:dyDescent="0.25">
      <c r="A269" s="862">
        <v>987</v>
      </c>
      <c r="B269" s="863" t="s">
        <v>6133</v>
      </c>
      <c r="C269" s="862">
        <v>987</v>
      </c>
      <c r="D269" s="165" t="s">
        <v>2143</v>
      </c>
      <c r="E269" s="165" t="s">
        <v>6134</v>
      </c>
      <c r="F269" s="163">
        <v>1</v>
      </c>
      <c r="G269" s="864"/>
      <c r="H269" s="864">
        <v>35016.46783116251</v>
      </c>
      <c r="I269" s="864">
        <v>36188.777447551634</v>
      </c>
      <c r="J269" s="864">
        <v>37422.816011545117</v>
      </c>
      <c r="K269" s="864">
        <v>38721.825851703965</v>
      </c>
      <c r="L269" s="18" t="s">
        <v>2919</v>
      </c>
      <c r="M269" s="442"/>
      <c r="N269" s="568"/>
      <c r="P269" s="578"/>
      <c r="T269" s="527"/>
      <c r="U269" s="440"/>
      <c r="V269" s="440"/>
      <c r="W269" s="440"/>
      <c r="X269" s="442"/>
    </row>
    <row r="270" spans="1:24" x14ac:dyDescent="0.25">
      <c r="A270" s="862">
        <v>988</v>
      </c>
      <c r="B270" s="863" t="s">
        <v>6135</v>
      </c>
      <c r="C270" s="862">
        <v>988</v>
      </c>
      <c r="D270" s="165" t="s">
        <v>2143</v>
      </c>
      <c r="E270" s="165" t="s">
        <v>6136</v>
      </c>
      <c r="F270" s="163">
        <v>1</v>
      </c>
      <c r="G270" s="864"/>
      <c r="H270" s="864">
        <v>0</v>
      </c>
      <c r="I270" s="864">
        <v>38953.59147848469</v>
      </c>
      <c r="J270" s="864">
        <v>40266.942387278905</v>
      </c>
      <c r="K270" s="864">
        <v>41649.421403727014</v>
      </c>
      <c r="L270" s="18" t="s">
        <v>3828</v>
      </c>
      <c r="M270" s="442"/>
      <c r="N270" s="568"/>
      <c r="P270" s="578"/>
      <c r="T270" s="527"/>
      <c r="U270" s="440"/>
      <c r="V270" s="440"/>
      <c r="W270" s="440"/>
      <c r="X270" s="442"/>
    </row>
    <row r="271" spans="1:24" x14ac:dyDescent="0.25">
      <c r="A271" s="862">
        <v>989</v>
      </c>
      <c r="B271" s="863" t="s">
        <v>6137</v>
      </c>
      <c r="C271" s="862">
        <v>989</v>
      </c>
      <c r="D271" s="165" t="s">
        <v>2143</v>
      </c>
      <c r="E271" s="165" t="s">
        <v>6138</v>
      </c>
      <c r="F271" s="163">
        <v>1</v>
      </c>
      <c r="G271" s="864"/>
      <c r="H271" s="864">
        <v>33638.99778306701</v>
      </c>
      <c r="I271" s="864">
        <v>34825.149648312865</v>
      </c>
      <c r="J271" s="864">
        <v>35990.600492745965</v>
      </c>
      <c r="K271" s="864">
        <v>37217.406169949427</v>
      </c>
      <c r="L271" s="18" t="s">
        <v>3829</v>
      </c>
      <c r="M271" s="442"/>
      <c r="N271" s="568"/>
      <c r="P271" s="578"/>
      <c r="T271" s="527"/>
      <c r="U271" s="440"/>
      <c r="V271" s="440"/>
      <c r="W271" s="440"/>
      <c r="X271" s="442"/>
    </row>
    <row r="272" spans="1:24" x14ac:dyDescent="0.25">
      <c r="A272" s="862">
        <v>990</v>
      </c>
      <c r="B272" s="863" t="s">
        <v>6139</v>
      </c>
      <c r="C272" s="862">
        <v>990</v>
      </c>
      <c r="D272" s="165" t="s">
        <v>2143</v>
      </c>
      <c r="E272" s="165" t="s">
        <v>6140</v>
      </c>
      <c r="F272" s="163">
        <v>1</v>
      </c>
      <c r="G272" s="864"/>
      <c r="H272" s="864">
        <v>34491.0252325654</v>
      </c>
      <c r="I272" s="864">
        <v>35664.249351882005</v>
      </c>
      <c r="J272" s="864">
        <v>36899.202418802954</v>
      </c>
      <c r="K272" s="864">
        <v>38199.168330204178</v>
      </c>
      <c r="L272" s="18" t="s">
        <v>2920</v>
      </c>
      <c r="M272" s="442"/>
      <c r="N272" s="568"/>
      <c r="P272" s="578"/>
      <c r="T272" s="527"/>
      <c r="U272" s="440"/>
      <c r="V272" s="440"/>
      <c r="W272" s="440"/>
      <c r="X272" s="442"/>
    </row>
    <row r="273" spans="1:24" x14ac:dyDescent="0.25">
      <c r="A273" s="862">
        <v>991</v>
      </c>
      <c r="B273" s="863" t="s">
        <v>6141</v>
      </c>
      <c r="C273" s="862">
        <v>991</v>
      </c>
      <c r="D273" s="165" t="s">
        <v>2143</v>
      </c>
      <c r="E273" s="165" t="s">
        <v>6142</v>
      </c>
      <c r="F273" s="163">
        <v>1</v>
      </c>
      <c r="G273" s="864"/>
      <c r="H273" s="864">
        <v>35661.711958193097</v>
      </c>
      <c r="I273" s="864">
        <v>36877.585168581798</v>
      </c>
      <c r="J273" s="864">
        <v>38157.473583893516</v>
      </c>
      <c r="K273" s="864">
        <v>39504.868942578621</v>
      </c>
      <c r="L273" s="18" t="s">
        <v>2921</v>
      </c>
      <c r="M273" s="442"/>
      <c r="N273" s="568"/>
      <c r="P273" s="578"/>
      <c r="T273" s="527"/>
      <c r="U273" s="440"/>
      <c r="V273" s="440"/>
      <c r="W273" s="440"/>
      <c r="X273" s="442"/>
    </row>
    <row r="274" spans="1:24" x14ac:dyDescent="0.25">
      <c r="A274" s="862">
        <v>992</v>
      </c>
      <c r="B274" s="863" t="s">
        <v>6143</v>
      </c>
      <c r="C274" s="862">
        <v>992</v>
      </c>
      <c r="D274" s="165" t="s">
        <v>2143</v>
      </c>
      <c r="E274" s="165" t="s">
        <v>6144</v>
      </c>
      <c r="F274" s="163">
        <v>1</v>
      </c>
      <c r="G274" s="864"/>
      <c r="H274" s="864">
        <v>0</v>
      </c>
      <c r="I274" s="864">
        <v>0</v>
      </c>
      <c r="J274" s="864">
        <v>44630.172997583257</v>
      </c>
      <c r="K274" s="864">
        <v>45668.039990958132</v>
      </c>
      <c r="L274" s="18" t="s">
        <v>4509</v>
      </c>
      <c r="M274" s="442"/>
      <c r="N274" s="568"/>
      <c r="P274" s="578"/>
      <c r="T274" s="527"/>
      <c r="U274" s="440"/>
      <c r="V274" s="440"/>
      <c r="W274" s="440"/>
      <c r="X274" s="442"/>
    </row>
    <row r="275" spans="1:24" x14ac:dyDescent="0.25">
      <c r="A275" s="862">
        <v>993</v>
      </c>
      <c r="B275" s="863" t="s">
        <v>6145</v>
      </c>
      <c r="C275" s="862">
        <v>993</v>
      </c>
      <c r="D275" s="165" t="s">
        <v>2143</v>
      </c>
      <c r="E275" s="165" t="s">
        <v>6146</v>
      </c>
      <c r="F275" s="163">
        <v>1</v>
      </c>
      <c r="G275" s="864"/>
      <c r="H275" s="864">
        <v>0</v>
      </c>
      <c r="I275" s="864">
        <v>0</v>
      </c>
      <c r="J275" s="864">
        <v>43680.132569008354</v>
      </c>
      <c r="K275" s="864">
        <v>44694.722278309571</v>
      </c>
      <c r="L275" s="18" t="s">
        <v>4510</v>
      </c>
      <c r="M275" s="442"/>
      <c r="N275" s="565"/>
      <c r="P275" s="578"/>
      <c r="T275" s="527"/>
      <c r="U275" s="440"/>
      <c r="V275" s="440"/>
      <c r="W275" s="440"/>
      <c r="X275" s="442"/>
    </row>
    <row r="276" spans="1:24" x14ac:dyDescent="0.25">
      <c r="A276" s="862">
        <v>994</v>
      </c>
      <c r="B276" s="863" t="s">
        <v>6147</v>
      </c>
      <c r="C276" s="862">
        <v>994</v>
      </c>
      <c r="D276" s="165" t="s">
        <v>2143</v>
      </c>
      <c r="E276" s="165" t="s">
        <v>6148</v>
      </c>
      <c r="F276" s="163">
        <v>1</v>
      </c>
      <c r="G276" s="864"/>
      <c r="H276" s="864">
        <v>0</v>
      </c>
      <c r="I276" s="864">
        <v>0</v>
      </c>
      <c r="J276" s="864">
        <v>45865.225554730605</v>
      </c>
      <c r="K276" s="864">
        <v>46933.375139424134</v>
      </c>
      <c r="L276" s="18" t="s">
        <v>4511</v>
      </c>
      <c r="M276" s="442"/>
      <c r="N276" s="565"/>
      <c r="P276" s="578"/>
      <c r="T276" s="527"/>
      <c r="U276" s="440"/>
      <c r="V276" s="440"/>
      <c r="W276" s="440"/>
      <c r="X276" s="442"/>
    </row>
    <row r="277" spans="1:24" x14ac:dyDescent="0.25">
      <c r="A277" s="862">
        <v>995</v>
      </c>
      <c r="B277" s="863" t="s">
        <v>6149</v>
      </c>
      <c r="C277" s="862">
        <v>995</v>
      </c>
      <c r="D277" s="165" t="s">
        <v>2143</v>
      </c>
      <c r="E277" s="165" t="s">
        <v>6150</v>
      </c>
      <c r="F277" s="163">
        <v>1</v>
      </c>
      <c r="G277" s="864"/>
      <c r="H277" s="864">
        <v>0</v>
      </c>
      <c r="I277" s="864">
        <v>0</v>
      </c>
      <c r="J277" s="864">
        <v>44915.185126155717</v>
      </c>
      <c r="K277" s="864">
        <v>45960.032846750153</v>
      </c>
      <c r="L277" s="18" t="s">
        <v>4512</v>
      </c>
      <c r="M277" s="442"/>
      <c r="N277" s="564"/>
      <c r="P277" s="578"/>
      <c r="T277" s="527"/>
      <c r="U277" s="440"/>
      <c r="V277" s="440"/>
      <c r="W277" s="440"/>
      <c r="X277" s="442"/>
    </row>
    <row r="278" spans="1:24" x14ac:dyDescent="0.25">
      <c r="A278" s="862">
        <v>996</v>
      </c>
      <c r="B278" s="863" t="s">
        <v>6151</v>
      </c>
      <c r="C278" s="862">
        <v>996</v>
      </c>
      <c r="D278" s="165" t="s">
        <v>2143</v>
      </c>
      <c r="E278" s="165" t="s">
        <v>6152</v>
      </c>
      <c r="F278" s="163">
        <v>1</v>
      </c>
      <c r="G278" s="864"/>
      <c r="H278" s="864">
        <v>43708.955309363359</v>
      </c>
      <c r="I278" s="864">
        <v>0</v>
      </c>
      <c r="J278" s="864">
        <v>0</v>
      </c>
      <c r="K278" s="864">
        <v>0</v>
      </c>
      <c r="L278" s="18" t="s">
        <v>928</v>
      </c>
      <c r="M278" s="442"/>
      <c r="N278" s="564"/>
      <c r="P278" s="578"/>
      <c r="T278" s="527"/>
      <c r="U278" s="440"/>
      <c r="V278" s="440"/>
      <c r="W278" s="440"/>
      <c r="X278" s="442"/>
    </row>
    <row r="279" spans="1:24" x14ac:dyDescent="0.25">
      <c r="A279" s="862">
        <v>997</v>
      </c>
      <c r="B279" s="863" t="s">
        <v>6153</v>
      </c>
      <c r="C279" s="862">
        <v>997</v>
      </c>
      <c r="D279" s="165" t="s">
        <v>2143</v>
      </c>
      <c r="E279" s="165" t="s">
        <v>6154</v>
      </c>
      <c r="F279" s="163">
        <v>1</v>
      </c>
      <c r="G279" s="864"/>
      <c r="H279" s="864">
        <v>35224.309780881325</v>
      </c>
      <c r="I279" s="864">
        <v>0</v>
      </c>
      <c r="J279" s="864">
        <v>0</v>
      </c>
      <c r="K279" s="864">
        <v>0</v>
      </c>
      <c r="L279" s="18" t="s">
        <v>929</v>
      </c>
      <c r="M279" s="442"/>
      <c r="N279" s="564"/>
      <c r="P279" s="578"/>
      <c r="T279" s="527"/>
      <c r="U279" s="440"/>
      <c r="V279" s="440"/>
      <c r="W279" s="440"/>
      <c r="X279" s="442"/>
    </row>
    <row r="280" spans="1:24" x14ac:dyDescent="0.25">
      <c r="A280" s="862">
        <v>998</v>
      </c>
      <c r="B280" s="863" t="s">
        <v>6155</v>
      </c>
      <c r="C280" s="862">
        <v>998</v>
      </c>
      <c r="D280" s="165" t="s">
        <v>2143</v>
      </c>
      <c r="E280" s="165" t="s">
        <v>6156</v>
      </c>
      <c r="F280" s="163">
        <v>1</v>
      </c>
      <c r="G280" s="864"/>
      <c r="H280" s="864">
        <v>0</v>
      </c>
      <c r="I280" s="864">
        <v>38421.658796846292</v>
      </c>
      <c r="J280" s="864">
        <v>39307.350852839962</v>
      </c>
      <c r="K280" s="864">
        <v>40239.671217057228</v>
      </c>
      <c r="L280" s="18" t="s">
        <v>4513</v>
      </c>
      <c r="M280" s="442"/>
      <c r="N280" s="564"/>
      <c r="P280" s="578"/>
      <c r="T280" s="527"/>
      <c r="U280" s="440"/>
      <c r="V280" s="440"/>
      <c r="W280" s="440"/>
      <c r="X280" s="442"/>
    </row>
    <row r="281" spans="1:24" x14ac:dyDescent="0.25">
      <c r="A281" s="862">
        <v>999</v>
      </c>
      <c r="B281" s="863" t="s">
        <v>6157</v>
      </c>
      <c r="C281" s="862">
        <v>999</v>
      </c>
      <c r="D281" s="165" t="s">
        <v>2143</v>
      </c>
      <c r="E281" s="165" t="s">
        <v>6158</v>
      </c>
      <c r="F281" s="163">
        <v>1</v>
      </c>
      <c r="G281" s="864"/>
      <c r="H281" s="864">
        <v>39072.436490420092</v>
      </c>
      <c r="I281" s="864">
        <v>39974.080982911975</v>
      </c>
      <c r="J281" s="864">
        <v>40923.189504491747</v>
      </c>
      <c r="K281" s="864">
        <v>41922.24463772693</v>
      </c>
      <c r="L281" s="18" t="s">
        <v>4514</v>
      </c>
      <c r="M281" s="442"/>
      <c r="N281" s="558"/>
      <c r="P281" s="578"/>
      <c r="T281" s="527"/>
      <c r="U281" s="440"/>
      <c r="V281" s="440"/>
      <c r="W281" s="440"/>
      <c r="X281" s="442"/>
    </row>
    <row r="282" spans="1:24" x14ac:dyDescent="0.25">
      <c r="A282" s="862">
        <v>1000</v>
      </c>
      <c r="B282" s="863" t="s">
        <v>6159</v>
      </c>
      <c r="C282" s="862">
        <v>1000</v>
      </c>
      <c r="D282" s="165" t="s">
        <v>2143</v>
      </c>
      <c r="E282" s="165" t="s">
        <v>6160</v>
      </c>
      <c r="F282" s="163">
        <v>1</v>
      </c>
      <c r="G282" s="864"/>
      <c r="H282" s="864">
        <v>33500.114241276991</v>
      </c>
      <c r="I282" s="864">
        <v>0</v>
      </c>
      <c r="J282" s="864">
        <v>0</v>
      </c>
      <c r="K282" s="864">
        <v>0</v>
      </c>
      <c r="L282" s="18" t="s">
        <v>930</v>
      </c>
      <c r="M282" s="442"/>
      <c r="N282" s="558"/>
      <c r="P282" s="578"/>
      <c r="T282" s="527"/>
      <c r="U282" s="440"/>
      <c r="V282" s="440"/>
      <c r="W282" s="440"/>
      <c r="X282" s="442"/>
    </row>
    <row r="283" spans="1:24" x14ac:dyDescent="0.25">
      <c r="A283" s="862">
        <v>1001</v>
      </c>
      <c r="B283" s="863" t="s">
        <v>6161</v>
      </c>
      <c r="C283" s="862">
        <v>1001</v>
      </c>
      <c r="D283" s="165" t="s">
        <v>2143</v>
      </c>
      <c r="E283" s="165" t="s">
        <v>6162</v>
      </c>
      <c r="F283" s="163">
        <v>1</v>
      </c>
      <c r="G283" s="864"/>
      <c r="H283" s="864">
        <v>48926.105346185126</v>
      </c>
      <c r="I283" s="864">
        <v>0</v>
      </c>
      <c r="J283" s="864">
        <v>0</v>
      </c>
      <c r="K283" s="864">
        <v>0</v>
      </c>
      <c r="L283" s="18" t="s">
        <v>931</v>
      </c>
      <c r="M283" s="442"/>
      <c r="N283" s="558"/>
      <c r="P283" s="578"/>
      <c r="T283" s="527"/>
      <c r="U283" s="440"/>
      <c r="V283" s="440"/>
      <c r="W283" s="440"/>
      <c r="X283" s="442"/>
    </row>
    <row r="284" spans="1:24" x14ac:dyDescent="0.25">
      <c r="A284" s="862">
        <v>1002</v>
      </c>
      <c r="B284" s="863" t="s">
        <v>6163</v>
      </c>
      <c r="C284" s="862">
        <v>1002</v>
      </c>
      <c r="D284" s="165" t="s">
        <v>2143</v>
      </c>
      <c r="E284" s="165" t="s">
        <v>6164</v>
      </c>
      <c r="F284" s="163">
        <v>1</v>
      </c>
      <c r="G284" s="864"/>
      <c r="H284" s="864">
        <v>42629.581956995273</v>
      </c>
      <c r="I284" s="864">
        <v>0</v>
      </c>
      <c r="J284" s="864">
        <v>0</v>
      </c>
      <c r="K284" s="864">
        <v>0</v>
      </c>
      <c r="L284" s="18" t="s">
        <v>932</v>
      </c>
      <c r="M284" s="442"/>
      <c r="N284" s="558"/>
      <c r="P284" s="578"/>
      <c r="T284" s="527"/>
      <c r="U284" s="440"/>
      <c r="V284" s="440"/>
      <c r="W284" s="440"/>
      <c r="X284" s="442"/>
    </row>
    <row r="285" spans="1:24" x14ac:dyDescent="0.25">
      <c r="A285" s="862">
        <v>1003</v>
      </c>
      <c r="B285" s="863" t="s">
        <v>6165</v>
      </c>
      <c r="C285" s="862">
        <v>1003</v>
      </c>
      <c r="D285" s="165" t="s">
        <v>2143</v>
      </c>
      <c r="E285" s="165" t="s">
        <v>6166</v>
      </c>
      <c r="F285" s="163">
        <v>1</v>
      </c>
      <c r="G285" s="864"/>
      <c r="H285" s="864">
        <v>39984.475301851991</v>
      </c>
      <c r="I285" s="864">
        <v>40908.48761747696</v>
      </c>
      <c r="J285" s="864">
        <v>41881.119223384601</v>
      </c>
      <c r="K285" s="864">
        <v>42904.951022244124</v>
      </c>
      <c r="L285" s="18" t="s">
        <v>4515</v>
      </c>
      <c r="M285" s="442"/>
      <c r="N285" s="558"/>
      <c r="P285" s="578"/>
      <c r="T285" s="527"/>
      <c r="U285" s="440"/>
      <c r="V285" s="440"/>
      <c r="W285" s="440"/>
      <c r="X285" s="442"/>
    </row>
    <row r="286" spans="1:24" x14ac:dyDescent="0.25">
      <c r="A286" s="862">
        <v>1004</v>
      </c>
      <c r="B286" s="863" t="s">
        <v>6167</v>
      </c>
      <c r="C286" s="862">
        <v>1004</v>
      </c>
      <c r="D286" s="165" t="s">
        <v>2143</v>
      </c>
      <c r="E286" s="165" t="s">
        <v>6168</v>
      </c>
      <c r="F286" s="163">
        <v>1</v>
      </c>
      <c r="G286" s="864"/>
      <c r="H286" s="864">
        <v>0</v>
      </c>
      <c r="I286" s="864">
        <v>37884.885954701473</v>
      </c>
      <c r="J286" s="864">
        <v>38757.427697094936</v>
      </c>
      <c r="K286" s="864">
        <v>39675.884926974759</v>
      </c>
      <c r="L286" s="18" t="s">
        <v>4516</v>
      </c>
      <c r="M286" s="442"/>
      <c r="N286" s="558"/>
      <c r="P286" s="578"/>
      <c r="T286" s="527"/>
      <c r="U286" s="440"/>
      <c r="V286" s="440"/>
      <c r="W286" s="440"/>
      <c r="X286" s="442"/>
    </row>
    <row r="287" spans="1:24" x14ac:dyDescent="0.25">
      <c r="A287" s="862">
        <v>1005</v>
      </c>
      <c r="B287" s="863" t="s">
        <v>6169</v>
      </c>
      <c r="C287" s="862">
        <v>1005</v>
      </c>
      <c r="D287" s="165" t="s">
        <v>2143</v>
      </c>
      <c r="E287" s="165" t="s">
        <v>6170</v>
      </c>
      <c r="F287" s="163">
        <v>1</v>
      </c>
      <c r="G287" s="864"/>
      <c r="H287" s="864">
        <v>43667.474749503563</v>
      </c>
      <c r="I287" s="864">
        <v>43667.474749503563</v>
      </c>
      <c r="J287" s="864">
        <v>44766.93928658338</v>
      </c>
      <c r="K287" s="864">
        <v>45924.240623478734</v>
      </c>
      <c r="L287" s="18" t="s">
        <v>933</v>
      </c>
      <c r="M287" s="442"/>
      <c r="N287" s="558"/>
      <c r="P287" s="578"/>
      <c r="T287" s="527"/>
      <c r="U287" s="440"/>
      <c r="V287" s="440"/>
      <c r="W287" s="440"/>
      <c r="X287" s="442"/>
    </row>
    <row r="288" spans="1:24" x14ac:dyDescent="0.25">
      <c r="A288" s="862">
        <v>1006</v>
      </c>
      <c r="B288" s="863" t="s">
        <v>6171</v>
      </c>
      <c r="C288" s="862">
        <v>1006</v>
      </c>
      <c r="D288" s="165" t="s">
        <v>2143</v>
      </c>
      <c r="E288" s="165" t="s">
        <v>6172</v>
      </c>
      <c r="F288" s="163">
        <v>1</v>
      </c>
      <c r="G288" s="864"/>
      <c r="H288" s="864">
        <v>44656.019310256859</v>
      </c>
      <c r="I288" s="864">
        <v>0</v>
      </c>
      <c r="J288" s="864">
        <v>0</v>
      </c>
      <c r="K288" s="864">
        <v>0</v>
      </c>
      <c r="L288" s="18" t="s">
        <v>934</v>
      </c>
      <c r="M288" s="442"/>
      <c r="N288" s="558"/>
      <c r="P288" s="578"/>
      <c r="T288" s="527"/>
      <c r="U288" s="440"/>
      <c r="V288" s="440"/>
      <c r="W288" s="440"/>
      <c r="X288" s="442"/>
    </row>
    <row r="289" spans="1:24" x14ac:dyDescent="0.25">
      <c r="A289" s="862">
        <v>1007</v>
      </c>
      <c r="B289" s="863" t="s">
        <v>6173</v>
      </c>
      <c r="C289" s="862">
        <v>1007</v>
      </c>
      <c r="D289" s="165" t="s">
        <v>2143</v>
      </c>
      <c r="E289" s="165" t="s">
        <v>6174</v>
      </c>
      <c r="F289" s="163">
        <v>1</v>
      </c>
      <c r="G289" s="864"/>
      <c r="H289" s="864">
        <v>36116.097766155348</v>
      </c>
      <c r="I289" s="864">
        <v>0</v>
      </c>
      <c r="J289" s="864">
        <v>0</v>
      </c>
      <c r="K289" s="864">
        <v>0</v>
      </c>
      <c r="L289" s="18" t="s">
        <v>935</v>
      </c>
      <c r="M289" s="442"/>
      <c r="N289" s="558"/>
      <c r="P289" s="578"/>
      <c r="T289" s="527"/>
      <c r="U289" s="440"/>
      <c r="V289" s="440"/>
      <c r="W289" s="440"/>
      <c r="X289" s="442"/>
    </row>
    <row r="290" spans="1:24" x14ac:dyDescent="0.25">
      <c r="A290" s="862">
        <v>1008</v>
      </c>
      <c r="B290" s="863" t="s">
        <v>6175</v>
      </c>
      <c r="C290" s="862">
        <v>1008</v>
      </c>
      <c r="D290" s="165" t="s">
        <v>2143</v>
      </c>
      <c r="E290" s="165" t="s">
        <v>6176</v>
      </c>
      <c r="F290" s="163">
        <v>1</v>
      </c>
      <c r="G290" s="864"/>
      <c r="H290" s="864">
        <v>36306.76001713096</v>
      </c>
      <c r="I290" s="864">
        <v>37047.749463471417</v>
      </c>
      <c r="J290" s="864">
        <v>39609.209332564904</v>
      </c>
      <c r="K290" s="864">
        <v>40524.004138657016</v>
      </c>
      <c r="L290" s="18" t="s">
        <v>4517</v>
      </c>
      <c r="M290" s="442"/>
      <c r="N290" s="558"/>
      <c r="P290" s="578"/>
      <c r="T290" s="527"/>
      <c r="U290" s="440"/>
      <c r="V290" s="440"/>
      <c r="W290" s="440"/>
      <c r="X290" s="442"/>
    </row>
    <row r="291" spans="1:24" x14ac:dyDescent="0.25">
      <c r="A291" s="862">
        <v>1009</v>
      </c>
      <c r="B291" s="863" t="s">
        <v>6177</v>
      </c>
      <c r="C291" s="862">
        <v>1009</v>
      </c>
      <c r="D291" s="165" t="s">
        <v>2143</v>
      </c>
      <c r="E291" s="165" t="s">
        <v>6178</v>
      </c>
      <c r="F291" s="163">
        <v>1</v>
      </c>
      <c r="G291" s="864"/>
      <c r="H291" s="864">
        <v>0</v>
      </c>
      <c r="I291" s="864">
        <v>36996.598153983927</v>
      </c>
      <c r="J291" s="864">
        <v>37847.361993854422</v>
      </c>
      <c r="K291" s="864">
        <v>38742.910640041911</v>
      </c>
      <c r="L291" s="18" t="s">
        <v>4518</v>
      </c>
      <c r="M291" s="442"/>
      <c r="N291" s="558"/>
      <c r="P291" s="578"/>
      <c r="T291" s="527"/>
      <c r="U291" s="440"/>
      <c r="V291" s="440"/>
      <c r="W291" s="440"/>
      <c r="X291" s="442"/>
    </row>
    <row r="292" spans="1:24" x14ac:dyDescent="0.25">
      <c r="A292" s="862">
        <v>1010</v>
      </c>
      <c r="B292" s="863" t="s">
        <v>6179</v>
      </c>
      <c r="C292" s="862">
        <v>1010</v>
      </c>
      <c r="D292" s="165" t="s">
        <v>2143</v>
      </c>
      <c r="E292" s="165" t="s">
        <v>6180</v>
      </c>
      <c r="F292" s="163">
        <v>1</v>
      </c>
      <c r="G292" s="864"/>
      <c r="H292" s="864">
        <v>34391.951386601853</v>
      </c>
      <c r="I292" s="864">
        <v>0</v>
      </c>
      <c r="J292" s="864">
        <v>0</v>
      </c>
      <c r="K292" s="864">
        <v>0</v>
      </c>
      <c r="L292" s="18" t="s">
        <v>936</v>
      </c>
      <c r="M292" s="442"/>
      <c r="N292" s="558"/>
      <c r="P292" s="578"/>
      <c r="T292" s="527"/>
      <c r="U292" s="440"/>
      <c r="V292" s="440"/>
      <c r="W292" s="440"/>
      <c r="X292" s="442"/>
    </row>
    <row r="293" spans="1:24" x14ac:dyDescent="0.25">
      <c r="A293" s="862">
        <v>1011</v>
      </c>
      <c r="B293" s="863" t="s">
        <v>6181</v>
      </c>
      <c r="C293" s="862">
        <v>1011</v>
      </c>
      <c r="D293" s="165" t="s">
        <v>2143</v>
      </c>
      <c r="E293" s="165" t="s">
        <v>6182</v>
      </c>
      <c r="F293" s="163">
        <v>1</v>
      </c>
      <c r="G293" s="864"/>
      <c r="H293" s="864">
        <v>50309.954209521034</v>
      </c>
      <c r="I293" s="864">
        <v>51585.878749097988</v>
      </c>
      <c r="J293" s="864">
        <v>0</v>
      </c>
      <c r="K293" s="864">
        <v>0</v>
      </c>
      <c r="L293" s="18" t="s">
        <v>937</v>
      </c>
      <c r="M293" s="442"/>
      <c r="N293" s="558"/>
      <c r="P293" s="578"/>
      <c r="T293" s="527"/>
      <c r="U293" s="440"/>
      <c r="V293" s="440"/>
      <c r="W293" s="440"/>
      <c r="X293" s="442"/>
    </row>
    <row r="294" spans="1:24" x14ac:dyDescent="0.25">
      <c r="A294" s="862">
        <v>1012</v>
      </c>
      <c r="B294" s="863" t="s">
        <v>6183</v>
      </c>
      <c r="C294" s="862">
        <v>1012</v>
      </c>
      <c r="D294" s="165" t="s">
        <v>2143</v>
      </c>
      <c r="E294" s="165" t="s">
        <v>6184</v>
      </c>
      <c r="F294" s="163">
        <v>1</v>
      </c>
      <c r="G294" s="864"/>
      <c r="H294" s="864">
        <v>44013.430820331188</v>
      </c>
      <c r="I294" s="864">
        <v>45122.088286918464</v>
      </c>
      <c r="J294" s="864">
        <v>0</v>
      </c>
      <c r="K294" s="864">
        <v>0</v>
      </c>
      <c r="L294" s="18" t="s">
        <v>938</v>
      </c>
      <c r="M294" s="442"/>
      <c r="N294" s="558"/>
      <c r="P294" s="578"/>
      <c r="T294" s="527"/>
      <c r="U294" s="440"/>
      <c r="V294" s="440"/>
      <c r="W294" s="440"/>
      <c r="X294" s="442"/>
    </row>
    <row r="295" spans="1:24" x14ac:dyDescent="0.25">
      <c r="A295" s="862">
        <v>1013</v>
      </c>
      <c r="B295" s="863" t="s">
        <v>6185</v>
      </c>
      <c r="C295" s="862">
        <v>1013</v>
      </c>
      <c r="D295" s="165" t="s">
        <v>2143</v>
      </c>
      <c r="E295" s="165" t="s">
        <v>6186</v>
      </c>
      <c r="F295" s="163">
        <v>1</v>
      </c>
      <c r="G295" s="864"/>
      <c r="H295" s="864">
        <v>42564.004887388102</v>
      </c>
      <c r="I295" s="864">
        <v>43578.324216409703</v>
      </c>
      <c r="J295" s="864">
        <v>44646.031360645633</v>
      </c>
      <c r="K295" s="864">
        <v>45769.953023019327</v>
      </c>
      <c r="L295" s="18" t="s">
        <v>939</v>
      </c>
      <c r="M295" s="442"/>
      <c r="N295" s="558"/>
      <c r="P295" s="578"/>
      <c r="T295" s="527"/>
      <c r="U295" s="440"/>
      <c r="V295" s="440"/>
      <c r="W295" s="440"/>
      <c r="X295" s="442"/>
    </row>
    <row r="296" spans="1:24" x14ac:dyDescent="0.25">
      <c r="A296" s="862">
        <v>1014</v>
      </c>
      <c r="B296" s="863" t="s">
        <v>6187</v>
      </c>
      <c r="C296" s="862">
        <v>1014</v>
      </c>
      <c r="D296" s="165" t="s">
        <v>2143</v>
      </c>
      <c r="E296" s="165" t="s">
        <v>6188</v>
      </c>
      <c r="F296" s="163">
        <v>1</v>
      </c>
      <c r="G296" s="864"/>
      <c r="H296" s="864">
        <v>0</v>
      </c>
      <c r="I296" s="864">
        <v>0</v>
      </c>
      <c r="J296" s="864">
        <v>0</v>
      </c>
      <c r="K296" s="864">
        <v>47084.038171992157</v>
      </c>
      <c r="L296" s="18" t="s">
        <v>10806</v>
      </c>
      <c r="M296" s="442"/>
      <c r="N296" s="558"/>
      <c r="P296" s="578"/>
      <c r="T296" s="527"/>
      <c r="U296" s="440"/>
      <c r="V296" s="440"/>
      <c r="W296" s="440"/>
      <c r="X296" s="442"/>
    </row>
    <row r="297" spans="1:24" x14ac:dyDescent="0.25">
      <c r="A297" s="862">
        <v>1015</v>
      </c>
      <c r="B297" s="863" t="s">
        <v>6189</v>
      </c>
      <c r="C297" s="862">
        <v>1015</v>
      </c>
      <c r="D297" s="165" t="s">
        <v>2143</v>
      </c>
      <c r="E297" s="165" t="s">
        <v>6190</v>
      </c>
      <c r="F297" s="163">
        <v>1</v>
      </c>
      <c r="G297" s="864"/>
      <c r="H297" s="864">
        <v>0</v>
      </c>
      <c r="I297" s="864">
        <v>0</v>
      </c>
      <c r="J297" s="864">
        <v>0</v>
      </c>
      <c r="K297" s="864">
        <v>45984.586286460384</v>
      </c>
      <c r="L297" s="18" t="s">
        <v>10807</v>
      </c>
      <c r="M297" s="442"/>
      <c r="N297" s="558"/>
      <c r="P297" s="578"/>
      <c r="T297" s="527"/>
      <c r="U297" s="440"/>
      <c r="V297" s="440"/>
      <c r="W297" s="440"/>
      <c r="X297" s="442"/>
    </row>
    <row r="298" spans="1:24" x14ac:dyDescent="0.25">
      <c r="A298" s="862">
        <v>1016</v>
      </c>
      <c r="B298" s="863" t="s">
        <v>6191</v>
      </c>
      <c r="C298" s="862">
        <v>1016</v>
      </c>
      <c r="D298" s="165" t="s">
        <v>2143</v>
      </c>
      <c r="E298" s="165" t="s">
        <v>6192</v>
      </c>
      <c r="F298" s="163">
        <v>1</v>
      </c>
      <c r="G298" s="864"/>
      <c r="H298" s="864">
        <v>0</v>
      </c>
      <c r="I298" s="864">
        <v>0</v>
      </c>
      <c r="J298" s="864">
        <v>0</v>
      </c>
      <c r="K298" s="864">
        <v>48183.490057523937</v>
      </c>
      <c r="L298" s="18" t="s">
        <v>10808</v>
      </c>
      <c r="M298" s="442"/>
      <c r="N298" s="558"/>
      <c r="P298" s="578"/>
      <c r="T298" s="527"/>
      <c r="U298" s="440"/>
      <c r="V298" s="440"/>
      <c r="W298" s="440"/>
      <c r="X298" s="442"/>
    </row>
    <row r="299" spans="1:24" x14ac:dyDescent="0.25">
      <c r="A299" s="862">
        <v>1017</v>
      </c>
      <c r="B299" s="863" t="s">
        <v>6193</v>
      </c>
      <c r="C299" s="862">
        <v>1017</v>
      </c>
      <c r="D299" s="165" t="s">
        <v>2143</v>
      </c>
      <c r="E299" s="165" t="s">
        <v>6194</v>
      </c>
      <c r="F299" s="163">
        <v>1</v>
      </c>
      <c r="G299" s="864"/>
      <c r="H299" s="864">
        <v>0</v>
      </c>
      <c r="I299" s="864">
        <v>0</v>
      </c>
      <c r="J299" s="864">
        <v>0</v>
      </c>
      <c r="K299" s="864">
        <v>47084.038171992157</v>
      </c>
      <c r="L299" s="18" t="s">
        <v>10809</v>
      </c>
      <c r="M299" s="442"/>
      <c r="N299" s="558"/>
      <c r="P299" s="578"/>
      <c r="T299" s="527"/>
      <c r="U299" s="440"/>
      <c r="V299" s="440"/>
      <c r="W299" s="440"/>
      <c r="X299" s="442"/>
    </row>
    <row r="300" spans="1:24" x14ac:dyDescent="0.25">
      <c r="A300" s="862">
        <v>1018</v>
      </c>
      <c r="B300" s="863" t="s">
        <v>6195</v>
      </c>
      <c r="C300" s="862">
        <v>1018</v>
      </c>
      <c r="D300" s="165" t="s">
        <v>2143</v>
      </c>
      <c r="E300" s="165" t="s">
        <v>6196</v>
      </c>
      <c r="F300" s="163">
        <v>1</v>
      </c>
      <c r="G300" s="864"/>
      <c r="H300" s="864">
        <v>0</v>
      </c>
      <c r="I300" s="864">
        <v>0</v>
      </c>
      <c r="J300" s="864">
        <v>41207.46784382483</v>
      </c>
      <c r="K300" s="864">
        <v>42601.544420125872</v>
      </c>
      <c r="L300" s="18" t="s">
        <v>4519</v>
      </c>
      <c r="M300" s="442"/>
      <c r="N300" s="558"/>
      <c r="P300" s="578"/>
      <c r="T300" s="527"/>
      <c r="U300" s="440"/>
      <c r="V300" s="440"/>
      <c r="W300" s="440"/>
      <c r="X300" s="442"/>
    </row>
    <row r="301" spans="1:24" x14ac:dyDescent="0.25">
      <c r="A301" s="862">
        <v>1019</v>
      </c>
      <c r="B301" s="863" t="s">
        <v>6197</v>
      </c>
      <c r="C301" s="862">
        <v>1019</v>
      </c>
      <c r="D301" s="165" t="s">
        <v>2143</v>
      </c>
      <c r="E301" s="165" t="s">
        <v>6198</v>
      </c>
      <c r="F301" s="163">
        <v>1</v>
      </c>
      <c r="G301" s="864"/>
      <c r="H301" s="864">
        <v>0</v>
      </c>
      <c r="I301" s="864">
        <v>0</v>
      </c>
      <c r="J301" s="864">
        <v>40108.01595829305</v>
      </c>
      <c r="K301" s="864">
        <v>41462.685772083038</v>
      </c>
      <c r="L301" s="18" t="s">
        <v>4520</v>
      </c>
      <c r="M301" s="442"/>
      <c r="N301" s="558"/>
      <c r="P301" s="578"/>
      <c r="T301" s="527"/>
      <c r="U301" s="440"/>
      <c r="V301" s="440"/>
      <c r="W301" s="440"/>
      <c r="X301" s="442"/>
    </row>
    <row r="302" spans="1:24" x14ac:dyDescent="0.25">
      <c r="A302" s="862">
        <v>1020</v>
      </c>
      <c r="B302" s="863" t="s">
        <v>6199</v>
      </c>
      <c r="C302" s="862">
        <v>1020</v>
      </c>
      <c r="D302" s="165" t="s">
        <v>2143</v>
      </c>
      <c r="E302" s="165" t="s">
        <v>6200</v>
      </c>
      <c r="F302" s="163">
        <v>1</v>
      </c>
      <c r="G302" s="864"/>
      <c r="H302" s="864">
        <v>0</v>
      </c>
      <c r="I302" s="864">
        <v>0</v>
      </c>
      <c r="J302" s="864">
        <v>42142.001946526827</v>
      </c>
      <c r="K302" s="864">
        <v>43569.541016310366</v>
      </c>
      <c r="L302" s="18" t="s">
        <v>4521</v>
      </c>
      <c r="M302" s="442"/>
      <c r="N302" s="558"/>
      <c r="P302" s="578"/>
      <c r="T302" s="527"/>
      <c r="U302" s="440"/>
      <c r="V302" s="440"/>
      <c r="W302" s="440"/>
      <c r="X302" s="442"/>
    </row>
    <row r="303" spans="1:24" x14ac:dyDescent="0.25">
      <c r="A303" s="862">
        <v>1021</v>
      </c>
      <c r="B303" s="863" t="s">
        <v>6201</v>
      </c>
      <c r="C303" s="862">
        <v>1021</v>
      </c>
      <c r="D303" s="165" t="s">
        <v>2143</v>
      </c>
      <c r="E303" s="165" t="s">
        <v>6202</v>
      </c>
      <c r="F303" s="163">
        <v>1</v>
      </c>
      <c r="G303" s="864"/>
      <c r="H303" s="864">
        <v>0</v>
      </c>
      <c r="I303" s="864">
        <v>0</v>
      </c>
      <c r="J303" s="864">
        <v>41042.550060995054</v>
      </c>
      <c r="K303" s="864">
        <v>42430.723936582435</v>
      </c>
      <c r="L303" s="18" t="s">
        <v>4522</v>
      </c>
      <c r="M303" s="442"/>
      <c r="N303" s="558"/>
      <c r="P303" s="578"/>
    </row>
    <row r="304" spans="1:24" x14ac:dyDescent="0.25">
      <c r="A304" s="862">
        <v>1022</v>
      </c>
      <c r="B304" s="863" t="s">
        <v>6203</v>
      </c>
      <c r="C304" s="862">
        <v>1022</v>
      </c>
      <c r="D304" s="165" t="s">
        <v>2143</v>
      </c>
      <c r="E304" s="165" t="s">
        <v>6204</v>
      </c>
      <c r="F304" s="163">
        <v>1</v>
      </c>
      <c r="G304" s="864"/>
      <c r="H304" s="864">
        <v>0</v>
      </c>
      <c r="I304" s="864">
        <v>0</v>
      </c>
      <c r="J304" s="864">
        <v>0</v>
      </c>
      <c r="K304" s="864">
        <v>42411.36765848213</v>
      </c>
      <c r="L304" s="18" t="s">
        <v>10810</v>
      </c>
      <c r="M304" s="442"/>
      <c r="N304" s="558"/>
      <c r="P304" s="578"/>
    </row>
    <row r="305" spans="1:16" x14ac:dyDescent="0.25">
      <c r="A305" s="862">
        <v>1023</v>
      </c>
      <c r="B305" s="863" t="s">
        <v>6205</v>
      </c>
      <c r="C305" s="862">
        <v>1023</v>
      </c>
      <c r="D305" s="165" t="s">
        <v>2143</v>
      </c>
      <c r="E305" s="165" t="s">
        <v>6206</v>
      </c>
      <c r="F305" s="163">
        <v>1</v>
      </c>
      <c r="G305" s="864"/>
      <c r="H305" s="864">
        <v>0</v>
      </c>
      <c r="I305" s="864">
        <v>0</v>
      </c>
      <c r="J305" s="864">
        <v>0</v>
      </c>
      <c r="K305" s="864">
        <v>41311.915772950349</v>
      </c>
      <c r="L305" s="18" t="s">
        <v>10811</v>
      </c>
      <c r="M305" s="442"/>
      <c r="N305" s="558"/>
      <c r="P305" s="578"/>
    </row>
    <row r="306" spans="1:16" x14ac:dyDescent="0.25">
      <c r="A306" s="862">
        <v>1024</v>
      </c>
      <c r="B306" s="863" t="s">
        <v>6207</v>
      </c>
      <c r="C306" s="862">
        <v>1024</v>
      </c>
      <c r="D306" s="165" t="s">
        <v>2143</v>
      </c>
      <c r="E306" s="165" t="s">
        <v>6208</v>
      </c>
      <c r="F306" s="163">
        <v>1</v>
      </c>
      <c r="G306" s="864"/>
      <c r="H306" s="864">
        <v>0</v>
      </c>
      <c r="I306" s="864">
        <v>0</v>
      </c>
      <c r="J306" s="864">
        <v>0</v>
      </c>
      <c r="K306" s="864">
        <v>43510.819544013895</v>
      </c>
      <c r="L306" s="18" t="s">
        <v>10812</v>
      </c>
      <c r="M306" s="442"/>
      <c r="N306" s="558"/>
      <c r="P306" s="578"/>
    </row>
    <row r="307" spans="1:16" x14ac:dyDescent="0.25">
      <c r="A307" s="862">
        <v>1025</v>
      </c>
      <c r="B307" s="863" t="s">
        <v>6209</v>
      </c>
      <c r="C307" s="862">
        <v>1025</v>
      </c>
      <c r="D307" s="165" t="s">
        <v>2143</v>
      </c>
      <c r="E307" s="165" t="s">
        <v>6210</v>
      </c>
      <c r="F307" s="163">
        <v>1</v>
      </c>
      <c r="G307" s="864"/>
      <c r="H307" s="864">
        <v>0</v>
      </c>
      <c r="I307" s="864">
        <v>0</v>
      </c>
      <c r="J307" s="864">
        <v>0</v>
      </c>
      <c r="K307" s="864">
        <v>42411.36765848213</v>
      </c>
      <c r="L307" s="18" t="s">
        <v>10813</v>
      </c>
      <c r="M307" s="442"/>
      <c r="N307" s="558"/>
      <c r="P307" s="578"/>
    </row>
    <row r="308" spans="1:16" x14ac:dyDescent="0.25">
      <c r="A308" s="862">
        <v>1026</v>
      </c>
      <c r="B308" s="863" t="s">
        <v>6211</v>
      </c>
      <c r="C308" s="862">
        <v>1026</v>
      </c>
      <c r="D308" s="165" t="s">
        <v>2143</v>
      </c>
      <c r="E308" s="165" t="s">
        <v>6212</v>
      </c>
      <c r="F308" s="163">
        <v>1</v>
      </c>
      <c r="G308" s="864"/>
      <c r="H308" s="864">
        <v>0</v>
      </c>
      <c r="I308" s="864">
        <v>0</v>
      </c>
      <c r="J308" s="864">
        <v>55383.601784906765</v>
      </c>
      <c r="K308" s="864">
        <v>57253.968113161114</v>
      </c>
      <c r="L308" s="18" t="s">
        <v>4523</v>
      </c>
      <c r="M308" s="442"/>
      <c r="N308" s="558"/>
      <c r="P308" s="578"/>
    </row>
    <row r="309" spans="1:16" x14ac:dyDescent="0.25">
      <c r="A309" s="862">
        <v>1027</v>
      </c>
      <c r="B309" s="863" t="s">
        <v>6213</v>
      </c>
      <c r="C309" s="862">
        <v>1027</v>
      </c>
      <c r="D309" s="165" t="s">
        <v>2143</v>
      </c>
      <c r="E309" s="165" t="s">
        <v>6214</v>
      </c>
      <c r="F309" s="163">
        <v>1</v>
      </c>
      <c r="G309" s="864"/>
      <c r="H309" s="864">
        <v>0</v>
      </c>
      <c r="I309" s="864">
        <v>0</v>
      </c>
      <c r="J309" s="864">
        <v>54321.56138277155</v>
      </c>
      <c r="K309" s="864">
        <v>56154.516227629319</v>
      </c>
      <c r="L309" s="18" t="s">
        <v>4524</v>
      </c>
      <c r="M309" s="442"/>
      <c r="N309" s="558"/>
      <c r="P309" s="578"/>
    </row>
    <row r="310" spans="1:16" x14ac:dyDescent="0.25">
      <c r="A310" s="862">
        <v>1028</v>
      </c>
      <c r="B310" s="863" t="s">
        <v>6215</v>
      </c>
      <c r="C310" s="862">
        <v>1028</v>
      </c>
      <c r="D310" s="165" t="s">
        <v>2143</v>
      </c>
      <c r="E310" s="165" t="s">
        <v>6216</v>
      </c>
      <c r="F310" s="163">
        <v>1</v>
      </c>
      <c r="G310" s="864"/>
      <c r="H310" s="864">
        <v>0</v>
      </c>
      <c r="I310" s="864">
        <v>0</v>
      </c>
      <c r="J310" s="864">
        <v>50563.803389700231</v>
      </c>
      <c r="K310" s="864">
        <v>52293.003720604822</v>
      </c>
      <c r="L310" s="18" t="s">
        <v>4525</v>
      </c>
      <c r="M310" s="442"/>
      <c r="N310" s="558"/>
      <c r="P310" s="578"/>
    </row>
    <row r="311" spans="1:16" x14ac:dyDescent="0.25">
      <c r="A311" s="862">
        <v>1029</v>
      </c>
      <c r="B311" s="863" t="s">
        <v>6217</v>
      </c>
      <c r="C311" s="862">
        <v>1029</v>
      </c>
      <c r="D311" s="165" t="s">
        <v>2143</v>
      </c>
      <c r="E311" s="165" t="s">
        <v>6218</v>
      </c>
      <c r="F311" s="163">
        <v>1</v>
      </c>
      <c r="G311" s="864"/>
      <c r="H311" s="864">
        <v>0</v>
      </c>
      <c r="I311" s="864">
        <v>0</v>
      </c>
      <c r="J311" s="864">
        <v>45408.608233229046</v>
      </c>
      <c r="K311" s="864">
        <v>45408.608233229046</v>
      </c>
      <c r="L311" s="18" t="s">
        <v>4526</v>
      </c>
      <c r="M311" s="442"/>
      <c r="N311" s="554"/>
      <c r="P311" s="578"/>
    </row>
    <row r="312" spans="1:16" x14ac:dyDescent="0.25">
      <c r="A312" s="862">
        <v>1030</v>
      </c>
      <c r="B312" s="863" t="s">
        <v>6219</v>
      </c>
      <c r="C312" s="862">
        <v>1030</v>
      </c>
      <c r="D312" s="165" t="s">
        <v>2143</v>
      </c>
      <c r="E312" s="165" t="s">
        <v>6220</v>
      </c>
      <c r="F312" s="163">
        <v>1</v>
      </c>
      <c r="G312" s="864"/>
      <c r="H312" s="864">
        <v>0</v>
      </c>
      <c r="I312" s="864">
        <v>0</v>
      </c>
      <c r="J312" s="864">
        <v>0</v>
      </c>
      <c r="K312" s="864">
        <v>51756.708685502199</v>
      </c>
      <c r="L312" s="18" t="s">
        <v>10814</v>
      </c>
      <c r="M312" s="442"/>
      <c r="N312" s="554"/>
      <c r="P312" s="578"/>
    </row>
    <row r="313" spans="1:16" x14ac:dyDescent="0.25">
      <c r="A313" s="862">
        <v>1031</v>
      </c>
      <c r="B313" s="863" t="s">
        <v>6221</v>
      </c>
      <c r="C313" s="862">
        <v>1031</v>
      </c>
      <c r="D313" s="165" t="s">
        <v>2143</v>
      </c>
      <c r="E313" s="165" t="s">
        <v>6222</v>
      </c>
      <c r="F313" s="163">
        <v>1</v>
      </c>
      <c r="G313" s="864"/>
      <c r="H313" s="864">
        <v>0</v>
      </c>
      <c r="I313" s="864">
        <v>0</v>
      </c>
      <c r="J313" s="864">
        <v>0</v>
      </c>
      <c r="K313" s="864">
        <v>50657.256799970441</v>
      </c>
      <c r="L313" s="18" t="s">
        <v>10815</v>
      </c>
      <c r="M313" s="442"/>
      <c r="N313" s="552"/>
      <c r="P313" s="578"/>
    </row>
    <row r="314" spans="1:16" x14ac:dyDescent="0.25">
      <c r="A314" s="862">
        <v>1032</v>
      </c>
      <c r="B314" s="863" t="s">
        <v>6223</v>
      </c>
      <c r="C314" s="862">
        <v>1032</v>
      </c>
      <c r="D314" s="165" t="s">
        <v>2143</v>
      </c>
      <c r="E314" s="165" t="s">
        <v>6224</v>
      </c>
      <c r="F314" s="163">
        <v>1</v>
      </c>
      <c r="G314" s="864"/>
      <c r="H314" s="864">
        <v>0</v>
      </c>
      <c r="I314" s="864">
        <v>0</v>
      </c>
      <c r="J314" s="864">
        <v>39387.874973269732</v>
      </c>
      <c r="K314" s="864">
        <v>40716.772431830977</v>
      </c>
      <c r="L314" s="18" t="s">
        <v>4527</v>
      </c>
      <c r="M314" s="442"/>
      <c r="N314" s="552"/>
      <c r="P314" s="578"/>
    </row>
    <row r="315" spans="1:16" x14ac:dyDescent="0.25">
      <c r="A315" s="862">
        <v>1033</v>
      </c>
      <c r="B315" s="863" t="s">
        <v>6225</v>
      </c>
      <c r="C315" s="862">
        <v>1033</v>
      </c>
      <c r="D315" s="165" t="s">
        <v>2143</v>
      </c>
      <c r="E315" s="165" t="s">
        <v>6226</v>
      </c>
      <c r="F315" s="163">
        <v>1</v>
      </c>
      <c r="G315" s="864"/>
      <c r="H315" s="864">
        <v>0</v>
      </c>
      <c r="I315" s="864">
        <v>0</v>
      </c>
      <c r="J315" s="864">
        <v>42774.186780707598</v>
      </c>
      <c r="K315" s="864">
        <v>44224.38058210352</v>
      </c>
      <c r="L315" s="18" t="s">
        <v>4528</v>
      </c>
      <c r="M315" s="442"/>
      <c r="N315" s="552"/>
      <c r="P315" s="574"/>
    </row>
    <row r="316" spans="1:16" x14ac:dyDescent="0.25">
      <c r="A316" s="862">
        <v>1034</v>
      </c>
      <c r="B316" s="863" t="s">
        <v>6227</v>
      </c>
      <c r="C316" s="862">
        <v>1034</v>
      </c>
      <c r="D316" s="165" t="s">
        <v>2143</v>
      </c>
      <c r="E316" s="165" t="s">
        <v>6228</v>
      </c>
      <c r="F316" s="163">
        <v>1</v>
      </c>
      <c r="G316" s="864"/>
      <c r="H316" s="864">
        <v>0</v>
      </c>
      <c r="I316" s="864">
        <v>0</v>
      </c>
      <c r="J316" s="864">
        <v>38563.286059120903</v>
      </c>
      <c r="K316" s="864">
        <v>39862.628445798851</v>
      </c>
      <c r="L316" s="18" t="s">
        <v>4529</v>
      </c>
      <c r="M316" s="442"/>
      <c r="N316" s="552"/>
      <c r="P316" s="574"/>
    </row>
    <row r="317" spans="1:16" x14ac:dyDescent="0.25">
      <c r="A317" s="862">
        <v>1035</v>
      </c>
      <c r="B317" s="863" t="s">
        <v>6229</v>
      </c>
      <c r="C317" s="862">
        <v>1035</v>
      </c>
      <c r="D317" s="165" t="s">
        <v>2143</v>
      </c>
      <c r="E317" s="165" t="s">
        <v>6230</v>
      </c>
      <c r="F317" s="163">
        <v>1</v>
      </c>
      <c r="G317" s="864"/>
      <c r="H317" s="864">
        <v>0</v>
      </c>
      <c r="I317" s="864">
        <v>0</v>
      </c>
      <c r="J317" s="864">
        <v>0</v>
      </c>
      <c r="K317" s="864">
        <v>40762.189830184456</v>
      </c>
      <c r="L317" s="18" t="s">
        <v>10816</v>
      </c>
      <c r="M317" s="442"/>
      <c r="N317" s="551"/>
      <c r="P317" s="574"/>
    </row>
    <row r="318" spans="1:16" x14ac:dyDescent="0.25">
      <c r="A318" s="862">
        <v>1036</v>
      </c>
      <c r="B318" s="863" t="s">
        <v>6231</v>
      </c>
      <c r="C318" s="862">
        <v>1036</v>
      </c>
      <c r="D318" s="165" t="s">
        <v>2143</v>
      </c>
      <c r="E318" s="165" t="s">
        <v>6232</v>
      </c>
      <c r="F318" s="163">
        <v>1</v>
      </c>
      <c r="G318" s="864"/>
      <c r="H318" s="864">
        <v>41723.402557065114</v>
      </c>
      <c r="I318" s="864">
        <v>0</v>
      </c>
      <c r="J318" s="864">
        <v>0</v>
      </c>
      <c r="K318" s="864">
        <v>0</v>
      </c>
      <c r="L318" s="18" t="s">
        <v>940</v>
      </c>
      <c r="M318" s="442"/>
      <c r="N318" s="550"/>
      <c r="P318" s="574"/>
    </row>
    <row r="319" spans="1:16" x14ac:dyDescent="0.25">
      <c r="A319" s="862">
        <v>1037</v>
      </c>
      <c r="B319" s="863" t="s">
        <v>6233</v>
      </c>
      <c r="C319" s="862">
        <v>1037</v>
      </c>
      <c r="D319" s="165" t="s">
        <v>2143</v>
      </c>
      <c r="E319" s="165" t="s">
        <v>6234</v>
      </c>
      <c r="F319" s="163">
        <v>1</v>
      </c>
      <c r="G319" s="864"/>
      <c r="H319" s="864">
        <v>0</v>
      </c>
      <c r="I319" s="864">
        <v>0</v>
      </c>
      <c r="J319" s="864">
        <v>44060.545486779789</v>
      </c>
      <c r="K319" s="864">
        <v>45556.796981068357</v>
      </c>
      <c r="L319" s="18" t="s">
        <v>4530</v>
      </c>
      <c r="M319" s="442"/>
      <c r="N319" s="550"/>
      <c r="P319" s="574"/>
    </row>
    <row r="320" spans="1:16" x14ac:dyDescent="0.25">
      <c r="A320" s="862">
        <v>1038</v>
      </c>
      <c r="B320" s="863" t="s">
        <v>6235</v>
      </c>
      <c r="C320" s="862">
        <v>1038</v>
      </c>
      <c r="D320" s="165" t="s">
        <v>2143</v>
      </c>
      <c r="E320" s="165" t="s">
        <v>6236</v>
      </c>
      <c r="F320" s="163">
        <v>1</v>
      </c>
      <c r="G320" s="864"/>
      <c r="H320" s="864">
        <v>43859.895517670237</v>
      </c>
      <c r="I320" s="864">
        <v>0</v>
      </c>
      <c r="J320" s="864">
        <v>46916.413711170426</v>
      </c>
      <c r="K320" s="864">
        <v>48566.343265589174</v>
      </c>
      <c r="L320" s="18" t="s">
        <v>4531</v>
      </c>
      <c r="M320" s="442"/>
      <c r="N320" s="550"/>
      <c r="P320" s="574"/>
    </row>
    <row r="321" spans="1:16" x14ac:dyDescent="0.25">
      <c r="A321" s="862">
        <v>1039</v>
      </c>
      <c r="B321" s="863" t="s">
        <v>6237</v>
      </c>
      <c r="C321" s="862">
        <v>1039</v>
      </c>
      <c r="D321" s="165" t="s">
        <v>2143</v>
      </c>
      <c r="E321" s="165" t="s">
        <v>6238</v>
      </c>
      <c r="F321" s="163">
        <v>1</v>
      </c>
      <c r="G321" s="864"/>
      <c r="H321" s="864">
        <v>45645.638711840606</v>
      </c>
      <c r="I321" s="864">
        <v>0</v>
      </c>
      <c r="J321" s="864">
        <v>0</v>
      </c>
      <c r="K321" s="864">
        <v>0</v>
      </c>
      <c r="L321" s="18" t="s">
        <v>941</v>
      </c>
      <c r="M321" s="442"/>
      <c r="N321" s="550"/>
      <c r="P321" s="574"/>
    </row>
    <row r="322" spans="1:16" x14ac:dyDescent="0.25">
      <c r="A322" s="862">
        <v>1040</v>
      </c>
      <c r="B322" s="863" t="s">
        <v>6239</v>
      </c>
      <c r="C322" s="862">
        <v>1040</v>
      </c>
      <c r="D322" s="165" t="s">
        <v>2143</v>
      </c>
      <c r="E322" s="165" t="s">
        <v>6240</v>
      </c>
      <c r="F322" s="163">
        <v>1</v>
      </c>
      <c r="G322" s="864"/>
      <c r="H322" s="864">
        <v>45186.588111988814</v>
      </c>
      <c r="I322" s="864">
        <v>46961.61527539025</v>
      </c>
      <c r="J322" s="864">
        <v>48830.057542510083</v>
      </c>
      <c r="K322" s="864">
        <v>50796.868390583986</v>
      </c>
      <c r="L322" s="18" t="s">
        <v>942</v>
      </c>
      <c r="M322" s="442"/>
      <c r="N322" s="550"/>
      <c r="P322" s="574"/>
    </row>
    <row r="323" spans="1:16" x14ac:dyDescent="0.25">
      <c r="A323" s="862">
        <v>1041</v>
      </c>
      <c r="B323" s="863" t="s">
        <v>6241</v>
      </c>
      <c r="C323" s="862">
        <v>1041</v>
      </c>
      <c r="D323" s="165" t="s">
        <v>2143</v>
      </c>
      <c r="E323" s="165" t="s">
        <v>6242</v>
      </c>
      <c r="F323" s="163">
        <v>1</v>
      </c>
      <c r="G323" s="864"/>
      <c r="H323" s="864">
        <v>50349.410264354512</v>
      </c>
      <c r="I323" s="864">
        <v>52338.044450815883</v>
      </c>
      <c r="J323" s="864">
        <v>54431.355892069238</v>
      </c>
      <c r="K323" s="864">
        <v>56634.8588363581</v>
      </c>
      <c r="L323" s="18" t="s">
        <v>943</v>
      </c>
      <c r="M323" s="442"/>
      <c r="N323" s="550"/>
      <c r="P323" s="574"/>
    </row>
    <row r="324" spans="1:16" x14ac:dyDescent="0.25">
      <c r="A324" s="862">
        <v>1042</v>
      </c>
      <c r="B324" s="863" t="s">
        <v>6243</v>
      </c>
      <c r="C324" s="862">
        <v>1042</v>
      </c>
      <c r="D324" s="165" t="s">
        <v>2143</v>
      </c>
      <c r="E324" s="165" t="s">
        <v>6244</v>
      </c>
      <c r="F324" s="163">
        <v>1</v>
      </c>
      <c r="G324" s="864"/>
      <c r="H324" s="864">
        <v>0</v>
      </c>
      <c r="I324" s="864">
        <v>0</v>
      </c>
      <c r="J324" s="864">
        <v>63251.478148736911</v>
      </c>
      <c r="K324" s="864">
        <v>65435.144866280134</v>
      </c>
      <c r="L324" s="18" t="s">
        <v>4532</v>
      </c>
      <c r="M324" s="442"/>
      <c r="N324" s="550"/>
      <c r="P324" s="574"/>
    </row>
    <row r="325" spans="1:16" x14ac:dyDescent="0.25">
      <c r="A325" s="862">
        <v>1043</v>
      </c>
      <c r="B325" s="863" t="s">
        <v>6245</v>
      </c>
      <c r="C325" s="862">
        <v>1043</v>
      </c>
      <c r="D325" s="165" t="s">
        <v>2143</v>
      </c>
      <c r="E325" s="165" t="s">
        <v>6246</v>
      </c>
      <c r="F325" s="163">
        <v>1</v>
      </c>
      <c r="G325" s="864"/>
      <c r="H325" s="864">
        <v>51784.327390083323</v>
      </c>
      <c r="I325" s="864">
        <v>53587.560889798238</v>
      </c>
      <c r="J325" s="864">
        <v>55485.694852395805</v>
      </c>
      <c r="K325" s="864">
        <v>57483.717475662255</v>
      </c>
      <c r="L325" s="18" t="s">
        <v>944</v>
      </c>
      <c r="M325" s="442"/>
      <c r="N325" s="550"/>
      <c r="P325" s="574"/>
    </row>
    <row r="326" spans="1:16" x14ac:dyDescent="0.25">
      <c r="A326" s="862">
        <v>1044</v>
      </c>
      <c r="B326" s="863" t="s">
        <v>6247</v>
      </c>
      <c r="C326" s="862">
        <v>1044</v>
      </c>
      <c r="D326" s="165" t="s">
        <v>2143</v>
      </c>
      <c r="E326" s="165" t="s">
        <v>6248</v>
      </c>
      <c r="F326" s="163">
        <v>1</v>
      </c>
      <c r="G326" s="864"/>
      <c r="H326" s="864">
        <v>53495.857690708603</v>
      </c>
      <c r="I326" s="864">
        <v>55361.443662751168</v>
      </c>
      <c r="J326" s="864">
        <v>57325.213994552294</v>
      </c>
      <c r="K326" s="864">
        <v>59392.364725472609</v>
      </c>
      <c r="L326" s="18" t="s">
        <v>945</v>
      </c>
      <c r="M326" s="442"/>
      <c r="N326" s="550"/>
      <c r="P326" s="574"/>
    </row>
    <row r="327" spans="1:16" x14ac:dyDescent="0.25">
      <c r="A327" s="862">
        <v>1045</v>
      </c>
      <c r="B327" s="863" t="s">
        <v>6249</v>
      </c>
      <c r="C327" s="862">
        <v>1045</v>
      </c>
      <c r="D327" s="165" t="s">
        <v>2143</v>
      </c>
      <c r="E327" s="165" t="s">
        <v>6250</v>
      </c>
      <c r="F327" s="163">
        <v>1</v>
      </c>
      <c r="G327" s="864"/>
      <c r="H327" s="864">
        <v>46682.738233773067</v>
      </c>
      <c r="I327" s="864">
        <v>48272.934119701938</v>
      </c>
      <c r="J327" s="864">
        <v>0</v>
      </c>
      <c r="K327" s="864">
        <v>0</v>
      </c>
      <c r="L327" s="18" t="s">
        <v>946</v>
      </c>
      <c r="M327" s="442"/>
      <c r="N327" s="550"/>
      <c r="P327" s="574"/>
    </row>
    <row r="328" spans="1:16" x14ac:dyDescent="0.25">
      <c r="A328" s="862">
        <v>1046</v>
      </c>
      <c r="B328" s="863" t="s">
        <v>6251</v>
      </c>
      <c r="C328" s="862">
        <v>1046</v>
      </c>
      <c r="D328" s="165" t="s">
        <v>2143</v>
      </c>
      <c r="E328" s="165" t="s">
        <v>6252</v>
      </c>
      <c r="F328" s="163">
        <v>1</v>
      </c>
      <c r="G328" s="864"/>
      <c r="H328" s="864">
        <v>0</v>
      </c>
      <c r="I328" s="864">
        <v>0</v>
      </c>
      <c r="J328" s="864">
        <v>55351.916351191139</v>
      </c>
      <c r="K328" s="864">
        <v>57252.627549311575</v>
      </c>
      <c r="L328" s="18" t="s">
        <v>4533</v>
      </c>
      <c r="M328" s="442"/>
      <c r="N328" s="550"/>
      <c r="P328" s="574"/>
    </row>
    <row r="329" spans="1:16" x14ac:dyDescent="0.25">
      <c r="A329" s="862">
        <v>1047</v>
      </c>
      <c r="B329" s="863" t="s">
        <v>6253</v>
      </c>
      <c r="C329" s="862">
        <v>1047</v>
      </c>
      <c r="D329" s="165" t="s">
        <v>2143</v>
      </c>
      <c r="E329" s="165" t="s">
        <v>6254</v>
      </c>
      <c r="F329" s="163">
        <v>1</v>
      </c>
      <c r="G329" s="864"/>
      <c r="H329" s="864">
        <v>49651.258324708855</v>
      </c>
      <c r="I329" s="864">
        <v>51347.785960113775</v>
      </c>
      <c r="J329" s="864">
        <v>53133.560767576957</v>
      </c>
      <c r="K329" s="864">
        <v>55013.363103310206</v>
      </c>
      <c r="L329" s="18" t="s">
        <v>2922</v>
      </c>
      <c r="M329" s="442"/>
      <c r="N329" s="550"/>
      <c r="P329" s="574"/>
    </row>
    <row r="330" spans="1:16" x14ac:dyDescent="0.25">
      <c r="A330" s="862">
        <v>1048</v>
      </c>
      <c r="B330" s="863" t="s">
        <v>6255</v>
      </c>
      <c r="C330" s="862">
        <v>1048</v>
      </c>
      <c r="D330" s="165" t="s">
        <v>2143</v>
      </c>
      <c r="E330" s="165" t="s">
        <v>6256</v>
      </c>
      <c r="F330" s="163">
        <v>1</v>
      </c>
      <c r="G330" s="864"/>
      <c r="H330" s="864">
        <v>49849.159664104569</v>
      </c>
      <c r="I330" s="864">
        <v>51552.753913039953</v>
      </c>
      <c r="J330" s="864">
        <v>53346.011017182464</v>
      </c>
      <c r="K330" s="864">
        <v>55233.669764428989</v>
      </c>
      <c r="L330" s="18" t="s">
        <v>947</v>
      </c>
      <c r="M330" s="442"/>
      <c r="N330" s="550"/>
      <c r="P330" s="570"/>
    </row>
    <row r="331" spans="1:16" x14ac:dyDescent="0.25">
      <c r="A331" s="862">
        <v>1049</v>
      </c>
      <c r="B331" s="863" t="s">
        <v>6257</v>
      </c>
      <c r="C331" s="862">
        <v>1049</v>
      </c>
      <c r="D331" s="165" t="s">
        <v>2143</v>
      </c>
      <c r="E331" s="165" t="s">
        <v>6258</v>
      </c>
      <c r="F331" s="163">
        <v>1</v>
      </c>
      <c r="G331" s="864"/>
      <c r="H331" s="864">
        <v>67677.611928098646</v>
      </c>
      <c r="I331" s="864">
        <v>69421.481860950516</v>
      </c>
      <c r="J331" s="864">
        <v>71257.117891747359</v>
      </c>
      <c r="K331" s="864">
        <v>73189.373858899504</v>
      </c>
      <c r="L331" s="18" t="s">
        <v>2923</v>
      </c>
      <c r="M331" s="442"/>
      <c r="N331" s="550"/>
      <c r="P331" s="570"/>
    </row>
    <row r="332" spans="1:16" x14ac:dyDescent="0.25">
      <c r="A332" s="862">
        <v>1050</v>
      </c>
      <c r="B332" s="863" t="s">
        <v>6259</v>
      </c>
      <c r="C332" s="862">
        <v>1050</v>
      </c>
      <c r="D332" s="165" t="s">
        <v>2143</v>
      </c>
      <c r="E332" s="165" t="s">
        <v>6260</v>
      </c>
      <c r="F332" s="163">
        <v>1</v>
      </c>
      <c r="G332" s="864"/>
      <c r="H332" s="864">
        <v>0</v>
      </c>
      <c r="I332" s="864">
        <v>0</v>
      </c>
      <c r="J332" s="864">
        <v>67145.114038586456</v>
      </c>
      <c r="K332" s="864">
        <v>68874.765080095254</v>
      </c>
      <c r="L332" s="18" t="s">
        <v>4534</v>
      </c>
      <c r="M332" s="442"/>
      <c r="N332" s="550"/>
      <c r="P332" s="570"/>
    </row>
    <row r="333" spans="1:16" x14ac:dyDescent="0.25">
      <c r="A333" s="862">
        <v>1051</v>
      </c>
      <c r="B333" s="863" t="s">
        <v>6261</v>
      </c>
      <c r="C333" s="862">
        <v>1051</v>
      </c>
      <c r="D333" s="165" t="s">
        <v>2143</v>
      </c>
      <c r="E333" s="165" t="s">
        <v>6262</v>
      </c>
      <c r="F333" s="163">
        <v>1</v>
      </c>
      <c r="G333" s="864"/>
      <c r="H333" s="864">
        <v>61875.974205935192</v>
      </c>
      <c r="I333" s="864">
        <v>63465.120901461632</v>
      </c>
      <c r="J333" s="864">
        <v>65137.89637759819</v>
      </c>
      <c r="K333" s="864">
        <v>66898.726192895425</v>
      </c>
      <c r="L333" s="18" t="s">
        <v>4535</v>
      </c>
      <c r="M333" s="442"/>
      <c r="N333" s="550"/>
      <c r="P333" s="570"/>
    </row>
    <row r="334" spans="1:16" x14ac:dyDescent="0.25">
      <c r="A334" s="862">
        <v>1052</v>
      </c>
      <c r="B334" s="863" t="s">
        <v>6263</v>
      </c>
      <c r="C334" s="862">
        <v>1052</v>
      </c>
      <c r="D334" s="165" t="s">
        <v>2143</v>
      </c>
      <c r="E334" s="165" t="s">
        <v>6264</v>
      </c>
      <c r="F334" s="163">
        <v>1</v>
      </c>
      <c r="G334" s="864"/>
      <c r="H334" s="864">
        <v>52368.154618008855</v>
      </c>
      <c r="I334" s="864">
        <v>53806.632458882021</v>
      </c>
      <c r="J334" s="864">
        <v>55320.830178955592</v>
      </c>
      <c r="K334" s="864">
        <v>56914.716504929755</v>
      </c>
      <c r="L334" s="18" t="s">
        <v>948</v>
      </c>
      <c r="M334" s="442"/>
      <c r="N334" s="550"/>
      <c r="P334" s="570"/>
    </row>
    <row r="335" spans="1:16" x14ac:dyDescent="0.25">
      <c r="A335" s="862">
        <v>1053</v>
      </c>
      <c r="B335" s="863" t="s">
        <v>6265</v>
      </c>
      <c r="C335" s="862">
        <v>1053</v>
      </c>
      <c r="D335" s="165" t="s">
        <v>2143</v>
      </c>
      <c r="E335" s="165" t="s">
        <v>6266</v>
      </c>
      <c r="F335" s="163">
        <v>1</v>
      </c>
      <c r="G335" s="864"/>
      <c r="H335" s="864">
        <v>68100.797451007194</v>
      </c>
      <c r="I335" s="864">
        <v>70527.680378943027</v>
      </c>
      <c r="J335" s="864">
        <v>73082.261170205849</v>
      </c>
      <c r="K335" s="864">
        <v>75771.315460121885</v>
      </c>
      <c r="L335" s="18" t="s">
        <v>4536</v>
      </c>
      <c r="M335" s="442"/>
      <c r="N335" s="550"/>
      <c r="P335" s="570"/>
    </row>
    <row r="336" spans="1:16" x14ac:dyDescent="0.25">
      <c r="A336" s="862">
        <v>1054</v>
      </c>
      <c r="B336" s="863" t="s">
        <v>6267</v>
      </c>
      <c r="C336" s="862">
        <v>1054</v>
      </c>
      <c r="D336" s="165" t="s">
        <v>2143</v>
      </c>
      <c r="E336" s="165" t="s">
        <v>6268</v>
      </c>
      <c r="F336" s="163">
        <v>1</v>
      </c>
      <c r="G336" s="864"/>
      <c r="H336" s="864">
        <v>0</v>
      </c>
      <c r="I336" s="864">
        <v>93194.577339188443</v>
      </c>
      <c r="J336" s="864">
        <v>96451.995198528253</v>
      </c>
      <c r="K336" s="864">
        <v>99881.131766658349</v>
      </c>
      <c r="L336" s="18" t="s">
        <v>4537</v>
      </c>
      <c r="M336" s="442"/>
      <c r="N336" s="550"/>
      <c r="P336" s="570"/>
    </row>
    <row r="337" spans="1:16" x14ac:dyDescent="0.25">
      <c r="A337" s="862">
        <v>1055</v>
      </c>
      <c r="B337" s="863" t="s">
        <v>6269</v>
      </c>
      <c r="C337" s="862">
        <v>1055</v>
      </c>
      <c r="D337" s="165" t="s">
        <v>2143</v>
      </c>
      <c r="E337" s="165" t="s">
        <v>6270</v>
      </c>
      <c r="F337" s="163">
        <v>1</v>
      </c>
      <c r="G337" s="864"/>
      <c r="H337" s="864">
        <v>67090.406255227179</v>
      </c>
      <c r="I337" s="864">
        <v>69559.688864345793</v>
      </c>
      <c r="J337" s="864">
        <v>72158.914025795195</v>
      </c>
      <c r="K337" s="864">
        <v>74894.940511531386</v>
      </c>
      <c r="L337" s="18" t="s">
        <v>2924</v>
      </c>
      <c r="M337" s="442"/>
      <c r="N337" s="550"/>
      <c r="P337" s="570"/>
    </row>
    <row r="338" spans="1:16" x14ac:dyDescent="0.25">
      <c r="A338" s="862">
        <v>1056</v>
      </c>
      <c r="B338" s="863" t="s">
        <v>6271</v>
      </c>
      <c r="C338" s="862">
        <v>1056</v>
      </c>
      <c r="D338" s="165" t="s">
        <v>2143</v>
      </c>
      <c r="E338" s="165" t="s">
        <v>6272</v>
      </c>
      <c r="F338" s="163">
        <v>1</v>
      </c>
      <c r="G338" s="864"/>
      <c r="H338" s="864">
        <v>0</v>
      </c>
      <c r="I338" s="864">
        <v>83607.356897351376</v>
      </c>
      <c r="J338" s="864">
        <v>86521.503612370128</v>
      </c>
      <c r="K338" s="864">
        <v>89589.037409314871</v>
      </c>
      <c r="L338" s="18" t="s">
        <v>4538</v>
      </c>
      <c r="M338" s="442"/>
      <c r="N338" s="550"/>
      <c r="P338" s="570"/>
    </row>
    <row r="339" spans="1:16" x14ac:dyDescent="0.25">
      <c r="A339" s="862">
        <v>1057</v>
      </c>
      <c r="B339" s="863" t="s">
        <v>6273</v>
      </c>
      <c r="C339" s="862">
        <v>1057</v>
      </c>
      <c r="D339" s="165" t="s">
        <v>2143</v>
      </c>
      <c r="E339" s="165" t="s">
        <v>6274</v>
      </c>
      <c r="F339" s="163">
        <v>1</v>
      </c>
      <c r="G339" s="864"/>
      <c r="H339" s="864">
        <v>0</v>
      </c>
      <c r="I339" s="864">
        <v>93634.831005407526</v>
      </c>
      <c r="J339" s="864">
        <v>96906.75620664224</v>
      </c>
      <c r="K339" s="864">
        <v>100350.89893644584</v>
      </c>
      <c r="L339" s="18" t="s">
        <v>4539</v>
      </c>
      <c r="M339" s="442"/>
      <c r="N339" s="550"/>
      <c r="P339" s="570"/>
    </row>
    <row r="340" spans="1:16" x14ac:dyDescent="0.25">
      <c r="A340" s="862">
        <v>1058</v>
      </c>
      <c r="B340" s="863" t="s">
        <v>6275</v>
      </c>
      <c r="C340" s="862">
        <v>1058</v>
      </c>
      <c r="D340" s="165" t="s">
        <v>2143</v>
      </c>
      <c r="E340" s="165" t="s">
        <v>6276</v>
      </c>
      <c r="F340" s="163">
        <v>1</v>
      </c>
      <c r="G340" s="864"/>
      <c r="H340" s="864">
        <v>0</v>
      </c>
      <c r="I340" s="864">
        <v>74773.733909109942</v>
      </c>
      <c r="J340" s="864">
        <v>0</v>
      </c>
      <c r="K340" s="864">
        <v>0</v>
      </c>
      <c r="L340" s="18" t="s">
        <v>4540</v>
      </c>
      <c r="M340" s="442"/>
      <c r="N340" s="550"/>
      <c r="P340" s="570"/>
    </row>
    <row r="341" spans="1:16" x14ac:dyDescent="0.25">
      <c r="A341" s="862">
        <v>1059</v>
      </c>
      <c r="B341" s="863" t="s">
        <v>6277</v>
      </c>
      <c r="C341" s="862">
        <v>1059</v>
      </c>
      <c r="D341" s="165" t="s">
        <v>2143</v>
      </c>
      <c r="E341" s="165" t="s">
        <v>6278</v>
      </c>
      <c r="F341" s="163">
        <v>1</v>
      </c>
      <c r="G341" s="864"/>
      <c r="H341" s="864">
        <v>65848.161948365407</v>
      </c>
      <c r="I341" s="864">
        <v>0</v>
      </c>
      <c r="J341" s="864">
        <v>0</v>
      </c>
      <c r="K341" s="864">
        <v>0</v>
      </c>
      <c r="L341" s="18" t="s">
        <v>5029</v>
      </c>
      <c r="M341" s="442"/>
      <c r="N341" s="550"/>
      <c r="P341" s="570"/>
    </row>
    <row r="342" spans="1:16" x14ac:dyDescent="0.25">
      <c r="A342" s="862">
        <v>1060</v>
      </c>
      <c r="B342" s="863" t="s">
        <v>6279</v>
      </c>
      <c r="C342" s="862">
        <v>1060</v>
      </c>
      <c r="D342" s="165" t="s">
        <v>2143</v>
      </c>
      <c r="E342" s="165" t="s">
        <v>6280</v>
      </c>
      <c r="F342" s="163">
        <v>1</v>
      </c>
      <c r="G342" s="864"/>
      <c r="H342" s="864">
        <v>0</v>
      </c>
      <c r="I342" s="864">
        <v>72577.089655507079</v>
      </c>
      <c r="J342" s="864">
        <v>77736.756740618075</v>
      </c>
      <c r="K342" s="864">
        <v>80439.237596242005</v>
      </c>
      <c r="L342" s="18" t="s">
        <v>4541</v>
      </c>
      <c r="M342" s="442"/>
      <c r="N342" s="550"/>
      <c r="P342" s="570"/>
    </row>
    <row r="343" spans="1:16" x14ac:dyDescent="0.25">
      <c r="A343" s="862">
        <v>1061</v>
      </c>
      <c r="B343" s="863" t="s">
        <v>6281</v>
      </c>
      <c r="C343" s="862">
        <v>1061</v>
      </c>
      <c r="D343" s="165" t="s">
        <v>2143</v>
      </c>
      <c r="E343" s="165" t="s">
        <v>6282</v>
      </c>
      <c r="F343" s="163">
        <v>1</v>
      </c>
      <c r="G343" s="864"/>
      <c r="H343" s="864">
        <v>0</v>
      </c>
      <c r="I343" s="864">
        <v>0</v>
      </c>
      <c r="J343" s="864">
        <v>0</v>
      </c>
      <c r="K343" s="864">
        <v>82816.224451774877</v>
      </c>
      <c r="L343" s="18" t="s">
        <v>10817</v>
      </c>
      <c r="M343" s="442"/>
      <c r="N343" s="550"/>
      <c r="P343" s="570"/>
    </row>
    <row r="344" spans="1:16" x14ac:dyDescent="0.25">
      <c r="A344" s="862">
        <v>1062</v>
      </c>
      <c r="B344" s="863" t="s">
        <v>6283</v>
      </c>
      <c r="C344" s="862">
        <v>1062</v>
      </c>
      <c r="D344" s="165" t="s">
        <v>2143</v>
      </c>
      <c r="E344" s="165" t="s">
        <v>6284</v>
      </c>
      <c r="F344" s="163">
        <v>1</v>
      </c>
      <c r="G344" s="864"/>
      <c r="H344" s="864">
        <v>65604.661087031316</v>
      </c>
      <c r="I344" s="864">
        <v>67423.308683392199</v>
      </c>
      <c r="J344" s="864">
        <v>69337.719656388872</v>
      </c>
      <c r="K344" s="864">
        <v>71352.862052394237</v>
      </c>
      <c r="L344" s="18" t="s">
        <v>2925</v>
      </c>
      <c r="M344" s="442"/>
      <c r="N344" s="550"/>
      <c r="P344" s="570"/>
    </row>
    <row r="345" spans="1:16" x14ac:dyDescent="0.25">
      <c r="A345" s="862">
        <v>1063</v>
      </c>
      <c r="B345" s="863" t="s">
        <v>6285</v>
      </c>
      <c r="C345" s="862">
        <v>1063</v>
      </c>
      <c r="D345" s="165" t="s">
        <v>2143</v>
      </c>
      <c r="E345" s="165" t="s">
        <v>6286</v>
      </c>
      <c r="F345" s="163">
        <v>1</v>
      </c>
      <c r="G345" s="864"/>
      <c r="H345" s="864">
        <v>0</v>
      </c>
      <c r="I345" s="864">
        <v>0</v>
      </c>
      <c r="J345" s="864">
        <v>0</v>
      </c>
      <c r="K345" s="864">
        <v>79762.065879614223</v>
      </c>
      <c r="L345" s="18" t="s">
        <v>5030</v>
      </c>
      <c r="M345" s="442"/>
      <c r="N345" s="550"/>
      <c r="P345" s="570"/>
    </row>
    <row r="346" spans="1:16" x14ac:dyDescent="0.25">
      <c r="A346" s="862">
        <v>1064</v>
      </c>
      <c r="B346" s="863" t="s">
        <v>6287</v>
      </c>
      <c r="C346" s="862">
        <v>1064</v>
      </c>
      <c r="D346" s="165" t="s">
        <v>2143</v>
      </c>
      <c r="E346" s="165" t="s">
        <v>6288</v>
      </c>
      <c r="F346" s="163">
        <v>1</v>
      </c>
      <c r="G346" s="864"/>
      <c r="H346" s="864">
        <v>0</v>
      </c>
      <c r="I346" s="864">
        <v>0</v>
      </c>
      <c r="J346" s="864">
        <v>0</v>
      </c>
      <c r="K346" s="864">
        <v>41747.307479379073</v>
      </c>
      <c r="L346" s="18" t="s">
        <v>10818</v>
      </c>
      <c r="M346" s="442"/>
      <c r="N346" s="550"/>
      <c r="P346" s="570"/>
    </row>
    <row r="347" spans="1:16" x14ac:dyDescent="0.25">
      <c r="A347" s="862">
        <v>1065</v>
      </c>
      <c r="B347" s="863" t="s">
        <v>6289</v>
      </c>
      <c r="C347" s="862">
        <v>1065</v>
      </c>
      <c r="D347" s="165" t="s">
        <v>2143</v>
      </c>
      <c r="E347" s="165" t="s">
        <v>6290</v>
      </c>
      <c r="F347" s="163">
        <v>1</v>
      </c>
      <c r="G347" s="864"/>
      <c r="H347" s="864">
        <v>0</v>
      </c>
      <c r="I347" s="864">
        <v>0</v>
      </c>
      <c r="J347" s="864">
        <v>0</v>
      </c>
      <c r="K347" s="864">
        <v>47390.883720467646</v>
      </c>
      <c r="L347" s="18" t="s">
        <v>10819</v>
      </c>
      <c r="M347" s="442"/>
      <c r="N347" s="550"/>
      <c r="P347" s="570"/>
    </row>
    <row r="348" spans="1:16" x14ac:dyDescent="0.25">
      <c r="A348" s="862">
        <v>1066</v>
      </c>
      <c r="B348" s="863" t="s">
        <v>6291</v>
      </c>
      <c r="C348" s="862">
        <v>1066</v>
      </c>
      <c r="D348" s="165" t="s">
        <v>2143</v>
      </c>
      <c r="E348" s="165" t="s">
        <v>6292</v>
      </c>
      <c r="F348" s="163">
        <v>1</v>
      </c>
      <c r="G348" s="864"/>
      <c r="H348" s="864">
        <v>0</v>
      </c>
      <c r="I348" s="864">
        <v>0</v>
      </c>
      <c r="J348" s="864">
        <v>0</v>
      </c>
      <c r="K348" s="864">
        <v>44569.095599923356</v>
      </c>
      <c r="L348" s="18" t="s">
        <v>10820</v>
      </c>
      <c r="M348" s="442"/>
      <c r="N348" s="550"/>
      <c r="P348" s="570"/>
    </row>
    <row r="349" spans="1:16" x14ac:dyDescent="0.25">
      <c r="A349" s="862">
        <v>1067</v>
      </c>
      <c r="B349" s="863" t="s">
        <v>6293</v>
      </c>
      <c r="C349" s="862">
        <v>1067</v>
      </c>
      <c r="D349" s="165" t="s">
        <v>2143</v>
      </c>
      <c r="E349" s="165" t="s">
        <v>6294</v>
      </c>
      <c r="F349" s="163">
        <v>1</v>
      </c>
      <c r="G349" s="864"/>
      <c r="H349" s="864">
        <v>34597.700222845386</v>
      </c>
      <c r="I349" s="864">
        <v>35415.710947032036</v>
      </c>
      <c r="J349" s="864">
        <v>36276.774867228523</v>
      </c>
      <c r="K349" s="864">
        <v>37183.154963514186</v>
      </c>
      <c r="L349" s="18" t="s">
        <v>2926</v>
      </c>
      <c r="M349" s="442"/>
      <c r="N349" s="550"/>
      <c r="P349" s="570"/>
    </row>
    <row r="350" spans="1:16" x14ac:dyDescent="0.25">
      <c r="A350" s="862">
        <v>1068</v>
      </c>
      <c r="B350" s="863" t="s">
        <v>6295</v>
      </c>
      <c r="C350" s="862">
        <v>1068</v>
      </c>
      <c r="D350" s="165" t="s">
        <v>2143</v>
      </c>
      <c r="E350" s="165" t="s">
        <v>6296</v>
      </c>
      <c r="F350" s="163">
        <v>1</v>
      </c>
      <c r="G350" s="864"/>
      <c r="H350" s="864">
        <v>0</v>
      </c>
      <c r="I350" s="864">
        <v>37161.484905067889</v>
      </c>
      <c r="J350" s="864">
        <v>38410.612767364648</v>
      </c>
      <c r="K350" s="864">
        <v>39725.501703809619</v>
      </c>
      <c r="L350" s="18" t="s">
        <v>3830</v>
      </c>
      <c r="M350" s="442"/>
      <c r="N350" s="550"/>
      <c r="P350" s="570"/>
    </row>
    <row r="351" spans="1:16" x14ac:dyDescent="0.25">
      <c r="A351" s="862">
        <v>1069</v>
      </c>
      <c r="B351" s="863" t="s">
        <v>6297</v>
      </c>
      <c r="C351" s="862">
        <v>1069</v>
      </c>
      <c r="D351" s="165" t="s">
        <v>2143</v>
      </c>
      <c r="E351" s="165" t="s">
        <v>6298</v>
      </c>
      <c r="F351" s="163">
        <v>1</v>
      </c>
      <c r="G351" s="864"/>
      <c r="H351" s="864">
        <v>0</v>
      </c>
      <c r="I351" s="864">
        <v>37876.128630663545</v>
      </c>
      <c r="J351" s="864">
        <v>39150.862574929517</v>
      </c>
      <c r="K351" s="864">
        <v>40492.687779420019</v>
      </c>
      <c r="L351" s="18" t="s">
        <v>3831</v>
      </c>
      <c r="M351" s="442"/>
      <c r="N351" s="550"/>
      <c r="P351" s="570"/>
    </row>
    <row r="352" spans="1:16" x14ac:dyDescent="0.25">
      <c r="A352" s="862">
        <v>1070</v>
      </c>
      <c r="B352" s="863" t="s">
        <v>6299</v>
      </c>
      <c r="C352" s="862">
        <v>1070</v>
      </c>
      <c r="D352" s="165" t="s">
        <v>2143</v>
      </c>
      <c r="E352" s="165" t="s">
        <v>6300</v>
      </c>
      <c r="F352" s="163">
        <v>1</v>
      </c>
      <c r="G352" s="864"/>
      <c r="H352" s="864">
        <v>0</v>
      </c>
      <c r="I352" s="864">
        <v>0</v>
      </c>
      <c r="J352" s="864">
        <v>42411.36765848213</v>
      </c>
      <c r="K352" s="864">
        <v>43848.550577319002</v>
      </c>
      <c r="L352" s="18" t="s">
        <v>4542</v>
      </c>
      <c r="M352" s="442"/>
      <c r="N352" s="550"/>
      <c r="P352" s="570"/>
    </row>
    <row r="353" spans="1:24" x14ac:dyDescent="0.25">
      <c r="A353" s="862">
        <v>1071</v>
      </c>
      <c r="B353" s="863" t="s">
        <v>6301</v>
      </c>
      <c r="C353" s="862">
        <v>1071</v>
      </c>
      <c r="D353" s="165" t="s">
        <v>2143</v>
      </c>
      <c r="E353" s="165" t="s">
        <v>6302</v>
      </c>
      <c r="F353" s="163">
        <v>1</v>
      </c>
      <c r="G353" s="864"/>
      <c r="H353" s="864">
        <v>0</v>
      </c>
      <c r="I353" s="864">
        <v>0</v>
      </c>
      <c r="J353" s="864">
        <v>41311.915772950349</v>
      </c>
      <c r="K353" s="864">
        <v>44262.850446642435</v>
      </c>
      <c r="L353" s="18" t="s">
        <v>4543</v>
      </c>
      <c r="M353" s="442"/>
      <c r="N353" s="550"/>
      <c r="P353" s="570"/>
    </row>
    <row r="354" spans="1:24" x14ac:dyDescent="0.25">
      <c r="A354" s="862">
        <v>1072</v>
      </c>
      <c r="B354" s="863" t="s">
        <v>6303</v>
      </c>
      <c r="C354" s="862">
        <v>1072</v>
      </c>
      <c r="D354" s="165" t="s">
        <v>2143</v>
      </c>
      <c r="E354" s="165" t="s">
        <v>6304</v>
      </c>
      <c r="F354" s="163">
        <v>1</v>
      </c>
      <c r="G354" s="864"/>
      <c r="H354" s="864">
        <v>0</v>
      </c>
      <c r="I354" s="864">
        <v>37198.554909237871</v>
      </c>
      <c r="J354" s="864">
        <v>38132.053050141192</v>
      </c>
      <c r="K354" s="864">
        <v>39114.676716933966</v>
      </c>
      <c r="L354" s="18" t="s">
        <v>3832</v>
      </c>
      <c r="M354" s="442"/>
      <c r="N354" s="550"/>
      <c r="P354" s="570"/>
    </row>
    <row r="355" spans="1:24" x14ac:dyDescent="0.25">
      <c r="A355" s="862">
        <v>1073</v>
      </c>
      <c r="B355" s="863" t="s">
        <v>6305</v>
      </c>
      <c r="C355" s="862">
        <v>1073</v>
      </c>
      <c r="D355" s="165" t="s">
        <v>2143</v>
      </c>
      <c r="E355" s="165" t="s">
        <v>6306</v>
      </c>
      <c r="F355" s="163">
        <v>1</v>
      </c>
      <c r="G355" s="864"/>
      <c r="H355" s="864">
        <v>0</v>
      </c>
      <c r="I355" s="864">
        <v>53612.538742564953</v>
      </c>
      <c r="J355" s="864">
        <v>54911.37615911365</v>
      </c>
      <c r="K355" s="864">
        <v>56278.574432226327</v>
      </c>
      <c r="L355" s="18" t="s">
        <v>3833</v>
      </c>
      <c r="M355" s="442"/>
      <c r="N355" s="550"/>
      <c r="P355" s="570"/>
    </row>
    <row r="356" spans="1:24" x14ac:dyDescent="0.25">
      <c r="A356" s="862">
        <v>1074</v>
      </c>
      <c r="B356" s="863" t="s">
        <v>6307</v>
      </c>
      <c r="C356" s="862">
        <v>1074</v>
      </c>
      <c r="D356" s="165" t="s">
        <v>2143</v>
      </c>
      <c r="E356" s="165" t="s">
        <v>6308</v>
      </c>
      <c r="F356" s="163">
        <v>1</v>
      </c>
      <c r="G356" s="864"/>
      <c r="H356" s="864">
        <v>46521.89212526023</v>
      </c>
      <c r="I356" s="864">
        <v>0</v>
      </c>
      <c r="J356" s="864">
        <v>0</v>
      </c>
      <c r="K356" s="864">
        <v>0</v>
      </c>
      <c r="L356" s="18" t="s">
        <v>2927</v>
      </c>
      <c r="M356" s="442"/>
      <c r="N356" s="550"/>
      <c r="P356" s="570"/>
    </row>
    <row r="357" spans="1:24" x14ac:dyDescent="0.25">
      <c r="A357" s="862">
        <v>1075</v>
      </c>
      <c r="B357" s="863" t="s">
        <v>6309</v>
      </c>
      <c r="C357" s="862">
        <v>1075</v>
      </c>
      <c r="D357" s="165" t="s">
        <v>2143</v>
      </c>
      <c r="E357" s="165" t="s">
        <v>6310</v>
      </c>
      <c r="F357" s="163">
        <v>1</v>
      </c>
      <c r="G357" s="864"/>
      <c r="H357" s="864">
        <v>0</v>
      </c>
      <c r="I357" s="864">
        <v>36842.461575439193</v>
      </c>
      <c r="J357" s="864">
        <v>37811.790234265725</v>
      </c>
      <c r="K357" s="864">
        <v>38832.130235714503</v>
      </c>
      <c r="L357" s="18" t="s">
        <v>949</v>
      </c>
      <c r="M357" s="442"/>
      <c r="N357" s="550"/>
      <c r="P357" s="570"/>
      <c r="T357" s="443"/>
      <c r="U357" s="440"/>
      <c r="V357" s="440"/>
      <c r="W357" s="440"/>
      <c r="X357" s="442"/>
    </row>
    <row r="358" spans="1:24" x14ac:dyDescent="0.25">
      <c r="A358" s="862">
        <v>1076</v>
      </c>
      <c r="B358" s="863" t="s">
        <v>6311</v>
      </c>
      <c r="C358" s="862">
        <v>1076</v>
      </c>
      <c r="D358" s="165" t="s">
        <v>2143</v>
      </c>
      <c r="E358" s="165" t="s">
        <v>6312</v>
      </c>
      <c r="F358" s="163">
        <v>1</v>
      </c>
      <c r="G358" s="864"/>
      <c r="H358" s="864">
        <v>44824.487342234279</v>
      </c>
      <c r="I358" s="864">
        <v>0</v>
      </c>
      <c r="J358" s="864">
        <v>0</v>
      </c>
      <c r="K358" s="864">
        <v>0</v>
      </c>
      <c r="L358" s="18" t="s">
        <v>2928</v>
      </c>
      <c r="M358" s="442"/>
      <c r="N358" s="550"/>
      <c r="P358" s="570"/>
      <c r="T358" s="443"/>
      <c r="U358" s="440"/>
      <c r="V358" s="440"/>
      <c r="W358" s="440"/>
      <c r="X358" s="442"/>
    </row>
    <row r="359" spans="1:24" x14ac:dyDescent="0.25">
      <c r="A359" s="862">
        <v>1077</v>
      </c>
      <c r="B359" s="863" t="s">
        <v>6313</v>
      </c>
      <c r="C359" s="862">
        <v>1077</v>
      </c>
      <c r="D359" s="165" t="s">
        <v>2143</v>
      </c>
      <c r="E359" s="165" t="s">
        <v>6314</v>
      </c>
      <c r="F359" s="163">
        <v>1</v>
      </c>
      <c r="G359" s="864"/>
      <c r="H359" s="864">
        <v>0</v>
      </c>
      <c r="I359" s="864">
        <v>48931.598160632464</v>
      </c>
      <c r="J359" s="864">
        <v>50114.042968432732</v>
      </c>
      <c r="K359" s="864">
        <v>51358.719728415381</v>
      </c>
      <c r="L359" s="18" t="s">
        <v>3834</v>
      </c>
      <c r="M359" s="442"/>
      <c r="N359" s="550"/>
      <c r="P359" s="570"/>
      <c r="T359" s="443"/>
      <c r="U359" s="440"/>
      <c r="V359" s="440"/>
      <c r="W359" s="440"/>
      <c r="X359" s="442"/>
    </row>
    <row r="360" spans="1:24" x14ac:dyDescent="0.25">
      <c r="A360" s="862">
        <v>1078</v>
      </c>
      <c r="B360" s="863" t="s">
        <v>6315</v>
      </c>
      <c r="C360" s="862">
        <v>1078</v>
      </c>
      <c r="D360" s="165" t="s">
        <v>2143</v>
      </c>
      <c r="E360" s="165" t="s">
        <v>6316</v>
      </c>
      <c r="F360" s="163">
        <v>1</v>
      </c>
      <c r="G360" s="864"/>
      <c r="H360" s="864">
        <v>0</v>
      </c>
      <c r="I360" s="864">
        <v>50768.572240052941</v>
      </c>
      <c r="J360" s="864">
        <v>51997.464713982081</v>
      </c>
      <c r="K360" s="864">
        <v>53291.0218436789</v>
      </c>
      <c r="L360" s="18" t="s">
        <v>3835</v>
      </c>
      <c r="M360" s="442"/>
      <c r="N360" s="550"/>
      <c r="P360" s="570"/>
      <c r="T360" s="443"/>
      <c r="U360" s="440"/>
      <c r="V360" s="440"/>
      <c r="W360" s="440"/>
      <c r="X360" s="442"/>
    </row>
    <row r="361" spans="1:24" x14ac:dyDescent="0.25">
      <c r="A361" s="862">
        <v>1079</v>
      </c>
      <c r="B361" s="863" t="s">
        <v>6317</v>
      </c>
      <c r="C361" s="862">
        <v>1079</v>
      </c>
      <c r="D361" s="165" t="s">
        <v>2143</v>
      </c>
      <c r="E361" s="165" t="s">
        <v>6318</v>
      </c>
      <c r="F361" s="163">
        <v>1</v>
      </c>
      <c r="G361" s="864"/>
      <c r="H361" s="864">
        <v>0</v>
      </c>
      <c r="I361" s="864">
        <v>0</v>
      </c>
      <c r="J361" s="864">
        <v>0</v>
      </c>
      <c r="K361" s="864">
        <v>50680.540161348363</v>
      </c>
      <c r="L361" s="18" t="s">
        <v>10821</v>
      </c>
      <c r="M361" s="442"/>
      <c r="N361" s="550"/>
      <c r="P361" s="570"/>
      <c r="T361" s="443"/>
      <c r="U361" s="440"/>
      <c r="V361" s="440"/>
      <c r="W361" s="440"/>
      <c r="X361" s="442"/>
    </row>
    <row r="362" spans="1:24" x14ac:dyDescent="0.25">
      <c r="A362" s="862">
        <v>1080</v>
      </c>
      <c r="B362" s="863" t="s">
        <v>6319</v>
      </c>
      <c r="C362" s="862">
        <v>1080</v>
      </c>
      <c r="D362" s="165" t="s">
        <v>2143</v>
      </c>
      <c r="E362" s="165" t="s">
        <v>6320</v>
      </c>
      <c r="F362" s="163">
        <v>1</v>
      </c>
      <c r="G362" s="864"/>
      <c r="H362" s="864">
        <v>44287.234482069078</v>
      </c>
      <c r="I362" s="864">
        <v>45377.594858806711</v>
      </c>
      <c r="J362" s="864">
        <v>46525.340638723443</v>
      </c>
      <c r="K362" s="864">
        <v>47733.50798675909</v>
      </c>
      <c r="L362" s="18" t="s">
        <v>2929</v>
      </c>
      <c r="M362" s="442"/>
      <c r="N362" s="550"/>
      <c r="P362" s="570"/>
      <c r="T362" s="443"/>
      <c r="U362" s="440"/>
      <c r="V362" s="440"/>
      <c r="W362" s="440"/>
      <c r="X362" s="442"/>
    </row>
    <row r="363" spans="1:24" x14ac:dyDescent="0.25">
      <c r="A363" s="862">
        <v>1081</v>
      </c>
      <c r="B363" s="863" t="s">
        <v>6321</v>
      </c>
      <c r="C363" s="862">
        <v>1081</v>
      </c>
      <c r="D363" s="165" t="s">
        <v>2143</v>
      </c>
      <c r="E363" s="165" t="s">
        <v>6322</v>
      </c>
      <c r="F363" s="163">
        <v>1</v>
      </c>
      <c r="G363" s="864"/>
      <c r="H363" s="864">
        <v>0</v>
      </c>
      <c r="I363" s="864">
        <v>48829.43551208618</v>
      </c>
      <c r="J363" s="864">
        <v>50006.336018692004</v>
      </c>
      <c r="K363" s="864">
        <v>51245.185604970306</v>
      </c>
      <c r="L363" s="18" t="s">
        <v>3836</v>
      </c>
      <c r="M363" s="442"/>
      <c r="N363" s="550"/>
      <c r="P363" s="570"/>
      <c r="T363" s="443"/>
      <c r="U363" s="440"/>
      <c r="V363" s="440"/>
      <c r="W363" s="440"/>
      <c r="X363" s="442"/>
    </row>
    <row r="364" spans="1:24" x14ac:dyDescent="0.25">
      <c r="A364" s="862">
        <v>1082</v>
      </c>
      <c r="B364" s="863" t="s">
        <v>6323</v>
      </c>
      <c r="C364" s="862">
        <v>1082</v>
      </c>
      <c r="D364" s="165" t="s">
        <v>2143</v>
      </c>
      <c r="E364" s="165" t="s">
        <v>6324</v>
      </c>
      <c r="F364" s="163">
        <v>1</v>
      </c>
      <c r="G364" s="864"/>
      <c r="H364" s="864">
        <v>0</v>
      </c>
      <c r="I364" s="864">
        <v>0</v>
      </c>
      <c r="J364" s="864">
        <v>0</v>
      </c>
      <c r="K364" s="864">
        <v>56293.814370026783</v>
      </c>
      <c r="L364" s="18" t="s">
        <v>10822</v>
      </c>
      <c r="M364" s="442"/>
      <c r="N364" s="550"/>
      <c r="P364" s="570"/>
      <c r="T364" s="443"/>
      <c r="U364" s="440"/>
      <c r="V364" s="440"/>
      <c r="W364" s="440"/>
      <c r="X364" s="442"/>
    </row>
    <row r="365" spans="1:24" x14ac:dyDescent="0.25">
      <c r="A365" s="862">
        <v>1083</v>
      </c>
      <c r="B365" s="863" t="s">
        <v>6325</v>
      </c>
      <c r="C365" s="862">
        <v>1083</v>
      </c>
      <c r="D365" s="165" t="s">
        <v>2143</v>
      </c>
      <c r="E365" s="165" t="s">
        <v>6326</v>
      </c>
      <c r="F365" s="163">
        <v>1</v>
      </c>
      <c r="G365" s="864"/>
      <c r="H365" s="864">
        <v>0</v>
      </c>
      <c r="I365" s="864">
        <v>0</v>
      </c>
      <c r="J365" s="864">
        <v>0</v>
      </c>
      <c r="K365" s="864">
        <v>52407.907663560371</v>
      </c>
      <c r="L365" s="18" t="s">
        <v>10823</v>
      </c>
      <c r="M365" s="442"/>
      <c r="N365" s="550"/>
      <c r="P365" s="570"/>
      <c r="T365" s="443"/>
      <c r="U365" s="440"/>
      <c r="V365" s="440"/>
      <c r="W365" s="440"/>
      <c r="X365" s="442"/>
    </row>
    <row r="366" spans="1:24" x14ac:dyDescent="0.25">
      <c r="A366" s="862">
        <v>1084</v>
      </c>
      <c r="B366" s="863" t="s">
        <v>6327</v>
      </c>
      <c r="C366" s="862">
        <v>1084</v>
      </c>
      <c r="D366" s="165" t="s">
        <v>2143</v>
      </c>
      <c r="E366" s="165" t="s">
        <v>6328</v>
      </c>
      <c r="F366" s="163">
        <v>1</v>
      </c>
      <c r="G366" s="864"/>
      <c r="H366" s="864">
        <v>88031.905500708119</v>
      </c>
      <c r="I366" s="864">
        <v>0</v>
      </c>
      <c r="J366" s="864">
        <v>0</v>
      </c>
      <c r="K366" s="864">
        <v>0</v>
      </c>
      <c r="L366" s="18" t="s">
        <v>2930</v>
      </c>
      <c r="M366" s="442"/>
      <c r="N366" s="550"/>
      <c r="P366" s="570"/>
      <c r="T366" s="443"/>
      <c r="U366" s="440"/>
      <c r="V366" s="440"/>
      <c r="W366" s="440"/>
      <c r="X366" s="442"/>
    </row>
    <row r="367" spans="1:24" x14ac:dyDescent="0.25">
      <c r="A367" s="862">
        <v>1085</v>
      </c>
      <c r="B367" s="863" t="s">
        <v>6329</v>
      </c>
      <c r="C367" s="862">
        <v>1085</v>
      </c>
      <c r="D367" s="165" t="s">
        <v>2143</v>
      </c>
      <c r="E367" s="165" t="s">
        <v>6330</v>
      </c>
      <c r="F367" s="163">
        <v>1</v>
      </c>
      <c r="G367" s="864"/>
      <c r="H367" s="864">
        <v>0</v>
      </c>
      <c r="I367" s="864">
        <v>97048.629109983711</v>
      </c>
      <c r="J367" s="864">
        <v>100442.8482936103</v>
      </c>
      <c r="K367" s="864">
        <v>0</v>
      </c>
      <c r="L367" s="18" t="s">
        <v>10824</v>
      </c>
      <c r="M367" s="442"/>
      <c r="N367" s="550"/>
      <c r="P367" s="570"/>
      <c r="T367" s="443"/>
      <c r="U367" s="440"/>
      <c r="V367" s="440"/>
      <c r="W367" s="440"/>
      <c r="X367" s="442"/>
    </row>
    <row r="368" spans="1:24" x14ac:dyDescent="0.25">
      <c r="A368" s="862">
        <v>1086</v>
      </c>
      <c r="B368" s="863" t="s">
        <v>6331</v>
      </c>
      <c r="C368" s="862">
        <v>1086</v>
      </c>
      <c r="D368" s="165" t="s">
        <v>2143</v>
      </c>
      <c r="E368" s="165" t="s">
        <v>6332</v>
      </c>
      <c r="F368" s="163">
        <v>1</v>
      </c>
      <c r="G368" s="864"/>
      <c r="H368" s="864">
        <v>0</v>
      </c>
      <c r="I368" s="864">
        <v>0</v>
      </c>
      <c r="J368" s="864">
        <v>112177.08705490091</v>
      </c>
      <c r="K368" s="864">
        <v>116113.1492230546</v>
      </c>
      <c r="L368" s="18" t="s">
        <v>4544</v>
      </c>
      <c r="M368" s="442"/>
      <c r="N368" s="550"/>
      <c r="P368" s="570"/>
      <c r="T368" s="443"/>
      <c r="U368" s="440"/>
      <c r="V368" s="440"/>
      <c r="W368" s="440"/>
      <c r="X368" s="442"/>
    </row>
    <row r="369" spans="1:24" x14ac:dyDescent="0.25">
      <c r="A369" s="862">
        <v>1087</v>
      </c>
      <c r="B369" s="863" t="s">
        <v>6333</v>
      </c>
      <c r="C369" s="862">
        <v>1087</v>
      </c>
      <c r="D369" s="165" t="s">
        <v>2143</v>
      </c>
      <c r="E369" s="165" t="s">
        <v>6334</v>
      </c>
      <c r="F369" s="163">
        <v>1</v>
      </c>
      <c r="G369" s="864"/>
      <c r="H369" s="864">
        <v>0</v>
      </c>
      <c r="I369" s="864">
        <v>75822.293933399633</v>
      </c>
      <c r="J369" s="864">
        <v>0</v>
      </c>
      <c r="K369" s="864">
        <v>0</v>
      </c>
      <c r="L369" s="18" t="s">
        <v>3837</v>
      </c>
      <c r="M369" s="442"/>
      <c r="N369" s="550"/>
      <c r="P369" s="570"/>
      <c r="T369" s="443"/>
      <c r="U369" s="440"/>
      <c r="V369" s="440"/>
      <c r="W369" s="440"/>
      <c r="X369" s="442"/>
    </row>
    <row r="370" spans="1:24" x14ac:dyDescent="0.25">
      <c r="A370" s="862">
        <v>1088</v>
      </c>
      <c r="B370" s="863" t="s">
        <v>6335</v>
      </c>
      <c r="C370" s="862">
        <v>1088</v>
      </c>
      <c r="D370" s="165" t="s">
        <v>2143</v>
      </c>
      <c r="E370" s="165" t="s">
        <v>6336</v>
      </c>
      <c r="F370" s="163">
        <v>1</v>
      </c>
      <c r="G370" s="864"/>
      <c r="H370" s="864">
        <v>0</v>
      </c>
      <c r="I370" s="864">
        <v>0</v>
      </c>
      <c r="J370" s="864">
        <v>120243.56074021968</v>
      </c>
      <c r="K370" s="864">
        <v>0</v>
      </c>
      <c r="L370" s="18" t="s">
        <v>4545</v>
      </c>
      <c r="M370" s="442"/>
      <c r="N370" s="543"/>
      <c r="P370" s="570"/>
      <c r="T370" s="443"/>
      <c r="U370" s="440"/>
      <c r="V370" s="440"/>
      <c r="W370" s="440"/>
      <c r="X370" s="442"/>
    </row>
    <row r="371" spans="1:24" x14ac:dyDescent="0.25">
      <c r="A371" s="862">
        <v>1089</v>
      </c>
      <c r="B371" s="863" t="s">
        <v>6337</v>
      </c>
      <c r="C371" s="862">
        <v>1089</v>
      </c>
      <c r="D371" s="165" t="s">
        <v>2143</v>
      </c>
      <c r="E371" s="165" t="s">
        <v>6338</v>
      </c>
      <c r="F371" s="163">
        <v>1</v>
      </c>
      <c r="G371" s="864"/>
      <c r="H371" s="864">
        <v>0</v>
      </c>
      <c r="I371" s="864">
        <v>27092.941679916778</v>
      </c>
      <c r="J371" s="864">
        <v>0</v>
      </c>
      <c r="K371" s="864">
        <v>0</v>
      </c>
      <c r="L371" s="18" t="s">
        <v>4546</v>
      </c>
      <c r="M371" s="442"/>
      <c r="N371" s="543"/>
      <c r="P371" s="570"/>
      <c r="T371" s="443"/>
      <c r="U371" s="440"/>
      <c r="V371" s="440"/>
      <c r="W371" s="440"/>
      <c r="X371" s="442"/>
    </row>
    <row r="372" spans="1:24" x14ac:dyDescent="0.25">
      <c r="A372" s="862">
        <v>1090</v>
      </c>
      <c r="B372" s="863" t="s">
        <v>6339</v>
      </c>
      <c r="C372" s="862">
        <v>1090</v>
      </c>
      <c r="D372" s="165" t="s">
        <v>2143</v>
      </c>
      <c r="E372" s="165" t="s">
        <v>6340</v>
      </c>
      <c r="F372" s="163">
        <v>1</v>
      </c>
      <c r="G372" s="864"/>
      <c r="H372" s="864">
        <v>0</v>
      </c>
      <c r="I372" s="864">
        <v>25818.837869049257</v>
      </c>
      <c r="J372" s="864">
        <v>0</v>
      </c>
      <c r="K372" s="864">
        <v>0</v>
      </c>
      <c r="L372" s="18" t="s">
        <v>4547</v>
      </c>
      <c r="M372" s="442"/>
      <c r="N372" s="543"/>
      <c r="P372" s="570"/>
      <c r="T372" s="443"/>
      <c r="U372" s="440"/>
      <c r="V372" s="440"/>
      <c r="W372" s="440"/>
      <c r="X372" s="442"/>
    </row>
    <row r="373" spans="1:24" x14ac:dyDescent="0.25">
      <c r="A373" s="862">
        <v>1091</v>
      </c>
      <c r="B373" s="863" t="s">
        <v>6341</v>
      </c>
      <c r="C373" s="862">
        <v>1091</v>
      </c>
      <c r="D373" s="165" t="s">
        <v>2143</v>
      </c>
      <c r="E373" s="165" t="s">
        <v>6342</v>
      </c>
      <c r="F373" s="163">
        <v>1</v>
      </c>
      <c r="G373" s="864"/>
      <c r="H373" s="864">
        <v>31440.751351815008</v>
      </c>
      <c r="I373" s="864">
        <v>32410.006865604977</v>
      </c>
      <c r="J373" s="864">
        <v>0</v>
      </c>
      <c r="K373" s="864">
        <v>0</v>
      </c>
      <c r="L373" s="18" t="s">
        <v>4548</v>
      </c>
      <c r="M373" s="442"/>
      <c r="N373" s="543"/>
      <c r="P373" s="570"/>
      <c r="T373" s="443"/>
      <c r="U373" s="440"/>
      <c r="V373" s="440"/>
      <c r="W373" s="440"/>
      <c r="X373" s="442"/>
    </row>
    <row r="374" spans="1:24" x14ac:dyDescent="0.25">
      <c r="A374" s="862">
        <v>1092</v>
      </c>
      <c r="B374" s="863" t="s">
        <v>6343</v>
      </c>
      <c r="C374" s="862">
        <v>1092</v>
      </c>
      <c r="D374" s="165" t="s">
        <v>2143</v>
      </c>
      <c r="E374" s="165" t="s">
        <v>6344</v>
      </c>
      <c r="F374" s="163">
        <v>1</v>
      </c>
      <c r="G374" s="864"/>
      <c r="H374" s="864">
        <v>32963.192337517656</v>
      </c>
      <c r="I374" s="864">
        <v>33982.997191425311</v>
      </c>
      <c r="J374" s="864">
        <v>0</v>
      </c>
      <c r="K374" s="864">
        <v>0</v>
      </c>
      <c r="L374" s="18" t="s">
        <v>4549</v>
      </c>
      <c r="M374" s="442"/>
      <c r="N374" s="543"/>
      <c r="P374" s="570"/>
      <c r="T374" s="443"/>
      <c r="U374" s="440"/>
      <c r="V374" s="440"/>
      <c r="W374" s="440"/>
      <c r="X374" s="442"/>
    </row>
    <row r="375" spans="1:24" x14ac:dyDescent="0.25">
      <c r="A375" s="862">
        <v>1093</v>
      </c>
      <c r="B375" s="863" t="s">
        <v>6345</v>
      </c>
      <c r="C375" s="862">
        <v>1093</v>
      </c>
      <c r="D375" s="165" t="s">
        <v>2143</v>
      </c>
      <c r="E375" s="165" t="s">
        <v>6346</v>
      </c>
      <c r="F375" s="163">
        <v>1</v>
      </c>
      <c r="G375" s="864"/>
      <c r="H375" s="864">
        <v>0</v>
      </c>
      <c r="I375" s="864">
        <v>27911.25453375882</v>
      </c>
      <c r="J375" s="864">
        <v>28779.355201379938</v>
      </c>
      <c r="K375" s="864">
        <v>29693.174938840832</v>
      </c>
      <c r="L375" s="18" t="s">
        <v>3838</v>
      </c>
      <c r="M375" s="442"/>
      <c r="N375" s="543"/>
      <c r="P375" s="570"/>
      <c r="T375" s="443"/>
      <c r="U375" s="440"/>
      <c r="V375" s="440"/>
      <c r="W375" s="440"/>
      <c r="X375" s="442"/>
    </row>
    <row r="376" spans="1:24" x14ac:dyDescent="0.25">
      <c r="A376" s="862">
        <v>1094</v>
      </c>
      <c r="B376" s="863" t="s">
        <v>6347</v>
      </c>
      <c r="C376" s="862">
        <v>1094</v>
      </c>
      <c r="D376" s="165" t="s">
        <v>2143</v>
      </c>
      <c r="E376" s="165" t="s">
        <v>6348</v>
      </c>
      <c r="F376" s="163">
        <v>1</v>
      </c>
      <c r="G376" s="864"/>
      <c r="H376" s="864">
        <v>25121.271248353511</v>
      </c>
      <c r="I376" s="864">
        <v>25909.840954189476</v>
      </c>
      <c r="J376" s="864">
        <v>26739.917284855401</v>
      </c>
      <c r="K376" s="864">
        <v>27613.690711756397</v>
      </c>
      <c r="L376" s="18" t="s">
        <v>950</v>
      </c>
      <c r="M376" s="442"/>
      <c r="N376" s="543"/>
      <c r="P376" s="570"/>
      <c r="T376" s="443"/>
      <c r="U376" s="440"/>
      <c r="V376" s="440"/>
      <c r="W376" s="440"/>
      <c r="X376" s="442"/>
    </row>
    <row r="377" spans="1:24" x14ac:dyDescent="0.25">
      <c r="A377" s="862">
        <v>1095</v>
      </c>
      <c r="B377" s="863" t="s">
        <v>6349</v>
      </c>
      <c r="C377" s="862">
        <v>1095</v>
      </c>
      <c r="D377" s="165" t="s">
        <v>2143</v>
      </c>
      <c r="E377" s="165" t="s">
        <v>6350</v>
      </c>
      <c r="F377" s="163">
        <v>1</v>
      </c>
      <c r="G377" s="864"/>
      <c r="H377" s="864">
        <v>0</v>
      </c>
      <c r="I377" s="864">
        <v>24640.291843996794</v>
      </c>
      <c r="J377" s="864">
        <v>25423.272573701168</v>
      </c>
      <c r="K377" s="864">
        <v>26247.44796522061</v>
      </c>
      <c r="L377" s="18" t="s">
        <v>3839</v>
      </c>
      <c r="M377" s="442"/>
      <c r="N377" s="543"/>
      <c r="P377" s="570"/>
      <c r="T377" s="443"/>
      <c r="U377" s="440"/>
      <c r="V377" s="440"/>
      <c r="W377" s="440"/>
      <c r="X377" s="442"/>
    </row>
    <row r="378" spans="1:24" x14ac:dyDescent="0.25">
      <c r="A378" s="862">
        <v>1096</v>
      </c>
      <c r="B378" s="863" t="s">
        <v>6351</v>
      </c>
      <c r="C378" s="862">
        <v>1096</v>
      </c>
      <c r="D378" s="165" t="s">
        <v>2143</v>
      </c>
      <c r="E378" s="165" t="s">
        <v>6352</v>
      </c>
      <c r="F378" s="163">
        <v>1</v>
      </c>
      <c r="G378" s="864"/>
      <c r="H378" s="864">
        <v>0</v>
      </c>
      <c r="I378" s="864">
        <v>23366.18803312926</v>
      </c>
      <c r="J378" s="864">
        <v>24104.635264273275</v>
      </c>
      <c r="K378" s="864">
        <v>24881.925863749762</v>
      </c>
      <c r="L378" s="18" t="s">
        <v>3840</v>
      </c>
      <c r="M378" s="442"/>
      <c r="N378" s="543"/>
      <c r="P378" s="570"/>
      <c r="T378" s="443"/>
      <c r="U378" s="440"/>
      <c r="V378" s="440"/>
      <c r="W378" s="440"/>
      <c r="X378" s="442"/>
    </row>
    <row r="379" spans="1:24" x14ac:dyDescent="0.25">
      <c r="A379" s="862">
        <v>1097</v>
      </c>
      <c r="B379" s="863" t="s">
        <v>6353</v>
      </c>
      <c r="C379" s="862">
        <v>1097</v>
      </c>
      <c r="D379" s="165" t="s">
        <v>2143</v>
      </c>
      <c r="E379" s="165" t="s">
        <v>6354</v>
      </c>
      <c r="F379" s="163">
        <v>1</v>
      </c>
      <c r="G379" s="864"/>
      <c r="H379" s="864">
        <v>0</v>
      </c>
      <c r="I379" s="864">
        <v>28698.791185249225</v>
      </c>
      <c r="J379" s="864">
        <v>0</v>
      </c>
      <c r="K379" s="864">
        <v>0</v>
      </c>
      <c r="L379" s="18" t="s">
        <v>4550</v>
      </c>
      <c r="M379" s="442"/>
      <c r="N379" s="543"/>
      <c r="P379" s="570"/>
      <c r="T379" s="443"/>
      <c r="U379" s="440"/>
      <c r="V379" s="440"/>
      <c r="W379" s="440"/>
      <c r="X379" s="442"/>
    </row>
    <row r="380" spans="1:24" x14ac:dyDescent="0.25">
      <c r="A380" s="862">
        <v>1098</v>
      </c>
      <c r="B380" s="863" t="s">
        <v>6355</v>
      </c>
      <c r="C380" s="862">
        <v>1098</v>
      </c>
      <c r="D380" s="165" t="s">
        <v>2143</v>
      </c>
      <c r="E380" s="165" t="s">
        <v>6356</v>
      </c>
      <c r="F380" s="163">
        <v>1</v>
      </c>
      <c r="G380" s="864"/>
      <c r="H380" s="864">
        <v>22736.405957248247</v>
      </c>
      <c r="I380" s="864">
        <v>23467.349415350043</v>
      </c>
      <c r="J380" s="864">
        <v>0</v>
      </c>
      <c r="K380" s="864">
        <v>0</v>
      </c>
      <c r="L380" s="18" t="s">
        <v>10825</v>
      </c>
      <c r="M380" s="442"/>
      <c r="N380" s="543"/>
      <c r="P380" s="570"/>
      <c r="T380" s="443"/>
      <c r="U380" s="440"/>
      <c r="V380" s="440"/>
      <c r="W380" s="440"/>
      <c r="X380" s="442"/>
    </row>
    <row r="381" spans="1:24" x14ac:dyDescent="0.25">
      <c r="A381" s="862">
        <v>1099</v>
      </c>
      <c r="B381" s="863" t="s">
        <v>6357</v>
      </c>
      <c r="C381" s="862">
        <v>1099</v>
      </c>
      <c r="D381" s="165" t="s">
        <v>2143</v>
      </c>
      <c r="E381" s="165" t="s">
        <v>6358</v>
      </c>
      <c r="F381" s="163">
        <v>1</v>
      </c>
      <c r="G381" s="864"/>
      <c r="H381" s="864">
        <v>0</v>
      </c>
      <c r="I381" s="864">
        <v>0</v>
      </c>
      <c r="J381" s="864">
        <v>24544.734058181726</v>
      </c>
      <c r="K381" s="864">
        <v>25324.375951140806</v>
      </c>
      <c r="L381" s="18" t="s">
        <v>4551</v>
      </c>
      <c r="M381" s="442"/>
      <c r="N381" s="543"/>
      <c r="P381" s="570"/>
      <c r="T381" s="443"/>
      <c r="U381" s="440"/>
      <c r="V381" s="440"/>
      <c r="W381" s="440"/>
      <c r="X381" s="442"/>
    </row>
    <row r="382" spans="1:24" x14ac:dyDescent="0.25">
      <c r="A382" s="862">
        <v>1100</v>
      </c>
      <c r="B382" s="863" t="s">
        <v>6359</v>
      </c>
      <c r="C382" s="862">
        <v>1100</v>
      </c>
      <c r="D382" s="165" t="s">
        <v>2143</v>
      </c>
      <c r="E382" s="165" t="s">
        <v>6360</v>
      </c>
      <c r="F382" s="163">
        <v>1</v>
      </c>
      <c r="G382" s="864"/>
      <c r="H382" s="864">
        <v>0</v>
      </c>
      <c r="I382" s="864">
        <v>0</v>
      </c>
      <c r="J382" s="864">
        <v>23270.630247314202</v>
      </c>
      <c r="K382" s="864">
        <v>24005.738641712927</v>
      </c>
      <c r="L382" s="18" t="s">
        <v>4552</v>
      </c>
      <c r="M382" s="442"/>
      <c r="N382" s="543"/>
      <c r="P382" s="570"/>
      <c r="T382" s="443"/>
      <c r="U382" s="440"/>
      <c r="V382" s="440"/>
      <c r="W382" s="440"/>
      <c r="X382" s="442"/>
    </row>
    <row r="383" spans="1:24" x14ac:dyDescent="0.25">
      <c r="A383" s="862">
        <v>1101</v>
      </c>
      <c r="B383" s="863" t="s">
        <v>6361</v>
      </c>
      <c r="C383" s="862">
        <v>1101</v>
      </c>
      <c r="D383" s="165" t="s">
        <v>2143</v>
      </c>
      <c r="E383" s="165" t="s">
        <v>6362</v>
      </c>
      <c r="F383" s="163">
        <v>1</v>
      </c>
      <c r="G383" s="864"/>
      <c r="H383" s="864">
        <v>0</v>
      </c>
      <c r="I383" s="864">
        <v>0</v>
      </c>
      <c r="J383" s="864">
        <v>0</v>
      </c>
      <c r="K383" s="864">
        <v>26176.317549766136</v>
      </c>
      <c r="L383" s="18" t="s">
        <v>10826</v>
      </c>
      <c r="M383" s="442"/>
      <c r="N383" s="543"/>
      <c r="P383" s="570"/>
      <c r="T383" s="443"/>
      <c r="U383" s="440"/>
      <c r="V383" s="440"/>
      <c r="W383" s="440"/>
      <c r="X383" s="442"/>
    </row>
    <row r="384" spans="1:24" x14ac:dyDescent="0.25">
      <c r="A384" s="862">
        <v>1102</v>
      </c>
      <c r="B384" s="863" t="s">
        <v>6363</v>
      </c>
      <c r="C384" s="862">
        <v>1102</v>
      </c>
      <c r="D384" s="165" t="s">
        <v>2143</v>
      </c>
      <c r="E384" s="165" t="s">
        <v>6364</v>
      </c>
      <c r="F384" s="163">
        <v>1</v>
      </c>
      <c r="G384" s="864"/>
      <c r="H384" s="864">
        <v>0</v>
      </c>
      <c r="I384" s="864">
        <v>0</v>
      </c>
      <c r="J384" s="864">
        <v>0</v>
      </c>
      <c r="K384" s="864">
        <v>24902.213738898608</v>
      </c>
      <c r="L384" s="18" t="s">
        <v>10827</v>
      </c>
      <c r="M384" s="442"/>
      <c r="N384" s="543"/>
      <c r="P384" s="570"/>
      <c r="T384" s="443"/>
      <c r="U384" s="440"/>
      <c r="V384" s="440"/>
      <c r="W384" s="440"/>
      <c r="X384" s="442"/>
    </row>
    <row r="385" spans="1:24" x14ac:dyDescent="0.25">
      <c r="A385" s="862">
        <v>1103</v>
      </c>
      <c r="B385" s="863" t="s">
        <v>6365</v>
      </c>
      <c r="C385" s="862">
        <v>1103</v>
      </c>
      <c r="D385" s="165" t="s">
        <v>2143</v>
      </c>
      <c r="E385" s="165" t="s">
        <v>6366</v>
      </c>
      <c r="F385" s="163">
        <v>1</v>
      </c>
      <c r="G385" s="864"/>
      <c r="H385" s="864">
        <v>0</v>
      </c>
      <c r="I385" s="864">
        <v>0</v>
      </c>
      <c r="J385" s="864">
        <v>21295.769340469531</v>
      </c>
      <c r="K385" s="864">
        <v>21961.796732349594</v>
      </c>
      <c r="L385" s="18" t="s">
        <v>4553</v>
      </c>
      <c r="M385" s="442"/>
      <c r="N385" s="543"/>
      <c r="P385" s="570"/>
      <c r="T385" s="443"/>
      <c r="U385" s="440"/>
      <c r="V385" s="440"/>
      <c r="W385" s="440"/>
      <c r="X385" s="442"/>
    </row>
    <row r="386" spans="1:24" x14ac:dyDescent="0.25">
      <c r="A386" s="862">
        <v>1104</v>
      </c>
      <c r="B386" s="863" t="s">
        <v>6367</v>
      </c>
      <c r="C386" s="862">
        <v>1104</v>
      </c>
      <c r="D386" s="165" t="s">
        <v>2143</v>
      </c>
      <c r="E386" s="165" t="s">
        <v>6368</v>
      </c>
      <c r="F386" s="163">
        <v>1</v>
      </c>
      <c r="G386" s="864"/>
      <c r="H386" s="864">
        <v>0</v>
      </c>
      <c r="I386" s="864">
        <v>0</v>
      </c>
      <c r="J386" s="864">
        <v>20021.665529602007</v>
      </c>
      <c r="K386" s="864">
        <v>20643.159422921708</v>
      </c>
      <c r="L386" s="18" t="s">
        <v>4554</v>
      </c>
      <c r="M386" s="442"/>
      <c r="N386" s="543"/>
      <c r="P386" s="570"/>
      <c r="T386" s="443"/>
      <c r="U386" s="440"/>
      <c r="V386" s="440"/>
      <c r="W386" s="440"/>
      <c r="X386" s="442"/>
    </row>
    <row r="387" spans="1:24" x14ac:dyDescent="0.25">
      <c r="A387" s="862">
        <v>1105</v>
      </c>
      <c r="B387" s="863" t="s">
        <v>6369</v>
      </c>
      <c r="C387" s="862">
        <v>1105</v>
      </c>
      <c r="D387" s="165" t="s">
        <v>2143</v>
      </c>
      <c r="E387" s="165" t="s">
        <v>6370</v>
      </c>
      <c r="F387" s="163">
        <v>1</v>
      </c>
      <c r="G387" s="864"/>
      <c r="H387" s="864">
        <v>39197.460121519733</v>
      </c>
      <c r="I387" s="864">
        <v>40447.320638896352</v>
      </c>
      <c r="J387" s="864">
        <v>0</v>
      </c>
      <c r="K387" s="864">
        <v>0</v>
      </c>
      <c r="L387" s="18" t="s">
        <v>2931</v>
      </c>
      <c r="M387" s="442"/>
      <c r="N387" s="543"/>
      <c r="P387" s="570"/>
      <c r="T387" s="443"/>
      <c r="U387" s="440"/>
      <c r="V387" s="440"/>
      <c r="W387" s="440"/>
      <c r="X387" s="442"/>
    </row>
    <row r="388" spans="1:24" x14ac:dyDescent="0.25">
      <c r="A388" s="862">
        <v>1106</v>
      </c>
      <c r="B388" s="863" t="s">
        <v>6371</v>
      </c>
      <c r="C388" s="862">
        <v>1106</v>
      </c>
      <c r="D388" s="165" t="s">
        <v>2143</v>
      </c>
      <c r="E388" s="165" t="s">
        <v>6372</v>
      </c>
      <c r="F388" s="163">
        <v>1</v>
      </c>
      <c r="G388" s="864"/>
      <c r="H388" s="864">
        <v>37604.807416626645</v>
      </c>
      <c r="I388" s="864">
        <v>38800.860969744645</v>
      </c>
      <c r="J388" s="864">
        <v>0</v>
      </c>
      <c r="K388" s="864">
        <v>0</v>
      </c>
      <c r="L388" s="18" t="s">
        <v>2932</v>
      </c>
      <c r="M388" s="442"/>
      <c r="N388" s="543"/>
      <c r="P388" s="570"/>
      <c r="T388" s="443"/>
      <c r="U388" s="440"/>
      <c r="V388" s="440"/>
      <c r="W388" s="440"/>
      <c r="X388" s="442"/>
    </row>
    <row r="389" spans="1:24" x14ac:dyDescent="0.25">
      <c r="A389" s="862">
        <v>1107</v>
      </c>
      <c r="B389" s="863" t="s">
        <v>6373</v>
      </c>
      <c r="C389" s="862">
        <v>1107</v>
      </c>
      <c r="D389" s="165" t="s">
        <v>2143</v>
      </c>
      <c r="E389" s="165" t="s">
        <v>6374</v>
      </c>
      <c r="F389" s="163">
        <v>1</v>
      </c>
      <c r="G389" s="864"/>
      <c r="H389" s="864">
        <v>0</v>
      </c>
      <c r="I389" s="864">
        <v>32683.988080802799</v>
      </c>
      <c r="J389" s="864">
        <v>33713.565807133207</v>
      </c>
      <c r="K389" s="864">
        <v>34797.343659256483</v>
      </c>
      <c r="L389" s="18" t="s">
        <v>3841</v>
      </c>
      <c r="M389" s="442"/>
      <c r="N389" s="543"/>
      <c r="P389" s="570"/>
      <c r="T389" s="443"/>
      <c r="U389" s="440"/>
      <c r="V389" s="440"/>
      <c r="W389" s="440"/>
      <c r="X389" s="442"/>
    </row>
    <row r="390" spans="1:24" x14ac:dyDescent="0.25">
      <c r="A390" s="862">
        <v>1108</v>
      </c>
      <c r="B390" s="863" t="s">
        <v>6375</v>
      </c>
      <c r="C390" s="862">
        <v>1108</v>
      </c>
      <c r="D390" s="165" t="s">
        <v>2143</v>
      </c>
      <c r="E390" s="165" t="s">
        <v>6376</v>
      </c>
      <c r="F390" s="163">
        <v>1</v>
      </c>
      <c r="G390" s="864"/>
      <c r="H390" s="864">
        <v>0</v>
      </c>
      <c r="I390" s="864">
        <v>31110.997754982462</v>
      </c>
      <c r="J390" s="864">
        <v>32087.330176388907</v>
      </c>
      <c r="K390" s="864">
        <v>33115.054426915005</v>
      </c>
      <c r="L390" s="18" t="s">
        <v>3842</v>
      </c>
      <c r="M390" s="442"/>
      <c r="N390" s="543"/>
      <c r="P390" s="570"/>
      <c r="T390" s="443"/>
      <c r="U390" s="440"/>
      <c r="V390" s="440"/>
      <c r="W390" s="440"/>
      <c r="X390" s="442"/>
    </row>
    <row r="391" spans="1:24" x14ac:dyDescent="0.25">
      <c r="A391" s="862">
        <v>1109</v>
      </c>
      <c r="B391" s="863" t="s">
        <v>6377</v>
      </c>
      <c r="C391" s="862">
        <v>1109</v>
      </c>
      <c r="D391" s="165" t="s">
        <v>2143</v>
      </c>
      <c r="E391" s="165" t="s">
        <v>6378</v>
      </c>
      <c r="F391" s="163">
        <v>1</v>
      </c>
      <c r="G391" s="864"/>
      <c r="H391" s="864">
        <v>18148.732927626741</v>
      </c>
      <c r="I391" s="864">
        <v>19940.230457886064</v>
      </c>
      <c r="J391" s="864">
        <v>20590.504183432735</v>
      </c>
      <c r="K391" s="864">
        <v>21275.012742085997</v>
      </c>
      <c r="L391" s="18" t="s">
        <v>2933</v>
      </c>
      <c r="M391" s="442"/>
      <c r="N391" s="543"/>
      <c r="P391" s="570"/>
      <c r="T391" s="443"/>
      <c r="U391" s="440"/>
      <c r="V391" s="440"/>
      <c r="W391" s="440"/>
      <c r="X391" s="442"/>
    </row>
    <row r="392" spans="1:24" x14ac:dyDescent="0.25">
      <c r="A392" s="862">
        <v>1110</v>
      </c>
      <c r="B392" s="863" t="s">
        <v>6379</v>
      </c>
      <c r="C392" s="862">
        <v>1110</v>
      </c>
      <c r="D392" s="165" t="s">
        <v>2143</v>
      </c>
      <c r="E392" s="165" t="s">
        <v>6380</v>
      </c>
      <c r="F392" s="163">
        <v>1</v>
      </c>
      <c r="G392" s="864"/>
      <c r="H392" s="864">
        <v>17633.546838465943</v>
      </c>
      <c r="I392" s="864">
        <v>18728.450161571465</v>
      </c>
      <c r="J392" s="864">
        <v>19304.705168286022</v>
      </c>
      <c r="K392" s="864">
        <v>19911.291860926067</v>
      </c>
      <c r="L392" s="18" t="s">
        <v>3843</v>
      </c>
      <c r="M392" s="442"/>
      <c r="N392" s="543"/>
      <c r="P392" s="570"/>
      <c r="T392" s="443"/>
      <c r="U392" s="440"/>
      <c r="V392" s="440"/>
      <c r="W392" s="440"/>
      <c r="X392" s="442"/>
    </row>
    <row r="393" spans="1:24" x14ac:dyDescent="0.25">
      <c r="A393" s="862">
        <v>1111</v>
      </c>
      <c r="B393" s="863" t="s">
        <v>6381</v>
      </c>
      <c r="C393" s="862">
        <v>1111</v>
      </c>
      <c r="D393" s="165" t="s">
        <v>2143</v>
      </c>
      <c r="E393" s="165" t="s">
        <v>6382</v>
      </c>
      <c r="F393" s="163">
        <v>1</v>
      </c>
      <c r="G393" s="864"/>
      <c r="H393" s="864">
        <v>0</v>
      </c>
      <c r="I393" s="864">
        <v>0</v>
      </c>
      <c r="J393" s="864">
        <v>0</v>
      </c>
      <c r="K393" s="864">
        <v>28979.345933674686</v>
      </c>
      <c r="L393" s="18" t="s">
        <v>10828</v>
      </c>
      <c r="M393" s="442"/>
      <c r="N393" s="543"/>
      <c r="P393" s="570"/>
      <c r="T393" s="443"/>
      <c r="U393" s="440"/>
      <c r="V393" s="440"/>
      <c r="W393" s="440"/>
      <c r="X393" s="442"/>
    </row>
    <row r="394" spans="1:24" x14ac:dyDescent="0.25">
      <c r="A394" s="862">
        <v>1112</v>
      </c>
      <c r="B394" s="863" t="s">
        <v>6383</v>
      </c>
      <c r="C394" s="862">
        <v>1112</v>
      </c>
      <c r="D394" s="165" t="s">
        <v>2143</v>
      </c>
      <c r="E394" s="165" t="s">
        <v>6384</v>
      </c>
      <c r="F394" s="163">
        <v>1</v>
      </c>
      <c r="G394" s="864"/>
      <c r="H394" s="864">
        <v>0</v>
      </c>
      <c r="I394" s="864">
        <v>0</v>
      </c>
      <c r="J394" s="864">
        <v>0</v>
      </c>
      <c r="K394" s="864">
        <v>27705.242122807162</v>
      </c>
      <c r="L394" s="18" t="s">
        <v>10829</v>
      </c>
      <c r="M394" s="442"/>
      <c r="N394" s="543"/>
      <c r="P394" s="570"/>
      <c r="T394" s="443"/>
      <c r="U394" s="440"/>
      <c r="V394" s="440"/>
      <c r="W394" s="440"/>
      <c r="X394" s="442"/>
    </row>
    <row r="395" spans="1:24" x14ac:dyDescent="0.25">
      <c r="A395" s="862">
        <v>1113</v>
      </c>
      <c r="B395" s="863" t="s">
        <v>6385</v>
      </c>
      <c r="C395" s="862">
        <v>1113</v>
      </c>
      <c r="D395" s="165" t="s">
        <v>2143</v>
      </c>
      <c r="E395" s="165" t="s">
        <v>6386</v>
      </c>
      <c r="F395" s="163">
        <v>1</v>
      </c>
      <c r="G395" s="864"/>
      <c r="H395" s="864">
        <v>0</v>
      </c>
      <c r="I395" s="864">
        <v>0</v>
      </c>
      <c r="J395" s="864">
        <v>27666.288394807165</v>
      </c>
      <c r="K395" s="864">
        <v>28555.077331228331</v>
      </c>
      <c r="L395" s="18" t="s">
        <v>4555</v>
      </c>
      <c r="M395" s="442"/>
      <c r="N395" s="543"/>
      <c r="P395" s="570"/>
      <c r="T395" s="443"/>
      <c r="U395" s="440"/>
      <c r="V395" s="440"/>
      <c r="W395" s="440"/>
      <c r="X395" s="442"/>
    </row>
    <row r="396" spans="1:24" x14ac:dyDescent="0.25">
      <c r="A396" s="862">
        <v>1114</v>
      </c>
      <c r="B396" s="863" t="s">
        <v>6387</v>
      </c>
      <c r="C396" s="862">
        <v>1114</v>
      </c>
      <c r="D396" s="165" t="s">
        <v>2143</v>
      </c>
      <c r="E396" s="165" t="s">
        <v>6388</v>
      </c>
      <c r="F396" s="163">
        <v>1</v>
      </c>
      <c r="G396" s="864"/>
      <c r="H396" s="864">
        <v>0</v>
      </c>
      <c r="I396" s="864">
        <v>0</v>
      </c>
      <c r="J396" s="864">
        <v>26392.184583939641</v>
      </c>
      <c r="K396" s="864">
        <v>27236.440021800456</v>
      </c>
      <c r="L396" s="18" t="s">
        <v>4556</v>
      </c>
      <c r="M396" s="442"/>
      <c r="N396" s="543"/>
      <c r="P396" s="570"/>
      <c r="T396" s="443"/>
      <c r="U396" s="440"/>
      <c r="V396" s="440"/>
      <c r="W396" s="440"/>
      <c r="X396" s="442"/>
    </row>
    <row r="397" spans="1:24" x14ac:dyDescent="0.25">
      <c r="A397" s="862">
        <v>1115</v>
      </c>
      <c r="B397" s="863" t="s">
        <v>6389</v>
      </c>
      <c r="C397" s="862">
        <v>1115</v>
      </c>
      <c r="D397" s="165" t="s">
        <v>2143</v>
      </c>
      <c r="E397" s="165" t="s">
        <v>6390</v>
      </c>
      <c r="F397" s="163">
        <v>1</v>
      </c>
      <c r="G397" s="864"/>
      <c r="H397" s="864">
        <v>29067.092642249725</v>
      </c>
      <c r="I397" s="864">
        <v>0</v>
      </c>
      <c r="J397" s="864">
        <v>0</v>
      </c>
      <c r="K397" s="864">
        <v>0</v>
      </c>
      <c r="L397" s="18" t="s">
        <v>951</v>
      </c>
      <c r="M397" s="442"/>
      <c r="N397" s="543"/>
      <c r="P397" s="570"/>
      <c r="T397" s="443"/>
      <c r="U397" s="440"/>
      <c r="V397" s="440"/>
      <c r="W397" s="440"/>
      <c r="X397" s="442"/>
    </row>
    <row r="398" spans="1:24" x14ac:dyDescent="0.25">
      <c r="A398" s="862">
        <v>1116</v>
      </c>
      <c r="B398" s="863" t="s">
        <v>6391</v>
      </c>
      <c r="C398" s="862">
        <v>1116</v>
      </c>
      <c r="D398" s="165" t="s">
        <v>2143</v>
      </c>
      <c r="E398" s="165" t="s">
        <v>6392</v>
      </c>
      <c r="F398" s="163">
        <v>1</v>
      </c>
      <c r="G398" s="864"/>
      <c r="H398" s="864">
        <v>0</v>
      </c>
      <c r="I398" s="864">
        <v>24732.054007605198</v>
      </c>
      <c r="J398" s="864">
        <v>0</v>
      </c>
      <c r="K398" s="864">
        <v>0</v>
      </c>
      <c r="L398" s="18" t="s">
        <v>952</v>
      </c>
      <c r="M398" s="442"/>
      <c r="N398" s="543"/>
      <c r="P398" s="570"/>
      <c r="T398" s="443"/>
      <c r="U398" s="440"/>
      <c r="V398" s="440"/>
      <c r="W398" s="440"/>
      <c r="X398" s="442"/>
    </row>
    <row r="399" spans="1:24" x14ac:dyDescent="0.25">
      <c r="A399" s="862">
        <v>1117</v>
      </c>
      <c r="B399" s="863" t="s">
        <v>6393</v>
      </c>
      <c r="C399" s="862">
        <v>1117</v>
      </c>
      <c r="D399" s="165" t="s">
        <v>2143</v>
      </c>
      <c r="E399" s="165" t="s">
        <v>6394</v>
      </c>
      <c r="F399" s="163">
        <v>1</v>
      </c>
      <c r="G399" s="864"/>
      <c r="H399" s="864">
        <v>26681.318684710332</v>
      </c>
      <c r="I399" s="864">
        <v>28359.556776617614</v>
      </c>
      <c r="J399" s="864">
        <v>0</v>
      </c>
      <c r="K399" s="864">
        <v>0</v>
      </c>
      <c r="L399" s="18" t="s">
        <v>4557</v>
      </c>
      <c r="M399" s="442"/>
      <c r="N399" s="543"/>
      <c r="P399" s="570"/>
      <c r="T399" s="443"/>
      <c r="U399" s="440"/>
      <c r="V399" s="440"/>
      <c r="W399" s="440"/>
      <c r="X399" s="442"/>
    </row>
    <row r="400" spans="1:24" x14ac:dyDescent="0.25">
      <c r="A400" s="862">
        <v>1118</v>
      </c>
      <c r="B400" s="863" t="s">
        <v>6395</v>
      </c>
      <c r="C400" s="862">
        <v>1118</v>
      </c>
      <c r="D400" s="165" t="s">
        <v>2143</v>
      </c>
      <c r="E400" s="165" t="s">
        <v>6396</v>
      </c>
      <c r="F400" s="163">
        <v>1</v>
      </c>
      <c r="G400" s="864"/>
      <c r="H400" s="864">
        <v>25798.183697359349</v>
      </c>
      <c r="I400" s="864">
        <v>27415.762581125404</v>
      </c>
      <c r="J400" s="864">
        <v>0</v>
      </c>
      <c r="K400" s="864">
        <v>0</v>
      </c>
      <c r="L400" s="18" t="s">
        <v>4558</v>
      </c>
      <c r="M400" s="442"/>
      <c r="N400" s="543"/>
      <c r="P400" s="570"/>
      <c r="T400" s="443"/>
      <c r="U400" s="440"/>
      <c r="V400" s="440"/>
      <c r="W400" s="440"/>
      <c r="X400" s="442"/>
    </row>
    <row r="401" spans="1:24" x14ac:dyDescent="0.25">
      <c r="A401" s="862">
        <v>1119</v>
      </c>
      <c r="B401" s="863" t="s">
        <v>6397</v>
      </c>
      <c r="C401" s="862">
        <v>1119</v>
      </c>
      <c r="D401" s="165" t="s">
        <v>2143</v>
      </c>
      <c r="E401" s="165" t="s">
        <v>6398</v>
      </c>
      <c r="F401" s="163">
        <v>1</v>
      </c>
      <c r="G401" s="864"/>
      <c r="H401" s="864">
        <v>24703.563607420645</v>
      </c>
      <c r="I401" s="864">
        <v>25528.914645681387</v>
      </c>
      <c r="J401" s="864">
        <v>26397.717587500501</v>
      </c>
      <c r="K401" s="864">
        <v>27312.229674621281</v>
      </c>
      <c r="L401" s="18" t="s">
        <v>953</v>
      </c>
      <c r="M401" s="442"/>
      <c r="N401" s="543"/>
      <c r="P401" s="570"/>
      <c r="T401" s="443"/>
      <c r="U401" s="440"/>
      <c r="V401" s="440"/>
      <c r="W401" s="440"/>
      <c r="X401" s="442"/>
    </row>
    <row r="402" spans="1:24" x14ac:dyDescent="0.25">
      <c r="A402" s="862">
        <v>1120</v>
      </c>
      <c r="B402" s="863" t="s">
        <v>6399</v>
      </c>
      <c r="C402" s="862">
        <v>1120</v>
      </c>
      <c r="D402" s="165" t="s">
        <v>2143</v>
      </c>
      <c r="E402" s="165" t="s">
        <v>6400</v>
      </c>
      <c r="F402" s="163">
        <v>1</v>
      </c>
      <c r="G402" s="864"/>
      <c r="H402" s="864">
        <v>21811.561742928414</v>
      </c>
      <c r="I402" s="864">
        <v>22530.634315775835</v>
      </c>
      <c r="J402" s="864">
        <v>23287.562713693053</v>
      </c>
      <c r="K402" s="864">
        <v>24084.32202320543</v>
      </c>
      <c r="L402" s="18" t="s">
        <v>954</v>
      </c>
      <c r="M402" s="442"/>
      <c r="N402" s="543"/>
      <c r="P402" s="570"/>
      <c r="T402" s="443"/>
      <c r="U402" s="440"/>
      <c r="V402" s="440"/>
      <c r="W402" s="440"/>
      <c r="X402" s="442"/>
    </row>
    <row r="403" spans="1:24" x14ac:dyDescent="0.25">
      <c r="A403" s="862">
        <v>1121</v>
      </c>
      <c r="B403" s="863" t="s">
        <v>6401</v>
      </c>
      <c r="C403" s="862">
        <v>1121</v>
      </c>
      <c r="D403" s="165" t="s">
        <v>2143</v>
      </c>
      <c r="E403" s="165" t="s">
        <v>6402</v>
      </c>
      <c r="F403" s="163">
        <v>1</v>
      </c>
      <c r="G403" s="864"/>
      <c r="H403" s="864">
        <v>26462.461497456454</v>
      </c>
      <c r="I403" s="864">
        <v>27342.36254451342</v>
      </c>
      <c r="J403" s="864">
        <v>28268.631099047165</v>
      </c>
      <c r="K403" s="864">
        <v>29243.618454540305</v>
      </c>
      <c r="L403" s="18" t="s">
        <v>955</v>
      </c>
      <c r="M403" s="442"/>
      <c r="N403" s="543"/>
      <c r="P403" s="570"/>
      <c r="T403" s="443"/>
      <c r="U403" s="440"/>
      <c r="V403" s="440"/>
      <c r="W403" s="440"/>
      <c r="X403" s="442"/>
    </row>
    <row r="404" spans="1:24" x14ac:dyDescent="0.25">
      <c r="A404" s="862">
        <v>1122</v>
      </c>
      <c r="B404" s="863" t="s">
        <v>6403</v>
      </c>
      <c r="C404" s="862">
        <v>1122</v>
      </c>
      <c r="D404" s="165" t="s">
        <v>2143</v>
      </c>
      <c r="E404" s="165" t="s">
        <v>6404</v>
      </c>
      <c r="F404" s="163">
        <v>1</v>
      </c>
      <c r="G404" s="864"/>
      <c r="H404" s="864">
        <v>26703.69080326465</v>
      </c>
      <c r="I404" s="864">
        <v>27614.864053640144</v>
      </c>
      <c r="J404" s="864">
        <v>28574.003691060581</v>
      </c>
      <c r="K404" s="864">
        <v>29583.649112487179</v>
      </c>
      <c r="L404" s="18" t="s">
        <v>956</v>
      </c>
      <c r="M404" s="442"/>
      <c r="N404" s="543"/>
      <c r="P404" s="570"/>
      <c r="T404" s="443"/>
      <c r="U404" s="440"/>
      <c r="V404" s="440"/>
      <c r="W404" s="440"/>
      <c r="X404" s="442"/>
    </row>
    <row r="405" spans="1:24" x14ac:dyDescent="0.25">
      <c r="A405" s="862">
        <v>1123</v>
      </c>
      <c r="B405" s="863" t="s">
        <v>6405</v>
      </c>
      <c r="C405" s="862">
        <v>1123</v>
      </c>
      <c r="D405" s="165" t="s">
        <v>2143</v>
      </c>
      <c r="E405" s="165" t="s">
        <v>6406</v>
      </c>
      <c r="F405" s="163">
        <v>1</v>
      </c>
      <c r="G405" s="864"/>
      <c r="H405" s="864">
        <v>30854.415692390055</v>
      </c>
      <c r="I405" s="864">
        <v>31953.128110937385</v>
      </c>
      <c r="J405" s="864">
        <v>33109.635323286908</v>
      </c>
      <c r="K405" s="864">
        <v>34327.041036835661</v>
      </c>
      <c r="L405" s="18" t="s">
        <v>957</v>
      </c>
      <c r="M405" s="442"/>
      <c r="N405" s="543"/>
      <c r="P405" s="570"/>
      <c r="T405" s="443"/>
      <c r="U405" s="440"/>
      <c r="V405" s="440"/>
      <c r="W405" s="440"/>
      <c r="X405" s="442"/>
    </row>
    <row r="406" spans="1:24" x14ac:dyDescent="0.25">
      <c r="A406" s="862">
        <v>1124</v>
      </c>
      <c r="B406" s="863" t="s">
        <v>6407</v>
      </c>
      <c r="C406" s="862">
        <v>1124</v>
      </c>
      <c r="D406" s="165" t="s">
        <v>2143</v>
      </c>
      <c r="E406" s="165" t="s">
        <v>6408</v>
      </c>
      <c r="F406" s="163">
        <v>1</v>
      </c>
      <c r="G406" s="864"/>
      <c r="H406" s="864">
        <v>27777.540279797147</v>
      </c>
      <c r="I406" s="864">
        <v>0</v>
      </c>
      <c r="J406" s="864">
        <v>0</v>
      </c>
      <c r="K406" s="864">
        <v>0</v>
      </c>
      <c r="L406" s="18" t="s">
        <v>958</v>
      </c>
      <c r="M406" s="442"/>
      <c r="N406" s="543"/>
      <c r="P406" s="570"/>
      <c r="T406" s="443"/>
      <c r="U406" s="440"/>
      <c r="V406" s="440"/>
      <c r="W406" s="440"/>
      <c r="X406" s="442"/>
    </row>
    <row r="407" spans="1:24" x14ac:dyDescent="0.25">
      <c r="A407" s="862">
        <v>1125</v>
      </c>
      <c r="B407" s="863" t="s">
        <v>6409</v>
      </c>
      <c r="C407" s="862">
        <v>1125</v>
      </c>
      <c r="D407" s="165" t="s">
        <v>2143</v>
      </c>
      <c r="E407" s="165" t="s">
        <v>6410</v>
      </c>
      <c r="F407" s="163">
        <v>1</v>
      </c>
      <c r="G407" s="864"/>
      <c r="H407" s="864">
        <v>0</v>
      </c>
      <c r="I407" s="864">
        <v>34724.453054841106</v>
      </c>
      <c r="J407" s="864">
        <v>35880.442982624467</v>
      </c>
      <c r="K407" s="864">
        <v>37097.284385737388</v>
      </c>
      <c r="L407" s="18" t="s">
        <v>3844</v>
      </c>
      <c r="M407" s="442"/>
      <c r="N407" s="543"/>
      <c r="P407" s="570"/>
      <c r="T407" s="443"/>
      <c r="U407" s="440"/>
      <c r="V407" s="440"/>
      <c r="W407" s="440"/>
      <c r="X407" s="442"/>
    </row>
    <row r="408" spans="1:24" x14ac:dyDescent="0.25">
      <c r="A408" s="862">
        <v>1126</v>
      </c>
      <c r="B408" s="863" t="s">
        <v>6411</v>
      </c>
      <c r="C408" s="862">
        <v>1126</v>
      </c>
      <c r="D408" s="165" t="s">
        <v>2143</v>
      </c>
      <c r="E408" s="165" t="s">
        <v>6412</v>
      </c>
      <c r="F408" s="163">
        <v>1</v>
      </c>
      <c r="G408" s="864"/>
      <c r="H408" s="864">
        <v>29872.058825245927</v>
      </c>
      <c r="I408" s="864">
        <v>0</v>
      </c>
      <c r="J408" s="864">
        <v>0</v>
      </c>
      <c r="K408" s="864">
        <v>0</v>
      </c>
      <c r="L408" s="18" t="s">
        <v>959</v>
      </c>
      <c r="M408" s="442"/>
      <c r="N408" s="543"/>
      <c r="P408" s="570"/>
      <c r="T408" s="443"/>
      <c r="U408" s="440"/>
      <c r="V408" s="440"/>
      <c r="W408" s="440"/>
      <c r="X408" s="442"/>
    </row>
    <row r="409" spans="1:24" x14ac:dyDescent="0.25">
      <c r="A409" s="862">
        <v>1127</v>
      </c>
      <c r="B409" s="863" t="s">
        <v>6413</v>
      </c>
      <c r="C409" s="862">
        <v>1127</v>
      </c>
      <c r="D409" s="165" t="s">
        <v>2143</v>
      </c>
      <c r="E409" s="165" t="s">
        <v>6414</v>
      </c>
      <c r="F409" s="163">
        <v>1</v>
      </c>
      <c r="G409" s="864"/>
      <c r="H409" s="864">
        <v>26769.835031711078</v>
      </c>
      <c r="I409" s="864">
        <v>27671.132849459671</v>
      </c>
      <c r="J409" s="864">
        <v>28619.879769687032</v>
      </c>
      <c r="K409" s="864">
        <v>29618.568163484724</v>
      </c>
      <c r="L409" s="18" t="s">
        <v>960</v>
      </c>
      <c r="M409" s="442"/>
      <c r="N409" s="535"/>
      <c r="P409" s="570"/>
      <c r="T409" s="443"/>
      <c r="U409" s="440"/>
      <c r="V409" s="440"/>
      <c r="W409" s="440"/>
      <c r="X409" s="442"/>
    </row>
    <row r="410" spans="1:24" x14ac:dyDescent="0.25">
      <c r="A410" s="862">
        <v>1128</v>
      </c>
      <c r="B410" s="863" t="s">
        <v>6415</v>
      </c>
      <c r="C410" s="862">
        <v>1128</v>
      </c>
      <c r="D410" s="165" t="s">
        <v>2143</v>
      </c>
      <c r="E410" s="165" t="s">
        <v>6416</v>
      </c>
      <c r="F410" s="163">
        <v>1</v>
      </c>
      <c r="G410" s="864"/>
      <c r="H410" s="864">
        <v>24575.843873179372</v>
      </c>
      <c r="I410" s="864">
        <v>0</v>
      </c>
      <c r="J410" s="864">
        <v>0</v>
      </c>
      <c r="K410" s="864">
        <v>0</v>
      </c>
      <c r="L410" s="18" t="s">
        <v>961</v>
      </c>
      <c r="M410" s="442"/>
      <c r="N410" s="535"/>
      <c r="P410" s="570"/>
      <c r="T410" s="443"/>
      <c r="U410" s="440"/>
      <c r="V410" s="440"/>
      <c r="W410" s="440"/>
      <c r="X410" s="442"/>
    </row>
    <row r="411" spans="1:24" x14ac:dyDescent="0.25">
      <c r="A411" s="862">
        <v>1129</v>
      </c>
      <c r="B411" s="863" t="s">
        <v>6417</v>
      </c>
      <c r="C411" s="862">
        <v>1129</v>
      </c>
      <c r="D411" s="165" t="s">
        <v>2143</v>
      </c>
      <c r="E411" s="165" t="s">
        <v>6418</v>
      </c>
      <c r="F411" s="163">
        <v>1</v>
      </c>
      <c r="G411" s="864"/>
      <c r="H411" s="864">
        <v>30278.201207085578</v>
      </c>
      <c r="I411" s="864">
        <v>31258.314382370769</v>
      </c>
      <c r="J411" s="864">
        <v>32290.014936664124</v>
      </c>
      <c r="K411" s="864">
        <v>33376.030370405424</v>
      </c>
      <c r="L411" s="18" t="s">
        <v>4559</v>
      </c>
      <c r="M411" s="442"/>
      <c r="N411" s="535"/>
      <c r="P411" s="570"/>
      <c r="T411" s="443"/>
      <c r="U411" s="440"/>
      <c r="V411" s="440"/>
      <c r="W411" s="440"/>
      <c r="X411" s="442"/>
    </row>
    <row r="412" spans="1:24" x14ac:dyDescent="0.25">
      <c r="A412" s="862">
        <v>1130</v>
      </c>
      <c r="B412" s="863" t="s">
        <v>6419</v>
      </c>
      <c r="C412" s="862">
        <v>1130</v>
      </c>
      <c r="D412" s="165" t="s">
        <v>2143</v>
      </c>
      <c r="E412" s="165" t="s">
        <v>6420</v>
      </c>
      <c r="F412" s="163">
        <v>1</v>
      </c>
      <c r="G412" s="864"/>
      <c r="H412" s="864">
        <v>34498.67008058427</v>
      </c>
      <c r="I412" s="864">
        <v>35626.350434837172</v>
      </c>
      <c r="J412" s="864">
        <v>36813.377436590788</v>
      </c>
      <c r="K412" s="864">
        <v>38062.901819111794</v>
      </c>
      <c r="L412" s="18" t="s">
        <v>2934</v>
      </c>
      <c r="M412" s="442"/>
      <c r="N412" s="535"/>
      <c r="P412" s="570"/>
      <c r="T412" s="443"/>
      <c r="U412" s="440"/>
      <c r="V412" s="440"/>
      <c r="W412" s="440"/>
      <c r="X412" s="442"/>
    </row>
    <row r="413" spans="1:24" x14ac:dyDescent="0.25">
      <c r="A413" s="862">
        <v>1131</v>
      </c>
      <c r="B413" s="863" t="s">
        <v>6421</v>
      </c>
      <c r="C413" s="862">
        <v>1131</v>
      </c>
      <c r="D413" s="165" t="s">
        <v>2143</v>
      </c>
      <c r="E413" s="165" t="s">
        <v>6422</v>
      </c>
      <c r="F413" s="163">
        <v>1</v>
      </c>
      <c r="G413" s="864"/>
      <c r="H413" s="864">
        <v>0</v>
      </c>
      <c r="I413" s="864">
        <v>0</v>
      </c>
      <c r="J413" s="864">
        <v>39165.075287886582</v>
      </c>
      <c r="K413" s="864">
        <v>40455.935409831625</v>
      </c>
      <c r="L413" s="18" t="s">
        <v>4560</v>
      </c>
      <c r="M413" s="442"/>
      <c r="N413" s="535"/>
      <c r="P413" s="570"/>
      <c r="T413" s="443"/>
      <c r="U413" s="440"/>
      <c r="V413" s="440"/>
      <c r="W413" s="440"/>
      <c r="X413" s="442"/>
    </row>
    <row r="414" spans="1:24" x14ac:dyDescent="0.25">
      <c r="A414" s="862">
        <v>1132</v>
      </c>
      <c r="B414" s="863" t="s">
        <v>6423</v>
      </c>
      <c r="C414" s="862">
        <v>1132</v>
      </c>
      <c r="D414" s="165" t="s">
        <v>2143</v>
      </c>
      <c r="E414" s="165" t="s">
        <v>6424</v>
      </c>
      <c r="F414" s="163">
        <v>1</v>
      </c>
      <c r="G414" s="864"/>
      <c r="H414" s="864">
        <v>0</v>
      </c>
      <c r="I414" s="864">
        <v>0</v>
      </c>
      <c r="J414" s="864">
        <v>37890.971477019055</v>
      </c>
      <c r="K414" s="864">
        <v>39137.298100403736</v>
      </c>
      <c r="L414" s="18" t="s">
        <v>4561</v>
      </c>
      <c r="M414" s="442"/>
      <c r="N414" s="535"/>
      <c r="P414" s="570"/>
      <c r="T414" s="443"/>
      <c r="U414" s="440"/>
      <c r="V414" s="440"/>
      <c r="W414" s="440"/>
      <c r="X414" s="442"/>
    </row>
    <row r="415" spans="1:24" x14ac:dyDescent="0.25">
      <c r="A415" s="862">
        <v>1133</v>
      </c>
      <c r="B415" s="863" t="s">
        <v>6425</v>
      </c>
      <c r="C415" s="862">
        <v>1133</v>
      </c>
      <c r="D415" s="165" t="s">
        <v>2143</v>
      </c>
      <c r="E415" s="165" t="s">
        <v>6426</v>
      </c>
      <c r="F415" s="163">
        <v>1</v>
      </c>
      <c r="G415" s="864"/>
      <c r="H415" s="864">
        <v>0</v>
      </c>
      <c r="I415" s="864">
        <v>27787.32825683957</v>
      </c>
      <c r="J415" s="864">
        <v>28680.349521529417</v>
      </c>
      <c r="K415" s="864">
        <v>29620.349630001525</v>
      </c>
      <c r="L415" s="18" t="s">
        <v>3845</v>
      </c>
      <c r="M415" s="442"/>
      <c r="N415" s="535"/>
      <c r="P415" s="570"/>
      <c r="T415" s="443"/>
      <c r="U415" s="440"/>
      <c r="V415" s="440"/>
      <c r="W415" s="440"/>
      <c r="X415" s="442"/>
    </row>
    <row r="416" spans="1:24" x14ac:dyDescent="0.25">
      <c r="A416" s="862">
        <v>1134</v>
      </c>
      <c r="B416" s="863" t="s">
        <v>6427</v>
      </c>
      <c r="C416" s="862">
        <v>1134</v>
      </c>
      <c r="D416" s="165" t="s">
        <v>2143</v>
      </c>
      <c r="E416" s="165" t="s">
        <v>6428</v>
      </c>
      <c r="F416" s="163">
        <v>1</v>
      </c>
      <c r="G416" s="864"/>
      <c r="H416" s="864">
        <v>24417.323677094973</v>
      </c>
      <c r="I416" s="864">
        <v>0</v>
      </c>
      <c r="J416" s="864">
        <v>0</v>
      </c>
      <c r="K416" s="864">
        <v>0</v>
      </c>
      <c r="L416" s="18" t="s">
        <v>2935</v>
      </c>
      <c r="M416" s="442"/>
      <c r="N416" s="535"/>
      <c r="P416" s="570"/>
      <c r="T416" s="443"/>
      <c r="U416" s="440"/>
      <c r="V416" s="440"/>
      <c r="W416" s="440"/>
      <c r="X416" s="442"/>
    </row>
    <row r="417" spans="1:24" x14ac:dyDescent="0.25">
      <c r="A417" s="862">
        <v>1135</v>
      </c>
      <c r="B417" s="863" t="s">
        <v>6429</v>
      </c>
      <c r="C417" s="862">
        <v>1135</v>
      </c>
      <c r="D417" s="165" t="s">
        <v>2143</v>
      </c>
      <c r="E417" s="165" t="s">
        <v>6430</v>
      </c>
      <c r="F417" s="163">
        <v>1</v>
      </c>
      <c r="G417" s="864"/>
      <c r="H417" s="864">
        <v>0</v>
      </c>
      <c r="I417" s="864">
        <v>35738.554769167822</v>
      </c>
      <c r="J417" s="864">
        <v>36930.660564843834</v>
      </c>
      <c r="K417" s="864">
        <v>38185.498870635529</v>
      </c>
      <c r="L417" s="18" t="s">
        <v>3846</v>
      </c>
      <c r="M417" s="442"/>
      <c r="N417" s="535"/>
      <c r="P417" s="570"/>
      <c r="T417" s="443"/>
      <c r="U417" s="440"/>
      <c r="V417" s="440"/>
      <c r="W417" s="440"/>
      <c r="X417" s="442"/>
    </row>
    <row r="418" spans="1:24" x14ac:dyDescent="0.25">
      <c r="A418" s="862">
        <v>1136</v>
      </c>
      <c r="B418" s="863" t="s">
        <v>6431</v>
      </c>
      <c r="C418" s="862">
        <v>1136</v>
      </c>
      <c r="D418" s="165" t="s">
        <v>2143</v>
      </c>
      <c r="E418" s="165" t="s">
        <v>6432</v>
      </c>
      <c r="F418" s="163">
        <v>1</v>
      </c>
      <c r="G418" s="864"/>
      <c r="H418" s="864">
        <v>22902.448393203322</v>
      </c>
      <c r="I418" s="864">
        <v>23661.634032863825</v>
      </c>
      <c r="J418" s="864">
        <v>24460.697609989158</v>
      </c>
      <c r="K418" s="864">
        <v>28100.452895177667</v>
      </c>
      <c r="L418" s="18" t="s">
        <v>962</v>
      </c>
      <c r="M418" s="442"/>
      <c r="N418" s="535"/>
      <c r="P418" s="570"/>
      <c r="T418" s="443"/>
      <c r="U418" s="440"/>
      <c r="V418" s="440"/>
      <c r="W418" s="440"/>
      <c r="X418" s="442"/>
    </row>
    <row r="419" spans="1:24" x14ac:dyDescent="0.25">
      <c r="A419" s="862">
        <v>1137</v>
      </c>
      <c r="B419" s="863" t="s">
        <v>6433</v>
      </c>
      <c r="C419" s="862">
        <v>1137</v>
      </c>
      <c r="D419" s="165" t="s">
        <v>2143</v>
      </c>
      <c r="E419" s="165" t="s">
        <v>6434</v>
      </c>
      <c r="F419" s="163">
        <v>1</v>
      </c>
      <c r="G419" s="864"/>
      <c r="H419" s="864">
        <v>0</v>
      </c>
      <c r="I419" s="864">
        <v>0</v>
      </c>
      <c r="J419" s="864">
        <v>0</v>
      </c>
      <c r="K419" s="864">
        <v>26774.415727199896</v>
      </c>
      <c r="L419" s="18" t="s">
        <v>10830</v>
      </c>
      <c r="M419" s="442"/>
      <c r="N419" s="535"/>
      <c r="P419" s="570"/>
      <c r="T419" s="443"/>
      <c r="U419" s="440"/>
      <c r="V419" s="440"/>
      <c r="W419" s="440"/>
      <c r="X419" s="442"/>
    </row>
    <row r="420" spans="1:24" x14ac:dyDescent="0.25">
      <c r="A420" s="862">
        <v>1138</v>
      </c>
      <c r="B420" s="863" t="s">
        <v>6435</v>
      </c>
      <c r="C420" s="862">
        <v>1138</v>
      </c>
      <c r="D420" s="165" t="s">
        <v>2143</v>
      </c>
      <c r="E420" s="165" t="s">
        <v>6436</v>
      </c>
      <c r="F420" s="163">
        <v>1</v>
      </c>
      <c r="G420" s="864"/>
      <c r="H420" s="864">
        <v>20174.205650853426</v>
      </c>
      <c r="I420" s="864">
        <v>20833.085110546395</v>
      </c>
      <c r="J420" s="864">
        <v>21526.62263617283</v>
      </c>
      <c r="K420" s="864">
        <v>22256.699262518796</v>
      </c>
      <c r="L420" s="18" t="s">
        <v>963</v>
      </c>
      <c r="M420" s="442"/>
      <c r="N420" s="535"/>
      <c r="P420" s="570"/>
      <c r="T420" s="443"/>
      <c r="U420" s="440"/>
      <c r="V420" s="440"/>
      <c r="W420" s="440"/>
      <c r="X420" s="442"/>
    </row>
    <row r="421" spans="1:24" x14ac:dyDescent="0.25">
      <c r="A421" s="862">
        <v>1139</v>
      </c>
      <c r="B421" s="863" t="s">
        <v>6437</v>
      </c>
      <c r="C421" s="862">
        <v>1139</v>
      </c>
      <c r="D421" s="165" t="s">
        <v>2143</v>
      </c>
      <c r="E421" s="165" t="s">
        <v>6438</v>
      </c>
      <c r="F421" s="163">
        <v>1</v>
      </c>
      <c r="G421" s="864"/>
      <c r="H421" s="864">
        <v>31434.98049617897</v>
      </c>
      <c r="I421" s="864">
        <v>32437.807166506042</v>
      </c>
      <c r="J421" s="864">
        <v>0</v>
      </c>
      <c r="K421" s="864">
        <v>0</v>
      </c>
      <c r="L421" s="18" t="s">
        <v>4562</v>
      </c>
      <c r="M421" s="442"/>
      <c r="N421" s="535"/>
      <c r="P421" s="570"/>
      <c r="T421" s="443"/>
      <c r="U421" s="440"/>
      <c r="V421" s="440"/>
      <c r="W421" s="440"/>
      <c r="X421" s="442"/>
    </row>
    <row r="422" spans="1:24" x14ac:dyDescent="0.25">
      <c r="A422" s="862">
        <v>1140</v>
      </c>
      <c r="B422" s="863" t="s">
        <v>6439</v>
      </c>
      <c r="C422" s="862">
        <v>1140</v>
      </c>
      <c r="D422" s="165" t="s">
        <v>2143</v>
      </c>
      <c r="E422" s="165" t="s">
        <v>6440</v>
      </c>
      <c r="F422" s="163">
        <v>1</v>
      </c>
      <c r="G422" s="864"/>
      <c r="H422" s="864">
        <v>30203.19996799816</v>
      </c>
      <c r="I422" s="864">
        <v>31163.703355638507</v>
      </c>
      <c r="J422" s="864">
        <v>0</v>
      </c>
      <c r="K422" s="864">
        <v>0</v>
      </c>
      <c r="L422" s="18" t="s">
        <v>4563</v>
      </c>
      <c r="M422" s="442"/>
      <c r="N422" s="535"/>
      <c r="P422" s="570"/>
      <c r="T422" s="443"/>
      <c r="U422" s="440"/>
      <c r="V422" s="440"/>
      <c r="W422" s="440"/>
      <c r="X422" s="442"/>
    </row>
    <row r="423" spans="1:24" x14ac:dyDescent="0.25">
      <c r="A423" s="862">
        <v>1141</v>
      </c>
      <c r="B423" s="863" t="s">
        <v>6441</v>
      </c>
      <c r="C423" s="862">
        <v>1141</v>
      </c>
      <c r="D423" s="165" t="s">
        <v>2143</v>
      </c>
      <c r="E423" s="165" t="s">
        <v>6442</v>
      </c>
      <c r="F423" s="163">
        <v>1</v>
      </c>
      <c r="G423" s="864"/>
      <c r="H423" s="864">
        <v>0</v>
      </c>
      <c r="I423" s="864">
        <v>0</v>
      </c>
      <c r="J423" s="864">
        <v>22315.052389163557</v>
      </c>
      <c r="K423" s="864">
        <v>23016.725390239768</v>
      </c>
      <c r="L423" s="18" t="s">
        <v>4564</v>
      </c>
      <c r="M423" s="442"/>
      <c r="N423" s="535"/>
      <c r="P423" s="570"/>
      <c r="T423" s="443"/>
      <c r="U423" s="440"/>
      <c r="V423" s="440"/>
      <c r="W423" s="440"/>
      <c r="X423" s="442"/>
    </row>
    <row r="424" spans="1:24" x14ac:dyDescent="0.25">
      <c r="A424" s="862">
        <v>1142</v>
      </c>
      <c r="B424" s="863" t="s">
        <v>6443</v>
      </c>
      <c r="C424" s="862">
        <v>1142</v>
      </c>
      <c r="D424" s="165" t="s">
        <v>2143</v>
      </c>
      <c r="E424" s="165" t="s">
        <v>6444</v>
      </c>
      <c r="F424" s="163">
        <v>1</v>
      </c>
      <c r="G424" s="864"/>
      <c r="H424" s="864">
        <v>0</v>
      </c>
      <c r="I424" s="864">
        <v>0</v>
      </c>
      <c r="J424" s="864">
        <v>21040.948578296026</v>
      </c>
      <c r="K424" s="864">
        <v>21698.088080811878</v>
      </c>
      <c r="L424" s="18" t="s">
        <v>4565</v>
      </c>
      <c r="M424" s="442"/>
      <c r="N424" s="535"/>
      <c r="P424" s="570"/>
      <c r="T424" s="443"/>
      <c r="U424" s="440"/>
      <c r="V424" s="440"/>
      <c r="W424" s="440"/>
      <c r="X424" s="442"/>
    </row>
    <row r="425" spans="1:24" x14ac:dyDescent="0.25">
      <c r="A425" s="862">
        <v>1143</v>
      </c>
      <c r="B425" s="863" t="s">
        <v>6445</v>
      </c>
      <c r="C425" s="862">
        <v>1143</v>
      </c>
      <c r="D425" s="165" t="s">
        <v>2143</v>
      </c>
      <c r="E425" s="165" t="s">
        <v>6446</v>
      </c>
      <c r="F425" s="163">
        <v>1</v>
      </c>
      <c r="G425" s="864"/>
      <c r="H425" s="864">
        <v>25489.933003181683</v>
      </c>
      <c r="I425" s="864">
        <v>26332.646668877038</v>
      </c>
      <c r="J425" s="864">
        <v>27219.731422009023</v>
      </c>
      <c r="K425" s="864">
        <v>28153.49006584967</v>
      </c>
      <c r="L425" s="18" t="s">
        <v>964</v>
      </c>
      <c r="M425" s="442"/>
      <c r="N425" s="535"/>
      <c r="P425" s="570"/>
      <c r="T425" s="443"/>
      <c r="U425" s="440"/>
      <c r="V425" s="440"/>
      <c r="W425" s="440"/>
      <c r="X425" s="442"/>
    </row>
    <row r="426" spans="1:24" x14ac:dyDescent="0.25">
      <c r="A426" s="862">
        <v>1144</v>
      </c>
      <c r="B426" s="863" t="s">
        <v>6447</v>
      </c>
      <c r="C426" s="862">
        <v>1144</v>
      </c>
      <c r="D426" s="165" t="s">
        <v>2143</v>
      </c>
      <c r="E426" s="165" t="s">
        <v>6448</v>
      </c>
      <c r="F426" s="163">
        <v>1</v>
      </c>
      <c r="G426" s="864"/>
      <c r="H426" s="864">
        <v>20904.754298384454</v>
      </c>
      <c r="I426" s="864">
        <v>21570.320609934031</v>
      </c>
      <c r="J426" s="864">
        <v>22270.934463965212</v>
      </c>
      <c r="K426" s="864">
        <v>23008.449336282305</v>
      </c>
      <c r="L426" s="18" t="s">
        <v>965</v>
      </c>
      <c r="M426" s="442"/>
      <c r="N426" s="535"/>
      <c r="P426" s="570"/>
      <c r="T426" s="443"/>
      <c r="U426" s="440"/>
      <c r="V426" s="440"/>
      <c r="W426" s="440"/>
      <c r="X426" s="442"/>
    </row>
    <row r="427" spans="1:24" x14ac:dyDescent="0.25">
      <c r="A427" s="862">
        <v>1145</v>
      </c>
      <c r="B427" s="863" t="s">
        <v>6449</v>
      </c>
      <c r="C427" s="862">
        <v>1145</v>
      </c>
      <c r="D427" s="165" t="s">
        <v>2143</v>
      </c>
      <c r="E427" s="165" t="s">
        <v>6450</v>
      </c>
      <c r="F427" s="163">
        <v>1</v>
      </c>
      <c r="G427" s="864"/>
      <c r="H427" s="864">
        <v>0</v>
      </c>
      <c r="I427" s="864">
        <v>43226.281185026834</v>
      </c>
      <c r="J427" s="864">
        <v>44659.159433320659</v>
      </c>
      <c r="K427" s="864">
        <v>46167.420150666498</v>
      </c>
      <c r="L427" s="18" t="s">
        <v>10831</v>
      </c>
      <c r="M427" s="442"/>
      <c r="N427" s="535"/>
      <c r="P427" s="570"/>
      <c r="T427" s="443"/>
      <c r="U427" s="440"/>
      <c r="V427" s="440"/>
      <c r="W427" s="440"/>
      <c r="X427" s="442"/>
    </row>
    <row r="428" spans="1:24" x14ac:dyDescent="0.25">
      <c r="A428" s="862">
        <v>1146</v>
      </c>
      <c r="B428" s="863" t="s">
        <v>6451</v>
      </c>
      <c r="C428" s="862">
        <v>1146</v>
      </c>
      <c r="D428" s="165" t="s">
        <v>2143</v>
      </c>
      <c r="E428" s="165" t="s">
        <v>6452</v>
      </c>
      <c r="F428" s="163">
        <v>1</v>
      </c>
      <c r="G428" s="864"/>
      <c r="H428" s="864">
        <v>0</v>
      </c>
      <c r="I428" s="864">
        <v>41952.177374159292</v>
      </c>
      <c r="J428" s="864">
        <v>43340.475098023118</v>
      </c>
      <c r="K428" s="864">
        <v>44801.851023325995</v>
      </c>
      <c r="L428" s="18" t="s">
        <v>10832</v>
      </c>
      <c r="M428" s="442"/>
      <c r="N428" s="535"/>
      <c r="P428" s="570"/>
      <c r="T428" s="443"/>
      <c r="U428" s="440"/>
      <c r="V428" s="440"/>
      <c r="W428" s="440"/>
      <c r="X428" s="442"/>
    </row>
    <row r="429" spans="1:24" x14ac:dyDescent="0.25">
      <c r="A429" s="862">
        <v>1147</v>
      </c>
      <c r="B429" s="863" t="s">
        <v>6453</v>
      </c>
      <c r="C429" s="862">
        <v>1147</v>
      </c>
      <c r="D429" s="165" t="s">
        <v>2143</v>
      </c>
      <c r="E429" s="165" t="s">
        <v>6454</v>
      </c>
      <c r="F429" s="163">
        <v>1</v>
      </c>
      <c r="G429" s="864"/>
      <c r="H429" s="864">
        <v>0</v>
      </c>
      <c r="I429" s="864">
        <v>0</v>
      </c>
      <c r="J429" s="864">
        <v>0</v>
      </c>
      <c r="K429" s="864">
        <v>32189.356923386877</v>
      </c>
      <c r="L429" s="18" t="s">
        <v>10833</v>
      </c>
      <c r="M429" s="442"/>
      <c r="N429" s="535"/>
      <c r="P429" s="570"/>
      <c r="T429" s="443"/>
      <c r="U429" s="440"/>
      <c r="V429" s="440"/>
      <c r="W429" s="440"/>
      <c r="X429" s="442"/>
    </row>
    <row r="430" spans="1:24" x14ac:dyDescent="0.25">
      <c r="A430" s="862">
        <v>1148</v>
      </c>
      <c r="B430" s="863" t="s">
        <v>6455</v>
      </c>
      <c r="C430" s="862">
        <v>1148</v>
      </c>
      <c r="D430" s="165" t="s">
        <v>2143</v>
      </c>
      <c r="E430" s="165" t="s">
        <v>6456</v>
      </c>
      <c r="F430" s="163">
        <v>1</v>
      </c>
      <c r="G430" s="864"/>
      <c r="H430" s="864">
        <v>0</v>
      </c>
      <c r="I430" s="864">
        <v>0</v>
      </c>
      <c r="J430" s="864">
        <v>0</v>
      </c>
      <c r="K430" s="864">
        <v>30915.253112519353</v>
      </c>
      <c r="L430" s="18" t="s">
        <v>10834</v>
      </c>
      <c r="M430" s="442"/>
      <c r="N430" s="535"/>
      <c r="P430" s="570"/>
      <c r="T430" s="443"/>
      <c r="U430" s="440"/>
      <c r="V430" s="440"/>
      <c r="W430" s="440"/>
      <c r="X430" s="442"/>
    </row>
    <row r="431" spans="1:24" x14ac:dyDescent="0.25">
      <c r="A431" s="862">
        <v>1149</v>
      </c>
      <c r="B431" s="863" t="s">
        <v>6457</v>
      </c>
      <c r="C431" s="862">
        <v>1149</v>
      </c>
      <c r="D431" s="165" t="s">
        <v>2143</v>
      </c>
      <c r="E431" s="165" t="s">
        <v>6458</v>
      </c>
      <c r="F431" s="163">
        <v>1</v>
      </c>
      <c r="G431" s="864"/>
      <c r="H431" s="864">
        <v>0</v>
      </c>
      <c r="I431" s="864">
        <v>35603.955136511846</v>
      </c>
      <c r="J431" s="864">
        <v>36770.290755618618</v>
      </c>
      <c r="K431" s="864">
        <v>37997.995134621146</v>
      </c>
      <c r="L431" s="18" t="s">
        <v>10835</v>
      </c>
      <c r="M431" s="442"/>
      <c r="N431" s="535"/>
      <c r="P431" s="570"/>
      <c r="T431" s="443"/>
      <c r="U431" s="440"/>
      <c r="V431" s="440"/>
      <c r="W431" s="440"/>
      <c r="X431" s="442"/>
    </row>
    <row r="432" spans="1:24" x14ac:dyDescent="0.25">
      <c r="A432" s="862">
        <v>1150</v>
      </c>
      <c r="B432" s="863" t="s">
        <v>6459</v>
      </c>
      <c r="C432" s="862">
        <v>1150</v>
      </c>
      <c r="D432" s="165" t="s">
        <v>2143</v>
      </c>
      <c r="E432" s="165" t="s">
        <v>6460</v>
      </c>
      <c r="F432" s="163">
        <v>1</v>
      </c>
      <c r="G432" s="864"/>
      <c r="H432" s="864">
        <v>0</v>
      </c>
      <c r="I432" s="864">
        <v>34329.851325644318</v>
      </c>
      <c r="J432" s="864">
        <v>35451.653446190736</v>
      </c>
      <c r="K432" s="864">
        <v>36632.473033150294</v>
      </c>
      <c r="L432" s="18" t="s">
        <v>10836</v>
      </c>
      <c r="M432" s="442"/>
      <c r="N432" s="535"/>
      <c r="P432" s="570"/>
      <c r="T432" s="443"/>
      <c r="U432" s="440"/>
      <c r="V432" s="440"/>
      <c r="W432" s="440"/>
      <c r="X432" s="442"/>
    </row>
    <row r="433" spans="1:24" x14ac:dyDescent="0.25">
      <c r="A433" s="862">
        <v>1151</v>
      </c>
      <c r="B433" s="863" t="s">
        <v>6461</v>
      </c>
      <c r="C433" s="862">
        <v>1151</v>
      </c>
      <c r="D433" s="165" t="s">
        <v>2143</v>
      </c>
      <c r="E433" s="165" t="s">
        <v>6462</v>
      </c>
      <c r="F433" s="163">
        <v>1</v>
      </c>
      <c r="G433" s="864"/>
      <c r="H433" s="864">
        <v>0</v>
      </c>
      <c r="I433" s="864">
        <v>36973.616733194438</v>
      </c>
      <c r="J433" s="864">
        <v>38187.871713476517</v>
      </c>
      <c r="K433" s="864">
        <v>39466.034850615542</v>
      </c>
      <c r="L433" s="18" t="s">
        <v>10837</v>
      </c>
      <c r="M433" s="442"/>
      <c r="N433" s="535"/>
      <c r="P433" s="570"/>
      <c r="T433" s="443"/>
      <c r="U433" s="440"/>
      <c r="V433" s="440"/>
      <c r="W433" s="440"/>
      <c r="X433" s="442"/>
    </row>
    <row r="434" spans="1:24" x14ac:dyDescent="0.25">
      <c r="A434" s="862">
        <v>1152</v>
      </c>
      <c r="B434" s="863" t="s">
        <v>6463</v>
      </c>
      <c r="C434" s="862">
        <v>1152</v>
      </c>
      <c r="D434" s="165" t="s">
        <v>2143</v>
      </c>
      <c r="E434" s="165" t="s">
        <v>6464</v>
      </c>
      <c r="F434" s="163">
        <v>1</v>
      </c>
      <c r="G434" s="864"/>
      <c r="H434" s="864">
        <v>0</v>
      </c>
      <c r="I434" s="864">
        <v>35699.512922326918</v>
      </c>
      <c r="J434" s="864">
        <v>36869.187378178976</v>
      </c>
      <c r="K434" s="864">
        <v>38100.418697405403</v>
      </c>
      <c r="L434" s="18" t="s">
        <v>10838</v>
      </c>
      <c r="M434" s="442"/>
      <c r="N434" s="535"/>
      <c r="P434" s="570"/>
      <c r="T434" s="443"/>
      <c r="U434" s="440"/>
      <c r="V434" s="440"/>
      <c r="W434" s="440"/>
      <c r="X434" s="442"/>
    </row>
    <row r="435" spans="1:24" x14ac:dyDescent="0.25">
      <c r="A435" s="862">
        <v>1153</v>
      </c>
      <c r="B435" s="863" t="s">
        <v>6465</v>
      </c>
      <c r="C435" s="862">
        <v>1153</v>
      </c>
      <c r="D435" s="165" t="s">
        <v>2143</v>
      </c>
      <c r="E435" s="165" t="s">
        <v>6466</v>
      </c>
      <c r="F435" s="163">
        <v>1</v>
      </c>
      <c r="G435" s="864"/>
      <c r="H435" s="864">
        <v>0</v>
      </c>
      <c r="I435" s="864">
        <v>32539.735471375443</v>
      </c>
      <c r="J435" s="864">
        <v>33598.946159415151</v>
      </c>
      <c r="K435" s="864">
        <v>34713.88250299239</v>
      </c>
      <c r="L435" s="18" t="s">
        <v>3847</v>
      </c>
      <c r="M435" s="442"/>
      <c r="N435" s="535"/>
      <c r="P435" s="570"/>
      <c r="T435" s="443"/>
      <c r="U435" s="440"/>
      <c r="V435" s="440"/>
      <c r="W435" s="440"/>
      <c r="X435" s="442"/>
    </row>
    <row r="436" spans="1:24" x14ac:dyDescent="0.25">
      <c r="A436" s="862">
        <v>1154</v>
      </c>
      <c r="B436" s="863" t="s">
        <v>6467</v>
      </c>
      <c r="C436" s="862">
        <v>1154</v>
      </c>
      <c r="D436" s="165" t="s">
        <v>2143</v>
      </c>
      <c r="E436" s="165" t="s">
        <v>6468</v>
      </c>
      <c r="F436" s="163">
        <v>1</v>
      </c>
      <c r="G436" s="864"/>
      <c r="H436" s="864">
        <v>0</v>
      </c>
      <c r="I436" s="864">
        <v>31233.779065236224</v>
      </c>
      <c r="J436" s="864">
        <v>32247.327633843925</v>
      </c>
      <c r="K436" s="864">
        <v>33314.20353863691</v>
      </c>
      <c r="L436" s="18" t="s">
        <v>3848</v>
      </c>
      <c r="M436" s="442"/>
      <c r="N436" s="535"/>
      <c r="P436" s="570"/>
      <c r="T436" s="443"/>
      <c r="U436" s="440"/>
      <c r="V436" s="440"/>
      <c r="W436" s="440"/>
      <c r="X436" s="442"/>
    </row>
    <row r="437" spans="1:24" x14ac:dyDescent="0.25">
      <c r="A437" s="862">
        <v>1155</v>
      </c>
      <c r="B437" s="863" t="s">
        <v>6469</v>
      </c>
      <c r="C437" s="862">
        <v>1155</v>
      </c>
      <c r="D437" s="165" t="s">
        <v>2143</v>
      </c>
      <c r="E437" s="165" t="s">
        <v>6470</v>
      </c>
      <c r="F437" s="163">
        <v>1</v>
      </c>
      <c r="G437" s="864"/>
      <c r="H437" s="864">
        <v>0</v>
      </c>
      <c r="I437" s="864">
        <v>28462.603276599366</v>
      </c>
      <c r="J437" s="864">
        <v>29379.231527854467</v>
      </c>
      <c r="K437" s="864">
        <v>30344.108321372441</v>
      </c>
      <c r="L437" s="18" t="s">
        <v>3849</v>
      </c>
      <c r="M437" s="442"/>
      <c r="N437" s="535"/>
      <c r="P437" s="570"/>
      <c r="T437" s="443"/>
      <c r="U437" s="440"/>
      <c r="V437" s="440"/>
      <c r="W437" s="440"/>
      <c r="X437" s="442"/>
    </row>
    <row r="438" spans="1:24" x14ac:dyDescent="0.25">
      <c r="A438" s="862">
        <v>1156</v>
      </c>
      <c r="B438" s="863" t="s">
        <v>6471</v>
      </c>
      <c r="C438" s="862">
        <v>1156</v>
      </c>
      <c r="D438" s="165" t="s">
        <v>2143</v>
      </c>
      <c r="E438" s="165" t="s">
        <v>6472</v>
      </c>
      <c r="F438" s="163">
        <v>1</v>
      </c>
      <c r="G438" s="864"/>
      <c r="H438" s="864">
        <v>0</v>
      </c>
      <c r="I438" s="864">
        <v>27188.499465731853</v>
      </c>
      <c r="J438" s="864">
        <v>28060.594218426584</v>
      </c>
      <c r="K438" s="864">
        <v>28978.586219901597</v>
      </c>
      <c r="L438" s="18" t="s">
        <v>3850</v>
      </c>
      <c r="M438" s="442"/>
      <c r="N438" s="535"/>
      <c r="P438" s="570"/>
      <c r="T438" s="443"/>
      <c r="U438" s="440"/>
      <c r="V438" s="440"/>
      <c r="W438" s="440"/>
      <c r="X438" s="442"/>
    </row>
    <row r="439" spans="1:24" x14ac:dyDescent="0.25">
      <c r="A439" s="862">
        <v>1157</v>
      </c>
      <c r="B439" s="863" t="s">
        <v>6473</v>
      </c>
      <c r="C439" s="862">
        <v>1157</v>
      </c>
      <c r="D439" s="165" t="s">
        <v>2143</v>
      </c>
      <c r="E439" s="165" t="s">
        <v>6474</v>
      </c>
      <c r="F439" s="163">
        <v>1</v>
      </c>
      <c r="G439" s="864"/>
      <c r="H439" s="864">
        <v>0</v>
      </c>
      <c r="I439" s="864">
        <v>36368.417423032355</v>
      </c>
      <c r="J439" s="864">
        <v>37561.510761971076</v>
      </c>
      <c r="K439" s="864">
        <v>38817.383636895102</v>
      </c>
      <c r="L439" s="18" t="s">
        <v>3851</v>
      </c>
      <c r="M439" s="442"/>
      <c r="N439" s="535"/>
      <c r="P439" s="570"/>
      <c r="T439" s="443"/>
      <c r="U439" s="440"/>
      <c r="V439" s="440"/>
      <c r="W439" s="440"/>
      <c r="X439" s="442"/>
    </row>
    <row r="440" spans="1:24" x14ac:dyDescent="0.25">
      <c r="A440" s="862">
        <v>1158</v>
      </c>
      <c r="B440" s="863" t="s">
        <v>6475</v>
      </c>
      <c r="C440" s="862">
        <v>1158</v>
      </c>
      <c r="D440" s="165" t="s">
        <v>2143</v>
      </c>
      <c r="E440" s="165" t="s">
        <v>6476</v>
      </c>
      <c r="F440" s="163">
        <v>1</v>
      </c>
      <c r="G440" s="864"/>
      <c r="H440" s="864">
        <v>0</v>
      </c>
      <c r="I440" s="864">
        <v>35979.815760717756</v>
      </c>
      <c r="J440" s="864">
        <v>37159.318623327083</v>
      </c>
      <c r="K440" s="864">
        <v>38400.89563387692</v>
      </c>
      <c r="L440" s="18" t="s">
        <v>3852</v>
      </c>
      <c r="M440" s="442"/>
      <c r="N440" s="535"/>
      <c r="P440" s="570"/>
      <c r="T440" s="443"/>
      <c r="U440" s="440"/>
      <c r="V440" s="440"/>
      <c r="W440" s="440"/>
      <c r="X440" s="442"/>
    </row>
    <row r="441" spans="1:24" x14ac:dyDescent="0.25">
      <c r="A441" s="862">
        <v>1159</v>
      </c>
      <c r="B441" s="863" t="s">
        <v>6477</v>
      </c>
      <c r="C441" s="862">
        <v>1159</v>
      </c>
      <c r="D441" s="165" t="s">
        <v>2143</v>
      </c>
      <c r="E441" s="165" t="s">
        <v>6478</v>
      </c>
      <c r="F441" s="163">
        <v>1</v>
      </c>
      <c r="G441" s="864"/>
      <c r="H441" s="864">
        <v>0</v>
      </c>
      <c r="I441" s="864">
        <v>34705.711949850243</v>
      </c>
      <c r="J441" s="864">
        <v>35840.634288029527</v>
      </c>
      <c r="K441" s="864">
        <v>37035.279480666766</v>
      </c>
      <c r="L441" s="18" t="s">
        <v>3853</v>
      </c>
      <c r="M441" s="442"/>
      <c r="N441" s="535"/>
      <c r="P441" s="570"/>
      <c r="T441" s="443"/>
      <c r="U441" s="440"/>
      <c r="V441" s="440"/>
      <c r="W441" s="440"/>
      <c r="X441" s="442"/>
    </row>
    <row r="442" spans="1:24" x14ac:dyDescent="0.25">
      <c r="A442" s="862">
        <v>1160</v>
      </c>
      <c r="B442" s="863" t="s">
        <v>6479</v>
      </c>
      <c r="C442" s="862">
        <v>1160</v>
      </c>
      <c r="D442" s="165" t="s">
        <v>2143</v>
      </c>
      <c r="E442" s="165" t="s">
        <v>6480</v>
      </c>
      <c r="F442" s="163">
        <v>1</v>
      </c>
      <c r="G442" s="864"/>
      <c r="H442" s="864">
        <v>0</v>
      </c>
      <c r="I442" s="864">
        <v>42232.480212550152</v>
      </c>
      <c r="J442" s="864">
        <v>43630.60634317121</v>
      </c>
      <c r="K442" s="864">
        <v>45102.327959797527</v>
      </c>
      <c r="L442" s="18" t="s">
        <v>4566</v>
      </c>
      <c r="M442" s="442"/>
      <c r="N442" s="535"/>
      <c r="P442" s="570"/>
      <c r="T442" s="443"/>
      <c r="U442" s="440"/>
      <c r="V442" s="440"/>
      <c r="W442" s="440"/>
      <c r="X442" s="442"/>
    </row>
    <row r="443" spans="1:24" x14ac:dyDescent="0.25">
      <c r="A443" s="862">
        <v>1161</v>
      </c>
      <c r="B443" s="863" t="s">
        <v>6481</v>
      </c>
      <c r="C443" s="862">
        <v>1161</v>
      </c>
      <c r="D443" s="165" t="s">
        <v>2143</v>
      </c>
      <c r="E443" s="165" t="s">
        <v>6482</v>
      </c>
      <c r="F443" s="163">
        <v>1</v>
      </c>
      <c r="G443" s="864"/>
      <c r="H443" s="864">
        <v>0</v>
      </c>
      <c r="I443" s="864">
        <v>40958.376401682624</v>
      </c>
      <c r="J443" s="864">
        <v>42311.922007873669</v>
      </c>
      <c r="K443" s="864">
        <v>43736.711806587373</v>
      </c>
      <c r="L443" s="18" t="s">
        <v>4567</v>
      </c>
      <c r="M443" s="442"/>
      <c r="N443" s="535"/>
      <c r="P443" s="570"/>
      <c r="T443" s="443"/>
      <c r="U443" s="440"/>
      <c r="V443" s="440"/>
      <c r="W443" s="440"/>
      <c r="X443" s="442"/>
    </row>
    <row r="444" spans="1:24" x14ac:dyDescent="0.25">
      <c r="A444" s="862">
        <v>1162</v>
      </c>
      <c r="B444" s="863" t="s">
        <v>6483</v>
      </c>
      <c r="C444" s="862">
        <v>1162</v>
      </c>
      <c r="D444" s="165" t="s">
        <v>2143</v>
      </c>
      <c r="E444" s="165" t="s">
        <v>6484</v>
      </c>
      <c r="F444" s="163">
        <v>1</v>
      </c>
      <c r="G444" s="864"/>
      <c r="H444" s="864">
        <v>0</v>
      </c>
      <c r="I444" s="864">
        <v>40168.432038944753</v>
      </c>
      <c r="J444" s="864">
        <v>41494.373459650131</v>
      </c>
      <c r="K444" s="864">
        <v>42890.101270918945</v>
      </c>
      <c r="L444" s="18" t="s">
        <v>4568</v>
      </c>
      <c r="M444" s="442"/>
      <c r="N444" s="535"/>
      <c r="P444" s="570"/>
      <c r="T444" s="443"/>
      <c r="U444" s="440"/>
      <c r="V444" s="440"/>
      <c r="W444" s="440"/>
      <c r="X444" s="442"/>
    </row>
    <row r="445" spans="1:24" x14ac:dyDescent="0.25">
      <c r="A445" s="862">
        <v>1163</v>
      </c>
      <c r="B445" s="863" t="s">
        <v>6485</v>
      </c>
      <c r="C445" s="862">
        <v>1163</v>
      </c>
      <c r="D445" s="165" t="s">
        <v>2143</v>
      </c>
      <c r="E445" s="165" t="s">
        <v>6486</v>
      </c>
      <c r="F445" s="163">
        <v>1</v>
      </c>
      <c r="G445" s="864"/>
      <c r="H445" s="864">
        <v>0</v>
      </c>
      <c r="I445" s="864">
        <v>38894.328228077233</v>
      </c>
      <c r="J445" s="864">
        <v>40175.736150222241</v>
      </c>
      <c r="K445" s="864">
        <v>41524.579169448101</v>
      </c>
      <c r="L445" s="18" t="s">
        <v>4569</v>
      </c>
      <c r="M445" s="442"/>
      <c r="N445" s="535"/>
      <c r="P445" s="570"/>
      <c r="T445" s="443"/>
      <c r="U445" s="440"/>
      <c r="V445" s="440"/>
      <c r="W445" s="440"/>
      <c r="X445" s="442"/>
    </row>
    <row r="446" spans="1:24" x14ac:dyDescent="0.25">
      <c r="A446" s="862">
        <v>1164</v>
      </c>
      <c r="B446" s="863" t="s">
        <v>6487</v>
      </c>
      <c r="C446" s="862">
        <v>1164</v>
      </c>
      <c r="D446" s="165" t="s">
        <v>2143</v>
      </c>
      <c r="E446" s="165" t="s">
        <v>6488</v>
      </c>
      <c r="F446" s="163">
        <v>1</v>
      </c>
      <c r="G446" s="864"/>
      <c r="H446" s="864">
        <v>0</v>
      </c>
      <c r="I446" s="864">
        <v>23727.308148055807</v>
      </c>
      <c r="J446" s="864">
        <v>24252.829091556068</v>
      </c>
      <c r="K446" s="864">
        <v>24806.002563654918</v>
      </c>
      <c r="L446" s="18" t="s">
        <v>3854</v>
      </c>
      <c r="M446" s="442"/>
      <c r="N446" s="529"/>
      <c r="P446" s="570"/>
      <c r="T446" s="443"/>
      <c r="U446" s="440"/>
      <c r="V446" s="440"/>
      <c r="W446" s="440"/>
      <c r="X446" s="442"/>
    </row>
    <row r="447" spans="1:24" x14ac:dyDescent="0.25">
      <c r="A447" s="862">
        <v>1165</v>
      </c>
      <c r="B447" s="863" t="s">
        <v>6489</v>
      </c>
      <c r="C447" s="862">
        <v>1165</v>
      </c>
      <c r="D447" s="165" t="s">
        <v>2143</v>
      </c>
      <c r="E447" s="165" t="s">
        <v>6490</v>
      </c>
      <c r="F447" s="163">
        <v>1</v>
      </c>
      <c r="G447" s="864"/>
      <c r="H447" s="864">
        <v>0</v>
      </c>
      <c r="I447" s="864">
        <v>0</v>
      </c>
      <c r="J447" s="864">
        <v>21297.180071783736</v>
      </c>
      <c r="K447" s="864">
        <v>21763.143613688997</v>
      </c>
      <c r="L447" s="18" t="s">
        <v>4570</v>
      </c>
      <c r="M447" s="442"/>
      <c r="N447" s="529"/>
      <c r="P447" s="570"/>
      <c r="T447" s="443"/>
      <c r="U447" s="440"/>
      <c r="V447" s="440"/>
      <c r="W447" s="440"/>
      <c r="X447" s="442"/>
    </row>
    <row r="448" spans="1:24" x14ac:dyDescent="0.25">
      <c r="A448" s="862">
        <v>1166</v>
      </c>
      <c r="B448" s="863" t="s">
        <v>6491</v>
      </c>
      <c r="C448" s="862">
        <v>1166</v>
      </c>
      <c r="D448" s="165" t="s">
        <v>2143</v>
      </c>
      <c r="E448" s="165" t="s">
        <v>6492</v>
      </c>
      <c r="F448" s="163">
        <v>1</v>
      </c>
      <c r="G448" s="864"/>
      <c r="H448" s="864">
        <v>20608.400761066936</v>
      </c>
      <c r="I448" s="864">
        <v>0</v>
      </c>
      <c r="J448" s="864">
        <v>0</v>
      </c>
      <c r="K448" s="864">
        <v>0</v>
      </c>
      <c r="L448" s="18" t="s">
        <v>2936</v>
      </c>
      <c r="M448" s="442"/>
      <c r="N448" s="529"/>
      <c r="P448" s="570"/>
      <c r="T448" s="443"/>
      <c r="U448" s="440"/>
      <c r="V448" s="440"/>
      <c r="W448" s="440"/>
      <c r="X448" s="442"/>
    </row>
    <row r="449" spans="1:24" x14ac:dyDescent="0.25">
      <c r="A449" s="862">
        <v>1167</v>
      </c>
      <c r="B449" s="863" t="s">
        <v>6493</v>
      </c>
      <c r="C449" s="862">
        <v>1167</v>
      </c>
      <c r="D449" s="165" t="s">
        <v>2143</v>
      </c>
      <c r="E449" s="165" t="s">
        <v>6494</v>
      </c>
      <c r="F449" s="163">
        <v>1</v>
      </c>
      <c r="G449" s="864"/>
      <c r="H449" s="864">
        <v>0</v>
      </c>
      <c r="I449" s="864">
        <v>27025.923856090372</v>
      </c>
      <c r="J449" s="864">
        <v>27632.288503200198</v>
      </c>
      <c r="K449" s="864">
        <v>28270.582603331844</v>
      </c>
      <c r="L449" s="18" t="s">
        <v>4571</v>
      </c>
      <c r="M449" s="442"/>
      <c r="N449" s="526"/>
      <c r="P449" s="570"/>
      <c r="T449" s="443"/>
      <c r="U449" s="440"/>
      <c r="V449" s="440"/>
      <c r="W449" s="440"/>
      <c r="X449" s="442"/>
    </row>
    <row r="450" spans="1:24" x14ac:dyDescent="0.25">
      <c r="A450" s="862">
        <v>1168</v>
      </c>
      <c r="B450" s="863" t="s">
        <v>6495</v>
      </c>
      <c r="C450" s="862">
        <v>1168</v>
      </c>
      <c r="D450" s="165" t="s">
        <v>2143</v>
      </c>
      <c r="E450" s="165" t="s">
        <v>6496</v>
      </c>
      <c r="F450" s="163">
        <v>1</v>
      </c>
      <c r="G450" s="864"/>
      <c r="H450" s="864">
        <v>0</v>
      </c>
      <c r="I450" s="864">
        <v>0</v>
      </c>
      <c r="J450" s="864">
        <v>27263.4339632341</v>
      </c>
      <c r="K450" s="864">
        <v>27875.624076368691</v>
      </c>
      <c r="L450" s="18" t="s">
        <v>4572</v>
      </c>
      <c r="M450" s="442"/>
      <c r="N450" s="526"/>
      <c r="P450" s="570"/>
      <c r="T450" s="443"/>
      <c r="U450" s="440"/>
      <c r="V450" s="440"/>
      <c r="W450" s="440"/>
      <c r="X450" s="442"/>
    </row>
    <row r="451" spans="1:24" x14ac:dyDescent="0.25">
      <c r="A451" s="862">
        <v>1169</v>
      </c>
      <c r="B451" s="863" t="s">
        <v>6497</v>
      </c>
      <c r="C451" s="862">
        <v>1169</v>
      </c>
      <c r="D451" s="165" t="s">
        <v>2143</v>
      </c>
      <c r="E451" s="165" t="s">
        <v>6498</v>
      </c>
      <c r="F451" s="163">
        <v>1</v>
      </c>
      <c r="G451" s="864"/>
      <c r="H451" s="864">
        <v>0</v>
      </c>
      <c r="I451" s="864">
        <v>30640.827686817862</v>
      </c>
      <c r="J451" s="864">
        <v>31335.803325570261</v>
      </c>
      <c r="K451" s="864">
        <v>32067.378622174485</v>
      </c>
      <c r="L451" s="18" t="s">
        <v>4573</v>
      </c>
      <c r="M451" s="442"/>
      <c r="N451" s="526"/>
      <c r="P451" s="570"/>
      <c r="T451" s="443"/>
      <c r="U451" s="440"/>
      <c r="V451" s="440"/>
      <c r="W451" s="440"/>
      <c r="X451" s="442"/>
    </row>
    <row r="452" spans="1:24" x14ac:dyDescent="0.25">
      <c r="A452" s="862">
        <v>1170</v>
      </c>
      <c r="B452" s="863" t="s">
        <v>6499</v>
      </c>
      <c r="C452" s="862">
        <v>1170</v>
      </c>
      <c r="D452" s="165" t="s">
        <v>2143</v>
      </c>
      <c r="E452" s="165" t="s">
        <v>6500</v>
      </c>
      <c r="F452" s="163">
        <v>1</v>
      </c>
      <c r="G452" s="864"/>
      <c r="H452" s="864">
        <v>27232.55764930541</v>
      </c>
      <c r="I452" s="864">
        <v>0</v>
      </c>
      <c r="J452" s="864">
        <v>0</v>
      </c>
      <c r="K452" s="864">
        <v>0</v>
      </c>
      <c r="L452" s="18" t="s">
        <v>2937</v>
      </c>
      <c r="M452" s="442"/>
      <c r="N452" s="526"/>
      <c r="P452" s="570"/>
      <c r="T452" s="443"/>
      <c r="U452" s="440"/>
      <c r="V452" s="440"/>
      <c r="W452" s="440"/>
      <c r="X452" s="442"/>
    </row>
    <row r="453" spans="1:24" x14ac:dyDescent="0.25">
      <c r="A453" s="862">
        <v>1171</v>
      </c>
      <c r="B453" s="863" t="s">
        <v>6501</v>
      </c>
      <c r="C453" s="862">
        <v>1171</v>
      </c>
      <c r="D453" s="165" t="s">
        <v>2143</v>
      </c>
      <c r="E453" s="165" t="s">
        <v>6502</v>
      </c>
      <c r="F453" s="163">
        <v>1</v>
      </c>
      <c r="G453" s="864"/>
      <c r="H453" s="864">
        <v>0</v>
      </c>
      <c r="I453" s="864">
        <v>28387.20685400927</v>
      </c>
      <c r="J453" s="864">
        <v>29045.459934782753</v>
      </c>
      <c r="K453" s="864">
        <v>29738.346271374376</v>
      </c>
      <c r="L453" s="18" t="s">
        <v>3855</v>
      </c>
      <c r="M453" s="442"/>
      <c r="N453" s="526"/>
      <c r="P453" s="570"/>
      <c r="T453" s="443"/>
      <c r="U453" s="440"/>
      <c r="V453" s="440"/>
      <c r="W453" s="440"/>
      <c r="X453" s="442"/>
    </row>
    <row r="454" spans="1:24" x14ac:dyDescent="0.25">
      <c r="A454" s="862">
        <v>1172</v>
      </c>
      <c r="B454" s="863" t="s">
        <v>6503</v>
      </c>
      <c r="C454" s="862">
        <v>1172</v>
      </c>
      <c r="D454" s="165" t="s">
        <v>2143</v>
      </c>
      <c r="E454" s="165" t="s">
        <v>6504</v>
      </c>
      <c r="F454" s="163">
        <v>1</v>
      </c>
      <c r="G454" s="864"/>
      <c r="H454" s="864">
        <v>25315.851084655562</v>
      </c>
      <c r="I454" s="864">
        <v>0</v>
      </c>
      <c r="J454" s="864">
        <v>0</v>
      </c>
      <c r="K454" s="864">
        <v>0</v>
      </c>
      <c r="L454" s="18" t="s">
        <v>2938</v>
      </c>
      <c r="M454" s="442"/>
      <c r="N454" s="526"/>
      <c r="P454" s="570"/>
      <c r="T454" s="443"/>
      <c r="U454" s="440"/>
      <c r="V454" s="440"/>
      <c r="W454" s="440"/>
      <c r="X454" s="442"/>
    </row>
    <row r="455" spans="1:24" x14ac:dyDescent="0.25">
      <c r="A455" s="862">
        <v>1173</v>
      </c>
      <c r="B455" s="863" t="s">
        <v>6505</v>
      </c>
      <c r="C455" s="862">
        <v>1173</v>
      </c>
      <c r="D455" s="165" t="s">
        <v>2143</v>
      </c>
      <c r="E455" s="165" t="s">
        <v>6506</v>
      </c>
      <c r="F455" s="163">
        <v>1</v>
      </c>
      <c r="G455" s="864"/>
      <c r="H455" s="864">
        <v>32880.641174904398</v>
      </c>
      <c r="I455" s="864">
        <v>0</v>
      </c>
      <c r="J455" s="864">
        <v>0</v>
      </c>
      <c r="K455" s="864">
        <v>0</v>
      </c>
      <c r="L455" s="18" t="s">
        <v>966</v>
      </c>
      <c r="M455" s="442"/>
      <c r="N455" s="526"/>
      <c r="P455" s="570"/>
      <c r="T455" s="443"/>
      <c r="U455" s="440"/>
      <c r="V455" s="440"/>
      <c r="W455" s="440"/>
      <c r="X455" s="442"/>
    </row>
    <row r="456" spans="1:24" x14ac:dyDescent="0.25">
      <c r="A456" s="862">
        <v>1174</v>
      </c>
      <c r="B456" s="863" t="s">
        <v>6507</v>
      </c>
      <c r="C456" s="862">
        <v>1174</v>
      </c>
      <c r="D456" s="165" t="s">
        <v>2143</v>
      </c>
      <c r="E456" s="165" t="s">
        <v>6508</v>
      </c>
      <c r="F456" s="163">
        <v>1</v>
      </c>
      <c r="G456" s="864"/>
      <c r="H456" s="864">
        <v>0</v>
      </c>
      <c r="I456" s="864">
        <v>29690.787258242963</v>
      </c>
      <c r="J456" s="864">
        <v>31855.132236635316</v>
      </c>
      <c r="K456" s="864">
        <v>32640.734429114815</v>
      </c>
      <c r="L456" s="18" t="s">
        <v>4574</v>
      </c>
      <c r="M456" s="442"/>
      <c r="N456" s="526"/>
      <c r="P456" s="570"/>
      <c r="T456" s="443"/>
      <c r="U456" s="440"/>
      <c r="V456" s="440"/>
      <c r="W456" s="440"/>
      <c r="X456" s="442"/>
    </row>
    <row r="457" spans="1:24" x14ac:dyDescent="0.25">
      <c r="A457" s="862">
        <v>1175</v>
      </c>
      <c r="B457" s="863" t="s">
        <v>6509</v>
      </c>
      <c r="C457" s="862">
        <v>1175</v>
      </c>
      <c r="D457" s="165" t="s">
        <v>2143</v>
      </c>
      <c r="E457" s="165" t="s">
        <v>6510</v>
      </c>
      <c r="F457" s="163">
        <v>1</v>
      </c>
      <c r="G457" s="864"/>
      <c r="H457" s="864">
        <v>0</v>
      </c>
      <c r="I457" s="864">
        <v>0</v>
      </c>
      <c r="J457" s="864">
        <v>0</v>
      </c>
      <c r="K457" s="864">
        <v>34951.20014749383</v>
      </c>
      <c r="L457" s="18" t="s">
        <v>10839</v>
      </c>
      <c r="M457" s="442"/>
      <c r="N457" s="526"/>
      <c r="P457" s="570"/>
      <c r="T457" s="443"/>
      <c r="U457" s="440"/>
      <c r="V457" s="440"/>
      <c r="W457" s="440"/>
      <c r="X457" s="442"/>
    </row>
    <row r="458" spans="1:24" x14ac:dyDescent="0.25">
      <c r="A458" s="862">
        <v>1176</v>
      </c>
      <c r="B458" s="863" t="s">
        <v>6511</v>
      </c>
      <c r="C458" s="862">
        <v>1176</v>
      </c>
      <c r="D458" s="165" t="s">
        <v>2143</v>
      </c>
      <c r="E458" s="165" t="s">
        <v>6512</v>
      </c>
      <c r="F458" s="163">
        <v>1</v>
      </c>
      <c r="G458" s="864"/>
      <c r="H458" s="864">
        <v>34279.930898359642</v>
      </c>
      <c r="I458" s="864">
        <v>0</v>
      </c>
      <c r="J458" s="864">
        <v>0</v>
      </c>
      <c r="K458" s="864">
        <v>0</v>
      </c>
      <c r="L458" s="18" t="s">
        <v>967</v>
      </c>
      <c r="M458" s="442"/>
      <c r="N458" s="526"/>
      <c r="P458" s="570"/>
      <c r="T458" s="443"/>
      <c r="U458" s="440"/>
      <c r="V458" s="440"/>
      <c r="W458" s="440"/>
      <c r="X458" s="442"/>
    </row>
    <row r="459" spans="1:24" x14ac:dyDescent="0.25">
      <c r="A459" s="862">
        <v>1177</v>
      </c>
      <c r="B459" s="863" t="s">
        <v>6513</v>
      </c>
      <c r="C459" s="862">
        <v>1177</v>
      </c>
      <c r="D459" s="165" t="s">
        <v>2143</v>
      </c>
      <c r="E459" s="165" t="s">
        <v>6514</v>
      </c>
      <c r="F459" s="163">
        <v>1</v>
      </c>
      <c r="G459" s="864"/>
      <c r="H459" s="864">
        <v>36952.012156299032</v>
      </c>
      <c r="I459" s="864">
        <v>0</v>
      </c>
      <c r="J459" s="864">
        <v>0</v>
      </c>
      <c r="K459" s="864">
        <v>0</v>
      </c>
      <c r="L459" s="18" t="s">
        <v>968</v>
      </c>
      <c r="M459" s="442"/>
      <c r="N459" s="526"/>
      <c r="P459" s="570"/>
      <c r="T459" s="443"/>
      <c r="U459" s="440"/>
      <c r="V459" s="440"/>
      <c r="W459" s="440"/>
      <c r="X459" s="442"/>
    </row>
    <row r="460" spans="1:24" x14ac:dyDescent="0.25">
      <c r="A460" s="862">
        <v>1178</v>
      </c>
      <c r="B460" s="863" t="s">
        <v>6515</v>
      </c>
      <c r="C460" s="862">
        <v>1178</v>
      </c>
      <c r="D460" s="165" t="s">
        <v>2143</v>
      </c>
      <c r="E460" s="165" t="s">
        <v>6516</v>
      </c>
      <c r="F460" s="163">
        <v>1</v>
      </c>
      <c r="G460" s="864"/>
      <c r="H460" s="864">
        <v>38306.0549429979</v>
      </c>
      <c r="I460" s="864">
        <v>39890.934003832976</v>
      </c>
      <c r="J460" s="864">
        <v>41392.398377255682</v>
      </c>
      <c r="K460" s="864">
        <v>42972.884731862869</v>
      </c>
      <c r="L460" s="18" t="s">
        <v>3856</v>
      </c>
      <c r="M460" s="442"/>
      <c r="N460" s="526"/>
      <c r="P460" s="570"/>
      <c r="T460" s="443"/>
      <c r="U460" s="440"/>
      <c r="V460" s="440"/>
      <c r="W460" s="440"/>
      <c r="X460" s="442"/>
    </row>
    <row r="461" spans="1:24" x14ac:dyDescent="0.25">
      <c r="A461" s="862">
        <v>1179</v>
      </c>
      <c r="B461" s="863" t="s">
        <v>6517</v>
      </c>
      <c r="C461" s="862">
        <v>1179</v>
      </c>
      <c r="D461" s="165" t="s">
        <v>2143</v>
      </c>
      <c r="E461" s="165" t="s">
        <v>6518</v>
      </c>
      <c r="F461" s="163">
        <v>1</v>
      </c>
      <c r="G461" s="864"/>
      <c r="H461" s="864">
        <v>38901.9497063995</v>
      </c>
      <c r="I461" s="864">
        <v>40382.712283450404</v>
      </c>
      <c r="J461" s="864">
        <v>41941.422030587484</v>
      </c>
      <c r="K461" s="864">
        <v>43582.19126853472</v>
      </c>
      <c r="L461" s="18" t="s">
        <v>969</v>
      </c>
      <c r="M461" s="442"/>
      <c r="N461" s="526"/>
      <c r="P461" s="570"/>
      <c r="T461" s="443"/>
      <c r="U461" s="440"/>
      <c r="V461" s="440"/>
      <c r="W461" s="440"/>
      <c r="X461" s="442"/>
    </row>
    <row r="462" spans="1:24" x14ac:dyDescent="0.25">
      <c r="A462" s="862">
        <v>1180</v>
      </c>
      <c r="B462" s="863" t="s">
        <v>6519</v>
      </c>
      <c r="C462" s="862">
        <v>1180</v>
      </c>
      <c r="D462" s="165" t="s">
        <v>2143</v>
      </c>
      <c r="E462" s="165" t="s">
        <v>6520</v>
      </c>
      <c r="F462" s="163">
        <v>1</v>
      </c>
      <c r="G462" s="864"/>
      <c r="H462" s="864">
        <v>0</v>
      </c>
      <c r="I462" s="864">
        <v>0</v>
      </c>
      <c r="J462" s="864">
        <v>0</v>
      </c>
      <c r="K462" s="864">
        <v>41088.409691300461</v>
      </c>
      <c r="L462" s="18" t="s">
        <v>10840</v>
      </c>
      <c r="M462" s="442"/>
      <c r="N462" s="526"/>
      <c r="P462" s="570"/>
      <c r="T462" s="443"/>
      <c r="U462" s="440"/>
      <c r="V462" s="440"/>
      <c r="W462" s="440"/>
      <c r="X462" s="442"/>
    </row>
    <row r="463" spans="1:24" x14ac:dyDescent="0.25">
      <c r="A463" s="862">
        <v>1181</v>
      </c>
      <c r="B463" s="863" t="s">
        <v>6521</v>
      </c>
      <c r="C463" s="862">
        <v>1181</v>
      </c>
      <c r="D463" s="165" t="s">
        <v>2143</v>
      </c>
      <c r="E463" s="165" t="s">
        <v>6522</v>
      </c>
      <c r="F463" s="163">
        <v>1</v>
      </c>
      <c r="G463" s="864"/>
      <c r="H463" s="864">
        <v>46992.630094785956</v>
      </c>
      <c r="I463" s="864">
        <v>48777.657674493414</v>
      </c>
      <c r="J463" s="864">
        <v>50656.614398009762</v>
      </c>
      <c r="K463" s="864">
        <v>52634.500473487991</v>
      </c>
      <c r="L463" s="18" t="s">
        <v>4575</v>
      </c>
      <c r="M463" s="442"/>
      <c r="N463" s="526"/>
      <c r="P463" s="570"/>
      <c r="T463" s="443"/>
      <c r="U463" s="440"/>
      <c r="V463" s="440"/>
      <c r="W463" s="440"/>
      <c r="X463" s="442"/>
    </row>
    <row r="464" spans="1:24" x14ac:dyDescent="0.25">
      <c r="A464" s="862">
        <v>1182</v>
      </c>
      <c r="B464" s="863" t="s">
        <v>6523</v>
      </c>
      <c r="C464" s="862">
        <v>1182</v>
      </c>
      <c r="D464" s="165" t="s">
        <v>2143</v>
      </c>
      <c r="E464" s="165" t="s">
        <v>6524</v>
      </c>
      <c r="F464" s="163">
        <v>1</v>
      </c>
      <c r="G464" s="864"/>
      <c r="H464" s="864">
        <v>45257.225567454341</v>
      </c>
      <c r="I464" s="864">
        <v>46995.054920670751</v>
      </c>
      <c r="J464" s="864">
        <v>48824.289948160906</v>
      </c>
      <c r="K464" s="864">
        <v>50749.837396243143</v>
      </c>
      <c r="L464" s="18" t="s">
        <v>970</v>
      </c>
      <c r="M464" s="442"/>
      <c r="N464" s="526"/>
      <c r="P464" s="570"/>
      <c r="T464" s="443"/>
      <c r="U464" s="440"/>
      <c r="V464" s="440"/>
      <c r="W464" s="440"/>
      <c r="X464" s="442"/>
    </row>
    <row r="465" spans="1:24" x14ac:dyDescent="0.25">
      <c r="A465" s="862">
        <v>1183</v>
      </c>
      <c r="B465" s="863" t="s">
        <v>6525</v>
      </c>
      <c r="C465" s="862">
        <v>1183</v>
      </c>
      <c r="D465" s="165" t="s">
        <v>2143</v>
      </c>
      <c r="E465" s="165" t="s">
        <v>6526</v>
      </c>
      <c r="F465" s="163">
        <v>1</v>
      </c>
      <c r="G465" s="864"/>
      <c r="H465" s="864">
        <v>0</v>
      </c>
      <c r="I465" s="864">
        <v>0</v>
      </c>
      <c r="J465" s="864">
        <v>0</v>
      </c>
      <c r="K465" s="864">
        <v>46632.27861476101</v>
      </c>
      <c r="L465" s="18" t="s">
        <v>10841</v>
      </c>
      <c r="M465" s="442"/>
      <c r="N465" s="461"/>
      <c r="P465" s="570"/>
      <c r="T465" s="443"/>
      <c r="U465" s="440"/>
      <c r="V465" s="440"/>
      <c r="W465" s="440"/>
      <c r="X465" s="442"/>
    </row>
    <row r="466" spans="1:24" x14ac:dyDescent="0.25">
      <c r="A466" s="862">
        <v>1184</v>
      </c>
      <c r="B466" s="863" t="s">
        <v>6527</v>
      </c>
      <c r="C466" s="862">
        <v>1184</v>
      </c>
      <c r="D466" s="165" t="s">
        <v>2143</v>
      </c>
      <c r="E466" s="165" t="s">
        <v>6528</v>
      </c>
      <c r="F466" s="163">
        <v>1</v>
      </c>
      <c r="G466" s="864"/>
      <c r="H466" s="864">
        <v>0</v>
      </c>
      <c r="I466" s="864">
        <v>0</v>
      </c>
      <c r="J466" s="864">
        <v>0</v>
      </c>
      <c r="K466" s="864">
        <v>51756.708685502199</v>
      </c>
      <c r="L466" s="18" t="s">
        <v>10842</v>
      </c>
      <c r="M466" s="442"/>
      <c r="N466" s="461"/>
      <c r="P466" s="570"/>
      <c r="T466" s="443"/>
      <c r="U466" s="440"/>
      <c r="V466" s="440"/>
      <c r="W466" s="440"/>
      <c r="X466" s="442"/>
    </row>
    <row r="467" spans="1:24" x14ac:dyDescent="0.25">
      <c r="A467" s="862">
        <v>1185</v>
      </c>
      <c r="B467" s="863" t="s">
        <v>6529</v>
      </c>
      <c r="C467" s="862">
        <v>1185</v>
      </c>
      <c r="D467" s="165" t="s">
        <v>2143</v>
      </c>
      <c r="E467" s="165" t="s">
        <v>6530</v>
      </c>
      <c r="F467" s="163">
        <v>1</v>
      </c>
      <c r="G467" s="864"/>
      <c r="H467" s="864">
        <v>0</v>
      </c>
      <c r="I467" s="864">
        <v>0</v>
      </c>
      <c r="J467" s="864">
        <v>0</v>
      </c>
      <c r="K467" s="864">
        <v>49008.078971672767</v>
      </c>
      <c r="L467" s="18" t="s">
        <v>10843</v>
      </c>
      <c r="M467" s="442"/>
      <c r="N467" s="461"/>
      <c r="P467" s="570"/>
      <c r="T467" s="443"/>
      <c r="U467" s="440"/>
      <c r="V467" s="440"/>
      <c r="W467" s="440"/>
      <c r="X467" s="442"/>
    </row>
    <row r="468" spans="1:24" x14ac:dyDescent="0.25">
      <c r="A468" s="862">
        <v>1186</v>
      </c>
      <c r="B468" s="863" t="s">
        <v>6531</v>
      </c>
      <c r="C468" s="862">
        <v>1186</v>
      </c>
      <c r="D468" s="165" t="s">
        <v>2143</v>
      </c>
      <c r="E468" s="165" t="s">
        <v>6532</v>
      </c>
      <c r="F468" s="163">
        <v>1</v>
      </c>
      <c r="G468" s="864"/>
      <c r="H468" s="864">
        <v>0</v>
      </c>
      <c r="I468" s="864">
        <v>0</v>
      </c>
      <c r="J468" s="864">
        <v>0</v>
      </c>
      <c r="K468" s="864">
        <v>43510.819544013895</v>
      </c>
      <c r="L468" s="18" t="s">
        <v>10844</v>
      </c>
      <c r="M468" s="442"/>
      <c r="N468" s="461"/>
      <c r="P468" s="550"/>
      <c r="T468" s="443"/>
      <c r="U468" s="440"/>
      <c r="V468" s="440"/>
      <c r="W468" s="440"/>
      <c r="X468" s="442"/>
    </row>
    <row r="469" spans="1:24" x14ac:dyDescent="0.25">
      <c r="A469" s="862">
        <v>1187</v>
      </c>
      <c r="B469" s="863" t="s">
        <v>6533</v>
      </c>
      <c r="C469" s="862">
        <v>1187</v>
      </c>
      <c r="D469" s="165" t="s">
        <v>2143</v>
      </c>
      <c r="E469" s="165" t="s">
        <v>6534</v>
      </c>
      <c r="F469" s="163">
        <v>1</v>
      </c>
      <c r="G469" s="864"/>
      <c r="H469" s="864">
        <v>0</v>
      </c>
      <c r="I469" s="864">
        <v>0</v>
      </c>
      <c r="J469" s="864">
        <v>54505.338399331638</v>
      </c>
      <c r="K469" s="864">
        <v>56375.704727585995</v>
      </c>
      <c r="L469" s="18" t="s">
        <v>4576</v>
      </c>
      <c r="M469" s="442"/>
      <c r="N469" s="461"/>
      <c r="P469" s="550"/>
      <c r="T469" s="443"/>
      <c r="U469" s="440"/>
      <c r="V469" s="440"/>
      <c r="W469" s="440"/>
      <c r="X469" s="442"/>
    </row>
    <row r="470" spans="1:24" x14ac:dyDescent="0.25">
      <c r="A470" s="862">
        <v>1188</v>
      </c>
      <c r="B470" s="863" t="s">
        <v>6535</v>
      </c>
      <c r="C470" s="862">
        <v>1188</v>
      </c>
      <c r="D470" s="165" t="s">
        <v>2143</v>
      </c>
      <c r="E470" s="165" t="s">
        <v>6536</v>
      </c>
      <c r="F470" s="163">
        <v>1</v>
      </c>
      <c r="G470" s="864"/>
      <c r="H470" s="864">
        <v>0</v>
      </c>
      <c r="I470" s="864">
        <v>0</v>
      </c>
      <c r="J470" s="864">
        <v>66984.117300117316</v>
      </c>
      <c r="K470" s="864">
        <v>69301.467718330954</v>
      </c>
      <c r="L470" s="18" t="s">
        <v>4577</v>
      </c>
      <c r="M470" s="442"/>
      <c r="N470" s="461"/>
      <c r="P470" s="550"/>
      <c r="T470" s="443"/>
      <c r="U470" s="440"/>
      <c r="V470" s="440"/>
      <c r="W470" s="440"/>
      <c r="X470" s="442"/>
    </row>
    <row r="471" spans="1:24" x14ac:dyDescent="0.25">
      <c r="A471" s="862">
        <v>1189</v>
      </c>
      <c r="B471" s="863" t="s">
        <v>6537</v>
      </c>
      <c r="C471" s="862">
        <v>1189</v>
      </c>
      <c r="D471" s="165" t="s">
        <v>2143</v>
      </c>
      <c r="E471" s="165" t="s">
        <v>6538</v>
      </c>
      <c r="F471" s="163">
        <v>1</v>
      </c>
      <c r="G471" s="864"/>
      <c r="H471" s="864">
        <v>50494.974563612268</v>
      </c>
      <c r="I471" s="864">
        <v>52251.235867507057</v>
      </c>
      <c r="J471" s="864">
        <v>54099.945103706261</v>
      </c>
      <c r="K471" s="864">
        <v>56045.924196736567</v>
      </c>
      <c r="L471" s="18" t="s">
        <v>971</v>
      </c>
      <c r="M471" s="442"/>
      <c r="N471" s="461"/>
      <c r="P471" s="550"/>
      <c r="T471" s="443"/>
      <c r="U471" s="440"/>
      <c r="V471" s="440"/>
      <c r="W471" s="440"/>
      <c r="X471" s="442"/>
    </row>
    <row r="472" spans="1:24" x14ac:dyDescent="0.25">
      <c r="A472" s="862">
        <v>1190</v>
      </c>
      <c r="B472" s="863" t="s">
        <v>6539</v>
      </c>
      <c r="C472" s="862">
        <v>1190</v>
      </c>
      <c r="D472" s="165" t="s">
        <v>2143</v>
      </c>
      <c r="E472" s="165" t="s">
        <v>6540</v>
      </c>
      <c r="F472" s="163">
        <v>1</v>
      </c>
      <c r="G472" s="864"/>
      <c r="H472" s="864">
        <v>50780.229613716474</v>
      </c>
      <c r="I472" s="864">
        <v>0</v>
      </c>
      <c r="J472" s="864">
        <v>0</v>
      </c>
      <c r="K472" s="864">
        <v>0</v>
      </c>
      <c r="L472" s="18" t="s">
        <v>2939</v>
      </c>
      <c r="M472" s="442"/>
      <c r="N472" s="461"/>
      <c r="P472" s="550"/>
      <c r="T472" s="443"/>
      <c r="U472" s="440"/>
      <c r="V472" s="440"/>
      <c r="W472" s="440"/>
      <c r="X472" s="442"/>
    </row>
    <row r="473" spans="1:24" x14ac:dyDescent="0.25">
      <c r="A473" s="862">
        <v>1191</v>
      </c>
      <c r="B473" s="863" t="s">
        <v>6541</v>
      </c>
      <c r="C473" s="862">
        <v>1191</v>
      </c>
      <c r="D473" s="165" t="s">
        <v>2143</v>
      </c>
      <c r="E473" s="165" t="s">
        <v>6542</v>
      </c>
      <c r="F473" s="163">
        <v>1</v>
      </c>
      <c r="G473" s="864"/>
      <c r="H473" s="864">
        <v>0</v>
      </c>
      <c r="I473" s="864">
        <v>54862.660262129473</v>
      </c>
      <c r="J473" s="864">
        <v>56745.82963136844</v>
      </c>
      <c r="K473" s="864">
        <v>58728.139431608302</v>
      </c>
      <c r="L473" s="18" t="s">
        <v>3857</v>
      </c>
      <c r="M473" s="442"/>
      <c r="N473" s="527"/>
      <c r="P473" s="550"/>
      <c r="T473" s="443"/>
      <c r="U473" s="440"/>
      <c r="V473" s="440"/>
      <c r="W473" s="440"/>
      <c r="X473" s="442"/>
    </row>
    <row r="474" spans="1:24" x14ac:dyDescent="0.25">
      <c r="A474" s="862">
        <v>1192</v>
      </c>
      <c r="B474" s="863" t="s">
        <v>6543</v>
      </c>
      <c r="C474" s="862">
        <v>1192</v>
      </c>
      <c r="D474" s="165" t="s">
        <v>2143</v>
      </c>
      <c r="E474" s="165" t="s">
        <v>6544</v>
      </c>
      <c r="F474" s="163">
        <v>1</v>
      </c>
      <c r="G474" s="864"/>
      <c r="H474" s="864">
        <v>53605.514618534718</v>
      </c>
      <c r="I474" s="864">
        <v>55473.469984525713</v>
      </c>
      <c r="J474" s="864">
        <v>57439.775983534833</v>
      </c>
      <c r="K474" s="864">
        <v>59509.587086607818</v>
      </c>
      <c r="L474" s="18" t="s">
        <v>972</v>
      </c>
      <c r="M474" s="442"/>
      <c r="N474" s="527"/>
      <c r="P474" s="550"/>
      <c r="T474" s="443"/>
      <c r="U474" s="440"/>
      <c r="V474" s="440"/>
      <c r="W474" s="440"/>
      <c r="X474" s="442"/>
    </row>
    <row r="475" spans="1:24" x14ac:dyDescent="0.25">
      <c r="A475" s="862">
        <v>1193</v>
      </c>
      <c r="B475" s="863" t="s">
        <v>6545</v>
      </c>
      <c r="C475" s="862">
        <v>1193</v>
      </c>
      <c r="D475" s="165" t="s">
        <v>2143</v>
      </c>
      <c r="E475" s="165" t="s">
        <v>6546</v>
      </c>
      <c r="F475" s="163">
        <v>1</v>
      </c>
      <c r="G475" s="864"/>
      <c r="H475" s="864">
        <v>53391.968229947946</v>
      </c>
      <c r="I475" s="864">
        <v>55252.150321055466</v>
      </c>
      <c r="J475" s="864">
        <v>57210.267362032217</v>
      </c>
      <c r="K475" s="864">
        <v>59271.43225560907</v>
      </c>
      <c r="L475" s="18" t="s">
        <v>973</v>
      </c>
      <c r="M475" s="442"/>
      <c r="N475" s="527"/>
      <c r="P475" s="550"/>
      <c r="T475" s="443"/>
      <c r="U475" s="440"/>
      <c r="V475" s="440"/>
      <c r="W475" s="440"/>
      <c r="X475" s="442"/>
    </row>
    <row r="476" spans="1:24" x14ac:dyDescent="0.25">
      <c r="A476" s="862">
        <v>1194</v>
      </c>
      <c r="B476" s="863" t="s">
        <v>6547</v>
      </c>
      <c r="C476" s="862">
        <v>1194</v>
      </c>
      <c r="D476" s="165" t="s">
        <v>2143</v>
      </c>
      <c r="E476" s="165" t="s">
        <v>6548</v>
      </c>
      <c r="F476" s="163">
        <v>1</v>
      </c>
      <c r="G476" s="864"/>
      <c r="H476" s="864">
        <v>68330.029672757111</v>
      </c>
      <c r="I476" s="864">
        <v>0</v>
      </c>
      <c r="J476" s="864">
        <v>0</v>
      </c>
      <c r="K476" s="864">
        <v>0</v>
      </c>
      <c r="L476" s="18" t="s">
        <v>2940</v>
      </c>
      <c r="M476" s="442"/>
      <c r="N476" s="527"/>
      <c r="P476" s="550"/>
      <c r="T476" s="443"/>
      <c r="U476" s="440"/>
      <c r="V476" s="440"/>
      <c r="W476" s="440"/>
      <c r="X476" s="442"/>
    </row>
    <row r="477" spans="1:24" x14ac:dyDescent="0.25">
      <c r="A477" s="862">
        <v>1195</v>
      </c>
      <c r="B477" s="863" t="s">
        <v>6549</v>
      </c>
      <c r="C477" s="862">
        <v>1195</v>
      </c>
      <c r="D477" s="165" t="s">
        <v>2143</v>
      </c>
      <c r="E477" s="165" t="s">
        <v>6550</v>
      </c>
      <c r="F477" s="163">
        <v>1</v>
      </c>
      <c r="G477" s="864"/>
      <c r="H477" s="864">
        <v>66754.512419552528</v>
      </c>
      <c r="I477" s="864">
        <v>69103.122210559741</v>
      </c>
      <c r="J477" s="864">
        <v>71575.314601720325</v>
      </c>
      <c r="K477" s="864">
        <v>74177.657386786072</v>
      </c>
      <c r="L477" s="18" t="s">
        <v>2941</v>
      </c>
      <c r="M477" s="442"/>
      <c r="N477" s="527"/>
      <c r="P477" s="550"/>
      <c r="T477" s="443"/>
      <c r="U477" s="440"/>
      <c r="V477" s="440"/>
      <c r="W477" s="440"/>
      <c r="X477" s="442"/>
    </row>
    <row r="478" spans="1:24" x14ac:dyDescent="0.25">
      <c r="A478" s="862">
        <v>1196</v>
      </c>
      <c r="B478" s="863" t="s">
        <v>6551</v>
      </c>
      <c r="C478" s="862">
        <v>1196</v>
      </c>
      <c r="D478" s="165" t="s">
        <v>2143</v>
      </c>
      <c r="E478" s="165" t="s">
        <v>6552</v>
      </c>
      <c r="F478" s="163">
        <v>1</v>
      </c>
      <c r="G478" s="864"/>
      <c r="H478" s="864">
        <v>67688.185025865168</v>
      </c>
      <c r="I478" s="864">
        <v>0</v>
      </c>
      <c r="J478" s="864">
        <v>0</v>
      </c>
      <c r="K478" s="864">
        <v>0</v>
      </c>
      <c r="L478" s="18" t="s">
        <v>2942</v>
      </c>
      <c r="M478" s="442"/>
      <c r="N478" s="527"/>
      <c r="P478" s="550"/>
      <c r="T478" s="443"/>
      <c r="U478" s="440"/>
      <c r="V478" s="440"/>
      <c r="W478" s="440"/>
      <c r="X478" s="442"/>
    </row>
    <row r="479" spans="1:24" x14ac:dyDescent="0.25">
      <c r="A479" s="862">
        <v>1197</v>
      </c>
      <c r="B479" s="863" t="s">
        <v>6553</v>
      </c>
      <c r="C479" s="862">
        <v>1197</v>
      </c>
      <c r="D479" s="165" t="s">
        <v>2143</v>
      </c>
      <c r="E479" s="165" t="s">
        <v>6554</v>
      </c>
      <c r="F479" s="163">
        <v>1</v>
      </c>
      <c r="G479" s="864"/>
      <c r="H479" s="864">
        <v>66112.709340975474</v>
      </c>
      <c r="I479" s="864">
        <v>0</v>
      </c>
      <c r="J479" s="864">
        <v>0</v>
      </c>
      <c r="K479" s="864">
        <v>0</v>
      </c>
      <c r="L479" s="18" t="s">
        <v>2943</v>
      </c>
      <c r="M479" s="442"/>
      <c r="N479" s="527"/>
      <c r="P479" s="550"/>
      <c r="T479" s="443"/>
      <c r="U479" s="440"/>
      <c r="V479" s="440"/>
      <c r="W479" s="440"/>
      <c r="X479" s="442"/>
    </row>
    <row r="480" spans="1:24" x14ac:dyDescent="0.25">
      <c r="A480" s="862">
        <v>1198</v>
      </c>
      <c r="B480" s="863" t="s">
        <v>6555</v>
      </c>
      <c r="C480" s="862">
        <v>1198</v>
      </c>
      <c r="D480" s="165" t="s">
        <v>2143</v>
      </c>
      <c r="E480" s="165" t="s">
        <v>6556</v>
      </c>
      <c r="F480" s="163">
        <v>1</v>
      </c>
      <c r="G480" s="864"/>
      <c r="H480" s="864">
        <v>199895.50221135412</v>
      </c>
      <c r="I480" s="864">
        <v>0</v>
      </c>
      <c r="J480" s="864">
        <v>0</v>
      </c>
      <c r="K480" s="864">
        <v>0</v>
      </c>
      <c r="L480" s="18" t="s">
        <v>2944</v>
      </c>
      <c r="M480" s="442"/>
      <c r="N480" s="527"/>
      <c r="P480" s="550"/>
      <c r="T480" s="443"/>
      <c r="U480" s="440"/>
      <c r="V480" s="440"/>
      <c r="W480" s="440"/>
      <c r="X480" s="442"/>
    </row>
    <row r="481" spans="1:24" x14ac:dyDescent="0.25">
      <c r="A481" s="862">
        <v>1199</v>
      </c>
      <c r="B481" s="863" t="s">
        <v>6557</v>
      </c>
      <c r="C481" s="862">
        <v>1199</v>
      </c>
      <c r="D481" s="165" t="s">
        <v>2143</v>
      </c>
      <c r="E481" s="165" t="s">
        <v>6558</v>
      </c>
      <c r="F481" s="163">
        <v>1</v>
      </c>
      <c r="G481" s="864"/>
      <c r="H481" s="864">
        <v>49474.231639656187</v>
      </c>
      <c r="I481" s="864">
        <v>50667.983378957484</v>
      </c>
      <c r="J481" s="864">
        <v>51924.571982554473</v>
      </c>
      <c r="K481" s="864">
        <v>53247.305632004311</v>
      </c>
      <c r="L481" s="18" t="s">
        <v>2945</v>
      </c>
      <c r="M481" s="442"/>
      <c r="N481" s="527"/>
      <c r="P481" s="550"/>
      <c r="T481" s="443"/>
      <c r="U481" s="440"/>
      <c r="V481" s="440"/>
      <c r="W481" s="440"/>
      <c r="X481" s="442"/>
    </row>
    <row r="482" spans="1:24" x14ac:dyDescent="0.25">
      <c r="A482" s="862">
        <v>1200</v>
      </c>
      <c r="B482" s="863" t="s">
        <v>6559</v>
      </c>
      <c r="C482" s="862">
        <v>1200</v>
      </c>
      <c r="D482" s="165" t="s">
        <v>2143</v>
      </c>
      <c r="E482" s="165" t="s">
        <v>6560</v>
      </c>
      <c r="F482" s="163">
        <v>1</v>
      </c>
      <c r="G482" s="864"/>
      <c r="H482" s="864">
        <v>37077.190411728625</v>
      </c>
      <c r="I482" s="864">
        <v>38005.525629584481</v>
      </c>
      <c r="J482" s="864">
        <v>38982.740159211324</v>
      </c>
      <c r="K482" s="864">
        <v>40011.380185290764</v>
      </c>
      <c r="L482" s="18" t="s">
        <v>974</v>
      </c>
      <c r="M482" s="442"/>
      <c r="N482" s="527"/>
      <c r="P482" s="550"/>
      <c r="T482" s="443"/>
      <c r="U482" s="440"/>
      <c r="V482" s="440"/>
      <c r="W482" s="440"/>
      <c r="X482" s="442"/>
    </row>
    <row r="483" spans="1:24" x14ac:dyDescent="0.25">
      <c r="A483" s="862">
        <v>1201</v>
      </c>
      <c r="B483" s="863" t="s">
        <v>6561</v>
      </c>
      <c r="C483" s="862">
        <v>1201</v>
      </c>
      <c r="D483" s="165" t="s">
        <v>2143</v>
      </c>
      <c r="E483" s="165" t="s">
        <v>6562</v>
      </c>
      <c r="F483" s="163">
        <v>1</v>
      </c>
      <c r="G483" s="864"/>
      <c r="H483" s="864">
        <v>0</v>
      </c>
      <c r="I483" s="864">
        <v>0</v>
      </c>
      <c r="J483" s="864">
        <v>0</v>
      </c>
      <c r="K483" s="864">
        <v>39518.255347959996</v>
      </c>
      <c r="L483" s="18" t="s">
        <v>10845</v>
      </c>
      <c r="M483" s="442"/>
      <c r="N483" s="527"/>
      <c r="P483" s="550"/>
      <c r="T483" s="443"/>
      <c r="U483" s="440"/>
      <c r="V483" s="440"/>
      <c r="W483" s="440"/>
      <c r="X483" s="442"/>
    </row>
    <row r="484" spans="1:24" x14ac:dyDescent="0.25">
      <c r="A484" s="862">
        <v>1202</v>
      </c>
      <c r="B484" s="863" t="s">
        <v>6563</v>
      </c>
      <c r="C484" s="862">
        <v>1202</v>
      </c>
      <c r="D484" s="165" t="s">
        <v>2143</v>
      </c>
      <c r="E484" s="165" t="s">
        <v>6564</v>
      </c>
      <c r="F484" s="163">
        <v>1</v>
      </c>
      <c r="G484" s="864"/>
      <c r="H484" s="864">
        <v>0</v>
      </c>
      <c r="I484" s="864">
        <v>42218.65297199224</v>
      </c>
      <c r="J484" s="864">
        <v>43228.85639074209</v>
      </c>
      <c r="K484" s="864">
        <v>0</v>
      </c>
      <c r="L484" s="18" t="s">
        <v>4578</v>
      </c>
      <c r="M484" s="442"/>
      <c r="N484" s="527"/>
      <c r="P484" s="550"/>
      <c r="T484" s="443"/>
      <c r="U484" s="440"/>
      <c r="V484" s="440"/>
      <c r="W484" s="440"/>
      <c r="X484" s="442"/>
    </row>
    <row r="485" spans="1:24" x14ac:dyDescent="0.25">
      <c r="A485" s="862">
        <v>1203</v>
      </c>
      <c r="B485" s="863" t="s">
        <v>6565</v>
      </c>
      <c r="C485" s="862">
        <v>1203</v>
      </c>
      <c r="D485" s="165" t="s">
        <v>2143</v>
      </c>
      <c r="E485" s="165" t="s">
        <v>6566</v>
      </c>
      <c r="F485" s="163">
        <v>1</v>
      </c>
      <c r="G485" s="864"/>
      <c r="H485" s="864">
        <v>0</v>
      </c>
      <c r="I485" s="864">
        <v>0</v>
      </c>
      <c r="J485" s="864">
        <v>0</v>
      </c>
      <c r="K485" s="864">
        <v>41606.191655201437</v>
      </c>
      <c r="L485" s="18" t="s">
        <v>10846</v>
      </c>
      <c r="M485" s="442"/>
      <c r="N485" s="527"/>
      <c r="P485" s="550"/>
      <c r="T485" s="443"/>
      <c r="U485" s="440"/>
      <c r="V485" s="440"/>
      <c r="W485" s="440"/>
      <c r="X485" s="442"/>
    </row>
    <row r="486" spans="1:24" x14ac:dyDescent="0.25">
      <c r="A486" s="862">
        <v>1204</v>
      </c>
      <c r="B486" s="863" t="s">
        <v>6567</v>
      </c>
      <c r="C486" s="862">
        <v>1204</v>
      </c>
      <c r="D486" s="165" t="s">
        <v>2143</v>
      </c>
      <c r="E486" s="165" t="s">
        <v>6568</v>
      </c>
      <c r="F486" s="163">
        <v>1</v>
      </c>
      <c r="G486" s="864"/>
      <c r="H486" s="864">
        <v>44701.943634818264</v>
      </c>
      <c r="I486" s="864">
        <v>45833.750603726883</v>
      </c>
      <c r="J486" s="864">
        <v>47025.123425953396</v>
      </c>
      <c r="K486" s="864">
        <v>48279.203015448074</v>
      </c>
      <c r="L486" s="18" t="s">
        <v>975</v>
      </c>
      <c r="M486" s="442"/>
      <c r="N486" s="527"/>
      <c r="P486" s="550"/>
      <c r="T486" s="443"/>
      <c r="U486" s="440"/>
      <c r="V486" s="440"/>
      <c r="W486" s="440"/>
      <c r="X486" s="442"/>
    </row>
    <row r="487" spans="1:24" x14ac:dyDescent="0.25">
      <c r="A487" s="862">
        <v>1205</v>
      </c>
      <c r="B487" s="863" t="s">
        <v>6569</v>
      </c>
      <c r="C487" s="862">
        <v>1205</v>
      </c>
      <c r="D487" s="165" t="s">
        <v>2143</v>
      </c>
      <c r="E487" s="165" t="s">
        <v>6570</v>
      </c>
      <c r="F487" s="163">
        <v>1</v>
      </c>
      <c r="G487" s="864"/>
      <c r="H487" s="864">
        <v>0</v>
      </c>
      <c r="I487" s="864">
        <v>0</v>
      </c>
      <c r="J487" s="864">
        <v>0</v>
      </c>
      <c r="K487" s="864">
        <v>47174.021807845231</v>
      </c>
      <c r="L487" s="18" t="s">
        <v>10847</v>
      </c>
      <c r="M487" s="442"/>
      <c r="N487" s="527"/>
      <c r="P487" s="550"/>
      <c r="T487" s="443"/>
      <c r="U487" s="440"/>
      <c r="V487" s="440"/>
      <c r="W487" s="440"/>
      <c r="X487" s="442"/>
    </row>
    <row r="488" spans="1:24" x14ac:dyDescent="0.25">
      <c r="A488" s="862">
        <v>1206</v>
      </c>
      <c r="B488" s="863" t="s">
        <v>6571</v>
      </c>
      <c r="C488" s="862">
        <v>1206</v>
      </c>
      <c r="D488" s="165" t="s">
        <v>2143</v>
      </c>
      <c r="E488" s="165" t="s">
        <v>6572</v>
      </c>
      <c r="F488" s="163">
        <v>1</v>
      </c>
      <c r="G488" s="864"/>
      <c r="H488" s="864">
        <v>0</v>
      </c>
      <c r="I488" s="864">
        <v>49519.470259646427</v>
      </c>
      <c r="J488" s="864">
        <v>50714.374286905811</v>
      </c>
      <c r="K488" s="864">
        <v>0</v>
      </c>
      <c r="L488" s="18" t="s">
        <v>4579</v>
      </c>
      <c r="M488" s="442"/>
      <c r="N488" s="527"/>
      <c r="P488" s="550"/>
      <c r="T488" s="443"/>
      <c r="U488" s="440"/>
      <c r="V488" s="440"/>
      <c r="W488" s="440"/>
      <c r="X488" s="442"/>
    </row>
    <row r="489" spans="1:24" x14ac:dyDescent="0.25">
      <c r="A489" s="862">
        <v>1207</v>
      </c>
      <c r="B489" s="863" t="s">
        <v>6573</v>
      </c>
      <c r="C489" s="862">
        <v>1207</v>
      </c>
      <c r="D489" s="165" t="s">
        <v>2143</v>
      </c>
      <c r="E489" s="165" t="s">
        <v>6574</v>
      </c>
      <c r="F489" s="163">
        <v>1</v>
      </c>
      <c r="G489" s="864"/>
      <c r="H489" s="864">
        <v>0</v>
      </c>
      <c r="I489" s="864">
        <v>0</v>
      </c>
      <c r="J489" s="864">
        <v>0</v>
      </c>
      <c r="K489" s="864">
        <v>49261.958115086665</v>
      </c>
      <c r="L489" s="18" t="s">
        <v>10848</v>
      </c>
      <c r="M489" s="442"/>
      <c r="N489" s="527"/>
      <c r="P489" s="550"/>
      <c r="T489" s="443"/>
      <c r="U489" s="440"/>
      <c r="V489" s="440"/>
      <c r="W489" s="440"/>
      <c r="X489" s="442"/>
    </row>
    <row r="490" spans="1:24" x14ac:dyDescent="0.25">
      <c r="A490" s="862">
        <v>1208</v>
      </c>
      <c r="B490" s="863" t="s">
        <v>6575</v>
      </c>
      <c r="C490" s="862">
        <v>1208</v>
      </c>
      <c r="D490" s="165" t="s">
        <v>2143</v>
      </c>
      <c r="E490" s="165" t="s">
        <v>6576</v>
      </c>
      <c r="F490" s="163">
        <v>1</v>
      </c>
      <c r="G490" s="864"/>
      <c r="H490" s="864">
        <v>41420.442225484352</v>
      </c>
      <c r="I490" s="864">
        <v>42826.324203212767</v>
      </c>
      <c r="J490" s="864">
        <v>0</v>
      </c>
      <c r="K490" s="864">
        <v>0</v>
      </c>
      <c r="L490" s="18" t="s">
        <v>976</v>
      </c>
      <c r="M490" s="442"/>
      <c r="N490" s="527"/>
      <c r="P490" s="550"/>
      <c r="T490" s="443"/>
      <c r="U490" s="440"/>
      <c r="V490" s="440"/>
      <c r="W490" s="440"/>
      <c r="X490" s="442"/>
    </row>
    <row r="491" spans="1:24" x14ac:dyDescent="0.25">
      <c r="A491" s="862">
        <v>1209</v>
      </c>
      <c r="B491" s="863" t="s">
        <v>6577</v>
      </c>
      <c r="C491" s="862">
        <v>1209</v>
      </c>
      <c r="D491" s="165" t="s">
        <v>2143</v>
      </c>
      <c r="E491" s="165" t="s">
        <v>6578</v>
      </c>
      <c r="F491" s="163">
        <v>1</v>
      </c>
      <c r="G491" s="864"/>
      <c r="H491" s="864">
        <v>42409.948922462951</v>
      </c>
      <c r="I491" s="864">
        <v>43851.288672788338</v>
      </c>
      <c r="J491" s="864">
        <v>0</v>
      </c>
      <c r="K491" s="864">
        <v>0</v>
      </c>
      <c r="L491" s="18" t="s">
        <v>977</v>
      </c>
      <c r="M491" s="442"/>
      <c r="N491" s="527"/>
      <c r="P491" s="550"/>
      <c r="T491" s="443"/>
      <c r="U491" s="440"/>
      <c r="V491" s="440"/>
      <c r="W491" s="440"/>
      <c r="X491" s="442"/>
    </row>
    <row r="492" spans="1:24" x14ac:dyDescent="0.25">
      <c r="A492" s="862">
        <v>1210</v>
      </c>
      <c r="B492" s="863" t="s">
        <v>6579</v>
      </c>
      <c r="C492" s="862">
        <v>1210</v>
      </c>
      <c r="D492" s="165" t="s">
        <v>2143</v>
      </c>
      <c r="E492" s="165" t="s">
        <v>6580</v>
      </c>
      <c r="F492" s="163">
        <v>1</v>
      </c>
      <c r="G492" s="864"/>
      <c r="H492" s="864">
        <v>45642.337465926379</v>
      </c>
      <c r="I492" s="864">
        <v>45642.337465926379</v>
      </c>
      <c r="J492" s="864">
        <v>45642.337465926379</v>
      </c>
      <c r="K492" s="864">
        <v>45642.337465926379</v>
      </c>
      <c r="L492" s="18" t="s">
        <v>978</v>
      </c>
      <c r="M492" s="442"/>
      <c r="N492" s="527"/>
      <c r="P492" s="550"/>
      <c r="T492" s="443"/>
      <c r="U492" s="440"/>
      <c r="V492" s="440"/>
      <c r="W492" s="440"/>
      <c r="X492" s="442"/>
    </row>
    <row r="493" spans="1:24" x14ac:dyDescent="0.25">
      <c r="A493" s="862">
        <v>1211</v>
      </c>
      <c r="B493" s="863" t="s">
        <v>6581</v>
      </c>
      <c r="C493" s="862">
        <v>1211</v>
      </c>
      <c r="D493" s="165" t="s">
        <v>2143</v>
      </c>
      <c r="E493" s="165" t="s">
        <v>6582</v>
      </c>
      <c r="F493" s="163">
        <v>1</v>
      </c>
      <c r="G493" s="864"/>
      <c r="H493" s="864">
        <v>43015.284227830918</v>
      </c>
      <c r="I493" s="864">
        <v>44622.024303084043</v>
      </c>
      <c r="J493" s="864">
        <v>46313.31433081346</v>
      </c>
      <c r="K493" s="864">
        <v>48093.60212071181</v>
      </c>
      <c r="L493" s="18" t="s">
        <v>979</v>
      </c>
      <c r="M493" s="442"/>
      <c r="N493" s="527"/>
      <c r="P493" s="550"/>
      <c r="T493" s="443"/>
      <c r="U493" s="440"/>
      <c r="V493" s="440"/>
      <c r="W493" s="440"/>
      <c r="X493" s="442"/>
    </row>
    <row r="494" spans="1:24" x14ac:dyDescent="0.25">
      <c r="A494" s="862">
        <v>1212</v>
      </c>
      <c r="B494" s="863" t="s">
        <v>6583</v>
      </c>
      <c r="C494" s="862">
        <v>1212</v>
      </c>
      <c r="D494" s="165" t="s">
        <v>2143</v>
      </c>
      <c r="E494" s="165" t="s">
        <v>6584</v>
      </c>
      <c r="F494" s="163">
        <v>1</v>
      </c>
      <c r="G494" s="864"/>
      <c r="H494" s="864">
        <v>0</v>
      </c>
      <c r="I494" s="864">
        <v>54553.394998161413</v>
      </c>
      <c r="J494" s="864">
        <v>56429.664027129467</v>
      </c>
      <c r="K494" s="864">
        <v>58404.699372264433</v>
      </c>
      <c r="L494" s="18" t="s">
        <v>3858</v>
      </c>
      <c r="M494" s="442"/>
      <c r="N494" s="527"/>
      <c r="P494" s="550"/>
      <c r="T494" s="443"/>
      <c r="U494" s="440"/>
      <c r="V494" s="440"/>
      <c r="W494" s="440"/>
      <c r="X494" s="442"/>
    </row>
    <row r="495" spans="1:24" x14ac:dyDescent="0.25">
      <c r="A495" s="862">
        <v>1213</v>
      </c>
      <c r="B495" s="863" t="s">
        <v>6585</v>
      </c>
      <c r="C495" s="862">
        <v>1213</v>
      </c>
      <c r="D495" s="165" t="s">
        <v>2144</v>
      </c>
      <c r="E495" s="165" t="s">
        <v>6586</v>
      </c>
      <c r="F495" s="163">
        <v>2</v>
      </c>
      <c r="G495" s="864"/>
      <c r="H495" s="864">
        <v>10574.756598784394</v>
      </c>
      <c r="I495" s="864">
        <v>10895.388652063752</v>
      </c>
      <c r="J495" s="864">
        <v>11232.903758831419</v>
      </c>
      <c r="K495" s="864">
        <v>11588.177697078136</v>
      </c>
      <c r="L495" s="18" t="s">
        <v>980</v>
      </c>
      <c r="M495" s="442"/>
      <c r="N495" s="527"/>
      <c r="P495" s="550"/>
      <c r="T495" s="443"/>
      <c r="U495" s="440"/>
      <c r="V495" s="440"/>
      <c r="W495" s="440"/>
      <c r="X495" s="442"/>
    </row>
    <row r="496" spans="1:24" x14ac:dyDescent="0.25">
      <c r="A496" s="862">
        <v>1214</v>
      </c>
      <c r="B496" s="863" t="s">
        <v>6587</v>
      </c>
      <c r="C496" s="862">
        <v>1214</v>
      </c>
      <c r="D496" s="165" t="s">
        <v>2144</v>
      </c>
      <c r="E496" s="165" t="s">
        <v>6588</v>
      </c>
      <c r="F496" s="163">
        <v>2</v>
      </c>
      <c r="G496" s="864"/>
      <c r="H496" s="864">
        <v>13161.805009577532</v>
      </c>
      <c r="I496" s="864">
        <v>13601.59152393142</v>
      </c>
      <c r="J496" s="864">
        <v>14064.537500707309</v>
      </c>
      <c r="K496" s="864">
        <v>14551.85929822568</v>
      </c>
      <c r="L496" s="18" t="s">
        <v>981</v>
      </c>
      <c r="M496" s="442"/>
      <c r="N496" s="527"/>
      <c r="P496" s="550"/>
      <c r="T496" s="443"/>
      <c r="U496" s="440"/>
      <c r="V496" s="440"/>
      <c r="W496" s="440"/>
      <c r="X496" s="442"/>
    </row>
    <row r="497" spans="1:24" x14ac:dyDescent="0.25">
      <c r="A497" s="862">
        <v>1215</v>
      </c>
      <c r="B497" s="863" t="s">
        <v>6589</v>
      </c>
      <c r="C497" s="862">
        <v>1215</v>
      </c>
      <c r="D497" s="165" t="s">
        <v>2144</v>
      </c>
      <c r="E497" s="165" t="s">
        <v>6590</v>
      </c>
      <c r="F497" s="163">
        <v>2</v>
      </c>
      <c r="G497" s="864"/>
      <c r="H497" s="864">
        <v>15014.310808637343</v>
      </c>
      <c r="I497" s="864">
        <v>15522.213388938286</v>
      </c>
      <c r="J497" s="864">
        <v>16056.827197957045</v>
      </c>
      <c r="K497" s="864">
        <v>16619.611865678187</v>
      </c>
      <c r="L497" s="18" t="s">
        <v>982</v>
      </c>
      <c r="M497" s="442"/>
      <c r="N497" s="527"/>
      <c r="P497" s="550"/>
      <c r="T497" s="443"/>
      <c r="U497" s="440"/>
      <c r="V497" s="440"/>
      <c r="W497" s="440"/>
      <c r="X497" s="442"/>
    </row>
    <row r="498" spans="1:24" x14ac:dyDescent="0.25">
      <c r="A498" s="862">
        <v>1216</v>
      </c>
      <c r="B498" s="863" t="s">
        <v>6591</v>
      </c>
      <c r="C498" s="862">
        <v>1216</v>
      </c>
      <c r="D498" s="165" t="s">
        <v>2144</v>
      </c>
      <c r="E498" s="165" t="s">
        <v>6592</v>
      </c>
      <c r="F498" s="163">
        <v>2</v>
      </c>
      <c r="G498" s="864"/>
      <c r="H498" s="864">
        <v>15322.281177938235</v>
      </c>
      <c r="I498" s="864">
        <v>15844.342169089603</v>
      </c>
      <c r="J498" s="864">
        <v>16393.892858283889</v>
      </c>
      <c r="K498" s="864">
        <v>16972.392875505673</v>
      </c>
      <c r="L498" s="18" t="s">
        <v>983</v>
      </c>
      <c r="M498" s="442"/>
      <c r="N498" s="527"/>
      <c r="P498" s="550"/>
      <c r="T498" s="443"/>
      <c r="U498" s="440"/>
      <c r="V498" s="440"/>
      <c r="W498" s="440"/>
      <c r="X498" s="442"/>
    </row>
    <row r="499" spans="1:24" x14ac:dyDescent="0.25">
      <c r="A499" s="862">
        <v>1217</v>
      </c>
      <c r="B499" s="863" t="s">
        <v>6593</v>
      </c>
      <c r="C499" s="862">
        <v>1217</v>
      </c>
      <c r="D499" s="165" t="s">
        <v>2144</v>
      </c>
      <c r="E499" s="165" t="s">
        <v>6594</v>
      </c>
      <c r="F499" s="163">
        <v>2</v>
      </c>
      <c r="G499" s="864"/>
      <c r="H499" s="864">
        <v>19449.230089568657</v>
      </c>
      <c r="I499" s="864">
        <v>20161.432213377946</v>
      </c>
      <c r="J499" s="864">
        <v>20911.098173458129</v>
      </c>
      <c r="K499" s="864">
        <v>21700.222797454775</v>
      </c>
      <c r="L499" s="18" t="s">
        <v>984</v>
      </c>
      <c r="M499" s="442"/>
      <c r="N499" s="527"/>
      <c r="P499" s="550"/>
      <c r="T499" s="443"/>
      <c r="U499" s="440"/>
      <c r="V499" s="440"/>
      <c r="W499" s="440"/>
      <c r="X499" s="442"/>
    </row>
    <row r="500" spans="1:24" x14ac:dyDescent="0.25">
      <c r="A500" s="862">
        <v>1218</v>
      </c>
      <c r="B500" s="863" t="s">
        <v>6595</v>
      </c>
      <c r="C500" s="862">
        <v>1218</v>
      </c>
      <c r="D500" s="165" t="s">
        <v>2144</v>
      </c>
      <c r="E500" s="165" t="s">
        <v>6596</v>
      </c>
      <c r="F500" s="163">
        <v>2</v>
      </c>
      <c r="G500" s="864"/>
      <c r="H500" s="864">
        <v>22171.7562702545</v>
      </c>
      <c r="I500" s="864">
        <v>23009.340609739193</v>
      </c>
      <c r="J500" s="864">
        <v>23891.00577475821</v>
      </c>
      <c r="K500" s="864">
        <v>24819.087173286851</v>
      </c>
      <c r="L500" s="18" t="s">
        <v>985</v>
      </c>
      <c r="M500" s="442"/>
      <c r="N500" s="527"/>
      <c r="P500" s="550"/>
      <c r="T500" s="443"/>
      <c r="U500" s="440"/>
      <c r="V500" s="440"/>
      <c r="W500" s="440"/>
      <c r="X500" s="442"/>
    </row>
    <row r="501" spans="1:24" x14ac:dyDescent="0.25">
      <c r="A501" s="862">
        <v>1219</v>
      </c>
      <c r="B501" s="863" t="s">
        <v>6597</v>
      </c>
      <c r="C501" s="862">
        <v>1219</v>
      </c>
      <c r="D501" s="165" t="s">
        <v>2144</v>
      </c>
      <c r="E501" s="165" t="s">
        <v>6598</v>
      </c>
      <c r="F501" s="163">
        <v>1</v>
      </c>
      <c r="G501" s="864"/>
      <c r="H501" s="864">
        <v>12190.988782416203</v>
      </c>
      <c r="I501" s="864">
        <v>12525.021657999185</v>
      </c>
      <c r="J501" s="864">
        <v>12876.656606738721</v>
      </c>
      <c r="K501" s="864">
        <v>13246.787960296348</v>
      </c>
      <c r="L501" s="18" t="s">
        <v>3859</v>
      </c>
      <c r="M501" s="442"/>
      <c r="N501" s="527"/>
      <c r="P501" s="550"/>
      <c r="T501" s="443"/>
      <c r="U501" s="440"/>
      <c r="V501" s="440"/>
      <c r="W501" s="440"/>
      <c r="X501" s="442"/>
    </row>
    <row r="502" spans="1:24" x14ac:dyDescent="0.25">
      <c r="A502" s="862">
        <v>1220</v>
      </c>
      <c r="B502" s="863" t="s">
        <v>6599</v>
      </c>
      <c r="C502" s="862">
        <v>1220</v>
      </c>
      <c r="D502" s="165" t="s">
        <v>2145</v>
      </c>
      <c r="E502" s="165" t="s">
        <v>6600</v>
      </c>
      <c r="F502" s="163">
        <v>1</v>
      </c>
      <c r="G502" s="864"/>
      <c r="H502" s="864">
        <v>0</v>
      </c>
      <c r="I502" s="864">
        <v>0</v>
      </c>
      <c r="J502" s="864">
        <v>0</v>
      </c>
      <c r="K502" s="864">
        <v>23145.749617128466</v>
      </c>
      <c r="L502" s="18" t="s">
        <v>10849</v>
      </c>
      <c r="M502" s="442"/>
      <c r="N502" s="527"/>
      <c r="P502" s="550"/>
      <c r="T502" s="443"/>
      <c r="U502" s="440"/>
      <c r="V502" s="440"/>
      <c r="W502" s="440"/>
      <c r="X502" s="442"/>
    </row>
    <row r="503" spans="1:24" x14ac:dyDescent="0.25">
      <c r="A503" s="862">
        <v>1221</v>
      </c>
      <c r="B503" s="863" t="s">
        <v>6601</v>
      </c>
      <c r="C503" s="862">
        <v>1221</v>
      </c>
      <c r="D503" s="165" t="s">
        <v>2145</v>
      </c>
      <c r="E503" s="165" t="s">
        <v>6602</v>
      </c>
      <c r="F503" s="163">
        <v>1</v>
      </c>
      <c r="G503" s="864"/>
      <c r="H503" s="864">
        <v>0</v>
      </c>
      <c r="I503" s="864">
        <v>0</v>
      </c>
      <c r="J503" s="864">
        <v>0</v>
      </c>
      <c r="K503" s="864">
        <v>27340.405261231073</v>
      </c>
      <c r="L503" s="18" t="s">
        <v>10850</v>
      </c>
      <c r="M503" s="442"/>
      <c r="N503" s="527"/>
      <c r="P503" s="550"/>
      <c r="T503" s="443"/>
      <c r="U503" s="440"/>
      <c r="V503" s="440"/>
      <c r="W503" s="440"/>
      <c r="X503" s="442"/>
    </row>
    <row r="504" spans="1:24" x14ac:dyDescent="0.25">
      <c r="A504" s="862">
        <v>1222</v>
      </c>
      <c r="B504" s="863" t="s">
        <v>6603</v>
      </c>
      <c r="C504" s="862">
        <v>1222</v>
      </c>
      <c r="D504" s="165" t="s">
        <v>2145</v>
      </c>
      <c r="E504" s="165" t="s">
        <v>6604</v>
      </c>
      <c r="F504" s="163">
        <v>1</v>
      </c>
      <c r="G504" s="864"/>
      <c r="H504" s="864">
        <v>28974.686681011306</v>
      </c>
      <c r="I504" s="864">
        <v>29626.015014454693</v>
      </c>
      <c r="J504" s="864">
        <v>30311.642991227873</v>
      </c>
      <c r="K504" s="864">
        <v>31033.366991996241</v>
      </c>
      <c r="L504" s="18" t="s">
        <v>2946</v>
      </c>
      <c r="M504" s="442"/>
      <c r="N504" s="527"/>
      <c r="P504" s="550"/>
      <c r="T504" s="443"/>
      <c r="U504" s="440"/>
      <c r="V504" s="440"/>
      <c r="W504" s="440"/>
      <c r="X504" s="442"/>
    </row>
    <row r="505" spans="1:24" x14ac:dyDescent="0.25">
      <c r="A505" s="862">
        <v>1223</v>
      </c>
      <c r="B505" s="863" t="s">
        <v>6605</v>
      </c>
      <c r="C505" s="862">
        <v>1223</v>
      </c>
      <c r="D505" s="165" t="s">
        <v>2145</v>
      </c>
      <c r="E505" s="165" t="s">
        <v>6606</v>
      </c>
      <c r="F505" s="163">
        <v>1</v>
      </c>
      <c r="G505" s="864"/>
      <c r="H505" s="864">
        <v>0</v>
      </c>
      <c r="I505" s="864">
        <v>0</v>
      </c>
      <c r="J505" s="864">
        <v>0</v>
      </c>
      <c r="K505" s="864">
        <v>20258.519108850043</v>
      </c>
      <c r="L505" s="18" t="s">
        <v>10851</v>
      </c>
      <c r="M505" s="442"/>
      <c r="N505" s="527"/>
      <c r="P505" s="550"/>
      <c r="T505" s="443"/>
      <c r="U505" s="440"/>
      <c r="V505" s="440"/>
      <c r="W505" s="440"/>
      <c r="X505" s="442"/>
    </row>
    <row r="506" spans="1:24" x14ac:dyDescent="0.25">
      <c r="A506" s="862">
        <v>1224</v>
      </c>
      <c r="B506" s="863" t="s">
        <v>6607</v>
      </c>
      <c r="C506" s="862">
        <v>1224</v>
      </c>
      <c r="D506" s="165" t="s">
        <v>2145</v>
      </c>
      <c r="E506" s="165" t="s">
        <v>6608</v>
      </c>
      <c r="F506" s="163">
        <v>1</v>
      </c>
      <c r="G506" s="864"/>
      <c r="H506" s="864">
        <v>20258.519108850043</v>
      </c>
      <c r="I506" s="864">
        <v>20697.116675684185</v>
      </c>
      <c r="J506" s="864">
        <v>21158.814575137334</v>
      </c>
      <c r="K506" s="864">
        <v>21644.819750469043</v>
      </c>
      <c r="L506" s="18" t="s">
        <v>2947</v>
      </c>
      <c r="M506" s="442"/>
      <c r="N506" s="527"/>
      <c r="P506" s="550"/>
      <c r="T506" s="443"/>
      <c r="U506" s="440"/>
      <c r="V506" s="440"/>
      <c r="W506" s="440"/>
      <c r="X506" s="442"/>
    </row>
    <row r="507" spans="1:24" x14ac:dyDescent="0.25">
      <c r="A507" s="862">
        <v>1225</v>
      </c>
      <c r="B507" s="863" t="s">
        <v>6609</v>
      </c>
      <c r="C507" s="862">
        <v>1225</v>
      </c>
      <c r="D507" s="165" t="s">
        <v>2145</v>
      </c>
      <c r="E507" s="165" t="s">
        <v>6610</v>
      </c>
      <c r="F507" s="163">
        <v>1</v>
      </c>
      <c r="G507" s="864"/>
      <c r="H507" s="864">
        <v>22437.561001890361</v>
      </c>
      <c r="I507" s="864">
        <v>22929.348277488789</v>
      </c>
      <c r="J507" s="864">
        <v>23447.042730495894</v>
      </c>
      <c r="K507" s="864">
        <v>23991.963577962812</v>
      </c>
      <c r="L507" s="18" t="s">
        <v>2948</v>
      </c>
      <c r="M507" s="442"/>
      <c r="N507" s="527"/>
      <c r="P507" s="550"/>
      <c r="T507" s="443"/>
      <c r="U507" s="440"/>
      <c r="V507" s="440"/>
      <c r="W507" s="440"/>
      <c r="X507" s="442"/>
    </row>
    <row r="508" spans="1:24" x14ac:dyDescent="0.25">
      <c r="A508" s="862">
        <v>1226</v>
      </c>
      <c r="B508" s="863" t="s">
        <v>6611</v>
      </c>
      <c r="C508" s="862">
        <v>1226</v>
      </c>
      <c r="D508" s="165" t="s">
        <v>2145</v>
      </c>
      <c r="E508" s="165" t="s">
        <v>6612</v>
      </c>
      <c r="F508" s="163">
        <v>1</v>
      </c>
      <c r="G508" s="864"/>
      <c r="H508" s="864">
        <v>18079.477215809722</v>
      </c>
      <c r="I508" s="864">
        <v>18464.913142327481</v>
      </c>
      <c r="J508" s="864">
        <v>18870.642556674567</v>
      </c>
      <c r="K508" s="864">
        <v>19297.732059871065</v>
      </c>
      <c r="L508" s="18" t="s">
        <v>2949</v>
      </c>
      <c r="M508" s="442"/>
      <c r="N508" s="527"/>
      <c r="P508" s="550"/>
      <c r="T508" s="443"/>
      <c r="U508" s="440"/>
      <c r="V508" s="440"/>
      <c r="W508" s="440"/>
      <c r="X508" s="442"/>
    </row>
    <row r="509" spans="1:24" x14ac:dyDescent="0.25">
      <c r="A509" s="862">
        <v>1227</v>
      </c>
      <c r="B509" s="863" t="s">
        <v>6613</v>
      </c>
      <c r="C509" s="862">
        <v>1227</v>
      </c>
      <c r="D509" s="165" t="s">
        <v>2145</v>
      </c>
      <c r="E509" s="165" t="s">
        <v>6614</v>
      </c>
      <c r="F509" s="163">
        <v>1</v>
      </c>
      <c r="G509" s="864"/>
      <c r="H509" s="864">
        <v>0</v>
      </c>
      <c r="I509" s="864">
        <v>30446.616120682655</v>
      </c>
      <c r="J509" s="864">
        <v>0</v>
      </c>
      <c r="K509" s="864">
        <v>0</v>
      </c>
      <c r="L509" s="18" t="s">
        <v>4580</v>
      </c>
      <c r="M509" s="442"/>
      <c r="N509" s="527"/>
      <c r="P509" s="546"/>
      <c r="T509" s="443"/>
      <c r="U509" s="440"/>
      <c r="V509" s="440"/>
      <c r="W509" s="440"/>
      <c r="X509" s="442"/>
    </row>
    <row r="510" spans="1:24" x14ac:dyDescent="0.25">
      <c r="A510" s="862">
        <v>1228</v>
      </c>
      <c r="B510" s="863" t="s">
        <v>6615</v>
      </c>
      <c r="C510" s="862">
        <v>1228</v>
      </c>
      <c r="D510" s="165" t="s">
        <v>2145</v>
      </c>
      <c r="E510" s="165" t="s">
        <v>6616</v>
      </c>
      <c r="F510" s="163">
        <v>1</v>
      </c>
      <c r="G510" s="864"/>
      <c r="H510" s="864">
        <v>33877.53094035203</v>
      </c>
      <c r="I510" s="864">
        <v>34648.515067179127</v>
      </c>
      <c r="J510" s="864">
        <v>35460.114238112787</v>
      </c>
      <c r="K510" s="864">
        <v>36314.405518297353</v>
      </c>
      <c r="L510" s="18" t="s">
        <v>2950</v>
      </c>
      <c r="M510" s="442"/>
      <c r="N510" s="527"/>
      <c r="P510" s="546"/>
      <c r="T510" s="443"/>
      <c r="U510" s="440"/>
      <c r="V510" s="440"/>
      <c r="W510" s="440"/>
      <c r="X510" s="442"/>
    </row>
    <row r="511" spans="1:24" x14ac:dyDescent="0.25">
      <c r="A511" s="862">
        <v>1229</v>
      </c>
      <c r="B511" s="863" t="s">
        <v>6617</v>
      </c>
      <c r="C511" s="862">
        <v>1229</v>
      </c>
      <c r="D511" s="165" t="s">
        <v>2145</v>
      </c>
      <c r="E511" s="165" t="s">
        <v>6618</v>
      </c>
      <c r="F511" s="163">
        <v>1</v>
      </c>
      <c r="G511" s="864"/>
      <c r="H511" s="864">
        <v>32618.233721277054</v>
      </c>
      <c r="I511" s="864">
        <v>33440.274354828289</v>
      </c>
      <c r="J511" s="864">
        <v>34305.596535036275</v>
      </c>
      <c r="K511" s="864">
        <v>35216.445737732727</v>
      </c>
      <c r="L511" s="18" t="s">
        <v>4581</v>
      </c>
      <c r="M511" s="442"/>
      <c r="N511" s="527"/>
      <c r="P511" s="546"/>
      <c r="T511" s="443"/>
      <c r="U511" s="440"/>
      <c r="V511" s="440"/>
      <c r="W511" s="440"/>
      <c r="X511" s="442"/>
    </row>
    <row r="512" spans="1:24" x14ac:dyDescent="0.25">
      <c r="A512" s="862">
        <v>1230</v>
      </c>
      <c r="B512" s="863" t="s">
        <v>6619</v>
      </c>
      <c r="C512" s="862">
        <v>1230</v>
      </c>
      <c r="D512" s="165" t="s">
        <v>2145</v>
      </c>
      <c r="E512" s="165" t="s">
        <v>6620</v>
      </c>
      <c r="F512" s="163">
        <v>1</v>
      </c>
      <c r="G512" s="864"/>
      <c r="H512" s="864">
        <v>28429.926207751225</v>
      </c>
      <c r="I512" s="864">
        <v>29067.978165339464</v>
      </c>
      <c r="J512" s="864">
        <v>29739.628055060079</v>
      </c>
      <c r="K512" s="864">
        <v>30446.616120682655</v>
      </c>
      <c r="L512" s="18" t="s">
        <v>2951</v>
      </c>
      <c r="M512" s="442"/>
      <c r="N512" s="527"/>
      <c r="P512" s="546"/>
      <c r="T512" s="443"/>
      <c r="U512" s="440"/>
      <c r="V512" s="440"/>
      <c r="W512" s="440"/>
      <c r="X512" s="442"/>
    </row>
    <row r="513" spans="1:24" x14ac:dyDescent="0.25">
      <c r="A513" s="862">
        <v>1231</v>
      </c>
      <c r="B513" s="863" t="s">
        <v>6621</v>
      </c>
      <c r="C513" s="862">
        <v>1231</v>
      </c>
      <c r="D513" s="165" t="s">
        <v>2145</v>
      </c>
      <c r="E513" s="165" t="s">
        <v>6622</v>
      </c>
      <c r="F513" s="163">
        <v>1</v>
      </c>
      <c r="G513" s="864"/>
      <c r="H513" s="864">
        <v>8680.5966516878252</v>
      </c>
      <c r="I513" s="864">
        <v>0</v>
      </c>
      <c r="J513" s="864">
        <v>0</v>
      </c>
      <c r="K513" s="864">
        <v>0</v>
      </c>
      <c r="L513" s="18" t="s">
        <v>986</v>
      </c>
      <c r="M513" s="442"/>
      <c r="N513" s="527"/>
      <c r="P513" s="546"/>
      <c r="T513" s="443"/>
      <c r="U513" s="440"/>
      <c r="V513" s="440"/>
      <c r="W513" s="440"/>
      <c r="X513" s="442"/>
    </row>
    <row r="514" spans="1:24" x14ac:dyDescent="0.25">
      <c r="A514" s="862">
        <v>1232</v>
      </c>
      <c r="B514" s="863" t="s">
        <v>6623</v>
      </c>
      <c r="C514" s="862">
        <v>1232</v>
      </c>
      <c r="D514" s="165" t="s">
        <v>2145</v>
      </c>
      <c r="E514" s="165" t="s">
        <v>6624</v>
      </c>
      <c r="F514" s="163">
        <v>1</v>
      </c>
      <c r="G514" s="864"/>
      <c r="H514" s="864">
        <v>9350.1010329825531</v>
      </c>
      <c r="I514" s="864">
        <v>9573.1354338778492</v>
      </c>
      <c r="J514" s="864">
        <v>9807.9591891602413</v>
      </c>
      <c r="K514" s="864">
        <v>10055.122774520962</v>
      </c>
      <c r="L514" s="18" t="s">
        <v>987</v>
      </c>
      <c r="M514" s="442"/>
      <c r="N514" s="527"/>
      <c r="P514" s="546"/>
      <c r="T514" s="443"/>
      <c r="U514" s="440"/>
      <c r="V514" s="440"/>
      <c r="W514" s="440"/>
      <c r="X514" s="442"/>
    </row>
    <row r="515" spans="1:24" x14ac:dyDescent="0.25">
      <c r="A515" s="862">
        <v>1233</v>
      </c>
      <c r="B515" s="863" t="s">
        <v>6625</v>
      </c>
      <c r="C515" s="862">
        <v>1233</v>
      </c>
      <c r="D515" s="165" t="s">
        <v>2145</v>
      </c>
      <c r="E515" s="165" t="s">
        <v>6626</v>
      </c>
      <c r="F515" s="163">
        <v>1</v>
      </c>
      <c r="G515" s="864"/>
      <c r="H515" s="864">
        <v>10119.998960389501</v>
      </c>
      <c r="I515" s="864">
        <v>0</v>
      </c>
      <c r="J515" s="864">
        <v>0</v>
      </c>
      <c r="K515" s="864">
        <v>0</v>
      </c>
      <c r="L515" s="18" t="s">
        <v>988</v>
      </c>
      <c r="M515" s="442"/>
      <c r="N515" s="527"/>
      <c r="P515" s="546"/>
      <c r="T515" s="443"/>
      <c r="U515" s="440"/>
      <c r="V515" s="440"/>
      <c r="W515" s="440"/>
      <c r="X515" s="442"/>
    </row>
    <row r="516" spans="1:24" x14ac:dyDescent="0.25">
      <c r="A516" s="862">
        <v>1234</v>
      </c>
      <c r="B516" s="863" t="s">
        <v>6627</v>
      </c>
      <c r="C516" s="862">
        <v>1234</v>
      </c>
      <c r="D516" s="165" t="s">
        <v>2145</v>
      </c>
      <c r="E516" s="165" t="s">
        <v>6628</v>
      </c>
      <c r="F516" s="163">
        <v>2</v>
      </c>
      <c r="G516" s="864"/>
      <c r="H516" s="864">
        <v>19069.725816403989</v>
      </c>
      <c r="I516" s="864">
        <v>19535.311896719551</v>
      </c>
      <c r="J516" s="864">
        <v>20025.404041219961</v>
      </c>
      <c r="K516" s="864">
        <v>20541.28437454746</v>
      </c>
      <c r="L516" s="18" t="s">
        <v>989</v>
      </c>
      <c r="M516" s="442"/>
      <c r="N516" s="527"/>
      <c r="P516" s="546"/>
      <c r="T516" s="443"/>
      <c r="U516" s="440"/>
      <c r="V516" s="440"/>
      <c r="W516" s="440"/>
      <c r="X516" s="442"/>
    </row>
    <row r="517" spans="1:24" x14ac:dyDescent="0.25">
      <c r="A517" s="862">
        <v>1235</v>
      </c>
      <c r="B517" s="863" t="s">
        <v>6629</v>
      </c>
      <c r="C517" s="862">
        <v>1235</v>
      </c>
      <c r="D517" s="165" t="s">
        <v>2145</v>
      </c>
      <c r="E517" s="165" t="s">
        <v>6630</v>
      </c>
      <c r="F517" s="163">
        <v>1</v>
      </c>
      <c r="G517" s="864"/>
      <c r="H517" s="864">
        <v>0</v>
      </c>
      <c r="I517" s="864">
        <v>0</v>
      </c>
      <c r="J517" s="864">
        <v>24615.42894403715</v>
      </c>
      <c r="K517" s="864">
        <v>25398.727771477093</v>
      </c>
      <c r="L517" s="18" t="s">
        <v>4582</v>
      </c>
      <c r="M517" s="442"/>
      <c r="N517" s="527"/>
      <c r="P517" s="546"/>
      <c r="T517" s="443"/>
      <c r="U517" s="440"/>
      <c r="V517" s="440"/>
      <c r="W517" s="440"/>
      <c r="X517" s="442"/>
    </row>
    <row r="518" spans="1:24" x14ac:dyDescent="0.25">
      <c r="A518" s="862">
        <v>1236</v>
      </c>
      <c r="B518" s="863" t="s">
        <v>6631</v>
      </c>
      <c r="C518" s="862">
        <v>1236</v>
      </c>
      <c r="D518" s="165" t="s">
        <v>2145</v>
      </c>
      <c r="E518" s="165" t="s">
        <v>6632</v>
      </c>
      <c r="F518" s="163">
        <v>1</v>
      </c>
      <c r="G518" s="864"/>
      <c r="H518" s="864">
        <v>0</v>
      </c>
      <c r="I518" s="864">
        <v>25496.239904511996</v>
      </c>
      <c r="J518" s="864">
        <v>26310.430833706294</v>
      </c>
      <c r="K518" s="864">
        <v>27167.488631096716</v>
      </c>
      <c r="L518" s="18" t="s">
        <v>3860</v>
      </c>
      <c r="M518" s="442"/>
      <c r="N518" s="527"/>
      <c r="P518" s="546"/>
      <c r="T518" s="443"/>
      <c r="U518" s="440"/>
      <c r="V518" s="440"/>
      <c r="W518" s="440"/>
      <c r="X518" s="442"/>
    </row>
    <row r="519" spans="1:24" x14ac:dyDescent="0.25">
      <c r="A519" s="862">
        <v>1237</v>
      </c>
      <c r="B519" s="863" t="s">
        <v>6633</v>
      </c>
      <c r="C519" s="862">
        <v>1237</v>
      </c>
      <c r="D519" s="165" t="s">
        <v>2145</v>
      </c>
      <c r="E519" s="165" t="s">
        <v>6634</v>
      </c>
      <c r="F519" s="163">
        <v>1</v>
      </c>
      <c r="G519" s="864"/>
      <c r="H519" s="864">
        <v>0</v>
      </c>
      <c r="I519" s="864">
        <v>21155.100170743146</v>
      </c>
      <c r="J519" s="864">
        <v>21817.020528997371</v>
      </c>
      <c r="K519" s="864">
        <v>22513.746920449968</v>
      </c>
      <c r="L519" s="18" t="s">
        <v>3861</v>
      </c>
      <c r="M519" s="442"/>
      <c r="N519" s="527"/>
      <c r="P519" s="546"/>
      <c r="T519" s="443"/>
      <c r="U519" s="440"/>
      <c r="V519" s="440"/>
      <c r="W519" s="440"/>
      <c r="X519" s="442"/>
    </row>
    <row r="520" spans="1:24" x14ac:dyDescent="0.25">
      <c r="A520" s="862">
        <v>1238</v>
      </c>
      <c r="B520" s="863" t="s">
        <v>6635</v>
      </c>
      <c r="C520" s="862">
        <v>1238</v>
      </c>
      <c r="D520" s="165" t="s">
        <v>2145</v>
      </c>
      <c r="E520" s="165" t="s">
        <v>6636</v>
      </c>
      <c r="F520" s="163">
        <v>1</v>
      </c>
      <c r="G520" s="864"/>
      <c r="H520" s="864">
        <v>0</v>
      </c>
      <c r="I520" s="864">
        <v>19896.798798636228</v>
      </c>
      <c r="J520" s="864">
        <v>20514.547644879694</v>
      </c>
      <c r="K520" s="864">
        <v>21164.819397645853</v>
      </c>
      <c r="L520" s="18" t="s">
        <v>3862</v>
      </c>
      <c r="M520" s="442"/>
      <c r="N520" s="527"/>
      <c r="P520" s="546"/>
      <c r="T520" s="443"/>
      <c r="U520" s="440"/>
      <c r="V520" s="440"/>
      <c r="W520" s="440"/>
      <c r="X520" s="442"/>
    </row>
    <row r="521" spans="1:24" x14ac:dyDescent="0.25">
      <c r="A521" s="862">
        <v>1239</v>
      </c>
      <c r="B521" s="863" t="s">
        <v>6637</v>
      </c>
      <c r="C521" s="862">
        <v>1239</v>
      </c>
      <c r="D521" s="165" t="s">
        <v>2145</v>
      </c>
      <c r="E521" s="165" t="s">
        <v>6638</v>
      </c>
      <c r="F521" s="163">
        <v>1</v>
      </c>
      <c r="G521" s="864"/>
      <c r="H521" s="864">
        <v>10816.239343948653</v>
      </c>
      <c r="I521" s="864">
        <v>11094.069709018881</v>
      </c>
      <c r="J521" s="864">
        <v>11401.966117774284</v>
      </c>
      <c r="K521" s="864">
        <v>11726.11444203519</v>
      </c>
      <c r="L521" s="18" t="s">
        <v>990</v>
      </c>
      <c r="M521" s="442"/>
      <c r="N521" s="527"/>
      <c r="P521" s="546"/>
      <c r="T521" s="443"/>
      <c r="U521" s="440"/>
      <c r="V521" s="440"/>
      <c r="W521" s="440"/>
      <c r="X521" s="442"/>
    </row>
    <row r="522" spans="1:24" x14ac:dyDescent="0.25">
      <c r="A522" s="862">
        <v>1240</v>
      </c>
      <c r="B522" s="863" t="s">
        <v>6639</v>
      </c>
      <c r="C522" s="862">
        <v>1240</v>
      </c>
      <c r="D522" s="165" t="s">
        <v>2145</v>
      </c>
      <c r="E522" s="165" t="s">
        <v>6640</v>
      </c>
      <c r="F522" s="163">
        <v>1</v>
      </c>
      <c r="G522" s="864"/>
      <c r="H522" s="864">
        <v>10038.206983732276</v>
      </c>
      <c r="I522" s="864">
        <v>10304.738398022489</v>
      </c>
      <c r="J522" s="864">
        <v>10585.277415676965</v>
      </c>
      <c r="K522" s="864">
        <v>10880.636632470982</v>
      </c>
      <c r="L522" s="18" t="s">
        <v>991</v>
      </c>
      <c r="M522" s="442"/>
      <c r="N522" s="527"/>
      <c r="P522" s="546"/>
      <c r="T522" s="443"/>
      <c r="U522" s="440"/>
      <c r="V522" s="440"/>
      <c r="W522" s="440"/>
      <c r="X522" s="442"/>
    </row>
    <row r="523" spans="1:24" x14ac:dyDescent="0.25">
      <c r="A523" s="862">
        <v>1241</v>
      </c>
      <c r="B523" s="863" t="s">
        <v>6641</v>
      </c>
      <c r="C523" s="862">
        <v>1241</v>
      </c>
      <c r="D523" s="165" t="s">
        <v>2145</v>
      </c>
      <c r="E523" s="165" t="s">
        <v>6642</v>
      </c>
      <c r="F523" s="163">
        <v>1</v>
      </c>
      <c r="G523" s="864"/>
      <c r="H523" s="864">
        <v>9477.1181413091672</v>
      </c>
      <c r="I523" s="864">
        <v>9724.340732177363</v>
      </c>
      <c r="J523" s="864">
        <v>9984.6035504868851</v>
      </c>
      <c r="K523" s="864">
        <v>10258.564411865325</v>
      </c>
      <c r="L523" s="18" t="s">
        <v>992</v>
      </c>
      <c r="M523" s="442"/>
      <c r="N523" s="527"/>
      <c r="P523" s="546"/>
      <c r="T523" s="443"/>
      <c r="U523" s="440"/>
      <c r="V523" s="440"/>
      <c r="W523" s="440"/>
      <c r="X523" s="442"/>
    </row>
    <row r="524" spans="1:24" x14ac:dyDescent="0.25">
      <c r="A524" s="862">
        <v>1242</v>
      </c>
      <c r="B524" s="863" t="s">
        <v>6643</v>
      </c>
      <c r="C524" s="862">
        <v>1242</v>
      </c>
      <c r="D524" s="165" t="s">
        <v>2145</v>
      </c>
      <c r="E524" s="165" t="s">
        <v>6644</v>
      </c>
      <c r="F524" s="163">
        <v>1</v>
      </c>
      <c r="G524" s="864"/>
      <c r="H524" s="864">
        <v>12158.033945875248</v>
      </c>
      <c r="I524" s="864">
        <v>12509.346186052488</v>
      </c>
      <c r="J524" s="864">
        <v>12879.115958839553</v>
      </c>
      <c r="K524" s="864">
        <v>13268.388030233216</v>
      </c>
      <c r="L524" s="18" t="s">
        <v>993</v>
      </c>
      <c r="M524" s="442"/>
      <c r="N524" s="527"/>
      <c r="P524" s="546"/>
      <c r="T524" s="443"/>
      <c r="U524" s="440"/>
      <c r="V524" s="440"/>
      <c r="W524" s="440"/>
      <c r="X524" s="442"/>
    </row>
    <row r="525" spans="1:24" x14ac:dyDescent="0.25">
      <c r="A525" s="862">
        <v>1243</v>
      </c>
      <c r="B525" s="863" t="s">
        <v>6645</v>
      </c>
      <c r="C525" s="862">
        <v>1243</v>
      </c>
      <c r="D525" s="165" t="s">
        <v>2145</v>
      </c>
      <c r="E525" s="165" t="s">
        <v>6646</v>
      </c>
      <c r="F525" s="163">
        <v>1</v>
      </c>
      <c r="G525" s="864"/>
      <c r="H525" s="864">
        <v>11160.568467147663</v>
      </c>
      <c r="I525" s="864">
        <v>11297.278032578459</v>
      </c>
      <c r="J525" s="864">
        <v>11621.503746913197</v>
      </c>
      <c r="K525" s="864">
        <v>11962.793972528712</v>
      </c>
      <c r="L525" s="18" t="s">
        <v>994</v>
      </c>
      <c r="M525" s="442"/>
      <c r="N525" s="527"/>
      <c r="P525" s="546"/>
      <c r="T525" s="443"/>
      <c r="U525" s="440"/>
      <c r="V525" s="440"/>
      <c r="W525" s="440"/>
      <c r="X525" s="442"/>
    </row>
    <row r="526" spans="1:24" x14ac:dyDescent="0.25">
      <c r="A526" s="862">
        <v>1244</v>
      </c>
      <c r="B526" s="863" t="s">
        <v>6647</v>
      </c>
      <c r="C526" s="862">
        <v>1244</v>
      </c>
      <c r="D526" s="165" t="s">
        <v>2145</v>
      </c>
      <c r="E526" s="165" t="s">
        <v>6648</v>
      </c>
      <c r="F526" s="163">
        <v>1</v>
      </c>
      <c r="G526" s="864"/>
      <c r="H526" s="864">
        <v>15987.820428751909</v>
      </c>
      <c r="I526" s="864">
        <v>16908.68491732312</v>
      </c>
      <c r="J526" s="864">
        <v>17393.3402547193</v>
      </c>
      <c r="K526" s="864">
        <v>17903.495621444352</v>
      </c>
      <c r="L526" s="18" t="s">
        <v>2952</v>
      </c>
      <c r="M526" s="442"/>
      <c r="N526" s="527"/>
      <c r="P526" s="546"/>
      <c r="T526" s="443"/>
      <c r="U526" s="440"/>
      <c r="V526" s="440"/>
      <c r="W526" s="440"/>
      <c r="X526" s="442"/>
    </row>
    <row r="527" spans="1:24" x14ac:dyDescent="0.25">
      <c r="A527" s="862">
        <v>1245</v>
      </c>
      <c r="B527" s="863" t="s">
        <v>6649</v>
      </c>
      <c r="C527" s="862">
        <v>1245</v>
      </c>
      <c r="D527" s="165" t="s">
        <v>2145</v>
      </c>
      <c r="E527" s="165" t="s">
        <v>6650</v>
      </c>
      <c r="F527" s="163">
        <v>1</v>
      </c>
      <c r="G527" s="864"/>
      <c r="H527" s="864">
        <v>0</v>
      </c>
      <c r="I527" s="864">
        <v>0</v>
      </c>
      <c r="J527" s="864">
        <v>0</v>
      </c>
      <c r="K527" s="864">
        <v>12326.793228896611</v>
      </c>
      <c r="L527" s="18" t="s">
        <v>10852</v>
      </c>
      <c r="M527" s="442"/>
      <c r="N527" s="527"/>
      <c r="P527" s="546"/>
      <c r="T527" s="443"/>
      <c r="U527" s="440"/>
      <c r="V527" s="440"/>
      <c r="W527" s="440"/>
      <c r="X527" s="442"/>
    </row>
    <row r="528" spans="1:24" x14ac:dyDescent="0.25">
      <c r="A528" s="862">
        <v>1246</v>
      </c>
      <c r="B528" s="863" t="s">
        <v>6651</v>
      </c>
      <c r="C528" s="862">
        <v>1246</v>
      </c>
      <c r="D528" s="165" t="s">
        <v>2145</v>
      </c>
      <c r="E528" s="165" t="s">
        <v>6652</v>
      </c>
      <c r="F528" s="163">
        <v>1</v>
      </c>
      <c r="G528" s="864"/>
      <c r="H528" s="864">
        <v>0</v>
      </c>
      <c r="I528" s="864">
        <v>0</v>
      </c>
      <c r="J528" s="864">
        <v>0</v>
      </c>
      <c r="K528" s="864">
        <v>11198.077980678889</v>
      </c>
      <c r="L528" s="18" t="s">
        <v>10853</v>
      </c>
      <c r="M528" s="442"/>
      <c r="N528" s="527"/>
      <c r="P528" s="543"/>
      <c r="T528" s="443"/>
      <c r="U528" s="440"/>
      <c r="V528" s="440"/>
      <c r="W528" s="440"/>
      <c r="X528" s="442"/>
    </row>
    <row r="529" spans="1:24" x14ac:dyDescent="0.25">
      <c r="A529" s="862">
        <v>1247</v>
      </c>
      <c r="B529" s="863" t="s">
        <v>6653</v>
      </c>
      <c r="C529" s="862">
        <v>1247</v>
      </c>
      <c r="D529" s="165" t="s">
        <v>2145</v>
      </c>
      <c r="E529" s="165" t="s">
        <v>6654</v>
      </c>
      <c r="F529" s="163">
        <v>1</v>
      </c>
      <c r="G529" s="864"/>
      <c r="H529" s="864">
        <v>0</v>
      </c>
      <c r="I529" s="864">
        <v>0</v>
      </c>
      <c r="J529" s="864">
        <v>0</v>
      </c>
      <c r="K529" s="864">
        <v>13568.380001936099</v>
      </c>
      <c r="L529" s="18" t="s">
        <v>10854</v>
      </c>
      <c r="M529" s="442"/>
      <c r="N529" s="527"/>
      <c r="P529" s="543"/>
      <c r="T529" s="443"/>
      <c r="U529" s="440"/>
      <c r="V529" s="440"/>
      <c r="W529" s="440"/>
      <c r="X529" s="442"/>
    </row>
    <row r="530" spans="1:24" x14ac:dyDescent="0.25">
      <c r="A530" s="862">
        <v>1248</v>
      </c>
      <c r="B530" s="863" t="s">
        <v>6655</v>
      </c>
      <c r="C530" s="862">
        <v>1248</v>
      </c>
      <c r="D530" s="165" t="s">
        <v>2145</v>
      </c>
      <c r="E530" s="165" t="s">
        <v>6656</v>
      </c>
      <c r="F530" s="163">
        <v>1</v>
      </c>
      <c r="G530" s="864"/>
      <c r="H530" s="864">
        <v>0</v>
      </c>
      <c r="I530" s="864">
        <v>0</v>
      </c>
      <c r="J530" s="864">
        <v>0</v>
      </c>
      <c r="K530" s="864">
        <v>12891.150853005469</v>
      </c>
      <c r="L530" s="18" t="s">
        <v>10855</v>
      </c>
      <c r="M530" s="442"/>
      <c r="N530" s="527"/>
      <c r="P530" s="543"/>
      <c r="T530" s="443"/>
      <c r="U530" s="440"/>
      <c r="V530" s="440"/>
      <c r="W530" s="440"/>
      <c r="X530" s="442"/>
    </row>
    <row r="531" spans="1:24" x14ac:dyDescent="0.25">
      <c r="A531" s="862">
        <v>1249</v>
      </c>
      <c r="B531" s="863" t="s">
        <v>6657</v>
      </c>
      <c r="C531" s="862">
        <v>1249</v>
      </c>
      <c r="D531" s="165" t="s">
        <v>2145</v>
      </c>
      <c r="E531" s="165" t="s">
        <v>6658</v>
      </c>
      <c r="F531" s="163">
        <v>1</v>
      </c>
      <c r="G531" s="864"/>
      <c r="H531" s="864">
        <v>0</v>
      </c>
      <c r="I531" s="864">
        <v>17831.566962358858</v>
      </c>
      <c r="J531" s="864">
        <v>18242.299355416086</v>
      </c>
      <c r="K531" s="864">
        <v>18674.649242844745</v>
      </c>
      <c r="L531" s="18" t="s">
        <v>3863</v>
      </c>
      <c r="M531" s="442"/>
      <c r="N531" s="527"/>
      <c r="P531" s="543"/>
      <c r="T531" s="443"/>
      <c r="U531" s="440"/>
      <c r="V531" s="440"/>
      <c r="W531" s="440"/>
      <c r="X531" s="442"/>
    </row>
    <row r="532" spans="1:24" x14ac:dyDescent="0.25">
      <c r="A532" s="862">
        <v>1250</v>
      </c>
      <c r="B532" s="863" t="s">
        <v>6659</v>
      </c>
      <c r="C532" s="862">
        <v>1250</v>
      </c>
      <c r="D532" s="165" t="s">
        <v>2145</v>
      </c>
      <c r="E532" s="165" t="s">
        <v>6660</v>
      </c>
      <c r="F532" s="163">
        <v>1</v>
      </c>
      <c r="G532" s="864"/>
      <c r="H532" s="864">
        <v>0</v>
      </c>
      <c r="I532" s="864">
        <v>20018.652913052352</v>
      </c>
      <c r="J532" s="864">
        <v>20475.222721943705</v>
      </c>
      <c r="K532" s="864">
        <v>20955.838957158339</v>
      </c>
      <c r="L532" s="18" t="s">
        <v>4583</v>
      </c>
      <c r="M532" s="442"/>
      <c r="N532" s="527"/>
      <c r="P532" s="543"/>
      <c r="T532" s="443"/>
      <c r="U532" s="440"/>
      <c r="V532" s="440"/>
      <c r="W532" s="440"/>
      <c r="X532" s="442"/>
    </row>
    <row r="533" spans="1:24" x14ac:dyDescent="0.25">
      <c r="A533" s="862">
        <v>1251</v>
      </c>
      <c r="B533" s="863" t="s">
        <v>6661</v>
      </c>
      <c r="C533" s="862">
        <v>1251</v>
      </c>
      <c r="D533" s="165" t="s">
        <v>2145</v>
      </c>
      <c r="E533" s="165" t="s">
        <v>6662</v>
      </c>
      <c r="F533" s="163">
        <v>1</v>
      </c>
      <c r="G533" s="864"/>
      <c r="H533" s="864">
        <v>16164.377489352528</v>
      </c>
      <c r="I533" s="864">
        <v>16568.864057390721</v>
      </c>
      <c r="J533" s="864">
        <v>16994.655828549396</v>
      </c>
      <c r="K533" s="864">
        <v>17442.863171720823</v>
      </c>
      <c r="L533" s="18" t="s">
        <v>995</v>
      </c>
      <c r="M533" s="442"/>
      <c r="N533" s="527"/>
      <c r="P533" s="543"/>
      <c r="T533" s="443"/>
      <c r="U533" s="440"/>
      <c r="V533" s="440"/>
      <c r="W533" s="440"/>
      <c r="X533" s="442"/>
    </row>
    <row r="534" spans="1:24" x14ac:dyDescent="0.25">
      <c r="A534" s="862">
        <v>1252</v>
      </c>
      <c r="B534" s="863" t="s">
        <v>6663</v>
      </c>
      <c r="C534" s="862">
        <v>1252</v>
      </c>
      <c r="D534" s="165" t="s">
        <v>2145</v>
      </c>
      <c r="E534" s="165" t="s">
        <v>6664</v>
      </c>
      <c r="F534" s="163">
        <v>1</v>
      </c>
      <c r="G534" s="864"/>
      <c r="H534" s="864">
        <v>17552.798743976131</v>
      </c>
      <c r="I534" s="864">
        <v>17997.779077554387</v>
      </c>
      <c r="J534" s="864">
        <v>18466.181254954026</v>
      </c>
      <c r="K534" s="864">
        <v>18959.219742150959</v>
      </c>
      <c r="L534" s="18" t="s">
        <v>996</v>
      </c>
      <c r="M534" s="442"/>
      <c r="N534" s="527"/>
      <c r="P534" s="543"/>
      <c r="T534" s="443"/>
      <c r="U534" s="440"/>
      <c r="V534" s="440"/>
      <c r="W534" s="440"/>
      <c r="X534" s="442"/>
    </row>
    <row r="535" spans="1:24" x14ac:dyDescent="0.25">
      <c r="A535" s="862">
        <v>1253</v>
      </c>
      <c r="B535" s="863" t="s">
        <v>6665</v>
      </c>
      <c r="C535" s="862">
        <v>1253</v>
      </c>
      <c r="D535" s="165" t="s">
        <v>2145</v>
      </c>
      <c r="E535" s="165" t="s">
        <v>6666</v>
      </c>
      <c r="F535" s="163">
        <v>1</v>
      </c>
      <c r="G535" s="864"/>
      <c r="H535" s="864">
        <v>18933.11980284192</v>
      </c>
      <c r="I535" s="864">
        <v>19418.31630973718</v>
      </c>
      <c r="J535" s="864">
        <v>19929.051301154708</v>
      </c>
      <c r="K535" s="864">
        <v>20466.678039181974</v>
      </c>
      <c r="L535" s="18" t="s">
        <v>997</v>
      </c>
      <c r="M535" s="442"/>
      <c r="N535" s="527"/>
      <c r="P535" s="543"/>
      <c r="T535" s="443"/>
      <c r="U535" s="440"/>
      <c r="V535" s="440"/>
      <c r="W535" s="440"/>
      <c r="X535" s="442"/>
    </row>
    <row r="536" spans="1:24" x14ac:dyDescent="0.25">
      <c r="A536" s="862">
        <v>1254</v>
      </c>
      <c r="B536" s="863" t="s">
        <v>6667</v>
      </c>
      <c r="C536" s="862">
        <v>1254</v>
      </c>
      <c r="D536" s="165" t="s">
        <v>2145</v>
      </c>
      <c r="E536" s="165" t="s">
        <v>6668</v>
      </c>
      <c r="F536" s="163">
        <v>1</v>
      </c>
      <c r="G536" s="864"/>
      <c r="H536" s="864">
        <v>15534.158240979916</v>
      </c>
      <c r="I536" s="864">
        <v>0</v>
      </c>
      <c r="J536" s="864">
        <v>0</v>
      </c>
      <c r="K536" s="864">
        <v>0</v>
      </c>
      <c r="L536" s="18" t="s">
        <v>998</v>
      </c>
      <c r="M536" s="442"/>
      <c r="N536" s="527"/>
      <c r="P536" s="543"/>
      <c r="T536" s="443"/>
      <c r="U536" s="440"/>
      <c r="V536" s="440"/>
      <c r="W536" s="440"/>
      <c r="X536" s="442"/>
    </row>
    <row r="537" spans="1:24" x14ac:dyDescent="0.25">
      <c r="A537" s="862">
        <v>1255</v>
      </c>
      <c r="B537" s="863" t="s">
        <v>6669</v>
      </c>
      <c r="C537" s="862">
        <v>1255</v>
      </c>
      <c r="D537" s="165" t="s">
        <v>2145</v>
      </c>
      <c r="E537" s="165" t="s">
        <v>6670</v>
      </c>
      <c r="F537" s="163">
        <v>1</v>
      </c>
      <c r="G537" s="864"/>
      <c r="H537" s="864">
        <v>15534.158240979916</v>
      </c>
      <c r="I537" s="864">
        <v>0</v>
      </c>
      <c r="J537" s="864">
        <v>0</v>
      </c>
      <c r="K537" s="864">
        <v>0</v>
      </c>
      <c r="L537" s="18" t="s">
        <v>999</v>
      </c>
      <c r="M537" s="442"/>
      <c r="N537" s="527"/>
      <c r="P537" s="543"/>
      <c r="T537" s="443"/>
      <c r="U537" s="440"/>
      <c r="V537" s="440"/>
      <c r="W537" s="440"/>
      <c r="X537" s="442"/>
    </row>
    <row r="538" spans="1:24" x14ac:dyDescent="0.25">
      <c r="A538" s="862">
        <v>1256</v>
      </c>
      <c r="B538" s="863" t="s">
        <v>6671</v>
      </c>
      <c r="C538" s="862">
        <v>1256</v>
      </c>
      <c r="D538" s="165" t="s">
        <v>2145</v>
      </c>
      <c r="E538" s="165" t="s">
        <v>6672</v>
      </c>
      <c r="F538" s="163">
        <v>1</v>
      </c>
      <c r="G538" s="864"/>
      <c r="H538" s="864">
        <v>13736.87686455537</v>
      </c>
      <c r="I538" s="864">
        <v>0</v>
      </c>
      <c r="J538" s="864">
        <v>0</v>
      </c>
      <c r="K538" s="864">
        <v>0</v>
      </c>
      <c r="L538" s="18" t="s">
        <v>1000</v>
      </c>
      <c r="M538" s="442"/>
      <c r="N538" s="527"/>
      <c r="P538" s="543"/>
      <c r="T538" s="443"/>
      <c r="U538" s="440"/>
      <c r="V538" s="440"/>
      <c r="W538" s="440"/>
      <c r="X538" s="442"/>
    </row>
    <row r="539" spans="1:24" x14ac:dyDescent="0.25">
      <c r="A539" s="862">
        <v>1257</v>
      </c>
      <c r="B539" s="863" t="s">
        <v>6673</v>
      </c>
      <c r="C539" s="862">
        <v>1257</v>
      </c>
      <c r="D539" s="165" t="s">
        <v>2145</v>
      </c>
      <c r="E539" s="165" t="s">
        <v>6674</v>
      </c>
      <c r="F539" s="163">
        <v>1</v>
      </c>
      <c r="G539" s="864"/>
      <c r="H539" s="864">
        <v>0</v>
      </c>
      <c r="I539" s="864">
        <v>0</v>
      </c>
      <c r="J539" s="864">
        <v>0</v>
      </c>
      <c r="K539" s="864">
        <v>28817.836212189879</v>
      </c>
      <c r="L539" s="18" t="s">
        <v>10856</v>
      </c>
      <c r="M539" s="442"/>
      <c r="N539" s="527"/>
      <c r="P539" s="543"/>
      <c r="T539" s="443"/>
      <c r="U539" s="440"/>
      <c r="V539" s="440"/>
      <c r="W539" s="440"/>
      <c r="X539" s="442"/>
    </row>
    <row r="540" spans="1:24" x14ac:dyDescent="0.25">
      <c r="A540" s="862">
        <v>1258</v>
      </c>
      <c r="B540" s="863" t="s">
        <v>6675</v>
      </c>
      <c r="C540" s="862">
        <v>1258</v>
      </c>
      <c r="D540" s="165" t="s">
        <v>2145</v>
      </c>
      <c r="E540" s="165" t="s">
        <v>6676</v>
      </c>
      <c r="F540" s="163">
        <v>1</v>
      </c>
      <c r="G540" s="864"/>
      <c r="H540" s="864">
        <v>27301.804176313166</v>
      </c>
      <c r="I540" s="864">
        <v>27955.531012604788</v>
      </c>
      <c r="J540" s="864">
        <v>28643.682272851078</v>
      </c>
      <c r="K540" s="864">
        <v>29368.028355998253</v>
      </c>
      <c r="L540" s="18" t="s">
        <v>1001</v>
      </c>
      <c r="M540" s="442"/>
      <c r="N540" s="527"/>
      <c r="P540" s="543"/>
      <c r="T540" s="443"/>
      <c r="U540" s="440"/>
      <c r="V540" s="440"/>
      <c r="W540" s="440"/>
      <c r="X540" s="442"/>
    </row>
    <row r="541" spans="1:24" x14ac:dyDescent="0.25">
      <c r="A541" s="862">
        <v>1259</v>
      </c>
      <c r="B541" s="863" t="s">
        <v>6677</v>
      </c>
      <c r="C541" s="862">
        <v>1259</v>
      </c>
      <c r="D541" s="165" t="s">
        <v>2145</v>
      </c>
      <c r="E541" s="165" t="s">
        <v>6678</v>
      </c>
      <c r="F541" s="163">
        <v>1</v>
      </c>
      <c r="G541" s="864"/>
      <c r="H541" s="864">
        <v>0</v>
      </c>
      <c r="I541" s="864">
        <v>26050.191159957616</v>
      </c>
      <c r="J541" s="864">
        <v>26606.461749494327</v>
      </c>
      <c r="K541" s="864">
        <v>27192.014175570443</v>
      </c>
      <c r="L541" s="18" t="s">
        <v>4584</v>
      </c>
      <c r="M541" s="442"/>
      <c r="N541" s="527"/>
      <c r="P541" s="543"/>
      <c r="T541" s="443"/>
      <c r="U541" s="440"/>
      <c r="V541" s="440"/>
      <c r="W541" s="440"/>
      <c r="X541" s="442"/>
    </row>
    <row r="542" spans="1:24" x14ac:dyDescent="0.25">
      <c r="A542" s="862">
        <v>1260</v>
      </c>
      <c r="B542" s="863" t="s">
        <v>6679</v>
      </c>
      <c r="C542" s="862">
        <v>1260</v>
      </c>
      <c r="D542" s="165" t="s">
        <v>2145</v>
      </c>
      <c r="E542" s="165" t="s">
        <v>6680</v>
      </c>
      <c r="F542" s="163">
        <v>1</v>
      </c>
      <c r="G542" s="864"/>
      <c r="H542" s="864">
        <v>0</v>
      </c>
      <c r="I542" s="864">
        <v>0</v>
      </c>
      <c r="J542" s="864">
        <v>0</v>
      </c>
      <c r="K542" s="864">
        <v>40206.414695071973</v>
      </c>
      <c r="L542" s="18" t="s">
        <v>10857</v>
      </c>
      <c r="M542" s="442"/>
      <c r="N542" s="527"/>
      <c r="P542" s="543"/>
      <c r="T542" s="443"/>
      <c r="U542" s="440"/>
      <c r="V542" s="440"/>
      <c r="W542" s="440"/>
      <c r="X542" s="442"/>
    </row>
    <row r="543" spans="1:24" x14ac:dyDescent="0.25">
      <c r="A543" s="862">
        <v>1261</v>
      </c>
      <c r="B543" s="863" t="s">
        <v>6681</v>
      </c>
      <c r="C543" s="862">
        <v>1261</v>
      </c>
      <c r="D543" s="165" t="s">
        <v>2145</v>
      </c>
      <c r="E543" s="165" t="s">
        <v>6682</v>
      </c>
      <c r="F543" s="163">
        <v>1</v>
      </c>
      <c r="G543" s="864"/>
      <c r="H543" s="864">
        <v>37125.094757513216</v>
      </c>
      <c r="I543" s="864">
        <v>38059.050455581048</v>
      </c>
      <c r="J543" s="864">
        <v>39042.155800584973</v>
      </c>
      <c r="K543" s="864">
        <v>40077.024238588478</v>
      </c>
      <c r="L543" s="18" t="s">
        <v>1002</v>
      </c>
      <c r="M543" s="442"/>
      <c r="N543" s="527"/>
      <c r="P543" s="543"/>
      <c r="T543" s="443"/>
      <c r="U543" s="440"/>
      <c r="V543" s="440"/>
      <c r="W543" s="440"/>
      <c r="X543" s="442"/>
    </row>
    <row r="544" spans="1:24" x14ac:dyDescent="0.25">
      <c r="A544" s="862">
        <v>1262</v>
      </c>
      <c r="B544" s="863" t="s">
        <v>6683</v>
      </c>
      <c r="C544" s="862">
        <v>1262</v>
      </c>
      <c r="D544" s="165" t="s">
        <v>2145</v>
      </c>
      <c r="E544" s="165" t="s">
        <v>6684</v>
      </c>
      <c r="F544" s="163">
        <v>1</v>
      </c>
      <c r="G544" s="864"/>
      <c r="H544" s="864">
        <v>0</v>
      </c>
      <c r="I544" s="864">
        <v>24465.165674645777</v>
      </c>
      <c r="J544" s="864">
        <v>25528.416698930254</v>
      </c>
      <c r="K544" s="864">
        <v>26088.031375365419</v>
      </c>
      <c r="L544" s="18" t="s">
        <v>3864</v>
      </c>
      <c r="M544" s="442"/>
      <c r="N544" s="527"/>
      <c r="P544" s="543"/>
      <c r="T544" s="443"/>
      <c r="U544" s="440"/>
      <c r="V544" s="440"/>
      <c r="W544" s="440"/>
      <c r="X544" s="442"/>
    </row>
    <row r="545" spans="1:24" x14ac:dyDescent="0.25">
      <c r="A545" s="862">
        <v>1263</v>
      </c>
      <c r="B545" s="863" t="s">
        <v>6685</v>
      </c>
      <c r="C545" s="862">
        <v>1263</v>
      </c>
      <c r="D545" s="165" t="s">
        <v>2145</v>
      </c>
      <c r="E545" s="165" t="s">
        <v>6686</v>
      </c>
      <c r="F545" s="163">
        <v>1</v>
      </c>
      <c r="G545" s="864"/>
      <c r="H545" s="864">
        <v>23725.688306721586</v>
      </c>
      <c r="I545" s="864">
        <v>24260.099406630579</v>
      </c>
      <c r="J545" s="864">
        <v>24822.633053199377</v>
      </c>
      <c r="K545" s="864">
        <v>25414.778087133516</v>
      </c>
      <c r="L545" s="18" t="s">
        <v>2953</v>
      </c>
      <c r="M545" s="442"/>
      <c r="N545" s="527"/>
      <c r="P545" s="543"/>
      <c r="T545" s="443"/>
      <c r="U545" s="440"/>
      <c r="V545" s="440"/>
      <c r="W545" s="440"/>
      <c r="X545" s="442"/>
    </row>
    <row r="546" spans="1:24" x14ac:dyDescent="0.25">
      <c r="A546" s="862">
        <v>1264</v>
      </c>
      <c r="B546" s="863" t="s">
        <v>6687</v>
      </c>
      <c r="C546" s="862">
        <v>1264</v>
      </c>
      <c r="D546" s="165" t="s">
        <v>2145</v>
      </c>
      <c r="E546" s="165" t="s">
        <v>6688</v>
      </c>
      <c r="F546" s="163">
        <v>1</v>
      </c>
      <c r="G546" s="864"/>
      <c r="H546" s="864">
        <v>23134.58973521899</v>
      </c>
      <c r="I546" s="864">
        <v>23725.273499571784</v>
      </c>
      <c r="J546" s="864">
        <v>24347.057491995431</v>
      </c>
      <c r="K546" s="864">
        <v>25001.568408816333</v>
      </c>
      <c r="L546" s="18" t="s">
        <v>1003</v>
      </c>
      <c r="M546" s="442"/>
      <c r="N546" s="527"/>
      <c r="P546" s="543"/>
      <c r="T546" s="443"/>
      <c r="U546" s="440"/>
      <c r="V546" s="440"/>
      <c r="W546" s="440"/>
      <c r="X546" s="442"/>
    </row>
    <row r="547" spans="1:24" x14ac:dyDescent="0.25">
      <c r="A547" s="862">
        <v>1265</v>
      </c>
      <c r="B547" s="863" t="s">
        <v>6689</v>
      </c>
      <c r="C547" s="862">
        <v>1265</v>
      </c>
      <c r="D547" s="165" t="s">
        <v>2145</v>
      </c>
      <c r="E547" s="165" t="s">
        <v>6690</v>
      </c>
      <c r="F547" s="163">
        <v>1</v>
      </c>
      <c r="G547" s="864"/>
      <c r="H547" s="864">
        <v>0</v>
      </c>
      <c r="I547" s="864">
        <v>0</v>
      </c>
      <c r="J547" s="864">
        <v>0</v>
      </c>
      <c r="K547" s="864">
        <v>26093.807900867767</v>
      </c>
      <c r="L547" s="18" t="s">
        <v>10858</v>
      </c>
      <c r="M547" s="442"/>
      <c r="N547" s="527"/>
      <c r="P547" s="543"/>
      <c r="T547" s="443"/>
      <c r="U547" s="440"/>
      <c r="V547" s="440"/>
      <c r="W547" s="440"/>
      <c r="X547" s="442"/>
    </row>
    <row r="548" spans="1:24" x14ac:dyDescent="0.25">
      <c r="A548" s="862">
        <v>1266</v>
      </c>
      <c r="B548" s="863" t="s">
        <v>6691</v>
      </c>
      <c r="C548" s="862">
        <v>1266</v>
      </c>
      <c r="D548" s="165" t="s">
        <v>2145</v>
      </c>
      <c r="E548" s="165" t="s">
        <v>6692</v>
      </c>
      <c r="F548" s="163">
        <v>1</v>
      </c>
      <c r="G548" s="864"/>
      <c r="H548" s="864">
        <v>0</v>
      </c>
      <c r="I548" s="864">
        <v>0</v>
      </c>
      <c r="J548" s="864">
        <v>0</v>
      </c>
      <c r="K548" s="864">
        <v>56245.419105096182</v>
      </c>
      <c r="L548" s="18" t="s">
        <v>10859</v>
      </c>
      <c r="M548" s="442"/>
      <c r="N548" s="527"/>
      <c r="P548" s="543"/>
      <c r="T548" s="443"/>
      <c r="U548" s="440"/>
      <c r="V548" s="440"/>
      <c r="W548" s="440"/>
      <c r="X548" s="442"/>
    </row>
    <row r="549" spans="1:24" x14ac:dyDescent="0.25">
      <c r="A549" s="862">
        <v>1267</v>
      </c>
      <c r="B549" s="863" t="s">
        <v>6693</v>
      </c>
      <c r="C549" s="862">
        <v>1267</v>
      </c>
      <c r="D549" s="165" t="s">
        <v>2145</v>
      </c>
      <c r="E549" s="165" t="s">
        <v>6694</v>
      </c>
      <c r="F549" s="163">
        <v>1</v>
      </c>
      <c r="G549" s="864"/>
      <c r="H549" s="864">
        <v>20313.219050783093</v>
      </c>
      <c r="I549" s="864">
        <v>20799.864368732342</v>
      </c>
      <c r="J549" s="864">
        <v>21312.135121861524</v>
      </c>
      <c r="K549" s="864">
        <v>21851.367493576447</v>
      </c>
      <c r="L549" s="18" t="s">
        <v>1004</v>
      </c>
      <c r="M549" s="442"/>
      <c r="N549" s="527"/>
      <c r="P549" s="543"/>
      <c r="T549" s="443"/>
      <c r="U549" s="440"/>
      <c r="V549" s="440"/>
      <c r="W549" s="440"/>
      <c r="X549" s="442"/>
    </row>
    <row r="550" spans="1:24" x14ac:dyDescent="0.25">
      <c r="A550" s="862">
        <v>1268</v>
      </c>
      <c r="B550" s="863" t="s">
        <v>6695</v>
      </c>
      <c r="C550" s="862">
        <v>1268</v>
      </c>
      <c r="D550" s="165" t="s">
        <v>2145</v>
      </c>
      <c r="E550" s="165" t="s">
        <v>6696</v>
      </c>
      <c r="F550" s="163">
        <v>1</v>
      </c>
      <c r="G550" s="864"/>
      <c r="H550" s="864">
        <v>20153.779805475704</v>
      </c>
      <c r="I550" s="864">
        <v>20660.013216476524</v>
      </c>
      <c r="J550" s="864">
        <v>21192.880333431647</v>
      </c>
      <c r="K550" s="864">
        <v>21753.787283674053</v>
      </c>
      <c r="L550" s="18" t="s">
        <v>1005</v>
      </c>
      <c r="M550" s="442"/>
      <c r="N550" s="527"/>
      <c r="P550" s="543"/>
      <c r="T550" s="443"/>
      <c r="U550" s="440"/>
      <c r="V550" s="440"/>
      <c r="W550" s="440"/>
      <c r="X550" s="442"/>
    </row>
    <row r="551" spans="1:24" x14ac:dyDescent="0.25">
      <c r="A551" s="862">
        <v>1269</v>
      </c>
      <c r="B551" s="863" t="s">
        <v>6697</v>
      </c>
      <c r="C551" s="862">
        <v>1269</v>
      </c>
      <c r="D551" s="165" t="s">
        <v>2145</v>
      </c>
      <c r="E551" s="165" t="s">
        <v>6698</v>
      </c>
      <c r="F551" s="163">
        <v>2</v>
      </c>
      <c r="G551" s="864"/>
      <c r="H551" s="864">
        <v>17927.837700514934</v>
      </c>
      <c r="I551" s="864">
        <v>18330.3956989853</v>
      </c>
      <c r="J551" s="864">
        <v>18754.167032445635</v>
      </c>
      <c r="K551" s="864">
        <v>19200.229851163291</v>
      </c>
      <c r="L551" s="18" t="s">
        <v>1006</v>
      </c>
      <c r="M551" s="442"/>
      <c r="N551" s="527"/>
      <c r="P551" s="543"/>
      <c r="T551" s="443"/>
      <c r="U551" s="440"/>
      <c r="V551" s="440"/>
      <c r="W551" s="440"/>
      <c r="X551" s="442"/>
    </row>
    <row r="552" spans="1:24" x14ac:dyDescent="0.25">
      <c r="A552" s="862">
        <v>1270</v>
      </c>
      <c r="B552" s="863" t="s">
        <v>6699</v>
      </c>
      <c r="C552" s="862">
        <v>1270</v>
      </c>
      <c r="D552" s="165" t="s">
        <v>2145</v>
      </c>
      <c r="E552" s="165" t="s">
        <v>6700</v>
      </c>
      <c r="F552" s="163">
        <v>2</v>
      </c>
      <c r="G552" s="864"/>
      <c r="H552" s="864">
        <v>23084.289044392408</v>
      </c>
      <c r="I552" s="864">
        <v>23594.079285669217</v>
      </c>
      <c r="J552" s="864">
        <v>24130.706726844048</v>
      </c>
      <c r="K552" s="864">
        <v>24695.570049344813</v>
      </c>
      <c r="L552" s="18" t="s">
        <v>1007</v>
      </c>
      <c r="M552" s="442"/>
      <c r="N552" s="527"/>
      <c r="P552" s="543"/>
      <c r="T552" s="443"/>
      <c r="U552" s="440"/>
      <c r="V552" s="440"/>
      <c r="W552" s="440"/>
      <c r="X552" s="442"/>
    </row>
    <row r="553" spans="1:24" x14ac:dyDescent="0.25">
      <c r="A553" s="862">
        <v>1271</v>
      </c>
      <c r="B553" s="863" t="s">
        <v>6701</v>
      </c>
      <c r="C553" s="862">
        <v>1271</v>
      </c>
      <c r="D553" s="165" t="s">
        <v>2145</v>
      </c>
      <c r="E553" s="165" t="s">
        <v>6702</v>
      </c>
      <c r="F553" s="163">
        <v>2</v>
      </c>
      <c r="G553" s="864"/>
      <c r="H553" s="864">
        <v>15032.722931821656</v>
      </c>
      <c r="I553" s="864">
        <v>15482.256974723254</v>
      </c>
      <c r="J553" s="864">
        <v>15981.743301816987</v>
      </c>
      <c r="K553" s="864">
        <v>16481.229628910725</v>
      </c>
      <c r="L553" s="18" t="s">
        <v>2954</v>
      </c>
      <c r="M553" s="442"/>
      <c r="N553" s="527"/>
      <c r="P553" s="543"/>
      <c r="T553" s="443"/>
      <c r="U553" s="440"/>
      <c r="V553" s="440"/>
      <c r="W553" s="440"/>
      <c r="X553" s="442"/>
    </row>
    <row r="554" spans="1:24" x14ac:dyDescent="0.25">
      <c r="A554" s="862">
        <v>1272</v>
      </c>
      <c r="B554" s="863" t="s">
        <v>6703</v>
      </c>
      <c r="C554" s="862">
        <v>1272</v>
      </c>
      <c r="D554" s="165" t="s">
        <v>2145</v>
      </c>
      <c r="E554" s="165" t="s">
        <v>6704</v>
      </c>
      <c r="F554" s="163">
        <v>2</v>
      </c>
      <c r="G554" s="864"/>
      <c r="H554" s="864">
        <v>15856.526608860211</v>
      </c>
      <c r="I554" s="864">
        <v>16365.397246653782</v>
      </c>
      <c r="J554" s="864">
        <v>16874.267884447352</v>
      </c>
      <c r="K554" s="864">
        <v>17409.903890890662</v>
      </c>
      <c r="L554" s="18" t="s">
        <v>2955</v>
      </c>
      <c r="M554" s="442"/>
      <c r="N554" s="527"/>
      <c r="P554" s="543"/>
      <c r="T554" s="443"/>
      <c r="U554" s="440"/>
      <c r="V554" s="440"/>
      <c r="W554" s="440"/>
      <c r="X554" s="442"/>
    </row>
    <row r="555" spans="1:24" x14ac:dyDescent="0.25">
      <c r="A555" s="862">
        <v>1273</v>
      </c>
      <c r="B555" s="863" t="s">
        <v>6705</v>
      </c>
      <c r="C555" s="862">
        <v>1273</v>
      </c>
      <c r="D555" s="165" t="s">
        <v>2145</v>
      </c>
      <c r="E555" s="165" t="s">
        <v>6706</v>
      </c>
      <c r="F555" s="163">
        <v>2</v>
      </c>
      <c r="G555" s="864"/>
      <c r="H555" s="864">
        <v>18352.956326871095</v>
      </c>
      <c r="I555" s="864">
        <v>18948.54968027601</v>
      </c>
      <c r="J555" s="864">
        <v>19575.472755783892</v>
      </c>
      <c r="K555" s="864">
        <v>20235.405235465521</v>
      </c>
      <c r="L555" s="18" t="s">
        <v>1008</v>
      </c>
      <c r="M555" s="442"/>
      <c r="N555" s="527"/>
      <c r="P555" s="543"/>
      <c r="T555" s="443"/>
      <c r="U555" s="440"/>
      <c r="V555" s="440"/>
      <c r="W555" s="440"/>
      <c r="X555" s="442"/>
    </row>
    <row r="556" spans="1:24" x14ac:dyDescent="0.25">
      <c r="A556" s="862">
        <v>1274</v>
      </c>
      <c r="B556" s="863" t="s">
        <v>6707</v>
      </c>
      <c r="C556" s="862">
        <v>1274</v>
      </c>
      <c r="D556" s="165" t="s">
        <v>2145</v>
      </c>
      <c r="E556" s="165" t="s">
        <v>6708</v>
      </c>
      <c r="F556" s="163">
        <v>2</v>
      </c>
      <c r="G556" s="864"/>
      <c r="H556" s="864">
        <v>18792.816343018629</v>
      </c>
      <c r="I556" s="864">
        <v>19406.228932304952</v>
      </c>
      <c r="J556" s="864">
        <v>20051.920629212509</v>
      </c>
      <c r="K556" s="864">
        <v>20731.607630639715</v>
      </c>
      <c r="L556" s="18" t="s">
        <v>1009</v>
      </c>
      <c r="M556" s="442"/>
      <c r="N556" s="527"/>
      <c r="P556" s="543"/>
      <c r="T556" s="443"/>
      <c r="U556" s="440"/>
      <c r="V556" s="440"/>
      <c r="W556" s="440"/>
      <c r="X556" s="442"/>
    </row>
    <row r="557" spans="1:24" x14ac:dyDescent="0.25">
      <c r="A557" s="862">
        <v>1275</v>
      </c>
      <c r="B557" s="863" t="s">
        <v>6709</v>
      </c>
      <c r="C557" s="862">
        <v>1275</v>
      </c>
      <c r="D557" s="165" t="s">
        <v>2145</v>
      </c>
      <c r="E557" s="165" t="s">
        <v>6710</v>
      </c>
      <c r="F557" s="163">
        <v>1</v>
      </c>
      <c r="G557" s="864"/>
      <c r="H557" s="864">
        <v>13302.904571016446</v>
      </c>
      <c r="I557" s="864">
        <v>13564.140708451547</v>
      </c>
      <c r="J557" s="864">
        <v>13839.135389237763</v>
      </c>
      <c r="K557" s="864">
        <v>14128.609375250311</v>
      </c>
      <c r="L557" s="18" t="s">
        <v>1010</v>
      </c>
      <c r="M557" s="442"/>
      <c r="N557" s="527"/>
      <c r="P557" s="543"/>
      <c r="T557" s="443"/>
      <c r="U557" s="440"/>
      <c r="V557" s="440"/>
      <c r="W557" s="440"/>
      <c r="X557" s="442"/>
    </row>
    <row r="558" spans="1:24" x14ac:dyDescent="0.25">
      <c r="A558" s="862">
        <v>1276</v>
      </c>
      <c r="B558" s="863" t="s">
        <v>6711</v>
      </c>
      <c r="C558" s="862">
        <v>1276</v>
      </c>
      <c r="D558" s="165" t="s">
        <v>2145</v>
      </c>
      <c r="E558" s="165" t="s">
        <v>6712</v>
      </c>
      <c r="F558" s="163">
        <v>1</v>
      </c>
      <c r="G558" s="864"/>
      <c r="H558" s="864">
        <v>13137.194707446422</v>
      </c>
      <c r="I558" s="864">
        <v>13379.899256223496</v>
      </c>
      <c r="J558" s="864">
        <v>13635.369298656962</v>
      </c>
      <c r="K558" s="864">
        <v>13904.293562760909</v>
      </c>
      <c r="L558" s="18" t="s">
        <v>2956</v>
      </c>
      <c r="M558" s="442"/>
      <c r="N558" s="527"/>
      <c r="P558" s="543"/>
      <c r="T558" s="443"/>
      <c r="U558" s="440"/>
      <c r="V558" s="440"/>
      <c r="W558" s="440"/>
      <c r="X558" s="442"/>
    </row>
    <row r="559" spans="1:24" x14ac:dyDescent="0.25">
      <c r="A559" s="862">
        <v>1277</v>
      </c>
      <c r="B559" s="863" t="s">
        <v>6713</v>
      </c>
      <c r="C559" s="862">
        <v>1277</v>
      </c>
      <c r="D559" s="165" t="s">
        <v>2145</v>
      </c>
      <c r="E559" s="165" t="s">
        <v>6714</v>
      </c>
      <c r="F559" s="163">
        <v>1</v>
      </c>
      <c r="G559" s="864"/>
      <c r="H559" s="864">
        <v>23423.811802652675</v>
      </c>
      <c r="I559" s="864">
        <v>24037.044163575556</v>
      </c>
      <c r="J559" s="864">
        <v>24682.548484015966</v>
      </c>
      <c r="K559" s="864">
        <v>25362.018146309838</v>
      </c>
      <c r="L559" s="18" t="s">
        <v>1011</v>
      </c>
      <c r="M559" s="442"/>
      <c r="N559" s="527"/>
      <c r="P559" s="543"/>
      <c r="T559" s="443"/>
      <c r="U559" s="440"/>
      <c r="V559" s="440"/>
      <c r="W559" s="440"/>
      <c r="X559" s="442"/>
    </row>
    <row r="560" spans="1:24" x14ac:dyDescent="0.25">
      <c r="A560" s="862">
        <v>1278</v>
      </c>
      <c r="B560" s="863" t="s">
        <v>6715</v>
      </c>
      <c r="C560" s="862">
        <v>1278</v>
      </c>
      <c r="D560" s="165" t="s">
        <v>2145</v>
      </c>
      <c r="E560" s="165" t="s">
        <v>6716</v>
      </c>
      <c r="F560" s="163">
        <v>1</v>
      </c>
      <c r="G560" s="864"/>
      <c r="H560" s="864">
        <v>18878.000099321824</v>
      </c>
      <c r="I560" s="864">
        <v>19380.15309201636</v>
      </c>
      <c r="J560" s="864">
        <v>19908.748901187424</v>
      </c>
      <c r="K560" s="864">
        <v>20465.155258721723</v>
      </c>
      <c r="L560" s="18" t="s">
        <v>3865</v>
      </c>
      <c r="M560" s="442"/>
      <c r="N560" s="527"/>
      <c r="P560" s="543"/>
      <c r="T560" s="443"/>
      <c r="U560" s="440"/>
      <c r="V560" s="440"/>
      <c r="W560" s="440"/>
      <c r="X560" s="442"/>
    </row>
    <row r="561" spans="1:24" x14ac:dyDescent="0.25">
      <c r="A561" s="862">
        <v>1279</v>
      </c>
      <c r="B561" s="863" t="s">
        <v>6717</v>
      </c>
      <c r="C561" s="862">
        <v>1279</v>
      </c>
      <c r="D561" s="165" t="s">
        <v>2145</v>
      </c>
      <c r="E561" s="165" t="s">
        <v>6718</v>
      </c>
      <c r="F561" s="163">
        <v>1</v>
      </c>
      <c r="G561" s="864"/>
      <c r="H561" s="864">
        <v>16220.915800301216</v>
      </c>
      <c r="I561" s="864">
        <v>16626.643694982235</v>
      </c>
      <c r="J561" s="864">
        <v>17053.766824176888</v>
      </c>
      <c r="K561" s="864">
        <v>17503.359834367595</v>
      </c>
      <c r="L561" s="18" t="s">
        <v>1012</v>
      </c>
      <c r="M561" s="442"/>
      <c r="N561" s="527"/>
      <c r="P561" s="543"/>
      <c r="T561" s="443"/>
      <c r="U561" s="440"/>
      <c r="V561" s="440"/>
      <c r="W561" s="440"/>
      <c r="X561" s="442"/>
    </row>
    <row r="562" spans="1:24" x14ac:dyDescent="0.25">
      <c r="A562" s="862">
        <v>1280</v>
      </c>
      <c r="B562" s="863" t="s">
        <v>6719</v>
      </c>
      <c r="C562" s="862">
        <v>1280</v>
      </c>
      <c r="D562" s="165" t="s">
        <v>2145</v>
      </c>
      <c r="E562" s="165" t="s">
        <v>6720</v>
      </c>
      <c r="F562" s="163">
        <v>1</v>
      </c>
      <c r="G562" s="864"/>
      <c r="H562" s="864">
        <v>17893.742313057595</v>
      </c>
      <c r="I562" s="864">
        <v>18348.187514941656</v>
      </c>
      <c r="J562" s="864">
        <v>18826.568024843265</v>
      </c>
      <c r="K562" s="864">
        <v>19330.121314469437</v>
      </c>
      <c r="L562" s="18" t="s">
        <v>1013</v>
      </c>
      <c r="M562" s="442"/>
      <c r="N562" s="527"/>
      <c r="P562" s="543"/>
      <c r="T562" s="443"/>
      <c r="U562" s="440"/>
      <c r="V562" s="440"/>
      <c r="W562" s="440"/>
      <c r="X562" s="442"/>
    </row>
    <row r="563" spans="1:24" x14ac:dyDescent="0.25">
      <c r="A563" s="862">
        <v>1281</v>
      </c>
      <c r="B563" s="863" t="s">
        <v>6721</v>
      </c>
      <c r="C563" s="862">
        <v>1281</v>
      </c>
      <c r="D563" s="165" t="s">
        <v>2145</v>
      </c>
      <c r="E563" s="165" t="s">
        <v>6722</v>
      </c>
      <c r="F563" s="163">
        <v>1</v>
      </c>
      <c r="G563" s="864"/>
      <c r="H563" s="864">
        <v>0</v>
      </c>
      <c r="I563" s="864">
        <v>22169.337702031167</v>
      </c>
      <c r="J563" s="864">
        <v>22707.540199454168</v>
      </c>
      <c r="K563" s="864">
        <v>23439.797799566324</v>
      </c>
      <c r="L563" s="18" t="s">
        <v>3866</v>
      </c>
      <c r="M563" s="442"/>
      <c r="N563" s="527"/>
      <c r="P563" s="543"/>
      <c r="T563" s="443"/>
      <c r="U563" s="440"/>
      <c r="V563" s="440"/>
      <c r="W563" s="440"/>
      <c r="X563" s="442"/>
    </row>
    <row r="564" spans="1:24" x14ac:dyDescent="0.25">
      <c r="A564" s="862">
        <v>1282</v>
      </c>
      <c r="B564" s="863" t="s">
        <v>6723</v>
      </c>
      <c r="C564" s="862">
        <v>1282</v>
      </c>
      <c r="D564" s="165" t="s">
        <v>2145</v>
      </c>
      <c r="E564" s="165" t="s">
        <v>6724</v>
      </c>
      <c r="F564" s="163">
        <v>1</v>
      </c>
      <c r="G564" s="864"/>
      <c r="H564" s="864">
        <v>18900.98335834673</v>
      </c>
      <c r="I564" s="864">
        <v>19382.49011256083</v>
      </c>
      <c r="J564" s="864">
        <v>19889.365036769035</v>
      </c>
      <c r="K564" s="864">
        <v>20422.91073276821</v>
      </c>
      <c r="L564" s="18" t="s">
        <v>1014</v>
      </c>
      <c r="M564" s="442"/>
      <c r="N564" s="527"/>
      <c r="P564" s="543"/>
      <c r="T564" s="443"/>
      <c r="U564" s="440"/>
      <c r="V564" s="440"/>
      <c r="W564" s="440"/>
      <c r="X564" s="442"/>
    </row>
    <row r="565" spans="1:24" x14ac:dyDescent="0.25">
      <c r="A565" s="862">
        <v>1283</v>
      </c>
      <c r="B565" s="863" t="s">
        <v>6725</v>
      </c>
      <c r="C565" s="862">
        <v>1283</v>
      </c>
      <c r="D565" s="165" t="s">
        <v>2145</v>
      </c>
      <c r="E565" s="165" t="s">
        <v>6726</v>
      </c>
      <c r="F565" s="163">
        <v>1</v>
      </c>
      <c r="G565" s="864"/>
      <c r="H565" s="864">
        <v>23684.186001257407</v>
      </c>
      <c r="I565" s="864">
        <v>24840.114835802495</v>
      </c>
      <c r="J565" s="864">
        <v>25448.495005032033</v>
      </c>
      <c r="K565" s="864">
        <v>26088.88661341972</v>
      </c>
      <c r="L565" s="18" t="s">
        <v>3867</v>
      </c>
      <c r="M565" s="442"/>
      <c r="N565" s="527"/>
      <c r="P565" s="543"/>
      <c r="T565" s="443"/>
      <c r="U565" s="440"/>
      <c r="V565" s="440"/>
      <c r="W565" s="440"/>
      <c r="X565" s="442"/>
    </row>
    <row r="566" spans="1:24" x14ac:dyDescent="0.25">
      <c r="A566" s="862">
        <v>1284</v>
      </c>
      <c r="B566" s="863" t="s">
        <v>6727</v>
      </c>
      <c r="C566" s="862">
        <v>1284</v>
      </c>
      <c r="D566" s="165" t="s">
        <v>2145</v>
      </c>
      <c r="E566" s="165" t="s">
        <v>6728</v>
      </c>
      <c r="F566" s="163">
        <v>1</v>
      </c>
      <c r="G566" s="864"/>
      <c r="H566" s="864">
        <v>0</v>
      </c>
      <c r="I566" s="864">
        <v>0</v>
      </c>
      <c r="J566" s="864">
        <v>25751.893184029785</v>
      </c>
      <c r="K566" s="864">
        <v>26384.95765731006</v>
      </c>
      <c r="L566" s="18" t="s">
        <v>4585</v>
      </c>
      <c r="M566" s="442"/>
      <c r="N566" s="527"/>
      <c r="P566" s="543"/>
      <c r="T566" s="443"/>
      <c r="U566" s="440"/>
      <c r="V566" s="440"/>
      <c r="W566" s="440"/>
      <c r="X566" s="442"/>
    </row>
    <row r="567" spans="1:24" x14ac:dyDescent="0.25">
      <c r="A567" s="862">
        <v>1285</v>
      </c>
      <c r="B567" s="863" t="s">
        <v>6729</v>
      </c>
      <c r="C567" s="862">
        <v>1285</v>
      </c>
      <c r="D567" s="165" t="s">
        <v>2145</v>
      </c>
      <c r="E567" s="165" t="s">
        <v>6730</v>
      </c>
      <c r="F567" s="163">
        <v>1</v>
      </c>
      <c r="G567" s="864"/>
      <c r="H567" s="864">
        <v>20945.556332836728</v>
      </c>
      <c r="I567" s="864">
        <v>0</v>
      </c>
      <c r="J567" s="864">
        <v>0</v>
      </c>
      <c r="K567" s="864">
        <v>0</v>
      </c>
      <c r="L567" s="18" t="s">
        <v>1015</v>
      </c>
      <c r="M567" s="442"/>
      <c r="N567" s="527"/>
      <c r="P567" s="543"/>
      <c r="T567" s="443"/>
      <c r="U567" s="440"/>
      <c r="V567" s="440"/>
      <c r="W567" s="440"/>
      <c r="X567" s="442"/>
    </row>
    <row r="568" spans="1:24" x14ac:dyDescent="0.25">
      <c r="A568" s="862">
        <v>1286</v>
      </c>
      <c r="B568" s="863" t="s">
        <v>6731</v>
      </c>
      <c r="C568" s="862">
        <v>1286</v>
      </c>
      <c r="D568" s="165" t="s">
        <v>2145</v>
      </c>
      <c r="E568" s="165" t="s">
        <v>6732</v>
      </c>
      <c r="F568" s="163">
        <v>1</v>
      </c>
      <c r="G568" s="864"/>
      <c r="H568" s="864">
        <v>25393.870995882244</v>
      </c>
      <c r="I568" s="864">
        <v>0</v>
      </c>
      <c r="J568" s="864">
        <v>0</v>
      </c>
      <c r="K568" s="864">
        <v>0</v>
      </c>
      <c r="L568" s="18" t="s">
        <v>1016</v>
      </c>
      <c r="M568" s="442"/>
      <c r="N568" s="527"/>
      <c r="P568" s="543"/>
      <c r="T568" s="443"/>
      <c r="U568" s="440"/>
      <c r="V568" s="440"/>
      <c r="W568" s="440"/>
      <c r="X568" s="442"/>
    </row>
    <row r="569" spans="1:24" x14ac:dyDescent="0.25">
      <c r="A569" s="862">
        <v>1287</v>
      </c>
      <c r="B569" s="863" t="s">
        <v>6733</v>
      </c>
      <c r="C569" s="862">
        <v>1287</v>
      </c>
      <c r="D569" s="165" t="s">
        <v>2145</v>
      </c>
      <c r="E569" s="165" t="s">
        <v>6734</v>
      </c>
      <c r="F569" s="163">
        <v>2</v>
      </c>
      <c r="G569" s="864"/>
      <c r="H569" s="864">
        <v>0</v>
      </c>
      <c r="I569" s="864">
        <v>0</v>
      </c>
      <c r="J569" s="864">
        <v>21817.503481289004</v>
      </c>
      <c r="K569" s="864">
        <v>22535.129388619447</v>
      </c>
      <c r="L569" s="18" t="s">
        <v>4586</v>
      </c>
      <c r="M569" s="442"/>
      <c r="N569" s="527"/>
      <c r="P569" s="543"/>
      <c r="T569" s="443"/>
      <c r="U569" s="440"/>
      <c r="V569" s="440"/>
      <c r="W569" s="440"/>
      <c r="X569" s="442"/>
    </row>
    <row r="570" spans="1:24" x14ac:dyDescent="0.25">
      <c r="A570" s="862">
        <v>1288</v>
      </c>
      <c r="B570" s="863" t="s">
        <v>6735</v>
      </c>
      <c r="C570" s="862">
        <v>1288</v>
      </c>
      <c r="D570" s="165" t="s">
        <v>2145</v>
      </c>
      <c r="E570" s="165" t="s">
        <v>6736</v>
      </c>
      <c r="F570" s="163">
        <v>2</v>
      </c>
      <c r="G570" s="864"/>
      <c r="H570" s="864">
        <v>0</v>
      </c>
      <c r="I570" s="864">
        <v>0</v>
      </c>
      <c r="J570" s="864">
        <v>22692.959036058986</v>
      </c>
      <c r="K570" s="864">
        <v>23445.200999978719</v>
      </c>
      <c r="L570" s="18" t="s">
        <v>4587</v>
      </c>
      <c r="M570" s="442"/>
      <c r="N570" s="527"/>
      <c r="P570" s="543"/>
      <c r="T570" s="443"/>
      <c r="U570" s="440"/>
      <c r="V570" s="440"/>
      <c r="W570" s="440"/>
      <c r="X570" s="442"/>
    </row>
    <row r="571" spans="1:24" x14ac:dyDescent="0.25">
      <c r="A571" s="862">
        <v>1289</v>
      </c>
      <c r="B571" s="863" t="s">
        <v>6737</v>
      </c>
      <c r="C571" s="862">
        <v>1289</v>
      </c>
      <c r="D571" s="165" t="s">
        <v>2145</v>
      </c>
      <c r="E571" s="165" t="s">
        <v>6738</v>
      </c>
      <c r="F571" s="163">
        <v>2</v>
      </c>
      <c r="G571" s="864"/>
      <c r="H571" s="864">
        <v>0</v>
      </c>
      <c r="I571" s="864">
        <v>0</v>
      </c>
      <c r="J571" s="864">
        <v>24006.142368213958</v>
      </c>
      <c r="K571" s="864">
        <v>24810.271902189994</v>
      </c>
      <c r="L571" s="18" t="s">
        <v>4588</v>
      </c>
      <c r="M571" s="442"/>
      <c r="N571" s="527"/>
      <c r="P571" s="543"/>
      <c r="T571" s="443"/>
      <c r="U571" s="440"/>
      <c r="V571" s="440"/>
      <c r="W571" s="440"/>
      <c r="X571" s="442"/>
    </row>
    <row r="572" spans="1:24" x14ac:dyDescent="0.25">
      <c r="A572" s="862">
        <v>1290</v>
      </c>
      <c r="B572" s="863" t="s">
        <v>6739</v>
      </c>
      <c r="C572" s="862">
        <v>1290</v>
      </c>
      <c r="D572" s="165" t="s">
        <v>2145</v>
      </c>
      <c r="E572" s="165" t="s">
        <v>6740</v>
      </c>
      <c r="F572" s="163">
        <v>2</v>
      </c>
      <c r="G572" s="864"/>
      <c r="H572" s="864">
        <v>13883.164181159495</v>
      </c>
      <c r="I572" s="864">
        <v>14308.854041621427</v>
      </c>
      <c r="J572" s="864">
        <v>14756.927491417991</v>
      </c>
      <c r="K572" s="864">
        <v>15228.589519860845</v>
      </c>
      <c r="L572" s="18" t="s">
        <v>1017</v>
      </c>
      <c r="M572" s="442"/>
      <c r="N572" s="527"/>
      <c r="P572" s="543"/>
      <c r="T572" s="443"/>
      <c r="U572" s="440"/>
      <c r="V572" s="440"/>
      <c r="W572" s="440"/>
      <c r="X572" s="442"/>
    </row>
    <row r="573" spans="1:24" x14ac:dyDescent="0.25">
      <c r="A573" s="862">
        <v>1291</v>
      </c>
      <c r="B573" s="863" t="s">
        <v>6741</v>
      </c>
      <c r="C573" s="862">
        <v>1291</v>
      </c>
      <c r="D573" s="165" t="s">
        <v>2145</v>
      </c>
      <c r="E573" s="165" t="s">
        <v>6742</v>
      </c>
      <c r="F573" s="163">
        <v>2</v>
      </c>
      <c r="G573" s="864"/>
      <c r="H573" s="864">
        <v>14499.615038603186</v>
      </c>
      <c r="I573" s="864">
        <v>14950.865278403196</v>
      </c>
      <c r="J573" s="864">
        <v>15425.850156159999</v>
      </c>
      <c r="K573" s="864">
        <v>15925.847690840494</v>
      </c>
      <c r="L573" s="18" t="s">
        <v>1018</v>
      </c>
      <c r="M573" s="442"/>
      <c r="N573" s="527"/>
      <c r="P573" s="543"/>
      <c r="T573" s="443"/>
      <c r="U573" s="440"/>
      <c r="V573" s="440"/>
      <c r="W573" s="440"/>
      <c r="X573" s="442"/>
    </row>
    <row r="574" spans="1:24" x14ac:dyDescent="0.25">
      <c r="A574" s="862">
        <v>1292</v>
      </c>
      <c r="B574" s="863" t="s">
        <v>6743</v>
      </c>
      <c r="C574" s="862">
        <v>1292</v>
      </c>
      <c r="D574" s="165" t="s">
        <v>2145</v>
      </c>
      <c r="E574" s="165" t="s">
        <v>6744</v>
      </c>
      <c r="F574" s="163">
        <v>1</v>
      </c>
      <c r="G574" s="864"/>
      <c r="H574" s="864">
        <v>0</v>
      </c>
      <c r="I574" s="864">
        <v>0</v>
      </c>
      <c r="J574" s="864">
        <v>0</v>
      </c>
      <c r="K574" s="864">
        <v>13342.636952292554</v>
      </c>
      <c r="L574" s="18" t="s">
        <v>10860</v>
      </c>
      <c r="M574" s="442"/>
      <c r="N574" s="527"/>
      <c r="P574" s="543"/>
      <c r="T574" s="443"/>
      <c r="U574" s="440"/>
      <c r="V574" s="440"/>
      <c r="W574" s="440"/>
      <c r="X574" s="442"/>
    </row>
    <row r="575" spans="1:24" x14ac:dyDescent="0.25">
      <c r="A575" s="862">
        <v>1293</v>
      </c>
      <c r="B575" s="863" t="s">
        <v>6745</v>
      </c>
      <c r="C575" s="862">
        <v>1293</v>
      </c>
      <c r="D575" s="165" t="s">
        <v>2145</v>
      </c>
      <c r="E575" s="165" t="s">
        <v>6746</v>
      </c>
      <c r="F575" s="163">
        <v>1</v>
      </c>
      <c r="G575" s="864"/>
      <c r="H575" s="864">
        <v>30067.710272101864</v>
      </c>
      <c r="I575" s="864">
        <v>31242.007966087793</v>
      </c>
      <c r="J575" s="864">
        <v>32478.138569470397</v>
      </c>
      <c r="K575" s="864">
        <v>33779.320348011817</v>
      </c>
      <c r="L575" s="18" t="s">
        <v>2957</v>
      </c>
      <c r="M575" s="442"/>
      <c r="N575" s="527"/>
      <c r="P575" s="543"/>
      <c r="T575" s="443"/>
      <c r="U575" s="440"/>
      <c r="V575" s="440"/>
      <c r="W575" s="440"/>
      <c r="X575" s="442"/>
    </row>
    <row r="576" spans="1:24" x14ac:dyDescent="0.25">
      <c r="A576" s="862">
        <v>1294</v>
      </c>
      <c r="B576" s="863" t="s">
        <v>6747</v>
      </c>
      <c r="C576" s="862">
        <v>1294</v>
      </c>
      <c r="D576" s="165" t="s">
        <v>2145</v>
      </c>
      <c r="E576" s="165" t="s">
        <v>6748</v>
      </c>
      <c r="F576" s="163">
        <v>1</v>
      </c>
      <c r="G576" s="864"/>
      <c r="H576" s="864">
        <v>44806.448152556128</v>
      </c>
      <c r="I576" s="864">
        <v>46605.511472033177</v>
      </c>
      <c r="J576" s="864">
        <v>48499.276218444567</v>
      </c>
      <c r="K576" s="864">
        <v>50492.701686571265</v>
      </c>
      <c r="L576" s="18" t="s">
        <v>2958</v>
      </c>
      <c r="M576" s="442"/>
      <c r="N576" s="527"/>
      <c r="P576" s="543"/>
      <c r="T576" s="443"/>
      <c r="U576" s="440"/>
      <c r="V576" s="440"/>
      <c r="W576" s="440"/>
      <c r="X576" s="442"/>
    </row>
    <row r="577" spans="1:24" x14ac:dyDescent="0.25">
      <c r="A577" s="862">
        <v>1295</v>
      </c>
      <c r="B577" s="863" t="s">
        <v>6749</v>
      </c>
      <c r="C577" s="862">
        <v>1295</v>
      </c>
      <c r="D577" s="165" t="s">
        <v>2145</v>
      </c>
      <c r="E577" s="165" t="s">
        <v>6750</v>
      </c>
      <c r="F577" s="163">
        <v>1</v>
      </c>
      <c r="G577" s="864"/>
      <c r="H577" s="864">
        <v>34784.106393847222</v>
      </c>
      <c r="I577" s="864">
        <v>36158.305874270052</v>
      </c>
      <c r="J577" s="864">
        <v>37604.8899551129</v>
      </c>
      <c r="K577" s="864">
        <v>39127.604486689044</v>
      </c>
      <c r="L577" s="18" t="s">
        <v>2959</v>
      </c>
      <c r="M577" s="442"/>
      <c r="N577" s="527"/>
      <c r="P577" s="543"/>
      <c r="T577" s="443"/>
      <c r="U577" s="440"/>
      <c r="V577" s="440"/>
      <c r="W577" s="440"/>
      <c r="X577" s="442"/>
    </row>
    <row r="578" spans="1:24" x14ac:dyDescent="0.25">
      <c r="A578" s="862">
        <v>1296</v>
      </c>
      <c r="B578" s="863" t="s">
        <v>6751</v>
      </c>
      <c r="C578" s="862">
        <v>1296</v>
      </c>
      <c r="D578" s="165" t="s">
        <v>2145</v>
      </c>
      <c r="E578" s="165" t="s">
        <v>6752</v>
      </c>
      <c r="F578" s="163">
        <v>1</v>
      </c>
      <c r="G578" s="864"/>
      <c r="H578" s="864">
        <v>37731.853969938085</v>
      </c>
      <c r="I578" s="864">
        <v>39231.038230532198</v>
      </c>
      <c r="J578" s="864">
        <v>40809.149139980807</v>
      </c>
      <c r="K578" s="864">
        <v>42470.301857782979</v>
      </c>
      <c r="L578" s="18" t="s">
        <v>2960</v>
      </c>
      <c r="M578" s="442"/>
      <c r="N578" s="527"/>
      <c r="P578" s="543"/>
      <c r="T578" s="443"/>
      <c r="U578" s="440"/>
      <c r="V578" s="440"/>
      <c r="W578" s="440"/>
      <c r="X578" s="442"/>
    </row>
    <row r="579" spans="1:24" x14ac:dyDescent="0.25">
      <c r="A579" s="862">
        <v>1297</v>
      </c>
      <c r="B579" s="863" t="s">
        <v>6753</v>
      </c>
      <c r="C579" s="862">
        <v>1297</v>
      </c>
      <c r="D579" s="165" t="s">
        <v>2145</v>
      </c>
      <c r="E579" s="165" t="s">
        <v>6754</v>
      </c>
      <c r="F579" s="163">
        <v>1</v>
      </c>
      <c r="G579" s="864"/>
      <c r="H579" s="864">
        <v>0</v>
      </c>
      <c r="I579" s="864">
        <v>0</v>
      </c>
      <c r="J579" s="864">
        <v>35668.430666674489</v>
      </c>
      <c r="K579" s="864">
        <v>37080.141408685238</v>
      </c>
      <c r="L579" s="18" t="s">
        <v>4589</v>
      </c>
      <c r="M579" s="442"/>
      <c r="N579" s="527"/>
      <c r="P579" s="543"/>
      <c r="T579" s="443"/>
      <c r="U579" s="440"/>
      <c r="V579" s="440"/>
      <c r="W579" s="440"/>
      <c r="X579" s="442"/>
    </row>
    <row r="580" spans="1:24" x14ac:dyDescent="0.25">
      <c r="A580" s="862">
        <v>1298</v>
      </c>
      <c r="B580" s="863" t="s">
        <v>6755</v>
      </c>
      <c r="C580" s="862">
        <v>1298</v>
      </c>
      <c r="D580" s="165" t="s">
        <v>2145</v>
      </c>
      <c r="E580" s="165" t="s">
        <v>6756</v>
      </c>
      <c r="F580" s="163">
        <v>1</v>
      </c>
      <c r="G580" s="864"/>
      <c r="H580" s="864">
        <v>0</v>
      </c>
      <c r="I580" s="864">
        <v>0</v>
      </c>
      <c r="J580" s="864">
        <v>41486.018362856194</v>
      </c>
      <c r="K580" s="864">
        <v>43147.645906754413</v>
      </c>
      <c r="L580" s="18" t="s">
        <v>4590</v>
      </c>
      <c r="M580" s="442"/>
      <c r="N580" s="527"/>
      <c r="P580" s="543"/>
      <c r="T580" s="443"/>
      <c r="U580" s="440"/>
      <c r="V580" s="440"/>
      <c r="W580" s="440"/>
      <c r="X580" s="442"/>
    </row>
    <row r="581" spans="1:24" x14ac:dyDescent="0.25">
      <c r="A581" s="862">
        <v>1299</v>
      </c>
      <c r="B581" s="863" t="s">
        <v>6757</v>
      </c>
      <c r="C581" s="862">
        <v>1299</v>
      </c>
      <c r="D581" s="165" t="s">
        <v>2145</v>
      </c>
      <c r="E581" s="165" t="s">
        <v>6758</v>
      </c>
      <c r="F581" s="163">
        <v>2</v>
      </c>
      <c r="G581" s="864"/>
      <c r="H581" s="864">
        <v>12513.144414310138</v>
      </c>
      <c r="I581" s="864">
        <v>12898.960083004664</v>
      </c>
      <c r="J581" s="864">
        <v>13305.07799585915</v>
      </c>
      <c r="K581" s="864">
        <v>13732.593597702373</v>
      </c>
      <c r="L581" s="18" t="s">
        <v>1019</v>
      </c>
      <c r="M581" s="442"/>
      <c r="N581" s="527"/>
      <c r="P581" s="542"/>
      <c r="T581" s="443"/>
      <c r="U581" s="440"/>
      <c r="V581" s="440"/>
      <c r="W581" s="440"/>
      <c r="X581" s="442"/>
    </row>
    <row r="582" spans="1:24" x14ac:dyDescent="0.25">
      <c r="A582" s="862">
        <v>1300</v>
      </c>
      <c r="B582" s="863" t="s">
        <v>6759</v>
      </c>
      <c r="C582" s="862">
        <v>1300</v>
      </c>
      <c r="D582" s="165" t="s">
        <v>2145</v>
      </c>
      <c r="E582" s="165" t="s">
        <v>6760</v>
      </c>
      <c r="F582" s="163">
        <v>2</v>
      </c>
      <c r="G582" s="864"/>
      <c r="H582" s="864">
        <v>11605.732979330576</v>
      </c>
      <c r="I582" s="864">
        <v>11952.039604533951</v>
      </c>
      <c r="J582" s="864">
        <v>12316.567128722618</v>
      </c>
      <c r="K582" s="864">
        <v>12700.301452242471</v>
      </c>
      <c r="L582" s="18" t="s">
        <v>1020</v>
      </c>
      <c r="M582" s="442"/>
      <c r="N582" s="527"/>
      <c r="P582" s="542"/>
      <c r="T582" s="443"/>
      <c r="U582" s="440"/>
      <c r="V582" s="440"/>
      <c r="W582" s="440"/>
      <c r="X582" s="442"/>
    </row>
    <row r="583" spans="1:24" x14ac:dyDescent="0.25">
      <c r="A583" s="862">
        <v>1301</v>
      </c>
      <c r="B583" s="863" t="s">
        <v>6761</v>
      </c>
      <c r="C583" s="862">
        <v>1301</v>
      </c>
      <c r="D583" s="165" t="s">
        <v>2145</v>
      </c>
      <c r="E583" s="165" t="s">
        <v>6762</v>
      </c>
      <c r="F583" s="163">
        <v>2</v>
      </c>
      <c r="G583" s="864"/>
      <c r="H583" s="864">
        <v>13794.571010349056</v>
      </c>
      <c r="I583" s="864">
        <v>14115.014753322535</v>
      </c>
      <c r="J583" s="864">
        <v>14452.330091020181</v>
      </c>
      <c r="K583" s="864">
        <v>14807.391199334441</v>
      </c>
      <c r="L583" s="18" t="s">
        <v>1021</v>
      </c>
      <c r="M583" s="442"/>
      <c r="N583" s="527"/>
      <c r="P583" s="542"/>
      <c r="T583" s="443"/>
      <c r="U583" s="440"/>
      <c r="V583" s="440"/>
      <c r="W583" s="440"/>
      <c r="X583" s="442"/>
    </row>
    <row r="584" spans="1:24" x14ac:dyDescent="0.25">
      <c r="A584" s="862">
        <v>1302</v>
      </c>
      <c r="B584" s="863" t="s">
        <v>6763</v>
      </c>
      <c r="C584" s="862">
        <v>1302</v>
      </c>
      <c r="D584" s="165" t="s">
        <v>2145</v>
      </c>
      <c r="E584" s="165" t="s">
        <v>6764</v>
      </c>
      <c r="F584" s="163">
        <v>2</v>
      </c>
      <c r="G584" s="864"/>
      <c r="H584" s="864">
        <v>12799.413630508499</v>
      </c>
      <c r="I584" s="864">
        <v>13088.328762961175</v>
      </c>
      <c r="J584" s="864">
        <v>13392.454555942373</v>
      </c>
      <c r="K584" s="864">
        <v>13712.577767755292</v>
      </c>
      <c r="L584" s="18" t="s">
        <v>1022</v>
      </c>
      <c r="M584" s="442"/>
      <c r="N584" s="527"/>
      <c r="P584" s="541"/>
      <c r="T584" s="443"/>
      <c r="U584" s="440"/>
      <c r="V584" s="440"/>
      <c r="W584" s="440"/>
      <c r="X584" s="442"/>
    </row>
    <row r="585" spans="1:24" x14ac:dyDescent="0.25">
      <c r="A585" s="862">
        <v>1303</v>
      </c>
      <c r="B585" s="863" t="s">
        <v>6765</v>
      </c>
      <c r="C585" s="862">
        <v>1303</v>
      </c>
      <c r="D585" s="165" t="s">
        <v>2145</v>
      </c>
      <c r="E585" s="165" t="s">
        <v>6766</v>
      </c>
      <c r="F585" s="163">
        <v>1</v>
      </c>
      <c r="G585" s="864"/>
      <c r="H585" s="864">
        <v>11017.847813937773</v>
      </c>
      <c r="I585" s="864">
        <v>11276.088515400897</v>
      </c>
      <c r="J585" s="864">
        <v>11547.897959779342</v>
      </c>
      <c r="K585" s="864">
        <v>11834.048744534482</v>
      </c>
      <c r="L585" s="18" t="s">
        <v>2961</v>
      </c>
      <c r="M585" s="442"/>
      <c r="N585" s="527"/>
      <c r="P585" s="541"/>
      <c r="T585" s="443"/>
      <c r="U585" s="440"/>
      <c r="V585" s="440"/>
      <c r="W585" s="440"/>
      <c r="X585" s="442"/>
    </row>
    <row r="586" spans="1:24" x14ac:dyDescent="0.25">
      <c r="A586" s="862">
        <v>1304</v>
      </c>
      <c r="B586" s="863" t="s">
        <v>6767</v>
      </c>
      <c r="C586" s="862">
        <v>1304</v>
      </c>
      <c r="D586" s="165" t="s">
        <v>2145</v>
      </c>
      <c r="E586" s="165" t="s">
        <v>6768</v>
      </c>
      <c r="F586" s="163">
        <v>1</v>
      </c>
      <c r="G586" s="864"/>
      <c r="H586" s="864">
        <v>0</v>
      </c>
      <c r="I586" s="864">
        <v>12525.855307292833</v>
      </c>
      <c r="J586" s="864">
        <v>12828.665224808778</v>
      </c>
      <c r="K586" s="864">
        <v>13147.458252306822</v>
      </c>
      <c r="L586" s="18" t="s">
        <v>3868</v>
      </c>
      <c r="M586" s="442"/>
      <c r="N586" s="527"/>
      <c r="P586" s="541"/>
      <c r="T586" s="443"/>
      <c r="U586" s="440"/>
      <c r="V586" s="440"/>
      <c r="W586" s="440"/>
      <c r="X586" s="442"/>
    </row>
    <row r="587" spans="1:24" x14ac:dyDescent="0.25">
      <c r="A587" s="862">
        <v>1305</v>
      </c>
      <c r="B587" s="863" t="s">
        <v>6769</v>
      </c>
      <c r="C587" s="862">
        <v>1305</v>
      </c>
      <c r="D587" s="165" t="s">
        <v>2145</v>
      </c>
      <c r="E587" s="165" t="s">
        <v>6770</v>
      </c>
      <c r="F587" s="163">
        <v>1</v>
      </c>
      <c r="G587" s="864"/>
      <c r="H587" s="864">
        <v>0</v>
      </c>
      <c r="I587" s="864">
        <v>11752.518131213308</v>
      </c>
      <c r="J587" s="864">
        <v>12032.488136277489</v>
      </c>
      <c r="K587" s="864">
        <v>12327.185780449037</v>
      </c>
      <c r="L587" s="18" t="s">
        <v>3869</v>
      </c>
      <c r="M587" s="442"/>
      <c r="N587" s="527"/>
      <c r="P587" s="541"/>
      <c r="T587" s="443"/>
      <c r="U587" s="440"/>
      <c r="V587" s="440"/>
      <c r="W587" s="440"/>
      <c r="X587" s="442"/>
    </row>
    <row r="588" spans="1:24" x14ac:dyDescent="0.25">
      <c r="A588" s="862">
        <v>1306</v>
      </c>
      <c r="B588" s="863" t="s">
        <v>6771</v>
      </c>
      <c r="C588" s="862">
        <v>1306</v>
      </c>
      <c r="D588" s="165" t="s">
        <v>2145</v>
      </c>
      <c r="E588" s="165" t="s">
        <v>6772</v>
      </c>
      <c r="F588" s="163">
        <v>1</v>
      </c>
      <c r="G588" s="864"/>
      <c r="H588" s="864">
        <v>11249.848966761629</v>
      </c>
      <c r="I588" s="864">
        <v>11514.946470694416</v>
      </c>
      <c r="J588" s="864">
        <v>11793.999016273208</v>
      </c>
      <c r="K588" s="864">
        <v>12087.73091361805</v>
      </c>
      <c r="L588" s="18" t="s">
        <v>2962</v>
      </c>
      <c r="M588" s="442"/>
      <c r="N588" s="527"/>
      <c r="P588" s="541"/>
      <c r="T588" s="443"/>
      <c r="U588" s="440"/>
      <c r="V588" s="440"/>
      <c r="W588" s="440"/>
      <c r="X588" s="442"/>
    </row>
    <row r="589" spans="1:24" x14ac:dyDescent="0.25">
      <c r="A589" s="862">
        <v>1307</v>
      </c>
      <c r="B589" s="863" t="s">
        <v>6773</v>
      </c>
      <c r="C589" s="862">
        <v>1307</v>
      </c>
      <c r="D589" s="165" t="s">
        <v>2145</v>
      </c>
      <c r="E589" s="165" t="s">
        <v>6774</v>
      </c>
      <c r="F589" s="163">
        <v>1</v>
      </c>
      <c r="G589" s="864"/>
      <c r="H589" s="864">
        <v>12177.853578057049</v>
      </c>
      <c r="I589" s="864">
        <v>12470.378291868497</v>
      </c>
      <c r="J589" s="864">
        <v>12778.306667566019</v>
      </c>
      <c r="K589" s="864">
        <v>13102.459589952326</v>
      </c>
      <c r="L589" s="18" t="s">
        <v>2963</v>
      </c>
      <c r="M589" s="442"/>
      <c r="N589" s="527"/>
      <c r="P589" s="540"/>
      <c r="T589" s="443"/>
      <c r="U589" s="440"/>
      <c r="V589" s="440"/>
      <c r="W589" s="440"/>
      <c r="X589" s="442"/>
    </row>
    <row r="590" spans="1:24" x14ac:dyDescent="0.25">
      <c r="A590" s="862">
        <v>1308</v>
      </c>
      <c r="B590" s="863" t="s">
        <v>6775</v>
      </c>
      <c r="C590" s="862">
        <v>1308</v>
      </c>
      <c r="D590" s="165" t="s">
        <v>2145</v>
      </c>
      <c r="E590" s="165" t="s">
        <v>6776</v>
      </c>
      <c r="F590" s="163">
        <v>1</v>
      </c>
      <c r="G590" s="864"/>
      <c r="H590" s="864">
        <v>12409.854730880905</v>
      </c>
      <c r="I590" s="864">
        <v>0</v>
      </c>
      <c r="J590" s="864">
        <v>0</v>
      </c>
      <c r="K590" s="864">
        <v>0</v>
      </c>
      <c r="L590" s="18" t="s">
        <v>2964</v>
      </c>
      <c r="M590" s="442"/>
      <c r="N590" s="527"/>
      <c r="P590" s="540"/>
      <c r="T590" s="443"/>
      <c r="U590" s="440"/>
      <c r="V590" s="440"/>
      <c r="W590" s="440"/>
      <c r="X590" s="442"/>
    </row>
    <row r="591" spans="1:24" x14ac:dyDescent="0.25">
      <c r="A591" s="862">
        <v>1309</v>
      </c>
      <c r="B591" s="863" t="s">
        <v>6777</v>
      </c>
      <c r="C591" s="862">
        <v>1309</v>
      </c>
      <c r="D591" s="165" t="s">
        <v>2145</v>
      </c>
      <c r="E591" s="165" t="s">
        <v>6778</v>
      </c>
      <c r="F591" s="163">
        <v>1</v>
      </c>
      <c r="G591" s="864"/>
      <c r="H591" s="864">
        <v>13879.19536543199</v>
      </c>
      <c r="I591" s="864">
        <v>0</v>
      </c>
      <c r="J591" s="864">
        <v>0</v>
      </c>
      <c r="K591" s="864">
        <v>0</v>
      </c>
      <c r="L591" s="18" t="s">
        <v>2965</v>
      </c>
      <c r="M591" s="442"/>
      <c r="N591" s="527"/>
      <c r="P591" s="540"/>
      <c r="T591" s="443"/>
      <c r="U591" s="440"/>
      <c r="V591" s="440"/>
      <c r="W591" s="440"/>
      <c r="X591" s="442"/>
    </row>
    <row r="592" spans="1:24" x14ac:dyDescent="0.25">
      <c r="A592" s="862">
        <v>1310</v>
      </c>
      <c r="B592" s="863" t="s">
        <v>6779</v>
      </c>
      <c r="C592" s="862">
        <v>1310</v>
      </c>
      <c r="D592" s="165" t="s">
        <v>2145</v>
      </c>
      <c r="E592" s="165" t="s">
        <v>6780</v>
      </c>
      <c r="F592" s="163">
        <v>1</v>
      </c>
      <c r="G592" s="864"/>
      <c r="H592" s="864">
        <v>13969.96550084869</v>
      </c>
      <c r="I592" s="864">
        <v>14323.670276132418</v>
      </c>
      <c r="J592" s="864">
        <v>14695.96567783038</v>
      </c>
      <c r="K592" s="864">
        <v>15087.865740110623</v>
      </c>
      <c r="L592" s="18" t="s">
        <v>2966</v>
      </c>
      <c r="M592" s="442"/>
      <c r="N592" s="527"/>
      <c r="P592" s="540"/>
      <c r="T592" s="443"/>
      <c r="U592" s="440"/>
      <c r="V592" s="440"/>
      <c r="W592" s="440"/>
      <c r="X592" s="442"/>
    </row>
    <row r="593" spans="1:24" x14ac:dyDescent="0.25">
      <c r="A593" s="862">
        <v>1311</v>
      </c>
      <c r="B593" s="863" t="s">
        <v>6781</v>
      </c>
      <c r="C593" s="862">
        <v>1311</v>
      </c>
      <c r="D593" s="165" t="s">
        <v>2145</v>
      </c>
      <c r="E593" s="165" t="s">
        <v>6782</v>
      </c>
      <c r="F593" s="163">
        <v>1</v>
      </c>
      <c r="G593" s="864"/>
      <c r="H593" s="864">
        <v>14234.930466428572</v>
      </c>
      <c r="I593" s="864">
        <v>14588.297230322954</v>
      </c>
      <c r="J593" s="864">
        <v>0</v>
      </c>
      <c r="K593" s="864">
        <v>0</v>
      </c>
      <c r="L593" s="18" t="s">
        <v>2967</v>
      </c>
      <c r="M593" s="442"/>
      <c r="N593" s="527"/>
      <c r="P593" s="540"/>
      <c r="T593" s="443"/>
      <c r="U593" s="440"/>
      <c r="V593" s="440"/>
      <c r="W593" s="440"/>
      <c r="X593" s="442"/>
    </row>
    <row r="594" spans="1:24" x14ac:dyDescent="0.25">
      <c r="A594" s="862">
        <v>1312</v>
      </c>
      <c r="B594" s="863" t="s">
        <v>6783</v>
      </c>
      <c r="C594" s="862">
        <v>1312</v>
      </c>
      <c r="D594" s="165" t="s">
        <v>2145</v>
      </c>
      <c r="E594" s="165" t="s">
        <v>6784</v>
      </c>
      <c r="F594" s="163">
        <v>1</v>
      </c>
      <c r="G594" s="864"/>
      <c r="H594" s="864">
        <v>0</v>
      </c>
      <c r="I594" s="864">
        <v>0</v>
      </c>
      <c r="J594" s="864">
        <v>29747.386606436627</v>
      </c>
      <c r="K594" s="864">
        <v>31058.880450270779</v>
      </c>
      <c r="L594" s="18" t="s">
        <v>4591</v>
      </c>
      <c r="M594" s="442"/>
      <c r="N594" s="527"/>
      <c r="P594" s="540"/>
      <c r="T594" s="443"/>
      <c r="U594" s="440"/>
      <c r="V594" s="440"/>
      <c r="W594" s="440"/>
      <c r="X594" s="442"/>
    </row>
    <row r="595" spans="1:24" x14ac:dyDescent="0.25">
      <c r="A595" s="862">
        <v>1313</v>
      </c>
      <c r="B595" s="863" t="s">
        <v>6785</v>
      </c>
      <c r="C595" s="862">
        <v>1313</v>
      </c>
      <c r="D595" s="165" t="s">
        <v>2145</v>
      </c>
      <c r="E595" s="165" t="s">
        <v>6786</v>
      </c>
      <c r="F595" s="163">
        <v>1</v>
      </c>
      <c r="G595" s="864"/>
      <c r="H595" s="864">
        <v>0</v>
      </c>
      <c r="I595" s="864">
        <v>0</v>
      </c>
      <c r="J595" s="864">
        <v>33118.094961073664</v>
      </c>
      <c r="K595" s="864">
        <v>34590.624080323738</v>
      </c>
      <c r="L595" s="18" t="s">
        <v>4592</v>
      </c>
      <c r="M595" s="442"/>
      <c r="N595" s="527"/>
      <c r="P595" s="540"/>
      <c r="T595" s="443"/>
      <c r="U595" s="440"/>
      <c r="V595" s="440"/>
      <c r="W595" s="440"/>
      <c r="X595" s="442"/>
    </row>
    <row r="596" spans="1:24" x14ac:dyDescent="0.25">
      <c r="A596" s="862">
        <v>1314</v>
      </c>
      <c r="B596" s="863" t="s">
        <v>6787</v>
      </c>
      <c r="C596" s="862">
        <v>1314</v>
      </c>
      <c r="D596" s="165" t="s">
        <v>2145</v>
      </c>
      <c r="E596" s="165" t="s">
        <v>6788</v>
      </c>
      <c r="F596" s="163">
        <v>1</v>
      </c>
      <c r="G596" s="864"/>
      <c r="H596" s="864">
        <v>0</v>
      </c>
      <c r="I596" s="864">
        <v>0</v>
      </c>
      <c r="J596" s="864">
        <v>37062.540907989336</v>
      </c>
      <c r="K596" s="864">
        <v>38723.43863633617</v>
      </c>
      <c r="L596" s="18" t="s">
        <v>4593</v>
      </c>
      <c r="M596" s="442"/>
      <c r="N596" s="527"/>
      <c r="P596" s="540"/>
      <c r="T596" s="443"/>
      <c r="U596" s="440"/>
      <c r="V596" s="440"/>
      <c r="W596" s="440"/>
      <c r="X596" s="442"/>
    </row>
    <row r="597" spans="1:24" x14ac:dyDescent="0.25">
      <c r="A597" s="862">
        <v>1315</v>
      </c>
      <c r="B597" s="863" t="s">
        <v>6789</v>
      </c>
      <c r="C597" s="862">
        <v>1315</v>
      </c>
      <c r="D597" s="165" t="s">
        <v>2145</v>
      </c>
      <c r="E597" s="165" t="s">
        <v>6790</v>
      </c>
      <c r="F597" s="163">
        <v>1</v>
      </c>
      <c r="G597" s="864"/>
      <c r="H597" s="864">
        <v>0</v>
      </c>
      <c r="I597" s="864">
        <v>0</v>
      </c>
      <c r="J597" s="864">
        <v>43875.67481629824</v>
      </c>
      <c r="K597" s="864">
        <v>45861.969374178829</v>
      </c>
      <c r="L597" s="18" t="s">
        <v>4594</v>
      </c>
      <c r="M597" s="442"/>
      <c r="N597" s="527"/>
      <c r="P597" s="540"/>
      <c r="T597" s="443"/>
      <c r="U597" s="440"/>
      <c r="V597" s="440"/>
      <c r="W597" s="440"/>
      <c r="X597" s="442"/>
    </row>
    <row r="598" spans="1:24" x14ac:dyDescent="0.25">
      <c r="A598" s="862">
        <v>1316</v>
      </c>
      <c r="B598" s="863" t="s">
        <v>6791</v>
      </c>
      <c r="C598" s="862">
        <v>1316</v>
      </c>
      <c r="D598" s="165" t="s">
        <v>2145</v>
      </c>
      <c r="E598" s="165" t="s">
        <v>6792</v>
      </c>
      <c r="F598" s="163">
        <v>1</v>
      </c>
      <c r="G598" s="864"/>
      <c r="H598" s="864">
        <v>0</v>
      </c>
      <c r="I598" s="864">
        <v>0</v>
      </c>
      <c r="J598" s="864">
        <v>20097.278763306585</v>
      </c>
      <c r="K598" s="864">
        <v>20532.089566138875</v>
      </c>
      <c r="L598" s="18" t="s">
        <v>4595</v>
      </c>
      <c r="M598" s="442"/>
      <c r="N598" s="527"/>
      <c r="P598" s="538"/>
      <c r="T598" s="443"/>
      <c r="U598" s="440"/>
      <c r="V598" s="440"/>
      <c r="W598" s="440"/>
      <c r="X598" s="442"/>
    </row>
    <row r="599" spans="1:24" x14ac:dyDescent="0.25">
      <c r="A599" s="862">
        <v>1317</v>
      </c>
      <c r="B599" s="863" t="s">
        <v>6793</v>
      </c>
      <c r="C599" s="862">
        <v>1317</v>
      </c>
      <c r="D599" s="165" t="s">
        <v>2145</v>
      </c>
      <c r="E599" s="165" t="s">
        <v>6794</v>
      </c>
      <c r="F599" s="163">
        <v>1</v>
      </c>
      <c r="G599" s="864"/>
      <c r="H599" s="864">
        <v>0</v>
      </c>
      <c r="I599" s="864">
        <v>0</v>
      </c>
      <c r="J599" s="864">
        <v>19108.123903904263</v>
      </c>
      <c r="K599" s="864">
        <v>19518.77694179337</v>
      </c>
      <c r="L599" s="18" t="s">
        <v>4596</v>
      </c>
      <c r="M599" s="442"/>
      <c r="N599" s="527"/>
      <c r="P599" s="538"/>
      <c r="T599" s="443"/>
      <c r="U599" s="440"/>
      <c r="V599" s="440"/>
      <c r="W599" s="440"/>
      <c r="X599" s="442"/>
    </row>
    <row r="600" spans="1:24" x14ac:dyDescent="0.25">
      <c r="A600" s="862">
        <v>1318</v>
      </c>
      <c r="B600" s="863" t="s">
        <v>6795</v>
      </c>
      <c r="C600" s="862">
        <v>1318</v>
      </c>
      <c r="D600" s="165" t="s">
        <v>2145</v>
      </c>
      <c r="E600" s="165" t="s">
        <v>6796</v>
      </c>
      <c r="F600" s="163">
        <v>1</v>
      </c>
      <c r="G600" s="864"/>
      <c r="H600" s="864">
        <v>23356.993640882414</v>
      </c>
      <c r="I600" s="864">
        <v>23871.374444073139</v>
      </c>
      <c r="J600" s="864">
        <v>24412.838592853626</v>
      </c>
      <c r="K600" s="864">
        <v>24982.805428329688</v>
      </c>
      <c r="L600" s="18" t="s">
        <v>2968</v>
      </c>
      <c r="M600" s="442"/>
      <c r="N600" s="527"/>
      <c r="P600" s="538"/>
      <c r="T600" s="443"/>
      <c r="U600" s="440"/>
      <c r="V600" s="440"/>
      <c r="W600" s="440"/>
      <c r="X600" s="442"/>
    </row>
    <row r="601" spans="1:24" x14ac:dyDescent="0.25">
      <c r="A601" s="862">
        <v>1319</v>
      </c>
      <c r="B601" s="863" t="s">
        <v>6797</v>
      </c>
      <c r="C601" s="862">
        <v>1319</v>
      </c>
      <c r="D601" s="165" t="s">
        <v>2145</v>
      </c>
      <c r="E601" s="165" t="s">
        <v>6798</v>
      </c>
      <c r="F601" s="163">
        <v>1</v>
      </c>
      <c r="G601" s="864"/>
      <c r="H601" s="864">
        <v>23075.983737643121</v>
      </c>
      <c r="I601" s="864">
        <v>23583.499564465095</v>
      </c>
      <c r="J601" s="864">
        <v>24117.722176991647</v>
      </c>
      <c r="K601" s="864">
        <v>24680.070916328532</v>
      </c>
      <c r="L601" s="18" t="s">
        <v>2969</v>
      </c>
      <c r="M601" s="442"/>
      <c r="N601" s="527"/>
      <c r="P601" s="538"/>
      <c r="T601" s="443"/>
      <c r="U601" s="440"/>
      <c r="V601" s="440"/>
      <c r="W601" s="440"/>
      <c r="X601" s="442"/>
    </row>
    <row r="602" spans="1:24" x14ac:dyDescent="0.25">
      <c r="A602" s="862">
        <v>1320</v>
      </c>
      <c r="B602" s="863" t="s">
        <v>6799</v>
      </c>
      <c r="C602" s="862">
        <v>1320</v>
      </c>
      <c r="D602" s="165" t="s">
        <v>2145</v>
      </c>
      <c r="E602" s="165" t="s">
        <v>6800</v>
      </c>
      <c r="F602" s="163">
        <v>1</v>
      </c>
      <c r="G602" s="864"/>
      <c r="H602" s="864">
        <v>21670.934221446638</v>
      </c>
      <c r="I602" s="864">
        <v>22144.154132569896</v>
      </c>
      <c r="J602" s="864">
        <v>22642.284928406745</v>
      </c>
      <c r="K602" s="864">
        <v>23166.63008548291</v>
      </c>
      <c r="L602" s="18" t="s">
        <v>2970</v>
      </c>
      <c r="M602" s="442"/>
      <c r="N602" s="527"/>
      <c r="P602" s="538"/>
      <c r="T602" s="443"/>
      <c r="U602" s="440"/>
      <c r="V602" s="440"/>
      <c r="W602" s="440"/>
      <c r="X602" s="442"/>
    </row>
    <row r="603" spans="1:24" x14ac:dyDescent="0.25">
      <c r="A603" s="862">
        <v>1321</v>
      </c>
      <c r="B603" s="863" t="s">
        <v>6801</v>
      </c>
      <c r="C603" s="862">
        <v>1321</v>
      </c>
      <c r="D603" s="165" t="s">
        <v>2145</v>
      </c>
      <c r="E603" s="165" t="s">
        <v>6802</v>
      </c>
      <c r="F603" s="163">
        <v>1</v>
      </c>
      <c r="G603" s="864"/>
      <c r="H603" s="864">
        <v>21389.924318207348</v>
      </c>
      <c r="I603" s="864">
        <v>21856.279252961856</v>
      </c>
      <c r="J603" s="864">
        <v>22347.19747868977</v>
      </c>
      <c r="K603" s="864">
        <v>22863.953505771784</v>
      </c>
      <c r="L603" s="18" t="s">
        <v>2971</v>
      </c>
      <c r="M603" s="442"/>
      <c r="N603" s="527"/>
      <c r="P603" s="538"/>
      <c r="T603" s="443"/>
      <c r="U603" s="440"/>
      <c r="V603" s="440"/>
      <c r="W603" s="440"/>
      <c r="X603" s="442"/>
    </row>
    <row r="604" spans="1:24" x14ac:dyDescent="0.25">
      <c r="A604" s="862">
        <v>1322</v>
      </c>
      <c r="B604" s="863" t="s">
        <v>6803</v>
      </c>
      <c r="C604" s="862">
        <v>1322</v>
      </c>
      <c r="D604" s="165" t="s">
        <v>2145</v>
      </c>
      <c r="E604" s="165" t="s">
        <v>6804</v>
      </c>
      <c r="F604" s="163">
        <v>1</v>
      </c>
      <c r="G604" s="864"/>
      <c r="H604" s="864">
        <v>0</v>
      </c>
      <c r="I604" s="864">
        <v>0</v>
      </c>
      <c r="J604" s="864">
        <v>17620.604987641527</v>
      </c>
      <c r="K604" s="864">
        <v>18047.189405289329</v>
      </c>
      <c r="L604" s="18" t="s">
        <v>4597</v>
      </c>
      <c r="M604" s="442"/>
      <c r="N604" s="527"/>
      <c r="P604" s="538"/>
      <c r="T604" s="443"/>
      <c r="U604" s="440"/>
      <c r="V604" s="440"/>
      <c r="W604" s="440"/>
      <c r="X604" s="442"/>
    </row>
    <row r="605" spans="1:24" x14ac:dyDescent="0.25">
      <c r="A605" s="862">
        <v>1323</v>
      </c>
      <c r="B605" s="863" t="s">
        <v>6805</v>
      </c>
      <c r="C605" s="862">
        <v>1323</v>
      </c>
      <c r="D605" s="165" t="s">
        <v>2145</v>
      </c>
      <c r="E605" s="165" t="s">
        <v>6806</v>
      </c>
      <c r="F605" s="163">
        <v>1</v>
      </c>
      <c r="G605" s="864"/>
      <c r="H605" s="864">
        <v>18259.473996121589</v>
      </c>
      <c r="I605" s="864">
        <v>18649.416240324397</v>
      </c>
      <c r="J605" s="864">
        <v>19059.895481343417</v>
      </c>
      <c r="K605" s="864">
        <v>19491.95450039921</v>
      </c>
      <c r="L605" s="18" t="s">
        <v>2972</v>
      </c>
      <c r="M605" s="442"/>
      <c r="N605" s="527"/>
      <c r="P605" s="538"/>
      <c r="T605" s="443"/>
      <c r="U605" s="440"/>
      <c r="V605" s="440"/>
      <c r="W605" s="440"/>
      <c r="X605" s="442"/>
    </row>
    <row r="606" spans="1:24" x14ac:dyDescent="0.25">
      <c r="A606" s="862">
        <v>1324</v>
      </c>
      <c r="B606" s="863" t="s">
        <v>6807</v>
      </c>
      <c r="C606" s="862">
        <v>1324</v>
      </c>
      <c r="D606" s="165" t="s">
        <v>2145</v>
      </c>
      <c r="E606" s="165" t="s">
        <v>6808</v>
      </c>
      <c r="F606" s="163">
        <v>1</v>
      </c>
      <c r="G606" s="864"/>
      <c r="H606" s="864">
        <v>19141.845092292984</v>
      </c>
      <c r="I606" s="864">
        <v>19553.309182242534</v>
      </c>
      <c r="J606" s="864">
        <v>19986.439948663909</v>
      </c>
      <c r="K606" s="864">
        <v>20442.367071212728</v>
      </c>
      <c r="L606" s="18" t="s">
        <v>2973</v>
      </c>
      <c r="M606" s="442"/>
      <c r="N606" s="527"/>
      <c r="P606" s="538"/>
      <c r="T606" s="443"/>
      <c r="U606" s="440"/>
      <c r="V606" s="440"/>
      <c r="W606" s="440"/>
      <c r="X606" s="442"/>
    </row>
    <row r="607" spans="1:24" x14ac:dyDescent="0.25">
      <c r="A607" s="862">
        <v>1325</v>
      </c>
      <c r="B607" s="863" t="s">
        <v>6809</v>
      </c>
      <c r="C607" s="862">
        <v>1325</v>
      </c>
      <c r="D607" s="165" t="s">
        <v>2145</v>
      </c>
      <c r="E607" s="165" t="s">
        <v>6810</v>
      </c>
      <c r="F607" s="163">
        <v>1</v>
      </c>
      <c r="G607" s="864"/>
      <c r="H607" s="864">
        <v>44979.712422063814</v>
      </c>
      <c r="I607" s="864">
        <v>47046.416152042526</v>
      </c>
      <c r="J607" s="864">
        <v>49221.947043898625</v>
      </c>
      <c r="K607" s="864">
        <v>51511.945309344053</v>
      </c>
      <c r="L607" s="18" t="s">
        <v>1023</v>
      </c>
      <c r="M607" s="442"/>
      <c r="N607" s="527"/>
      <c r="P607" s="538"/>
      <c r="T607" s="443"/>
      <c r="U607" s="440"/>
      <c r="V607" s="440"/>
      <c r="W607" s="440"/>
      <c r="X607" s="442"/>
    </row>
    <row r="608" spans="1:24" x14ac:dyDescent="0.25">
      <c r="A608" s="862">
        <v>1326</v>
      </c>
      <c r="B608" s="863" t="s">
        <v>6811</v>
      </c>
      <c r="C608" s="862">
        <v>1326</v>
      </c>
      <c r="D608" s="165" t="s">
        <v>2145</v>
      </c>
      <c r="E608" s="165" t="s">
        <v>6812</v>
      </c>
      <c r="F608" s="163">
        <v>1</v>
      </c>
      <c r="G608" s="864"/>
      <c r="H608" s="864">
        <v>0</v>
      </c>
      <c r="I608" s="864">
        <v>0</v>
      </c>
      <c r="J608" s="864">
        <v>0</v>
      </c>
      <c r="K608" s="864">
        <v>111433.27630710862</v>
      </c>
      <c r="L608" s="18" t="s">
        <v>10861</v>
      </c>
      <c r="M608" s="442"/>
      <c r="N608" s="527"/>
      <c r="P608" s="538"/>
      <c r="T608" s="443"/>
      <c r="U608" s="440"/>
      <c r="V608" s="440"/>
      <c r="W608" s="440"/>
      <c r="X608" s="442"/>
    </row>
    <row r="609" spans="1:24" x14ac:dyDescent="0.25">
      <c r="A609" s="862">
        <v>1327</v>
      </c>
      <c r="B609" s="863" t="s">
        <v>6813</v>
      </c>
      <c r="C609" s="862">
        <v>1327</v>
      </c>
      <c r="D609" s="165" t="s">
        <v>2145</v>
      </c>
      <c r="E609" s="165" t="s">
        <v>6814</v>
      </c>
      <c r="F609" s="163">
        <v>1</v>
      </c>
      <c r="G609" s="864"/>
      <c r="H609" s="864">
        <v>30001.179794641939</v>
      </c>
      <c r="I609" s="864">
        <v>31342.827078012888</v>
      </c>
      <c r="J609" s="864">
        <v>32755.121628595938</v>
      </c>
      <c r="K609" s="864">
        <v>34241.678966719242</v>
      </c>
      <c r="L609" s="18" t="s">
        <v>1024</v>
      </c>
      <c r="M609" s="442"/>
      <c r="N609" s="527"/>
      <c r="P609" s="538"/>
      <c r="T609" s="443"/>
      <c r="U609" s="440"/>
      <c r="V609" s="440"/>
      <c r="W609" s="440"/>
      <c r="X609" s="442"/>
    </row>
    <row r="610" spans="1:24" x14ac:dyDescent="0.25">
      <c r="A610" s="862">
        <v>1328</v>
      </c>
      <c r="B610" s="863" t="s">
        <v>6815</v>
      </c>
      <c r="C610" s="862">
        <v>1328</v>
      </c>
      <c r="D610" s="165" t="s">
        <v>2145</v>
      </c>
      <c r="E610" s="165" t="s">
        <v>6816</v>
      </c>
      <c r="F610" s="163">
        <v>1</v>
      </c>
      <c r="G610" s="864"/>
      <c r="H610" s="864">
        <v>38138.29889351179</v>
      </c>
      <c r="I610" s="864">
        <v>39850.537010518397</v>
      </c>
      <c r="J610" s="864">
        <v>43655.582914272978</v>
      </c>
      <c r="K610" s="864">
        <v>45658.219624036821</v>
      </c>
      <c r="L610" s="18" t="s">
        <v>2974</v>
      </c>
      <c r="M610" s="442"/>
      <c r="N610" s="527"/>
      <c r="P610" s="538"/>
      <c r="T610" s="443"/>
      <c r="U610" s="440"/>
      <c r="V610" s="440"/>
      <c r="W610" s="440"/>
      <c r="X610" s="442"/>
    </row>
    <row r="611" spans="1:24" x14ac:dyDescent="0.25">
      <c r="A611" s="862">
        <v>1329</v>
      </c>
      <c r="B611" s="863" t="s">
        <v>6817</v>
      </c>
      <c r="C611" s="862">
        <v>1329</v>
      </c>
      <c r="D611" s="165" t="s">
        <v>2145</v>
      </c>
      <c r="E611" s="165" t="s">
        <v>6818</v>
      </c>
      <c r="F611" s="163">
        <v>1</v>
      </c>
      <c r="G611" s="864"/>
      <c r="H611" s="864">
        <v>40452.681497633486</v>
      </c>
      <c r="I611" s="864">
        <v>42307.660357195564</v>
      </c>
      <c r="J611" s="864">
        <v>44260.330576024331</v>
      </c>
      <c r="K611" s="864">
        <v>46315.753882579207</v>
      </c>
      <c r="L611" s="18" t="s">
        <v>1025</v>
      </c>
      <c r="M611" s="442"/>
      <c r="N611" s="527"/>
      <c r="P611" s="538"/>
      <c r="T611" s="443"/>
      <c r="U611" s="440"/>
      <c r="V611" s="440"/>
      <c r="W611" s="440"/>
      <c r="X611" s="442"/>
    </row>
    <row r="612" spans="1:24" x14ac:dyDescent="0.25">
      <c r="A612" s="862">
        <v>1330</v>
      </c>
      <c r="B612" s="863" t="s">
        <v>6819</v>
      </c>
      <c r="C612" s="862">
        <v>1330</v>
      </c>
      <c r="D612" s="165" t="s">
        <v>2145</v>
      </c>
      <c r="E612" s="165" t="s">
        <v>6820</v>
      </c>
      <c r="F612" s="163">
        <v>1</v>
      </c>
      <c r="G612" s="864"/>
      <c r="H612" s="864">
        <v>39850.537010518397</v>
      </c>
      <c r="I612" s="864">
        <v>41652.873894102573</v>
      </c>
      <c r="J612" s="864">
        <v>43550.154341504051</v>
      </c>
      <c r="K612" s="864">
        <v>45547.295460369089</v>
      </c>
      <c r="L612" s="18" t="s">
        <v>1026</v>
      </c>
      <c r="M612" s="442"/>
      <c r="N612" s="527"/>
      <c r="P612" s="538"/>
      <c r="T612" s="443"/>
      <c r="U612" s="440"/>
      <c r="V612" s="440"/>
      <c r="W612" s="440"/>
      <c r="X612" s="442"/>
    </row>
    <row r="613" spans="1:24" x14ac:dyDescent="0.25">
      <c r="A613" s="862">
        <v>1331</v>
      </c>
      <c r="B613" s="863" t="s">
        <v>6821</v>
      </c>
      <c r="C613" s="862">
        <v>1331</v>
      </c>
      <c r="D613" s="165" t="s">
        <v>2145</v>
      </c>
      <c r="E613" s="165" t="s">
        <v>6822</v>
      </c>
      <c r="F613" s="163">
        <v>1</v>
      </c>
      <c r="G613" s="864"/>
      <c r="H613" s="864">
        <v>0</v>
      </c>
      <c r="I613" s="864">
        <v>0</v>
      </c>
      <c r="J613" s="864">
        <v>0</v>
      </c>
      <c r="K613" s="864">
        <v>47102.948772865609</v>
      </c>
      <c r="L613" s="18" t="s">
        <v>10862</v>
      </c>
      <c r="M613" s="442"/>
      <c r="N613" s="527"/>
      <c r="P613" s="538"/>
      <c r="T613" s="443"/>
      <c r="U613" s="440"/>
      <c r="V613" s="440"/>
      <c r="W613" s="440"/>
      <c r="X613" s="442"/>
    </row>
    <row r="614" spans="1:24" x14ac:dyDescent="0.25">
      <c r="A614" s="862">
        <v>1332</v>
      </c>
      <c r="B614" s="863" t="s">
        <v>6823</v>
      </c>
      <c r="C614" s="862">
        <v>1332</v>
      </c>
      <c r="D614" s="165" t="s">
        <v>2145</v>
      </c>
      <c r="E614" s="165" t="s">
        <v>6824</v>
      </c>
      <c r="F614" s="163">
        <v>1</v>
      </c>
      <c r="G614" s="864"/>
      <c r="H614" s="864">
        <v>0</v>
      </c>
      <c r="I614" s="864">
        <v>0</v>
      </c>
      <c r="J614" s="864">
        <v>49828.20233618917</v>
      </c>
      <c r="K614" s="864">
        <v>52098.821412675701</v>
      </c>
      <c r="L614" s="18" t="s">
        <v>4598</v>
      </c>
      <c r="M614" s="442"/>
      <c r="N614" s="527"/>
      <c r="P614" s="538"/>
      <c r="T614" s="443"/>
      <c r="U614" s="440"/>
      <c r="V614" s="440"/>
      <c r="W614" s="440"/>
      <c r="X614" s="442"/>
    </row>
    <row r="615" spans="1:24" x14ac:dyDescent="0.25">
      <c r="A615" s="862">
        <v>1333</v>
      </c>
      <c r="B615" s="863" t="s">
        <v>6825</v>
      </c>
      <c r="C615" s="862">
        <v>1333</v>
      </c>
      <c r="D615" s="165" t="s">
        <v>2145</v>
      </c>
      <c r="E615" s="165" t="s">
        <v>6826</v>
      </c>
      <c r="F615" s="163">
        <v>1</v>
      </c>
      <c r="G615" s="864"/>
      <c r="H615" s="864">
        <v>34221.621150105129</v>
      </c>
      <c r="I615" s="864">
        <v>35767.617642423262</v>
      </c>
      <c r="J615" s="864">
        <v>37394.963342124836</v>
      </c>
      <c r="K615" s="864">
        <v>39107.92456319707</v>
      </c>
      <c r="L615" s="18" t="s">
        <v>1027</v>
      </c>
      <c r="M615" s="442"/>
      <c r="N615" s="527"/>
      <c r="P615" s="538"/>
      <c r="T615" s="443"/>
      <c r="U615" s="440"/>
      <c r="V615" s="440"/>
      <c r="W615" s="440"/>
      <c r="X615" s="442"/>
    </row>
    <row r="616" spans="1:24" x14ac:dyDescent="0.25">
      <c r="A616" s="862">
        <v>1334</v>
      </c>
      <c r="B616" s="863" t="s">
        <v>6827</v>
      </c>
      <c r="C616" s="862">
        <v>1334</v>
      </c>
      <c r="D616" s="165" t="s">
        <v>2145</v>
      </c>
      <c r="E616" s="165" t="s">
        <v>6828</v>
      </c>
      <c r="F616" s="163">
        <v>1</v>
      </c>
      <c r="G616" s="864"/>
      <c r="H616" s="864">
        <v>0</v>
      </c>
      <c r="I616" s="864">
        <v>0</v>
      </c>
      <c r="J616" s="864">
        <v>52481.738700477901</v>
      </c>
      <c r="K616" s="864">
        <v>54879.045609262903</v>
      </c>
      <c r="L616" s="18" t="s">
        <v>4599</v>
      </c>
      <c r="M616" s="442"/>
      <c r="N616" s="527"/>
      <c r="P616" s="538"/>
      <c r="T616" s="443"/>
      <c r="U616" s="440"/>
      <c r="V616" s="440"/>
      <c r="W616" s="440"/>
      <c r="X616" s="442"/>
    </row>
    <row r="617" spans="1:24" x14ac:dyDescent="0.25">
      <c r="A617" s="862">
        <v>1335</v>
      </c>
      <c r="B617" s="863" t="s">
        <v>6829</v>
      </c>
      <c r="C617" s="862">
        <v>1335</v>
      </c>
      <c r="D617" s="165" t="s">
        <v>2145</v>
      </c>
      <c r="E617" s="165" t="s">
        <v>6830</v>
      </c>
      <c r="F617" s="163">
        <v>1</v>
      </c>
      <c r="G617" s="864"/>
      <c r="H617" s="864">
        <v>56069.512808063184</v>
      </c>
      <c r="I617" s="864">
        <v>58683.606315724232</v>
      </c>
      <c r="J617" s="864">
        <v>61435.234216668206</v>
      </c>
      <c r="K617" s="864">
        <v>64331.772172364545</v>
      </c>
      <c r="L617" s="18" t="s">
        <v>1028</v>
      </c>
      <c r="M617" s="442"/>
      <c r="N617" s="527"/>
      <c r="P617" s="538"/>
      <c r="T617" s="443"/>
      <c r="U617" s="440"/>
      <c r="V617" s="440"/>
      <c r="W617" s="440"/>
      <c r="X617" s="442"/>
    </row>
    <row r="618" spans="1:24" x14ac:dyDescent="0.25">
      <c r="A618" s="862">
        <v>1336</v>
      </c>
      <c r="B618" s="863" t="s">
        <v>6831</v>
      </c>
      <c r="C618" s="862">
        <v>1336</v>
      </c>
      <c r="D618" s="165" t="s">
        <v>2145</v>
      </c>
      <c r="E618" s="165" t="s">
        <v>6832</v>
      </c>
      <c r="F618" s="163">
        <v>1</v>
      </c>
      <c r="G618" s="864"/>
      <c r="H618" s="864">
        <v>0</v>
      </c>
      <c r="I618" s="864">
        <v>0</v>
      </c>
      <c r="J618" s="864">
        <v>64315.076541224946</v>
      </c>
      <c r="K618" s="864">
        <v>67277.561587706805</v>
      </c>
      <c r="L618" s="18" t="s">
        <v>4600</v>
      </c>
      <c r="M618" s="442"/>
      <c r="N618" s="527"/>
      <c r="P618" s="538"/>
      <c r="T618" s="443"/>
      <c r="U618" s="440"/>
      <c r="V618" s="440"/>
      <c r="W618" s="440"/>
      <c r="X618" s="442"/>
    </row>
    <row r="619" spans="1:24" x14ac:dyDescent="0.25">
      <c r="A619" s="862">
        <v>1337</v>
      </c>
      <c r="B619" s="863" t="s">
        <v>6833</v>
      </c>
      <c r="C619" s="862">
        <v>1337</v>
      </c>
      <c r="D619" s="165" t="s">
        <v>2145</v>
      </c>
      <c r="E619" s="165" t="s">
        <v>6834</v>
      </c>
      <c r="F619" s="163">
        <v>1</v>
      </c>
      <c r="G619" s="864"/>
      <c r="H619" s="864">
        <v>19667.185109675771</v>
      </c>
      <c r="I619" s="864">
        <v>20296.039092152005</v>
      </c>
      <c r="J619" s="864">
        <v>20958.024928462259</v>
      </c>
      <c r="K619" s="864">
        <v>21654.852124578316</v>
      </c>
      <c r="L619" s="18" t="s">
        <v>1029</v>
      </c>
      <c r="M619" s="442"/>
      <c r="N619" s="527"/>
      <c r="P619" s="538"/>
      <c r="T619" s="443"/>
      <c r="U619" s="440"/>
      <c r="V619" s="440"/>
      <c r="W619" s="440"/>
      <c r="X619" s="442"/>
    </row>
    <row r="620" spans="1:24" x14ac:dyDescent="0.25">
      <c r="A620" s="862">
        <v>1338</v>
      </c>
      <c r="B620" s="863" t="s">
        <v>6835</v>
      </c>
      <c r="C620" s="862">
        <v>1338</v>
      </c>
      <c r="D620" s="165" t="s">
        <v>2145</v>
      </c>
      <c r="E620" s="165" t="s">
        <v>6836</v>
      </c>
      <c r="F620" s="163">
        <v>1</v>
      </c>
      <c r="G620" s="864"/>
      <c r="H620" s="864">
        <v>26570.432552537346</v>
      </c>
      <c r="I620" s="864">
        <v>27389.896450867043</v>
      </c>
      <c r="J620" s="864">
        <v>28252.505023722624</v>
      </c>
      <c r="K620" s="864">
        <v>29160.496909876656</v>
      </c>
      <c r="L620" s="18" t="s">
        <v>3870</v>
      </c>
      <c r="M620" s="442"/>
      <c r="N620" s="527"/>
      <c r="P620" s="538"/>
      <c r="T620" s="443"/>
      <c r="U620" s="440"/>
      <c r="V620" s="440"/>
      <c r="W620" s="440"/>
      <c r="X620" s="442"/>
    </row>
    <row r="621" spans="1:24" x14ac:dyDescent="0.25">
      <c r="A621" s="862">
        <v>1339</v>
      </c>
      <c r="B621" s="863" t="s">
        <v>6837</v>
      </c>
      <c r="C621" s="862">
        <v>1339</v>
      </c>
      <c r="D621" s="165" t="s">
        <v>2145</v>
      </c>
      <c r="E621" s="165" t="s">
        <v>6838</v>
      </c>
      <c r="F621" s="163">
        <v>1</v>
      </c>
      <c r="G621" s="864"/>
      <c r="H621" s="864">
        <v>28741.515382804409</v>
      </c>
      <c r="I621" s="864">
        <v>29634.243822781835</v>
      </c>
      <c r="J621" s="864">
        <v>30573.942974460071</v>
      </c>
      <c r="K621" s="864">
        <v>31563.09569175051</v>
      </c>
      <c r="L621" s="18" t="s">
        <v>3871</v>
      </c>
      <c r="M621" s="442"/>
      <c r="N621" s="527"/>
      <c r="P621" s="538"/>
      <c r="T621" s="443"/>
      <c r="U621" s="440"/>
      <c r="V621" s="440"/>
      <c r="W621" s="440"/>
      <c r="X621" s="442"/>
    </row>
    <row r="622" spans="1:24" x14ac:dyDescent="0.25">
      <c r="A622" s="862">
        <v>1340</v>
      </c>
      <c r="B622" s="863" t="s">
        <v>6839</v>
      </c>
      <c r="C622" s="862">
        <v>1340</v>
      </c>
      <c r="D622" s="165" t="s">
        <v>2145</v>
      </c>
      <c r="E622" s="165" t="s">
        <v>6840</v>
      </c>
      <c r="F622" s="163">
        <v>1</v>
      </c>
      <c r="G622" s="864"/>
      <c r="H622" s="864">
        <v>16863.81313180798</v>
      </c>
      <c r="I622" s="864">
        <v>17391.236426625259</v>
      </c>
      <c r="J622" s="864">
        <v>17946.418842222396</v>
      </c>
      <c r="K622" s="864">
        <v>18530.825669432354</v>
      </c>
      <c r="L622" s="18" t="s">
        <v>1030</v>
      </c>
      <c r="M622" s="442"/>
      <c r="N622" s="527"/>
      <c r="P622" s="538"/>
      <c r="T622" s="443"/>
      <c r="U622" s="440"/>
      <c r="V622" s="440"/>
      <c r="W622" s="440"/>
      <c r="X622" s="442"/>
    </row>
    <row r="623" spans="1:24" x14ac:dyDescent="0.25">
      <c r="A623" s="862">
        <v>1341</v>
      </c>
      <c r="B623" s="863" t="s">
        <v>6841</v>
      </c>
      <c r="C623" s="862">
        <v>1341</v>
      </c>
      <c r="D623" s="165" t="s">
        <v>2145</v>
      </c>
      <c r="E623" s="165" t="s">
        <v>6842</v>
      </c>
      <c r="F623" s="163">
        <v>1</v>
      </c>
      <c r="G623" s="864"/>
      <c r="H623" s="864">
        <v>18733.409811668105</v>
      </c>
      <c r="I623" s="864">
        <v>19328.480699940115</v>
      </c>
      <c r="J623" s="864">
        <v>19954.892531028087</v>
      </c>
      <c r="K623" s="864">
        <v>20614.273405857537</v>
      </c>
      <c r="L623" s="18" t="s">
        <v>1031</v>
      </c>
      <c r="M623" s="442"/>
      <c r="N623" s="527"/>
      <c r="P623" s="538"/>
      <c r="T623" s="443"/>
      <c r="U623" s="440"/>
      <c r="V623" s="440"/>
      <c r="W623" s="440"/>
      <c r="X623" s="442"/>
    </row>
    <row r="624" spans="1:24" x14ac:dyDescent="0.25">
      <c r="A624" s="862">
        <v>1342</v>
      </c>
      <c r="B624" s="863" t="s">
        <v>6843</v>
      </c>
      <c r="C624" s="862">
        <v>1342</v>
      </c>
      <c r="D624" s="165" t="s">
        <v>2145</v>
      </c>
      <c r="E624" s="165" t="s">
        <v>6844</v>
      </c>
      <c r="F624" s="163">
        <v>1</v>
      </c>
      <c r="G624" s="864"/>
      <c r="H624" s="864">
        <v>0</v>
      </c>
      <c r="I624" s="864">
        <v>23406.179865718277</v>
      </c>
      <c r="J624" s="864">
        <v>24131.865150738911</v>
      </c>
      <c r="K624" s="864">
        <v>24895.770104985768</v>
      </c>
      <c r="L624" s="18" t="s">
        <v>3872</v>
      </c>
      <c r="M624" s="442"/>
      <c r="N624" s="527"/>
      <c r="P624" s="538"/>
      <c r="T624" s="443"/>
      <c r="U624" s="440"/>
      <c r="V624" s="440"/>
      <c r="W624" s="440"/>
      <c r="X624" s="442"/>
    </row>
    <row r="625" spans="1:24" x14ac:dyDescent="0.25">
      <c r="A625" s="862">
        <v>1343</v>
      </c>
      <c r="B625" s="863" t="s">
        <v>6845</v>
      </c>
      <c r="C625" s="862">
        <v>1343</v>
      </c>
      <c r="D625" s="165" t="s">
        <v>2145</v>
      </c>
      <c r="E625" s="165" t="s">
        <v>6846</v>
      </c>
      <c r="F625" s="163">
        <v>1</v>
      </c>
      <c r="G625" s="864"/>
      <c r="H625" s="864">
        <v>14539.577879705048</v>
      </c>
      <c r="I625" s="864">
        <v>14904.819223436831</v>
      </c>
      <c r="J625" s="864">
        <v>15289.279320063459</v>
      </c>
      <c r="K625" s="864">
        <v>15693.978634340423</v>
      </c>
      <c r="L625" s="18" t="s">
        <v>1032</v>
      </c>
      <c r="M625" s="442"/>
      <c r="N625" s="527"/>
      <c r="P625" s="538"/>
      <c r="T625" s="443"/>
      <c r="U625" s="440"/>
      <c r="V625" s="440"/>
      <c r="W625" s="440"/>
      <c r="X625" s="442"/>
    </row>
    <row r="626" spans="1:24" x14ac:dyDescent="0.25">
      <c r="A626" s="862">
        <v>1344</v>
      </c>
      <c r="B626" s="863" t="s">
        <v>6847</v>
      </c>
      <c r="C626" s="862">
        <v>1344</v>
      </c>
      <c r="D626" s="165" t="s">
        <v>2145</v>
      </c>
      <c r="E626" s="165" t="s">
        <v>6848</v>
      </c>
      <c r="F626" s="163">
        <v>1</v>
      </c>
      <c r="G626" s="864"/>
      <c r="H626" s="864">
        <v>13664.001261303332</v>
      </c>
      <c r="I626" s="864">
        <v>14003.135715040784</v>
      </c>
      <c r="J626" s="864">
        <v>14360.12830199911</v>
      </c>
      <c r="K626" s="864">
        <v>14735.914448204174</v>
      </c>
      <c r="L626" s="18" t="s">
        <v>1033</v>
      </c>
      <c r="M626" s="442"/>
      <c r="N626" s="527"/>
      <c r="P626" s="538"/>
      <c r="T626" s="443"/>
      <c r="U626" s="440"/>
      <c r="V626" s="440"/>
      <c r="W626" s="440"/>
      <c r="X626" s="442"/>
    </row>
    <row r="627" spans="1:24" x14ac:dyDescent="0.25">
      <c r="A627" s="862">
        <v>1345</v>
      </c>
      <c r="B627" s="863" t="s">
        <v>6849</v>
      </c>
      <c r="C627" s="862">
        <v>1345</v>
      </c>
      <c r="D627" s="165" t="s">
        <v>2145</v>
      </c>
      <c r="E627" s="165" t="s">
        <v>6850</v>
      </c>
      <c r="F627" s="163">
        <v>1</v>
      </c>
      <c r="G627" s="864"/>
      <c r="H627" s="864">
        <v>0</v>
      </c>
      <c r="I627" s="864">
        <v>0</v>
      </c>
      <c r="J627" s="864">
        <v>18189.736638405469</v>
      </c>
      <c r="K627" s="864">
        <v>18609.884655230653</v>
      </c>
      <c r="L627" s="18" t="s">
        <v>4601</v>
      </c>
      <c r="M627" s="442"/>
      <c r="N627" s="527"/>
      <c r="P627" s="538"/>
      <c r="T627" s="443"/>
      <c r="U627" s="440"/>
      <c r="V627" s="440"/>
      <c r="W627" s="440"/>
      <c r="X627" s="442"/>
    </row>
    <row r="628" spans="1:24" x14ac:dyDescent="0.25">
      <c r="A628" s="862">
        <v>1346</v>
      </c>
      <c r="B628" s="863" t="s">
        <v>6851</v>
      </c>
      <c r="C628" s="862">
        <v>1346</v>
      </c>
      <c r="D628" s="165" t="s">
        <v>2145</v>
      </c>
      <c r="E628" s="165" t="s">
        <v>6852</v>
      </c>
      <c r="F628" s="163">
        <v>1</v>
      </c>
      <c r="G628" s="864"/>
      <c r="H628" s="864">
        <v>18900.475978409628</v>
      </c>
      <c r="I628" s="864">
        <v>19384.658158641101</v>
      </c>
      <c r="J628" s="864">
        <v>19894.323611516338</v>
      </c>
      <c r="K628" s="864">
        <v>20430.832956709306</v>
      </c>
      <c r="L628" s="18" t="s">
        <v>1034</v>
      </c>
      <c r="M628" s="442"/>
      <c r="N628" s="527"/>
      <c r="P628" s="538"/>
      <c r="T628" s="443"/>
      <c r="U628" s="440"/>
      <c r="V628" s="440"/>
      <c r="W628" s="440"/>
      <c r="X628" s="442"/>
    </row>
    <row r="629" spans="1:24" x14ac:dyDescent="0.25">
      <c r="A629" s="862">
        <v>1347</v>
      </c>
      <c r="B629" s="863" t="s">
        <v>6853</v>
      </c>
      <c r="C629" s="862">
        <v>1347</v>
      </c>
      <c r="D629" s="165" t="s">
        <v>2145</v>
      </c>
      <c r="E629" s="165" t="s">
        <v>6854</v>
      </c>
      <c r="F629" s="163">
        <v>1</v>
      </c>
      <c r="G629" s="864"/>
      <c r="H629" s="864">
        <v>17482.44429576951</v>
      </c>
      <c r="I629" s="864">
        <v>17925.297653404094</v>
      </c>
      <c r="J629" s="864">
        <v>18391.451622955443</v>
      </c>
      <c r="K629" s="864">
        <v>18882.153439124697</v>
      </c>
      <c r="L629" s="18" t="s">
        <v>1035</v>
      </c>
      <c r="M629" s="442"/>
      <c r="N629" s="527"/>
      <c r="P629" s="538"/>
      <c r="T629" s="443"/>
      <c r="U629" s="440"/>
      <c r="V629" s="440"/>
      <c r="W629" s="440"/>
      <c r="X629" s="442"/>
    </row>
    <row r="630" spans="1:24" x14ac:dyDescent="0.25">
      <c r="A630" s="862">
        <v>1348</v>
      </c>
      <c r="B630" s="863" t="s">
        <v>6855</v>
      </c>
      <c r="C630" s="862">
        <v>1348</v>
      </c>
      <c r="D630" s="165" t="s">
        <v>2145</v>
      </c>
      <c r="E630" s="165" t="s">
        <v>6856</v>
      </c>
      <c r="F630" s="163">
        <v>1</v>
      </c>
      <c r="G630" s="864"/>
      <c r="H630" s="864">
        <v>15156.890477835364</v>
      </c>
      <c r="I630" s="864">
        <v>15531.967967960236</v>
      </c>
      <c r="J630" s="864">
        <v>15926.774443357697</v>
      </c>
      <c r="K630" s="864">
        <v>16342.387061269639</v>
      </c>
      <c r="L630" s="18" t="s">
        <v>1036</v>
      </c>
      <c r="M630" s="442"/>
      <c r="N630" s="527"/>
      <c r="P630" s="538"/>
      <c r="T630" s="443"/>
      <c r="U630" s="440"/>
      <c r="V630" s="440"/>
      <c r="W630" s="440"/>
      <c r="X630" s="442"/>
    </row>
    <row r="631" spans="1:24" x14ac:dyDescent="0.25">
      <c r="A631" s="862">
        <v>1349</v>
      </c>
      <c r="B631" s="863" t="s">
        <v>6857</v>
      </c>
      <c r="C631" s="862">
        <v>1349</v>
      </c>
      <c r="D631" s="165" t="s">
        <v>2145</v>
      </c>
      <c r="E631" s="165" t="s">
        <v>6858</v>
      </c>
      <c r="F631" s="163">
        <v>1</v>
      </c>
      <c r="G631" s="864"/>
      <c r="H631" s="864">
        <v>14306.060129754016</v>
      </c>
      <c r="I631" s="864">
        <v>14656.334657072102</v>
      </c>
      <c r="J631" s="864">
        <v>15025.034242475231</v>
      </c>
      <c r="K631" s="864">
        <v>15413.151004475665</v>
      </c>
      <c r="L631" s="18" t="s">
        <v>1037</v>
      </c>
      <c r="M631" s="442"/>
      <c r="N631" s="527"/>
      <c r="P631" s="538"/>
      <c r="T631" s="443"/>
      <c r="U631" s="440"/>
      <c r="V631" s="440"/>
      <c r="W631" s="440"/>
      <c r="X631" s="442"/>
    </row>
    <row r="632" spans="1:24" x14ac:dyDescent="0.25">
      <c r="A632" s="862">
        <v>1350</v>
      </c>
      <c r="B632" s="863" t="s">
        <v>6859</v>
      </c>
      <c r="C632" s="862">
        <v>1350</v>
      </c>
      <c r="D632" s="165" t="s">
        <v>2145</v>
      </c>
      <c r="E632" s="165" t="s">
        <v>6860</v>
      </c>
      <c r="F632" s="163">
        <v>1</v>
      </c>
      <c r="G632" s="864"/>
      <c r="H632" s="864">
        <v>36243.383089485687</v>
      </c>
      <c r="I632" s="864">
        <v>0</v>
      </c>
      <c r="J632" s="864">
        <v>0</v>
      </c>
      <c r="K632" s="864">
        <v>0</v>
      </c>
      <c r="L632" s="18" t="s">
        <v>2975</v>
      </c>
      <c r="M632" s="442"/>
      <c r="N632" s="527"/>
      <c r="P632" s="538"/>
      <c r="T632" s="443"/>
      <c r="U632" s="440"/>
      <c r="V632" s="440"/>
      <c r="W632" s="440"/>
      <c r="X632" s="442"/>
    </row>
    <row r="633" spans="1:24" x14ac:dyDescent="0.25">
      <c r="A633" s="862">
        <v>1351</v>
      </c>
      <c r="B633" s="863" t="s">
        <v>6861</v>
      </c>
      <c r="C633" s="862">
        <v>1351</v>
      </c>
      <c r="D633" s="165" t="s">
        <v>2145</v>
      </c>
      <c r="E633" s="165" t="s">
        <v>6862</v>
      </c>
      <c r="F633" s="163">
        <v>1</v>
      </c>
      <c r="G633" s="864"/>
      <c r="H633" s="864">
        <v>28802.045248446553</v>
      </c>
      <c r="I633" s="864">
        <v>29713.034437690276</v>
      </c>
      <c r="J633" s="864">
        <v>30671.978694839436</v>
      </c>
      <c r="K633" s="864">
        <v>31681.39163524699</v>
      </c>
      <c r="L633" s="18" t="s">
        <v>1038</v>
      </c>
      <c r="M633" s="442"/>
      <c r="N633" s="527"/>
      <c r="P633" s="538"/>
      <c r="T633" s="443"/>
      <c r="U633" s="440"/>
      <c r="V633" s="440"/>
      <c r="W633" s="440"/>
      <c r="X633" s="442"/>
    </row>
    <row r="634" spans="1:24" x14ac:dyDescent="0.25">
      <c r="A634" s="862">
        <v>1352</v>
      </c>
      <c r="B634" s="863" t="s">
        <v>6863</v>
      </c>
      <c r="C634" s="862">
        <v>1352</v>
      </c>
      <c r="D634" s="165" t="s">
        <v>2145</v>
      </c>
      <c r="E634" s="165" t="s">
        <v>6864</v>
      </c>
      <c r="F634" s="163">
        <v>1</v>
      </c>
      <c r="G634" s="864"/>
      <c r="H634" s="864">
        <v>26741.367077081875</v>
      </c>
      <c r="I634" s="864">
        <v>27581.660834523984</v>
      </c>
      <c r="J634" s="864">
        <v>28466.178512081984</v>
      </c>
      <c r="K634" s="864">
        <v>29397.237348909402</v>
      </c>
      <c r="L634" s="18" t="s">
        <v>1039</v>
      </c>
      <c r="M634" s="442"/>
      <c r="N634" s="527"/>
      <c r="P634" s="538"/>
      <c r="T634" s="443"/>
      <c r="U634" s="440"/>
      <c r="V634" s="440"/>
      <c r="W634" s="440"/>
      <c r="X634" s="442"/>
    </row>
    <row r="635" spans="1:24" x14ac:dyDescent="0.25">
      <c r="A635" s="862">
        <v>1353</v>
      </c>
      <c r="B635" s="863" t="s">
        <v>6865</v>
      </c>
      <c r="C635" s="862">
        <v>1353</v>
      </c>
      <c r="D635" s="165" t="s">
        <v>2145</v>
      </c>
      <c r="E635" s="165" t="s">
        <v>6866</v>
      </c>
      <c r="F635" s="163">
        <v>1</v>
      </c>
      <c r="G635" s="864"/>
      <c r="H635" s="864">
        <v>22677.251794668202</v>
      </c>
      <c r="I635" s="864">
        <v>23378.118450501548</v>
      </c>
      <c r="J635" s="864">
        <v>24115.864556591401</v>
      </c>
      <c r="K635" s="864">
        <v>24892.453874932264</v>
      </c>
      <c r="L635" s="18" t="s">
        <v>1040</v>
      </c>
      <c r="M635" s="442"/>
      <c r="N635" s="527"/>
      <c r="P635" s="538"/>
      <c r="T635" s="443"/>
      <c r="U635" s="440"/>
      <c r="V635" s="440"/>
      <c r="W635" s="440"/>
      <c r="X635" s="442"/>
    </row>
    <row r="636" spans="1:24" x14ac:dyDescent="0.25">
      <c r="A636" s="862">
        <v>1354</v>
      </c>
      <c r="B636" s="863" t="s">
        <v>6867</v>
      </c>
      <c r="C636" s="862">
        <v>1354</v>
      </c>
      <c r="D636" s="165" t="s">
        <v>2145</v>
      </c>
      <c r="E636" s="165" t="s">
        <v>6868</v>
      </c>
      <c r="F636" s="163">
        <v>1</v>
      </c>
      <c r="G636" s="864"/>
      <c r="H636" s="864">
        <v>23879.314061297602</v>
      </c>
      <c r="I636" s="864">
        <v>24621.419719015226</v>
      </c>
      <c r="J636" s="864">
        <v>25402.564965183301</v>
      </c>
      <c r="K636" s="864">
        <v>26224.831387515987</v>
      </c>
      <c r="L636" s="18" t="s">
        <v>1041</v>
      </c>
      <c r="M636" s="442"/>
      <c r="N636" s="527"/>
      <c r="P636" s="538"/>
      <c r="T636" s="443"/>
      <c r="U636" s="440"/>
      <c r="V636" s="440"/>
      <c r="W636" s="440"/>
      <c r="X636" s="442"/>
    </row>
    <row r="637" spans="1:24" x14ac:dyDescent="0.25">
      <c r="A637" s="862">
        <v>1355</v>
      </c>
      <c r="B637" s="863" t="s">
        <v>6869</v>
      </c>
      <c r="C637" s="862">
        <v>1355</v>
      </c>
      <c r="D637" s="165" t="s">
        <v>2145</v>
      </c>
      <c r="E637" s="165" t="s">
        <v>6870</v>
      </c>
      <c r="F637" s="163">
        <v>1</v>
      </c>
      <c r="G637" s="864"/>
      <c r="H637" s="864">
        <v>0</v>
      </c>
      <c r="I637" s="864">
        <v>0</v>
      </c>
      <c r="J637" s="864">
        <v>33789.4034092496</v>
      </c>
      <c r="K637" s="864">
        <v>34849.638510074532</v>
      </c>
      <c r="L637" s="18" t="s">
        <v>4602</v>
      </c>
      <c r="M637" s="442"/>
      <c r="N637" s="527"/>
      <c r="P637" s="538"/>
      <c r="T637" s="443"/>
      <c r="U637" s="440"/>
      <c r="V637" s="440"/>
      <c r="W637" s="440"/>
      <c r="X637" s="442"/>
    </row>
    <row r="638" spans="1:24" x14ac:dyDescent="0.25">
      <c r="A638" s="862">
        <v>1356</v>
      </c>
      <c r="B638" s="863" t="s">
        <v>6871</v>
      </c>
      <c r="C638" s="862">
        <v>1356</v>
      </c>
      <c r="D638" s="165" t="s">
        <v>2145</v>
      </c>
      <c r="E638" s="165" t="s">
        <v>6872</v>
      </c>
      <c r="F638" s="163">
        <v>1</v>
      </c>
      <c r="G638" s="864"/>
      <c r="H638" s="864">
        <v>0</v>
      </c>
      <c r="I638" s="864">
        <v>0</v>
      </c>
      <c r="J638" s="864">
        <v>0</v>
      </c>
      <c r="K638" s="864">
        <v>37498.510126601846</v>
      </c>
      <c r="L638" s="18" t="s">
        <v>10863</v>
      </c>
      <c r="M638" s="442"/>
      <c r="N638" s="527"/>
      <c r="P638" s="538"/>
      <c r="T638" s="443"/>
      <c r="U638" s="440"/>
      <c r="V638" s="440"/>
      <c r="W638" s="440"/>
      <c r="X638" s="442"/>
    </row>
    <row r="639" spans="1:24" x14ac:dyDescent="0.25">
      <c r="A639" s="862">
        <v>1357</v>
      </c>
      <c r="B639" s="863" t="s">
        <v>6873</v>
      </c>
      <c r="C639" s="862">
        <v>1357</v>
      </c>
      <c r="D639" s="165" t="s">
        <v>2145</v>
      </c>
      <c r="E639" s="165" t="s">
        <v>6874</v>
      </c>
      <c r="F639" s="163">
        <v>1</v>
      </c>
      <c r="G639" s="864"/>
      <c r="H639" s="864">
        <v>30107.231781408493</v>
      </c>
      <c r="I639" s="864">
        <v>31060.716780212981</v>
      </c>
      <c r="J639" s="864">
        <v>32188.42674316858</v>
      </c>
      <c r="K639" s="864">
        <v>33251.489661265587</v>
      </c>
      <c r="L639" s="18" t="s">
        <v>1042</v>
      </c>
      <c r="M639" s="442"/>
      <c r="N639" s="527"/>
      <c r="P639" s="538"/>
      <c r="T639" s="443"/>
      <c r="U639" s="440"/>
      <c r="V639" s="440"/>
      <c r="W639" s="440"/>
      <c r="X639" s="442"/>
    </row>
    <row r="640" spans="1:24" x14ac:dyDescent="0.25">
      <c r="A640" s="862">
        <v>1358</v>
      </c>
      <c r="B640" s="863" t="s">
        <v>6875</v>
      </c>
      <c r="C640" s="862">
        <v>1358</v>
      </c>
      <c r="D640" s="165" t="s">
        <v>2145</v>
      </c>
      <c r="E640" s="165" t="s">
        <v>6876</v>
      </c>
      <c r="F640" s="163">
        <v>1</v>
      </c>
      <c r="G640" s="864"/>
      <c r="H640" s="864">
        <v>25442.531362749018</v>
      </c>
      <c r="I640" s="864">
        <v>26221.830672642267</v>
      </c>
      <c r="J640" s="864">
        <v>27042.17260822036</v>
      </c>
      <c r="K640" s="864">
        <v>27905.678032437329</v>
      </c>
      <c r="L640" s="18" t="s">
        <v>3873</v>
      </c>
      <c r="M640" s="442"/>
      <c r="N640" s="527"/>
      <c r="P640" s="538"/>
      <c r="T640" s="443"/>
      <c r="U640" s="440"/>
      <c r="V640" s="440"/>
      <c r="W640" s="440"/>
      <c r="X640" s="442"/>
    </row>
    <row r="641" spans="1:24" x14ac:dyDescent="0.25">
      <c r="A641" s="862">
        <v>1359</v>
      </c>
      <c r="B641" s="863" t="s">
        <v>6877</v>
      </c>
      <c r="C641" s="862">
        <v>1359</v>
      </c>
      <c r="D641" s="165" t="s">
        <v>2145</v>
      </c>
      <c r="E641" s="165" t="s">
        <v>6878</v>
      </c>
      <c r="F641" s="163">
        <v>1</v>
      </c>
      <c r="G641" s="864"/>
      <c r="H641" s="864">
        <v>0</v>
      </c>
      <c r="I641" s="864">
        <v>0</v>
      </c>
      <c r="J641" s="864">
        <v>0</v>
      </c>
      <c r="K641" s="864">
        <v>30472.765509977846</v>
      </c>
      <c r="L641" s="18" t="s">
        <v>10864</v>
      </c>
      <c r="M641" s="442"/>
      <c r="N641" s="527"/>
      <c r="P641" s="538"/>
      <c r="T641" s="443"/>
      <c r="U641" s="440"/>
      <c r="V641" s="440"/>
      <c r="W641" s="440"/>
      <c r="X641" s="442"/>
    </row>
    <row r="642" spans="1:24" x14ac:dyDescent="0.25">
      <c r="A642" s="862">
        <v>1360</v>
      </c>
      <c r="B642" s="863" t="s">
        <v>6879</v>
      </c>
      <c r="C642" s="862">
        <v>1360</v>
      </c>
      <c r="D642" s="165" t="s">
        <v>2145</v>
      </c>
      <c r="E642" s="165" t="s">
        <v>6880</v>
      </c>
      <c r="F642" s="163">
        <v>1</v>
      </c>
      <c r="G642" s="864"/>
      <c r="H642" s="864">
        <v>31421.380379035989</v>
      </c>
      <c r="I642" s="864">
        <v>32419.914077994064</v>
      </c>
      <c r="J642" s="864">
        <v>33470.998047924688</v>
      </c>
      <c r="K642" s="864">
        <v>34577.420830860014</v>
      </c>
      <c r="L642" s="18" t="s">
        <v>1043</v>
      </c>
      <c r="M642" s="442"/>
      <c r="N642" s="527"/>
      <c r="P642" s="538"/>
      <c r="T642" s="443"/>
      <c r="U642" s="440"/>
      <c r="V642" s="440"/>
      <c r="W642" s="440"/>
      <c r="X642" s="442"/>
    </row>
    <row r="643" spans="1:24" x14ac:dyDescent="0.25">
      <c r="A643" s="862">
        <v>1361</v>
      </c>
      <c r="B643" s="863" t="s">
        <v>6881</v>
      </c>
      <c r="C643" s="862">
        <v>1361</v>
      </c>
      <c r="D643" s="165" t="s">
        <v>2145</v>
      </c>
      <c r="E643" s="165" t="s">
        <v>6882</v>
      </c>
      <c r="F643" s="163">
        <v>1</v>
      </c>
      <c r="G643" s="864"/>
      <c r="H643" s="864">
        <v>0</v>
      </c>
      <c r="I643" s="864">
        <v>0</v>
      </c>
      <c r="J643" s="864">
        <v>28222.719849130011</v>
      </c>
      <c r="K643" s="864">
        <v>29096.908138596998</v>
      </c>
      <c r="L643" s="18" t="s">
        <v>10865</v>
      </c>
      <c r="M643" s="442"/>
      <c r="N643" s="527"/>
      <c r="P643" s="538"/>
      <c r="T643" s="443"/>
      <c r="U643" s="440"/>
      <c r="V643" s="440"/>
      <c r="W643" s="440"/>
      <c r="X643" s="442"/>
    </row>
    <row r="644" spans="1:24" x14ac:dyDescent="0.25">
      <c r="A644" s="862">
        <v>1362</v>
      </c>
      <c r="B644" s="863" t="s">
        <v>6883</v>
      </c>
      <c r="C644" s="862">
        <v>1362</v>
      </c>
      <c r="D644" s="165" t="s">
        <v>2145</v>
      </c>
      <c r="E644" s="165" t="s">
        <v>6884</v>
      </c>
      <c r="F644" s="163">
        <v>2</v>
      </c>
      <c r="G644" s="864"/>
      <c r="H644" s="864">
        <v>0</v>
      </c>
      <c r="I644" s="864">
        <v>0</v>
      </c>
      <c r="J644" s="864">
        <v>31615.195566381979</v>
      </c>
      <c r="K644" s="864">
        <v>32332.107215775137</v>
      </c>
      <c r="L644" s="18" t="s">
        <v>4603</v>
      </c>
      <c r="M644" s="442"/>
      <c r="N644" s="527"/>
      <c r="P644" s="538"/>
      <c r="T644" s="443"/>
      <c r="U644" s="440"/>
      <c r="V644" s="440"/>
      <c r="W644" s="440"/>
      <c r="X644" s="442"/>
    </row>
    <row r="645" spans="1:24" x14ac:dyDescent="0.25">
      <c r="A645" s="862">
        <v>1363</v>
      </c>
      <c r="B645" s="863" t="s">
        <v>6885</v>
      </c>
      <c r="C645" s="862">
        <v>1363</v>
      </c>
      <c r="D645" s="165" t="s">
        <v>2145</v>
      </c>
      <c r="E645" s="165" t="s">
        <v>6886</v>
      </c>
      <c r="F645" s="163">
        <v>2</v>
      </c>
      <c r="G645" s="864"/>
      <c r="H645" s="864">
        <v>0</v>
      </c>
      <c r="I645" s="864">
        <v>0</v>
      </c>
      <c r="J645" s="864">
        <v>33948.164032750159</v>
      </c>
      <c r="K645" s="864">
        <v>34724.898452382877</v>
      </c>
      <c r="L645" s="18" t="s">
        <v>4604</v>
      </c>
      <c r="M645" s="442"/>
      <c r="N645" s="527"/>
      <c r="P645" s="538"/>
      <c r="T645" s="443"/>
      <c r="U645" s="440"/>
      <c r="V645" s="440"/>
      <c r="W645" s="440"/>
      <c r="X645" s="442"/>
    </row>
    <row r="646" spans="1:24" x14ac:dyDescent="0.25">
      <c r="A646" s="862">
        <v>1364</v>
      </c>
      <c r="B646" s="863" t="s">
        <v>6887</v>
      </c>
      <c r="C646" s="862">
        <v>1364</v>
      </c>
      <c r="D646" s="165" t="s">
        <v>2145</v>
      </c>
      <c r="E646" s="165" t="s">
        <v>6888</v>
      </c>
      <c r="F646" s="163">
        <v>2</v>
      </c>
      <c r="G646" s="864"/>
      <c r="H646" s="864">
        <v>0</v>
      </c>
      <c r="I646" s="864">
        <v>0</v>
      </c>
      <c r="J646" s="864">
        <v>0</v>
      </c>
      <c r="K646" s="864">
        <v>27751.651181853013</v>
      </c>
      <c r="L646" s="18" t="s">
        <v>10866</v>
      </c>
      <c r="M646" s="442"/>
      <c r="N646" s="527"/>
      <c r="P646" s="538"/>
      <c r="T646" s="443"/>
      <c r="U646" s="440"/>
      <c r="V646" s="440"/>
      <c r="W646" s="440"/>
      <c r="X646" s="442"/>
    </row>
    <row r="647" spans="1:24" x14ac:dyDescent="0.25">
      <c r="A647" s="862">
        <v>1365</v>
      </c>
      <c r="B647" s="863" t="s">
        <v>6889</v>
      </c>
      <c r="C647" s="862">
        <v>1365</v>
      </c>
      <c r="D647" s="165" t="s">
        <v>2145</v>
      </c>
      <c r="E647" s="165" t="s">
        <v>6890</v>
      </c>
      <c r="F647" s="163">
        <v>2</v>
      </c>
      <c r="G647" s="864"/>
      <c r="H647" s="864">
        <v>0</v>
      </c>
      <c r="I647" s="864">
        <v>0</v>
      </c>
      <c r="J647" s="864">
        <v>0</v>
      </c>
      <c r="K647" s="864">
        <v>29635.682015329854</v>
      </c>
      <c r="L647" s="18" t="s">
        <v>10867</v>
      </c>
      <c r="M647" s="442"/>
      <c r="N647" s="527"/>
      <c r="P647" s="526"/>
      <c r="T647" s="443"/>
      <c r="U647" s="440"/>
      <c r="V647" s="440"/>
      <c r="W647" s="440"/>
      <c r="X647" s="442"/>
    </row>
    <row r="648" spans="1:24" x14ac:dyDescent="0.25">
      <c r="A648" s="862">
        <v>1366</v>
      </c>
      <c r="B648" s="863" t="s">
        <v>6891</v>
      </c>
      <c r="C648" s="862">
        <v>1366</v>
      </c>
      <c r="D648" s="165" t="s">
        <v>2145</v>
      </c>
      <c r="E648" s="165" t="s">
        <v>6892</v>
      </c>
      <c r="F648" s="163">
        <v>2</v>
      </c>
      <c r="G648" s="864"/>
      <c r="H648" s="864">
        <v>18627.505769913714</v>
      </c>
      <c r="I648" s="864">
        <v>19091.984560765519</v>
      </c>
      <c r="J648" s="864">
        <v>19580.940276605746</v>
      </c>
      <c r="K648" s="864">
        <v>20095.625902880241</v>
      </c>
      <c r="L648" s="18" t="s">
        <v>1044</v>
      </c>
      <c r="M648" s="442"/>
      <c r="N648" s="527"/>
      <c r="P648" s="526"/>
      <c r="T648" s="443"/>
      <c r="U648" s="440"/>
      <c r="V648" s="440"/>
      <c r="W648" s="440"/>
      <c r="X648" s="442"/>
    </row>
    <row r="649" spans="1:24" x14ac:dyDescent="0.25">
      <c r="A649" s="862">
        <v>1367</v>
      </c>
      <c r="B649" s="863" t="s">
        <v>6893</v>
      </c>
      <c r="C649" s="862">
        <v>1367</v>
      </c>
      <c r="D649" s="165" t="s">
        <v>2145</v>
      </c>
      <c r="E649" s="165" t="s">
        <v>6894</v>
      </c>
      <c r="F649" s="163">
        <v>2</v>
      </c>
      <c r="G649" s="864"/>
      <c r="H649" s="864">
        <v>17769.449178543538</v>
      </c>
      <c r="I649" s="864">
        <v>18207.323883068635</v>
      </c>
      <c r="J649" s="864">
        <v>18668.247691957833</v>
      </c>
      <c r="K649" s="864">
        <v>19153.444451460553</v>
      </c>
      <c r="L649" s="18" t="s">
        <v>1045</v>
      </c>
      <c r="M649" s="442"/>
      <c r="N649" s="527"/>
      <c r="P649" s="526"/>
      <c r="T649" s="443"/>
      <c r="U649" s="440"/>
      <c r="V649" s="440"/>
      <c r="W649" s="440"/>
      <c r="X649" s="442"/>
    </row>
    <row r="650" spans="1:24" x14ac:dyDescent="0.25">
      <c r="A650" s="862">
        <v>1368</v>
      </c>
      <c r="B650" s="863" t="s">
        <v>6895</v>
      </c>
      <c r="C650" s="862">
        <v>1368</v>
      </c>
      <c r="D650" s="165" t="s">
        <v>2145</v>
      </c>
      <c r="E650" s="165" t="s">
        <v>6896</v>
      </c>
      <c r="F650" s="163">
        <v>2</v>
      </c>
      <c r="G650" s="864"/>
      <c r="H650" s="864">
        <v>19002.215303005913</v>
      </c>
      <c r="I650" s="864">
        <v>19477.737849298919</v>
      </c>
      <c r="J650" s="864">
        <v>19978.290965312237</v>
      </c>
      <c r="K650" s="864">
        <v>20505.185914884529</v>
      </c>
      <c r="L650" s="18" t="s">
        <v>1046</v>
      </c>
      <c r="M650" s="442"/>
      <c r="N650" s="527"/>
      <c r="P650" s="526"/>
      <c r="T650" s="443"/>
      <c r="U650" s="440"/>
      <c r="V650" s="440"/>
      <c r="W650" s="440"/>
      <c r="X650" s="442"/>
    </row>
    <row r="651" spans="1:24" x14ac:dyDescent="0.25">
      <c r="A651" s="862">
        <v>1369</v>
      </c>
      <c r="B651" s="863" t="s">
        <v>6897</v>
      </c>
      <c r="C651" s="862">
        <v>1369</v>
      </c>
      <c r="D651" s="165" t="s">
        <v>2145</v>
      </c>
      <c r="E651" s="165" t="s">
        <v>6898</v>
      </c>
      <c r="F651" s="163">
        <v>2</v>
      </c>
      <c r="G651" s="864"/>
      <c r="H651" s="864">
        <v>18694.254631456144</v>
      </c>
      <c r="I651" s="864">
        <v>19160.831444449814</v>
      </c>
      <c r="J651" s="864">
        <v>19651.972600021152</v>
      </c>
      <c r="K651" s="864">
        <v>20168.960222812413</v>
      </c>
      <c r="L651" s="18" t="s">
        <v>1047</v>
      </c>
      <c r="M651" s="442"/>
      <c r="N651" s="527"/>
      <c r="P651" s="526"/>
      <c r="T651" s="443"/>
      <c r="U651" s="440"/>
      <c r="V651" s="440"/>
      <c r="W651" s="440"/>
      <c r="X651" s="442"/>
    </row>
    <row r="652" spans="1:24" x14ac:dyDescent="0.25">
      <c r="A652" s="862">
        <v>1370</v>
      </c>
      <c r="B652" s="863" t="s">
        <v>6899</v>
      </c>
      <c r="C652" s="862">
        <v>1370</v>
      </c>
      <c r="D652" s="165" t="s">
        <v>2145</v>
      </c>
      <c r="E652" s="165" t="s">
        <v>6900</v>
      </c>
      <c r="F652" s="163">
        <v>2</v>
      </c>
      <c r="G652" s="864"/>
      <c r="H652" s="864">
        <v>25879.018678778961</v>
      </c>
      <c r="I652" s="864">
        <v>26492.311345721108</v>
      </c>
      <c r="J652" s="864">
        <v>27137.890242290854</v>
      </c>
      <c r="K652" s="864">
        <v>27817.445441880245</v>
      </c>
      <c r="L652" s="18" t="s">
        <v>1048</v>
      </c>
      <c r="M652" s="442"/>
      <c r="N652" s="527"/>
      <c r="P652" s="526"/>
      <c r="T652" s="443"/>
      <c r="U652" s="440"/>
      <c r="V652" s="440"/>
      <c r="W652" s="440"/>
      <c r="X652" s="442"/>
    </row>
    <row r="653" spans="1:24" x14ac:dyDescent="0.25">
      <c r="A653" s="862">
        <v>1371</v>
      </c>
      <c r="B653" s="863" t="s">
        <v>6901</v>
      </c>
      <c r="C653" s="862">
        <v>1371</v>
      </c>
      <c r="D653" s="165" t="s">
        <v>2145</v>
      </c>
      <c r="E653" s="165" t="s">
        <v>6902</v>
      </c>
      <c r="F653" s="163">
        <v>2</v>
      </c>
      <c r="G653" s="864"/>
      <c r="H653" s="864">
        <v>26598.569570860156</v>
      </c>
      <c r="I653" s="864">
        <v>27231.793448150031</v>
      </c>
      <c r="J653" s="864">
        <v>27898.352566138426</v>
      </c>
      <c r="K653" s="864">
        <v>28599.995276610232</v>
      </c>
      <c r="L653" s="18" t="s">
        <v>1049</v>
      </c>
      <c r="M653" s="442"/>
      <c r="N653" s="527"/>
      <c r="P653" s="526"/>
      <c r="T653" s="443"/>
      <c r="U653" s="440"/>
      <c r="V653" s="440"/>
      <c r="W653" s="440"/>
      <c r="X653" s="442"/>
    </row>
    <row r="654" spans="1:24" x14ac:dyDescent="0.25">
      <c r="A654" s="862">
        <v>1372</v>
      </c>
      <c r="B654" s="863" t="s">
        <v>6903</v>
      </c>
      <c r="C654" s="862">
        <v>1372</v>
      </c>
      <c r="D654" s="165" t="s">
        <v>2145</v>
      </c>
      <c r="E654" s="165" t="s">
        <v>6904</v>
      </c>
      <c r="F654" s="163">
        <v>2</v>
      </c>
      <c r="G654" s="864"/>
      <c r="H654" s="864">
        <v>26633.689139281014</v>
      </c>
      <c r="I654" s="864">
        <v>27267.903749248988</v>
      </c>
      <c r="J654" s="864">
        <v>27935.482739111903</v>
      </c>
      <c r="K654" s="864">
        <v>28638.203599851055</v>
      </c>
      <c r="L654" s="18" t="s">
        <v>1050</v>
      </c>
      <c r="M654" s="442"/>
      <c r="N654" s="527"/>
      <c r="P654" s="526"/>
      <c r="T654" s="443"/>
      <c r="U654" s="440"/>
      <c r="V654" s="440"/>
      <c r="W654" s="440"/>
      <c r="X654" s="442"/>
    </row>
    <row r="655" spans="1:24" x14ac:dyDescent="0.25">
      <c r="A655" s="862">
        <v>1373</v>
      </c>
      <c r="B655" s="863" t="s">
        <v>6905</v>
      </c>
      <c r="C655" s="862">
        <v>1373</v>
      </c>
      <c r="D655" s="165" t="s">
        <v>2145</v>
      </c>
      <c r="E655" s="165" t="s">
        <v>6906</v>
      </c>
      <c r="F655" s="163">
        <v>2</v>
      </c>
      <c r="G655" s="864"/>
      <c r="H655" s="864">
        <v>27353.24003136222</v>
      </c>
      <c r="I655" s="864">
        <v>28007.385851677911</v>
      </c>
      <c r="J655" s="864">
        <v>28695.945062959479</v>
      </c>
      <c r="K655" s="864">
        <v>29420.753434581042</v>
      </c>
      <c r="L655" s="18" t="s">
        <v>1051</v>
      </c>
      <c r="M655" s="442"/>
      <c r="N655" s="527"/>
      <c r="P655" s="526"/>
      <c r="T655" s="443"/>
      <c r="U655" s="440"/>
      <c r="V655" s="440"/>
      <c r="W655" s="440"/>
      <c r="X655" s="442"/>
    </row>
    <row r="656" spans="1:24" x14ac:dyDescent="0.25">
      <c r="A656" s="862">
        <v>1374</v>
      </c>
      <c r="B656" s="863" t="s">
        <v>6907</v>
      </c>
      <c r="C656" s="862">
        <v>1374</v>
      </c>
      <c r="D656" s="165" t="s">
        <v>2145</v>
      </c>
      <c r="E656" s="165" t="s">
        <v>6908</v>
      </c>
      <c r="F656" s="163">
        <v>2</v>
      </c>
      <c r="G656" s="864"/>
      <c r="H656" s="864">
        <v>27318.034580372921</v>
      </c>
      <c r="I656" s="864">
        <v>27971.189668010509</v>
      </c>
      <c r="J656" s="864">
        <v>28658.729007417558</v>
      </c>
      <c r="K656" s="864">
        <v>29382.459228771775</v>
      </c>
      <c r="L656" s="18" t="s">
        <v>1052</v>
      </c>
      <c r="M656" s="442"/>
      <c r="N656" s="527"/>
      <c r="P656" s="526"/>
      <c r="T656" s="443"/>
      <c r="U656" s="440"/>
      <c r="V656" s="440"/>
      <c r="W656" s="440"/>
      <c r="X656" s="442"/>
    </row>
    <row r="657" spans="1:24" x14ac:dyDescent="0.25">
      <c r="A657" s="862">
        <v>1375</v>
      </c>
      <c r="B657" s="863" t="s">
        <v>6909</v>
      </c>
      <c r="C657" s="862">
        <v>1375</v>
      </c>
      <c r="D657" s="165" t="s">
        <v>2145</v>
      </c>
      <c r="E657" s="165" t="s">
        <v>6910</v>
      </c>
      <c r="F657" s="163">
        <v>2</v>
      </c>
      <c r="G657" s="864"/>
      <c r="H657" s="864">
        <v>27627.330630713866</v>
      </c>
      <c r="I657" s="864">
        <v>28289.052642097406</v>
      </c>
      <c r="J657" s="864">
        <v>28985.595993196624</v>
      </c>
      <c r="K657" s="864">
        <v>29718.79645338565</v>
      </c>
      <c r="L657" s="18" t="s">
        <v>1053</v>
      </c>
      <c r="M657" s="442"/>
      <c r="N657" s="527"/>
      <c r="P657" s="526"/>
      <c r="T657" s="443"/>
      <c r="U657" s="440"/>
      <c r="V657" s="440"/>
      <c r="W657" s="440"/>
      <c r="X657" s="442"/>
    </row>
    <row r="658" spans="1:24" x14ac:dyDescent="0.25">
      <c r="A658" s="862">
        <v>1376</v>
      </c>
      <c r="B658" s="863" t="s">
        <v>6911</v>
      </c>
      <c r="C658" s="862">
        <v>1376</v>
      </c>
      <c r="D658" s="165" t="s">
        <v>2145</v>
      </c>
      <c r="E658" s="165" t="s">
        <v>6912</v>
      </c>
      <c r="F658" s="163">
        <v>2</v>
      </c>
      <c r="G658" s="864"/>
      <c r="H658" s="864">
        <v>28346.881522795069</v>
      </c>
      <c r="I658" s="864">
        <v>29028.534744526332</v>
      </c>
      <c r="J658" s="864">
        <v>29746.058317044197</v>
      </c>
      <c r="K658" s="864">
        <v>30501.346288115634</v>
      </c>
      <c r="L658" s="18" t="s">
        <v>1054</v>
      </c>
      <c r="M658" s="442"/>
      <c r="N658" s="527"/>
      <c r="P658" s="526"/>
      <c r="T658" s="443"/>
      <c r="U658" s="440"/>
      <c r="V658" s="440"/>
      <c r="W658" s="440"/>
      <c r="X658" s="442"/>
    </row>
    <row r="659" spans="1:24" x14ac:dyDescent="0.25">
      <c r="A659" s="862">
        <v>1377</v>
      </c>
      <c r="B659" s="863" t="s">
        <v>6913</v>
      </c>
      <c r="C659" s="862">
        <v>1377</v>
      </c>
      <c r="D659" s="165" t="s">
        <v>2145</v>
      </c>
      <c r="E659" s="165" t="s">
        <v>6914</v>
      </c>
      <c r="F659" s="163">
        <v>2</v>
      </c>
      <c r="G659" s="864"/>
      <c r="H659" s="864">
        <v>28382.001091215927</v>
      </c>
      <c r="I659" s="864">
        <v>29064.645045625282</v>
      </c>
      <c r="J659" s="864">
        <v>29783.21762921409</v>
      </c>
      <c r="K659" s="864">
        <v>30539.583750552876</v>
      </c>
      <c r="L659" s="18" t="s">
        <v>1055</v>
      </c>
      <c r="M659" s="442"/>
      <c r="N659" s="527"/>
      <c r="P659" s="526"/>
      <c r="T659" s="443"/>
      <c r="U659" s="440"/>
      <c r="V659" s="440"/>
      <c r="W659" s="440"/>
      <c r="X659" s="442"/>
    </row>
    <row r="660" spans="1:24" x14ac:dyDescent="0.25">
      <c r="A660" s="862">
        <v>1378</v>
      </c>
      <c r="B660" s="863" t="s">
        <v>6915</v>
      </c>
      <c r="C660" s="862">
        <v>1378</v>
      </c>
      <c r="D660" s="165" t="s">
        <v>2145</v>
      </c>
      <c r="E660" s="165" t="s">
        <v>6916</v>
      </c>
      <c r="F660" s="163">
        <v>2</v>
      </c>
      <c r="G660" s="864"/>
      <c r="H660" s="864">
        <v>29101.551983297129</v>
      </c>
      <c r="I660" s="864">
        <v>29804.127148054209</v>
      </c>
      <c r="J660" s="864">
        <v>30543.679953061663</v>
      </c>
      <c r="K660" s="864">
        <v>31322.13358528286</v>
      </c>
      <c r="L660" s="18" t="s">
        <v>1056</v>
      </c>
      <c r="M660" s="442"/>
      <c r="N660" s="527"/>
      <c r="P660" s="526"/>
      <c r="T660" s="443"/>
      <c r="U660" s="440"/>
      <c r="V660" s="440"/>
      <c r="W660" s="440"/>
      <c r="X660" s="442"/>
    </row>
    <row r="661" spans="1:24" x14ac:dyDescent="0.25">
      <c r="A661" s="862">
        <v>1379</v>
      </c>
      <c r="B661" s="863" t="s">
        <v>6917</v>
      </c>
      <c r="C661" s="862">
        <v>1379</v>
      </c>
      <c r="D661" s="165" t="s">
        <v>2145</v>
      </c>
      <c r="E661" s="165" t="s">
        <v>6918</v>
      </c>
      <c r="F661" s="163">
        <v>2</v>
      </c>
      <c r="G661" s="864"/>
      <c r="H661" s="864">
        <v>29066.346532307834</v>
      </c>
      <c r="I661" s="864">
        <v>29767.930964386807</v>
      </c>
      <c r="J661" s="864">
        <v>30506.434758323325</v>
      </c>
      <c r="K661" s="864">
        <v>31283.81024027718</v>
      </c>
      <c r="L661" s="18" t="s">
        <v>1057</v>
      </c>
      <c r="M661" s="442"/>
      <c r="N661" s="527"/>
      <c r="P661" s="526"/>
      <c r="T661" s="443"/>
      <c r="U661" s="440"/>
      <c r="V661" s="440"/>
      <c r="W661" s="440"/>
      <c r="X661" s="442"/>
    </row>
    <row r="662" spans="1:24" x14ac:dyDescent="0.25">
      <c r="A662" s="862">
        <v>1380</v>
      </c>
      <c r="B662" s="863" t="s">
        <v>6919</v>
      </c>
      <c r="C662" s="862">
        <v>1380</v>
      </c>
      <c r="D662" s="165" t="s">
        <v>2145</v>
      </c>
      <c r="E662" s="165" t="s">
        <v>6920</v>
      </c>
      <c r="F662" s="163">
        <v>2</v>
      </c>
      <c r="G662" s="864"/>
      <c r="H662" s="864">
        <v>0</v>
      </c>
      <c r="I662" s="864">
        <v>41145.659875958685</v>
      </c>
      <c r="J662" s="864">
        <v>42104.805665148015</v>
      </c>
      <c r="K662" s="864">
        <v>43114.449681724182</v>
      </c>
      <c r="L662" s="18" t="s">
        <v>4605</v>
      </c>
      <c r="M662" s="442"/>
      <c r="N662" s="527"/>
      <c r="P662" s="526"/>
      <c r="T662" s="443"/>
      <c r="U662" s="440"/>
      <c r="V662" s="440"/>
      <c r="W662" s="440"/>
      <c r="X662" s="442"/>
    </row>
    <row r="663" spans="1:24" x14ac:dyDescent="0.25">
      <c r="A663" s="862">
        <v>1381</v>
      </c>
      <c r="B663" s="863" t="s">
        <v>6921</v>
      </c>
      <c r="C663" s="862">
        <v>1381</v>
      </c>
      <c r="D663" s="165" t="s">
        <v>2145</v>
      </c>
      <c r="E663" s="165" t="s">
        <v>6922</v>
      </c>
      <c r="F663" s="163">
        <v>2</v>
      </c>
      <c r="G663" s="864"/>
      <c r="H663" s="864">
        <v>35250.486541417784</v>
      </c>
      <c r="I663" s="864">
        <v>36037.244844617198</v>
      </c>
      <c r="J663" s="864">
        <v>0</v>
      </c>
      <c r="K663" s="864">
        <v>0</v>
      </c>
      <c r="L663" s="18" t="s">
        <v>4606</v>
      </c>
      <c r="M663" s="442"/>
      <c r="N663" s="527"/>
      <c r="P663" s="526"/>
      <c r="T663" s="443"/>
      <c r="U663" s="440"/>
      <c r="V663" s="440"/>
      <c r="W663" s="440"/>
      <c r="X663" s="442"/>
    </row>
    <row r="664" spans="1:24" x14ac:dyDescent="0.25">
      <c r="A664" s="862">
        <v>1382</v>
      </c>
      <c r="B664" s="863" t="s">
        <v>6923</v>
      </c>
      <c r="C664" s="862">
        <v>1382</v>
      </c>
      <c r="D664" s="165" t="s">
        <v>2145</v>
      </c>
      <c r="E664" s="165" t="s">
        <v>6924</v>
      </c>
      <c r="F664" s="163">
        <v>2</v>
      </c>
      <c r="G664" s="864"/>
      <c r="H664" s="864">
        <v>28792.285072152597</v>
      </c>
      <c r="I664" s="864">
        <v>29486.293313163729</v>
      </c>
      <c r="J664" s="864">
        <v>30216.812967282596</v>
      </c>
      <c r="K664" s="864">
        <v>30985.796360668985</v>
      </c>
      <c r="L664" s="18" t="s">
        <v>1058</v>
      </c>
      <c r="M664" s="442"/>
      <c r="N664" s="527"/>
      <c r="P664" s="526"/>
      <c r="T664" s="443"/>
      <c r="U664" s="440"/>
      <c r="V664" s="440"/>
      <c r="W664" s="440"/>
      <c r="X664" s="442"/>
    </row>
    <row r="665" spans="1:24" x14ac:dyDescent="0.25">
      <c r="A665" s="862">
        <v>1383</v>
      </c>
      <c r="B665" s="863" t="s">
        <v>6925</v>
      </c>
      <c r="C665" s="862">
        <v>1383</v>
      </c>
      <c r="D665" s="165" t="s">
        <v>2145</v>
      </c>
      <c r="E665" s="165" t="s">
        <v>6926</v>
      </c>
      <c r="F665" s="163">
        <v>2</v>
      </c>
      <c r="G665" s="864"/>
      <c r="H665" s="864">
        <v>30540.597024087518</v>
      </c>
      <c r="I665" s="864">
        <v>31283.034609540024</v>
      </c>
      <c r="J665" s="864">
        <v>32064.547857384783</v>
      </c>
      <c r="K665" s="864">
        <v>32887.17651137081</v>
      </c>
      <c r="L665" s="18" t="s">
        <v>1059</v>
      </c>
      <c r="M665" s="442"/>
      <c r="N665" s="527"/>
      <c r="P665" s="526"/>
      <c r="T665" s="443"/>
      <c r="U665" s="440"/>
      <c r="V665" s="440"/>
      <c r="W665" s="440"/>
      <c r="X665" s="442"/>
    </row>
    <row r="666" spans="1:24" x14ac:dyDescent="0.25">
      <c r="A666" s="862">
        <v>1384</v>
      </c>
      <c r="B666" s="863" t="s">
        <v>6927</v>
      </c>
      <c r="C666" s="862">
        <v>1384</v>
      </c>
      <c r="D666" s="165" t="s">
        <v>2145</v>
      </c>
      <c r="E666" s="165" t="s">
        <v>6928</v>
      </c>
      <c r="F666" s="163">
        <v>2</v>
      </c>
      <c r="G666" s="864"/>
      <c r="H666" s="864">
        <v>28072.734180071395</v>
      </c>
      <c r="I666" s="864">
        <v>28746.811210734802</v>
      </c>
      <c r="J666" s="864">
        <v>29456.35064343502</v>
      </c>
      <c r="K666" s="864">
        <v>30203.246525939001</v>
      </c>
      <c r="L666" s="18" t="s">
        <v>1060</v>
      </c>
      <c r="M666" s="442"/>
      <c r="N666" s="527"/>
      <c r="P666" s="526"/>
      <c r="T666" s="443"/>
      <c r="U666" s="440"/>
      <c r="V666" s="440"/>
      <c r="W666" s="440"/>
      <c r="X666" s="442"/>
    </row>
    <row r="667" spans="1:24" x14ac:dyDescent="0.25">
      <c r="A667" s="862">
        <v>1385</v>
      </c>
      <c r="B667" s="863" t="s">
        <v>6929</v>
      </c>
      <c r="C667" s="862">
        <v>1385</v>
      </c>
      <c r="D667" s="165" t="s">
        <v>2145</v>
      </c>
      <c r="E667" s="165" t="s">
        <v>6930</v>
      </c>
      <c r="F667" s="163">
        <v>2</v>
      </c>
      <c r="G667" s="864"/>
      <c r="H667" s="864">
        <v>28037.58547245412</v>
      </c>
      <c r="I667" s="864">
        <v>28710.671770439432</v>
      </c>
      <c r="J667" s="864">
        <v>29419.19133126513</v>
      </c>
      <c r="K667" s="864">
        <v>30165.009063501759</v>
      </c>
      <c r="L667" s="18" t="s">
        <v>1061</v>
      </c>
      <c r="M667" s="442"/>
      <c r="N667" s="527"/>
      <c r="P667" s="526"/>
      <c r="T667" s="443"/>
      <c r="U667" s="440"/>
      <c r="V667" s="440"/>
      <c r="W667" s="440"/>
      <c r="X667" s="442"/>
    </row>
    <row r="668" spans="1:24" x14ac:dyDescent="0.25">
      <c r="A668" s="862">
        <v>1386</v>
      </c>
      <c r="B668" s="863" t="s">
        <v>6931</v>
      </c>
      <c r="C668" s="862">
        <v>1386</v>
      </c>
      <c r="D668" s="165" t="s">
        <v>2145</v>
      </c>
      <c r="E668" s="165" t="s">
        <v>6932</v>
      </c>
      <c r="F668" s="163">
        <v>2</v>
      </c>
      <c r="G668" s="864"/>
      <c r="H668" s="864">
        <v>29821.046132006308</v>
      </c>
      <c r="I668" s="864">
        <v>30543.552507111104</v>
      </c>
      <c r="J668" s="864">
        <v>31304.085533537207</v>
      </c>
      <c r="K668" s="864">
        <v>32104.626676640819</v>
      </c>
      <c r="L668" s="18" t="s">
        <v>1062</v>
      </c>
      <c r="M668" s="442"/>
      <c r="N668" s="527"/>
      <c r="P668" s="526"/>
      <c r="T668" s="443"/>
      <c r="U668" s="440"/>
      <c r="V668" s="440"/>
      <c r="W668" s="440"/>
      <c r="X668" s="442"/>
    </row>
    <row r="669" spans="1:24" x14ac:dyDescent="0.25">
      <c r="A669" s="862">
        <v>1387</v>
      </c>
      <c r="B669" s="863" t="s">
        <v>6933</v>
      </c>
      <c r="C669" s="862">
        <v>1387</v>
      </c>
      <c r="D669" s="165" t="s">
        <v>2145</v>
      </c>
      <c r="E669" s="165" t="s">
        <v>6934</v>
      </c>
      <c r="F669" s="163">
        <v>2</v>
      </c>
      <c r="G669" s="864"/>
      <c r="H669" s="864">
        <v>29785.897424389033</v>
      </c>
      <c r="I669" s="864">
        <v>30507.413066815727</v>
      </c>
      <c r="J669" s="864">
        <v>31266.897082170901</v>
      </c>
      <c r="K669" s="864">
        <v>32066.360075007167</v>
      </c>
      <c r="L669" s="18" t="s">
        <v>1063</v>
      </c>
      <c r="M669" s="442"/>
      <c r="N669" s="527"/>
      <c r="P669" s="526"/>
      <c r="T669" s="443"/>
      <c r="U669" s="440"/>
      <c r="V669" s="440"/>
      <c r="W669" s="440"/>
      <c r="X669" s="442"/>
    </row>
    <row r="670" spans="1:24" x14ac:dyDescent="0.25">
      <c r="A670" s="862">
        <v>1388</v>
      </c>
      <c r="B670" s="863" t="s">
        <v>6935</v>
      </c>
      <c r="C670" s="862">
        <v>1388</v>
      </c>
      <c r="D670" s="165" t="s">
        <v>2145</v>
      </c>
      <c r="E670" s="165" t="s">
        <v>6936</v>
      </c>
      <c r="F670" s="163">
        <v>2</v>
      </c>
      <c r="G670" s="864"/>
      <c r="H670" s="864">
        <v>14937.016977485033</v>
      </c>
      <c r="I670" s="864">
        <v>15279.606509733756</v>
      </c>
      <c r="J670" s="864">
        <v>15640.233204563239</v>
      </c>
      <c r="K670" s="864">
        <v>16019.829516258753</v>
      </c>
      <c r="L670" s="18" t="s">
        <v>1064</v>
      </c>
      <c r="M670" s="442"/>
      <c r="N670" s="527"/>
      <c r="P670" s="526"/>
      <c r="T670" s="443"/>
      <c r="U670" s="440"/>
      <c r="V670" s="440"/>
      <c r="W670" s="440"/>
      <c r="X670" s="442"/>
    </row>
    <row r="671" spans="1:24" x14ac:dyDescent="0.25">
      <c r="A671" s="862">
        <v>1389</v>
      </c>
      <c r="B671" s="863" t="s">
        <v>6937</v>
      </c>
      <c r="C671" s="862">
        <v>1389</v>
      </c>
      <c r="D671" s="165" t="s">
        <v>2145</v>
      </c>
      <c r="E671" s="165" t="s">
        <v>6938</v>
      </c>
      <c r="F671" s="163">
        <v>2</v>
      </c>
      <c r="G671" s="864"/>
      <c r="H671" s="864">
        <v>21414.514339414545</v>
      </c>
      <c r="I671" s="864">
        <v>21869.872561788521</v>
      </c>
      <c r="J671" s="864">
        <v>22349.183203615452</v>
      </c>
      <c r="K671" s="864">
        <v>22853.728389537602</v>
      </c>
      <c r="L671" s="18" t="s">
        <v>4607</v>
      </c>
      <c r="M671" s="442"/>
      <c r="N671" s="527"/>
      <c r="P671" s="526"/>
      <c r="T671" s="443"/>
      <c r="U671" s="440"/>
      <c r="V671" s="440"/>
      <c r="W671" s="440"/>
      <c r="X671" s="442"/>
    </row>
    <row r="672" spans="1:24" x14ac:dyDescent="0.25">
      <c r="A672" s="862">
        <v>1390</v>
      </c>
      <c r="B672" s="863" t="s">
        <v>6939</v>
      </c>
      <c r="C672" s="862">
        <v>1390</v>
      </c>
      <c r="D672" s="165" t="s">
        <v>2145</v>
      </c>
      <c r="E672" s="165" t="s">
        <v>6940</v>
      </c>
      <c r="F672" s="163">
        <v>2</v>
      </c>
      <c r="G672" s="864"/>
      <c r="H672" s="864">
        <v>23029.39791096612</v>
      </c>
      <c r="I672" s="864">
        <v>23526.162931445513</v>
      </c>
      <c r="J672" s="864">
        <v>24049.06581110898</v>
      </c>
      <c r="K672" s="864">
        <v>24599.505231384424</v>
      </c>
      <c r="L672" s="18" t="s">
        <v>10868</v>
      </c>
      <c r="M672" s="442"/>
      <c r="N672" s="527"/>
      <c r="P672" s="526"/>
      <c r="T672" s="443"/>
      <c r="U672" s="440"/>
      <c r="V672" s="440"/>
      <c r="W672" s="440"/>
      <c r="X672" s="442"/>
    </row>
    <row r="673" spans="1:24" x14ac:dyDescent="0.25">
      <c r="A673" s="862">
        <v>1391</v>
      </c>
      <c r="B673" s="863" t="s">
        <v>6941</v>
      </c>
      <c r="C673" s="862">
        <v>1391</v>
      </c>
      <c r="D673" s="165" t="s">
        <v>2145</v>
      </c>
      <c r="E673" s="165" t="s">
        <v>6942</v>
      </c>
      <c r="F673" s="163">
        <v>2</v>
      </c>
      <c r="G673" s="864"/>
      <c r="H673" s="864">
        <v>20484.096136697037</v>
      </c>
      <c r="I673" s="864">
        <v>21006.212258057301</v>
      </c>
      <c r="J673" s="864">
        <v>21555.806641636715</v>
      </c>
      <c r="K673" s="864">
        <v>22134.307108059606</v>
      </c>
      <c r="L673" s="18" t="s">
        <v>1065</v>
      </c>
      <c r="M673" s="442"/>
      <c r="N673" s="527"/>
      <c r="P673" s="526"/>
      <c r="T673" s="443"/>
      <c r="U673" s="440"/>
      <c r="V673" s="440"/>
      <c r="W673" s="440"/>
      <c r="X673" s="442"/>
    </row>
    <row r="674" spans="1:24" x14ac:dyDescent="0.25">
      <c r="A674" s="862">
        <v>1392</v>
      </c>
      <c r="B674" s="863" t="s">
        <v>6943</v>
      </c>
      <c r="C674" s="862">
        <v>1392</v>
      </c>
      <c r="D674" s="165" t="s">
        <v>2145</v>
      </c>
      <c r="E674" s="165" t="s">
        <v>6944</v>
      </c>
      <c r="F674" s="163">
        <v>2</v>
      </c>
      <c r="G674" s="864"/>
      <c r="H674" s="864">
        <v>25182.576006368217</v>
      </c>
      <c r="I674" s="864">
        <v>25734.53066485723</v>
      </c>
      <c r="J674" s="864">
        <v>26347.852470995793</v>
      </c>
      <c r="K674" s="864">
        <v>26961.145137937947</v>
      </c>
      <c r="L674" s="18" t="s">
        <v>2976</v>
      </c>
      <c r="M674" s="442"/>
      <c r="N674" s="527"/>
      <c r="P674" s="526"/>
      <c r="T674" s="443"/>
      <c r="U674" s="440"/>
      <c r="V674" s="440"/>
      <c r="W674" s="440"/>
      <c r="X674" s="442"/>
    </row>
    <row r="675" spans="1:24" x14ac:dyDescent="0.25">
      <c r="A675" s="862">
        <v>1393</v>
      </c>
      <c r="B675" s="863" t="s">
        <v>6945</v>
      </c>
      <c r="C675" s="862">
        <v>1393</v>
      </c>
      <c r="D675" s="165" t="s">
        <v>2145</v>
      </c>
      <c r="E675" s="165" t="s">
        <v>6946</v>
      </c>
      <c r="F675" s="163">
        <v>2</v>
      </c>
      <c r="G675" s="864"/>
      <c r="H675" s="864">
        <v>26797.459577919788</v>
      </c>
      <c r="I675" s="864">
        <v>27423.806604855767</v>
      </c>
      <c r="J675" s="864">
        <v>28050.153631791753</v>
      </c>
      <c r="K675" s="864">
        <v>28709.45708987286</v>
      </c>
      <c r="L675" s="18" t="s">
        <v>2977</v>
      </c>
      <c r="M675" s="442"/>
      <c r="N675" s="527"/>
      <c r="P675" s="526"/>
      <c r="T675" s="443"/>
      <c r="U675" s="440"/>
      <c r="V675" s="440"/>
      <c r="W675" s="440"/>
      <c r="X675" s="442"/>
    </row>
    <row r="676" spans="1:24" x14ac:dyDescent="0.25">
      <c r="A676" s="862">
        <v>1394</v>
      </c>
      <c r="B676" s="863" t="s">
        <v>6947</v>
      </c>
      <c r="C676" s="862">
        <v>1394</v>
      </c>
      <c r="D676" s="165" t="s">
        <v>2145</v>
      </c>
      <c r="E676" s="165" t="s">
        <v>6948</v>
      </c>
      <c r="F676" s="163">
        <v>2</v>
      </c>
      <c r="G676" s="864"/>
      <c r="H676" s="864">
        <v>20809.167798479382</v>
      </c>
      <c r="I676" s="864">
        <v>21307.331500386688</v>
      </c>
      <c r="J676" s="864">
        <v>21831.720479067306</v>
      </c>
      <c r="K676" s="864">
        <v>22383.704276752735</v>
      </c>
      <c r="L676" s="18" t="s">
        <v>1066</v>
      </c>
      <c r="M676" s="442"/>
      <c r="N676" s="527"/>
      <c r="P676" s="526"/>
      <c r="T676" s="443"/>
      <c r="U676" s="440"/>
      <c r="V676" s="440"/>
      <c r="W676" s="440"/>
      <c r="X676" s="442"/>
    </row>
    <row r="677" spans="1:24" x14ac:dyDescent="0.25">
      <c r="A677" s="862">
        <v>1395</v>
      </c>
      <c r="B677" s="863" t="s">
        <v>6949</v>
      </c>
      <c r="C677" s="862">
        <v>1395</v>
      </c>
      <c r="D677" s="165" t="s">
        <v>2145</v>
      </c>
      <c r="E677" s="165" t="s">
        <v>6950</v>
      </c>
      <c r="F677" s="163">
        <v>2</v>
      </c>
      <c r="G677" s="864"/>
      <c r="H677" s="864">
        <v>21856.239909587872</v>
      </c>
      <c r="I677" s="864">
        <v>22384.824932552223</v>
      </c>
      <c r="J677" s="864">
        <v>22941.237888092703</v>
      </c>
      <c r="K677" s="864">
        <v>23526.935736030042</v>
      </c>
      <c r="L677" s="18" t="s">
        <v>1067</v>
      </c>
      <c r="M677" s="442"/>
      <c r="N677" s="527"/>
      <c r="P677" s="526"/>
      <c r="T677" s="443"/>
      <c r="U677" s="440"/>
      <c r="V677" s="440"/>
      <c r="W677" s="440"/>
      <c r="X677" s="442"/>
    </row>
    <row r="678" spans="1:24" x14ac:dyDescent="0.25">
      <c r="A678" s="862">
        <v>1396</v>
      </c>
      <c r="B678" s="863" t="s">
        <v>6951</v>
      </c>
      <c r="C678" s="862">
        <v>1396</v>
      </c>
      <c r="D678" s="165" t="s">
        <v>2145</v>
      </c>
      <c r="E678" s="165" t="s">
        <v>6952</v>
      </c>
      <c r="F678" s="163">
        <v>2</v>
      </c>
      <c r="G678" s="864"/>
      <c r="H678" s="864">
        <v>19307.961065754134</v>
      </c>
      <c r="I678" s="864">
        <v>19793.565774006667</v>
      </c>
      <c r="J678" s="864">
        <v>20304.725557514968</v>
      </c>
      <c r="K678" s="864">
        <v>20842.809958510541</v>
      </c>
      <c r="L678" s="18" t="s">
        <v>1068</v>
      </c>
      <c r="M678" s="442"/>
      <c r="N678" s="527"/>
      <c r="P678" s="526"/>
      <c r="T678" s="443"/>
      <c r="U678" s="440"/>
      <c r="V678" s="440"/>
      <c r="W678" s="440"/>
      <c r="X678" s="442"/>
    </row>
    <row r="679" spans="1:24" x14ac:dyDescent="0.25">
      <c r="A679" s="862">
        <v>1397</v>
      </c>
      <c r="B679" s="863" t="s">
        <v>6953</v>
      </c>
      <c r="C679" s="862">
        <v>1397</v>
      </c>
      <c r="D679" s="165" t="s">
        <v>2145</v>
      </c>
      <c r="E679" s="165" t="s">
        <v>6954</v>
      </c>
      <c r="F679" s="163">
        <v>2</v>
      </c>
      <c r="G679" s="864"/>
      <c r="H679" s="864">
        <v>18013.541687910398</v>
      </c>
      <c r="I679" s="864">
        <v>18458.992583503343</v>
      </c>
      <c r="J679" s="864">
        <v>18927.900532210191</v>
      </c>
      <c r="K679" s="864">
        <v>19421.489380280374</v>
      </c>
      <c r="L679" s="18" t="s">
        <v>1069</v>
      </c>
      <c r="M679" s="442"/>
      <c r="N679" s="527"/>
      <c r="P679" s="526"/>
      <c r="T679" s="443"/>
      <c r="U679" s="440"/>
      <c r="V679" s="440"/>
      <c r="W679" s="440"/>
      <c r="X679" s="442"/>
    </row>
    <row r="680" spans="1:24" x14ac:dyDescent="0.25">
      <c r="A680" s="862">
        <v>1398</v>
      </c>
      <c r="B680" s="863" t="s">
        <v>6955</v>
      </c>
      <c r="C680" s="862">
        <v>1398</v>
      </c>
      <c r="D680" s="165" t="s">
        <v>2145</v>
      </c>
      <c r="E680" s="165" t="s">
        <v>6956</v>
      </c>
      <c r="F680" s="163">
        <v>2</v>
      </c>
      <c r="G680" s="864"/>
      <c r="H680" s="864">
        <v>21006.212258057301</v>
      </c>
      <c r="I680" s="864">
        <v>21555.806641636715</v>
      </c>
      <c r="J680" s="864">
        <v>22134.307108059606</v>
      </c>
      <c r="K680" s="864">
        <v>22743.258034735954</v>
      </c>
      <c r="L680" s="18" t="s">
        <v>1070</v>
      </c>
      <c r="M680" s="442"/>
      <c r="N680" s="527"/>
      <c r="P680" s="468"/>
      <c r="T680" s="443"/>
      <c r="U680" s="440"/>
      <c r="V680" s="440"/>
      <c r="W680" s="440"/>
      <c r="X680" s="442"/>
    </row>
    <row r="681" spans="1:24" x14ac:dyDescent="0.25">
      <c r="A681" s="862">
        <v>1399</v>
      </c>
      <c r="B681" s="863" t="s">
        <v>6957</v>
      </c>
      <c r="C681" s="862">
        <v>1399</v>
      </c>
      <c r="D681" s="165" t="s">
        <v>2145</v>
      </c>
      <c r="E681" s="165" t="s">
        <v>6958</v>
      </c>
      <c r="F681" s="163">
        <v>2</v>
      </c>
      <c r="G681" s="864"/>
      <c r="H681" s="864">
        <v>19189.618480460464</v>
      </c>
      <c r="I681" s="864">
        <v>19671.551649964724</v>
      </c>
      <c r="J681" s="864">
        <v>20178.865059546275</v>
      </c>
      <c r="K681" s="864">
        <v>20712.869973043777</v>
      </c>
      <c r="L681" s="18" t="s">
        <v>1071</v>
      </c>
      <c r="M681" s="442"/>
      <c r="N681" s="527"/>
      <c r="P681" s="468"/>
      <c r="T681" s="443"/>
      <c r="U681" s="440"/>
      <c r="V681" s="440"/>
      <c r="W681" s="440"/>
      <c r="X681" s="442"/>
    </row>
    <row r="682" spans="1:24" x14ac:dyDescent="0.25">
      <c r="A682" s="862">
        <v>1400</v>
      </c>
      <c r="B682" s="863" t="s">
        <v>6959</v>
      </c>
      <c r="C682" s="862">
        <v>1400</v>
      </c>
      <c r="D682" s="165" t="s">
        <v>2145</v>
      </c>
      <c r="E682" s="165" t="s">
        <v>6960</v>
      </c>
      <c r="F682" s="163">
        <v>2</v>
      </c>
      <c r="G682" s="864"/>
      <c r="H682" s="864">
        <v>0</v>
      </c>
      <c r="I682" s="864">
        <v>0</v>
      </c>
      <c r="J682" s="864">
        <v>23568.230729340496</v>
      </c>
      <c r="K682" s="864">
        <v>24078.807728920499</v>
      </c>
      <c r="L682" s="18" t="s">
        <v>4608</v>
      </c>
      <c r="M682" s="442"/>
      <c r="N682" s="527"/>
      <c r="P682" s="468"/>
      <c r="T682" s="443"/>
      <c r="U682" s="440"/>
      <c r="V682" s="440"/>
      <c r="W682" s="440"/>
      <c r="X682" s="442"/>
    </row>
    <row r="683" spans="1:24" x14ac:dyDescent="0.25">
      <c r="A683" s="862">
        <v>1401</v>
      </c>
      <c r="B683" s="863" t="s">
        <v>6961</v>
      </c>
      <c r="C683" s="862">
        <v>1401</v>
      </c>
      <c r="D683" s="165" t="s">
        <v>2145</v>
      </c>
      <c r="E683" s="165" t="s">
        <v>6962</v>
      </c>
      <c r="F683" s="163">
        <v>2</v>
      </c>
      <c r="G683" s="864"/>
      <c r="H683" s="864">
        <v>0</v>
      </c>
      <c r="I683" s="864">
        <v>0</v>
      </c>
      <c r="J683" s="864">
        <v>0</v>
      </c>
      <c r="K683" s="864">
        <v>21791.320506109914</v>
      </c>
      <c r="L683" s="18" t="s">
        <v>10869</v>
      </c>
      <c r="M683" s="442"/>
      <c r="N683" s="527"/>
      <c r="P683" s="468"/>
      <c r="T683" s="443"/>
      <c r="U683" s="440"/>
      <c r="V683" s="440"/>
      <c r="W683" s="440"/>
      <c r="X683" s="442"/>
    </row>
    <row r="684" spans="1:24" x14ac:dyDescent="0.25">
      <c r="A684" s="862">
        <v>1402</v>
      </c>
      <c r="B684" s="863" t="s">
        <v>6963</v>
      </c>
      <c r="C684" s="862">
        <v>1402</v>
      </c>
      <c r="D684" s="165" t="s">
        <v>2145</v>
      </c>
      <c r="E684" s="165" t="s">
        <v>6964</v>
      </c>
      <c r="F684" s="163">
        <v>2</v>
      </c>
      <c r="G684" s="864"/>
      <c r="H684" s="864">
        <v>23547.916650068131</v>
      </c>
      <c r="I684" s="864">
        <v>24096.6368577551</v>
      </c>
      <c r="J684" s="864">
        <v>24674.234009089134</v>
      </c>
      <c r="K684" s="864">
        <v>25282.223342283793</v>
      </c>
      <c r="L684" s="18" t="s">
        <v>1072</v>
      </c>
      <c r="M684" s="442"/>
      <c r="N684" s="527"/>
      <c r="P684" s="468"/>
      <c r="T684" s="443"/>
      <c r="U684" s="440"/>
      <c r="V684" s="440"/>
      <c r="W684" s="440"/>
      <c r="X684" s="442"/>
    </row>
    <row r="685" spans="1:24" x14ac:dyDescent="0.25">
      <c r="A685" s="862">
        <v>1403</v>
      </c>
      <c r="B685" s="863" t="s">
        <v>6965</v>
      </c>
      <c r="C685" s="862">
        <v>1403</v>
      </c>
      <c r="D685" s="165" t="s">
        <v>2145</v>
      </c>
      <c r="E685" s="165" t="s">
        <v>6966</v>
      </c>
      <c r="F685" s="163">
        <v>2</v>
      </c>
      <c r="G685" s="864"/>
      <c r="H685" s="864">
        <v>25296.228602003044</v>
      </c>
      <c r="I685" s="864">
        <v>25893.378154131395</v>
      </c>
      <c r="J685" s="864">
        <v>26521.968899191321</v>
      </c>
      <c r="K685" s="864">
        <v>27183.632632182031</v>
      </c>
      <c r="L685" s="18" t="s">
        <v>1073</v>
      </c>
      <c r="M685" s="442"/>
      <c r="N685" s="527"/>
      <c r="P685" s="468"/>
      <c r="T685" s="443"/>
      <c r="U685" s="440"/>
      <c r="V685" s="440"/>
      <c r="W685" s="440"/>
      <c r="X685" s="442"/>
    </row>
    <row r="686" spans="1:24" x14ac:dyDescent="0.25">
      <c r="A686" s="862">
        <v>1404</v>
      </c>
      <c r="B686" s="863" t="s">
        <v>6967</v>
      </c>
      <c r="C686" s="862">
        <v>1404</v>
      </c>
      <c r="D686" s="165" t="s">
        <v>2145</v>
      </c>
      <c r="E686" s="165" t="s">
        <v>6968</v>
      </c>
      <c r="F686" s="163">
        <v>2</v>
      </c>
      <c r="G686" s="864"/>
      <c r="H686" s="864">
        <v>0</v>
      </c>
      <c r="I686" s="864">
        <v>0</v>
      </c>
      <c r="J686" s="864">
        <v>24599.205628989152</v>
      </c>
      <c r="K686" s="864">
        <v>25411.952662284883</v>
      </c>
      <c r="L686" s="18" t="s">
        <v>4609</v>
      </c>
      <c r="M686" s="442"/>
      <c r="N686" s="527"/>
      <c r="P686" s="468"/>
      <c r="T686" s="443"/>
      <c r="U686" s="440"/>
      <c r="V686" s="440"/>
      <c r="W686" s="440"/>
      <c r="X686" s="442"/>
    </row>
    <row r="687" spans="1:24" x14ac:dyDescent="0.25">
      <c r="A687" s="862">
        <v>1405</v>
      </c>
      <c r="B687" s="863" t="s">
        <v>6969</v>
      </c>
      <c r="C687" s="862">
        <v>1405</v>
      </c>
      <c r="D687" s="165" t="s">
        <v>2145</v>
      </c>
      <c r="E687" s="165" t="s">
        <v>6970</v>
      </c>
      <c r="F687" s="163">
        <v>2</v>
      </c>
      <c r="G687" s="864"/>
      <c r="H687" s="864">
        <v>18259.890179287755</v>
      </c>
      <c r="I687" s="864">
        <v>18876.223954784149</v>
      </c>
      <c r="J687" s="864">
        <v>19525.019412039906</v>
      </c>
      <c r="K687" s="864">
        <v>20207.956233125809</v>
      </c>
      <c r="L687" s="18" t="s">
        <v>1074</v>
      </c>
      <c r="M687" s="442"/>
      <c r="N687" s="527"/>
      <c r="P687" s="468"/>
      <c r="T687" s="443"/>
      <c r="U687" s="440"/>
      <c r="V687" s="440"/>
      <c r="W687" s="440"/>
      <c r="X687" s="442"/>
    </row>
    <row r="688" spans="1:24" x14ac:dyDescent="0.25">
      <c r="A688" s="862">
        <v>1406</v>
      </c>
      <c r="B688" s="863" t="s">
        <v>6971</v>
      </c>
      <c r="C688" s="862">
        <v>1406</v>
      </c>
      <c r="D688" s="165" t="s">
        <v>2145</v>
      </c>
      <c r="E688" s="165" t="s">
        <v>6972</v>
      </c>
      <c r="F688" s="163">
        <v>2</v>
      </c>
      <c r="G688" s="864"/>
      <c r="H688" s="864">
        <v>19322.783469258742</v>
      </c>
      <c r="I688" s="864">
        <v>19985.162442391305</v>
      </c>
      <c r="J688" s="864">
        <v>20682.413075906534</v>
      </c>
      <c r="K688" s="864">
        <v>21416.361111185728</v>
      </c>
      <c r="L688" s="18" t="s">
        <v>1075</v>
      </c>
      <c r="M688" s="442"/>
      <c r="N688" s="527"/>
      <c r="P688" s="468"/>
      <c r="T688" s="443"/>
      <c r="U688" s="440"/>
      <c r="V688" s="440"/>
      <c r="W688" s="440"/>
      <c r="X688" s="442"/>
    </row>
    <row r="689" spans="1:24" x14ac:dyDescent="0.25">
      <c r="A689" s="862">
        <v>1407</v>
      </c>
      <c r="B689" s="863" t="s">
        <v>6973</v>
      </c>
      <c r="C689" s="862">
        <v>1407</v>
      </c>
      <c r="D689" s="165" t="s">
        <v>2145</v>
      </c>
      <c r="E689" s="165" t="s">
        <v>6974</v>
      </c>
      <c r="F689" s="163">
        <v>2</v>
      </c>
      <c r="G689" s="864"/>
      <c r="H689" s="864">
        <v>21304.262688302017</v>
      </c>
      <c r="I689" s="864">
        <v>22035.472111509276</v>
      </c>
      <c r="J689" s="864">
        <v>22805.168163034152</v>
      </c>
      <c r="K689" s="864">
        <v>23615.359158396077</v>
      </c>
      <c r="L689" s="18" t="s">
        <v>1076</v>
      </c>
      <c r="M689" s="442"/>
      <c r="N689" s="527"/>
      <c r="P689" s="468"/>
      <c r="T689" s="443"/>
      <c r="U689" s="440"/>
      <c r="V689" s="440"/>
      <c r="W689" s="440"/>
      <c r="X689" s="442"/>
    </row>
    <row r="690" spans="1:24" x14ac:dyDescent="0.25">
      <c r="A690" s="862">
        <v>1408</v>
      </c>
      <c r="B690" s="863" t="s">
        <v>6975</v>
      </c>
      <c r="C690" s="862">
        <v>1408</v>
      </c>
      <c r="D690" s="165" t="s">
        <v>2145</v>
      </c>
      <c r="E690" s="165" t="s">
        <v>6976</v>
      </c>
      <c r="F690" s="163">
        <v>2</v>
      </c>
      <c r="G690" s="864"/>
      <c r="H690" s="864">
        <v>21931.300092488949</v>
      </c>
      <c r="I690" s="864">
        <v>22689.055795380176</v>
      </c>
      <c r="J690" s="864">
        <v>23486.685690038819</v>
      </c>
      <c r="K690" s="864">
        <v>24326.307636467162</v>
      </c>
      <c r="L690" s="18" t="s">
        <v>1077</v>
      </c>
      <c r="M690" s="442"/>
      <c r="N690" s="527"/>
      <c r="P690" s="527"/>
      <c r="T690" s="443"/>
      <c r="U690" s="440"/>
      <c r="V690" s="440"/>
      <c r="W690" s="440"/>
      <c r="X690" s="442"/>
    </row>
    <row r="691" spans="1:24" x14ac:dyDescent="0.25">
      <c r="A691" s="862">
        <v>1409</v>
      </c>
      <c r="B691" s="863" t="s">
        <v>6977</v>
      </c>
      <c r="C691" s="862">
        <v>1409</v>
      </c>
      <c r="D691" s="165" t="s">
        <v>2145</v>
      </c>
      <c r="E691" s="165" t="s">
        <v>6978</v>
      </c>
      <c r="F691" s="163">
        <v>2</v>
      </c>
      <c r="G691" s="864"/>
      <c r="H691" s="864">
        <v>0</v>
      </c>
      <c r="I691" s="864">
        <v>0</v>
      </c>
      <c r="J691" s="864">
        <v>25776.920488451633</v>
      </c>
      <c r="K691" s="864">
        <v>26632.937592483981</v>
      </c>
      <c r="L691" s="18" t="s">
        <v>4610</v>
      </c>
      <c r="M691" s="442"/>
      <c r="N691" s="527"/>
      <c r="P691" s="527"/>
      <c r="T691" s="443"/>
      <c r="U691" s="440"/>
      <c r="V691" s="440"/>
      <c r="W691" s="440"/>
      <c r="X691" s="442"/>
    </row>
    <row r="692" spans="1:24" x14ac:dyDescent="0.25">
      <c r="A692" s="862">
        <v>1410</v>
      </c>
      <c r="B692" s="863" t="s">
        <v>6979</v>
      </c>
      <c r="C692" s="862">
        <v>1410</v>
      </c>
      <c r="D692" s="165" t="s">
        <v>2145</v>
      </c>
      <c r="E692" s="165" t="s">
        <v>6980</v>
      </c>
      <c r="F692" s="163">
        <v>2</v>
      </c>
      <c r="G692" s="864"/>
      <c r="H692" s="864">
        <v>18410.021741036115</v>
      </c>
      <c r="I692" s="864">
        <v>19024.748864116955</v>
      </c>
      <c r="J692" s="864">
        <v>19671.828124474301</v>
      </c>
      <c r="K692" s="864">
        <v>20352.939204178918</v>
      </c>
      <c r="L692" s="18" t="s">
        <v>1078</v>
      </c>
      <c r="M692" s="442"/>
      <c r="N692" s="527"/>
      <c r="P692" s="527"/>
      <c r="T692" s="443"/>
      <c r="U692" s="440"/>
      <c r="V692" s="440"/>
      <c r="W692" s="440"/>
      <c r="X692" s="442"/>
    </row>
    <row r="693" spans="1:24" x14ac:dyDescent="0.25">
      <c r="A693" s="862">
        <v>1411</v>
      </c>
      <c r="B693" s="863" t="s">
        <v>6981</v>
      </c>
      <c r="C693" s="862">
        <v>1411</v>
      </c>
      <c r="D693" s="165" t="s">
        <v>2145</v>
      </c>
      <c r="E693" s="165" t="s">
        <v>6982</v>
      </c>
      <c r="F693" s="163">
        <v>2</v>
      </c>
      <c r="G693" s="864"/>
      <c r="H693" s="864">
        <v>0</v>
      </c>
      <c r="I693" s="864">
        <v>0</v>
      </c>
      <c r="J693" s="864">
        <v>0</v>
      </c>
      <c r="K693" s="864">
        <v>16719.220237529942</v>
      </c>
      <c r="L693" s="18" t="s">
        <v>10870</v>
      </c>
      <c r="M693" s="442"/>
      <c r="N693" s="527"/>
      <c r="P693" s="527"/>
      <c r="T693" s="443"/>
      <c r="U693" s="440"/>
      <c r="V693" s="440"/>
      <c r="W693" s="440"/>
      <c r="X693" s="442"/>
    </row>
    <row r="694" spans="1:24" x14ac:dyDescent="0.25">
      <c r="A694" s="862">
        <v>1412</v>
      </c>
      <c r="B694" s="863" t="s">
        <v>6983</v>
      </c>
      <c r="C694" s="862">
        <v>1412</v>
      </c>
      <c r="D694" s="165" t="s">
        <v>2145</v>
      </c>
      <c r="E694" s="165" t="s">
        <v>6984</v>
      </c>
      <c r="F694" s="163">
        <v>2</v>
      </c>
      <c r="G694" s="864"/>
      <c r="H694" s="864">
        <v>0</v>
      </c>
      <c r="I694" s="864">
        <v>0</v>
      </c>
      <c r="J694" s="864">
        <v>0</v>
      </c>
      <c r="K694" s="864">
        <v>13543.282546811843</v>
      </c>
      <c r="L694" s="18" t="s">
        <v>10871</v>
      </c>
      <c r="M694" s="442"/>
      <c r="N694" s="527"/>
      <c r="P694" s="527"/>
      <c r="T694" s="443"/>
      <c r="U694" s="440"/>
      <c r="V694" s="440"/>
      <c r="W694" s="440"/>
      <c r="X694" s="442"/>
    </row>
    <row r="695" spans="1:24" x14ac:dyDescent="0.25">
      <c r="A695" s="862">
        <v>1413</v>
      </c>
      <c r="B695" s="863" t="s">
        <v>6985</v>
      </c>
      <c r="C695" s="862">
        <v>1413</v>
      </c>
      <c r="D695" s="165" t="s">
        <v>2145</v>
      </c>
      <c r="E695" s="165" t="s">
        <v>6986</v>
      </c>
      <c r="F695" s="163">
        <v>2</v>
      </c>
      <c r="G695" s="864"/>
      <c r="H695" s="864">
        <v>0</v>
      </c>
      <c r="I695" s="864">
        <v>0</v>
      </c>
      <c r="J695" s="864">
        <v>0</v>
      </c>
      <c r="K695" s="864">
        <v>18767.692230253724</v>
      </c>
      <c r="L695" s="18" t="s">
        <v>10872</v>
      </c>
      <c r="M695" s="442"/>
      <c r="N695" s="527"/>
      <c r="P695" s="527"/>
      <c r="T695" s="443"/>
      <c r="U695" s="440"/>
      <c r="V695" s="440"/>
      <c r="W695" s="440"/>
      <c r="X695" s="442"/>
    </row>
    <row r="696" spans="1:24" x14ac:dyDescent="0.25">
      <c r="A696" s="862">
        <v>1414</v>
      </c>
      <c r="B696" s="863" t="s">
        <v>6987</v>
      </c>
      <c r="C696" s="862">
        <v>1414</v>
      </c>
      <c r="D696" s="165" t="s">
        <v>2145</v>
      </c>
      <c r="E696" s="165" t="s">
        <v>6988</v>
      </c>
      <c r="F696" s="163">
        <v>2</v>
      </c>
      <c r="G696" s="864"/>
      <c r="H696" s="864">
        <v>0</v>
      </c>
      <c r="I696" s="864">
        <v>0</v>
      </c>
      <c r="J696" s="864">
        <v>0</v>
      </c>
      <c r="K696" s="864">
        <v>15246.450434403658</v>
      </c>
      <c r="L696" s="18" t="s">
        <v>10873</v>
      </c>
      <c r="M696" s="442"/>
      <c r="N696" s="527"/>
      <c r="P696" s="527"/>
      <c r="T696" s="443"/>
      <c r="U696" s="440"/>
      <c r="V696" s="440"/>
      <c r="W696" s="440"/>
      <c r="X696" s="442"/>
    </row>
    <row r="697" spans="1:24" x14ac:dyDescent="0.25">
      <c r="A697" s="862">
        <v>1415</v>
      </c>
      <c r="B697" s="863" t="s">
        <v>6989</v>
      </c>
      <c r="C697" s="862">
        <v>1415</v>
      </c>
      <c r="D697" s="165" t="s">
        <v>2145</v>
      </c>
      <c r="E697" s="165" t="s">
        <v>6990</v>
      </c>
      <c r="F697" s="163">
        <v>2</v>
      </c>
      <c r="G697" s="864"/>
      <c r="H697" s="864">
        <v>19234.004234744698</v>
      </c>
      <c r="I697" s="864">
        <v>19717.33608567687</v>
      </c>
      <c r="J697" s="864">
        <v>20226.10645507916</v>
      </c>
      <c r="K697" s="864">
        <v>20761.626606790229</v>
      </c>
      <c r="L697" s="18" t="s">
        <v>1079</v>
      </c>
      <c r="M697" s="442"/>
      <c r="N697" s="527"/>
      <c r="P697" s="527"/>
      <c r="T697" s="443"/>
      <c r="U697" s="440"/>
      <c r="V697" s="440"/>
      <c r="W697" s="440"/>
      <c r="X697" s="442"/>
    </row>
    <row r="698" spans="1:24" x14ac:dyDescent="0.25">
      <c r="A698" s="862">
        <v>1416</v>
      </c>
      <c r="B698" s="863" t="s">
        <v>6991</v>
      </c>
      <c r="C698" s="862">
        <v>1416</v>
      </c>
      <c r="D698" s="165" t="s">
        <v>2145</v>
      </c>
      <c r="E698" s="165" t="s">
        <v>6992</v>
      </c>
      <c r="F698" s="163">
        <v>2</v>
      </c>
      <c r="G698" s="864"/>
      <c r="H698" s="864">
        <v>22976.843462625788</v>
      </c>
      <c r="I698" s="864">
        <v>23576.295011270915</v>
      </c>
      <c r="J698" s="864">
        <v>24207.275170436846</v>
      </c>
      <c r="K698" s="864">
        <v>24871.474013515646</v>
      </c>
      <c r="L698" s="18" t="s">
        <v>1080</v>
      </c>
      <c r="M698" s="442"/>
      <c r="N698" s="527"/>
      <c r="P698" s="527"/>
      <c r="T698" s="443"/>
      <c r="U698" s="440"/>
      <c r="V698" s="440"/>
      <c r="W698" s="440"/>
      <c r="X698" s="442"/>
    </row>
    <row r="699" spans="1:24" x14ac:dyDescent="0.25">
      <c r="A699" s="862">
        <v>1417</v>
      </c>
      <c r="B699" s="863" t="s">
        <v>6993</v>
      </c>
      <c r="C699" s="862">
        <v>1417</v>
      </c>
      <c r="D699" s="165" t="s">
        <v>2145</v>
      </c>
      <c r="E699" s="165" t="s">
        <v>6994</v>
      </c>
      <c r="F699" s="163">
        <v>2</v>
      </c>
      <c r="G699" s="864"/>
      <c r="H699" s="864">
        <v>24648.468810978411</v>
      </c>
      <c r="I699" s="864">
        <v>25269.629060952557</v>
      </c>
      <c r="J699" s="864">
        <v>25923.483489304101</v>
      </c>
      <c r="K699" s="864">
        <v>26611.751308621515</v>
      </c>
      <c r="L699" s="18" t="s">
        <v>1081</v>
      </c>
      <c r="M699" s="442"/>
      <c r="N699" s="527"/>
      <c r="P699" s="527"/>
      <c r="T699" s="443"/>
      <c r="U699" s="440"/>
      <c r="V699" s="440"/>
      <c r="W699" s="440"/>
      <c r="X699" s="442"/>
    </row>
    <row r="700" spans="1:24" x14ac:dyDescent="0.25">
      <c r="A700" s="862">
        <v>1418</v>
      </c>
      <c r="B700" s="863" t="s">
        <v>6995</v>
      </c>
      <c r="C700" s="862">
        <v>1418</v>
      </c>
      <c r="D700" s="165" t="s">
        <v>2145</v>
      </c>
      <c r="E700" s="165" t="s">
        <v>6996</v>
      </c>
      <c r="F700" s="163">
        <v>2</v>
      </c>
      <c r="G700" s="864"/>
      <c r="H700" s="864">
        <v>19899.761409811756</v>
      </c>
      <c r="I700" s="864">
        <v>20403.723811805601</v>
      </c>
      <c r="J700" s="864">
        <v>20934.232021733325</v>
      </c>
      <c r="K700" s="864">
        <v>21492.655581826428</v>
      </c>
      <c r="L700" s="18" t="s">
        <v>1082</v>
      </c>
      <c r="M700" s="442"/>
      <c r="N700" s="527"/>
      <c r="P700" s="527"/>
      <c r="T700" s="443"/>
      <c r="U700" s="440"/>
      <c r="V700" s="440"/>
      <c r="W700" s="440"/>
      <c r="X700" s="442"/>
    </row>
    <row r="701" spans="1:24" x14ac:dyDescent="0.25">
      <c r="A701" s="862">
        <v>1419</v>
      </c>
      <c r="B701" s="863" t="s">
        <v>6997</v>
      </c>
      <c r="C701" s="862">
        <v>1419</v>
      </c>
      <c r="D701" s="165" t="s">
        <v>2145</v>
      </c>
      <c r="E701" s="165" t="s">
        <v>6998</v>
      </c>
      <c r="F701" s="163">
        <v>2</v>
      </c>
      <c r="G701" s="864"/>
      <c r="H701" s="864">
        <v>22976.843462625788</v>
      </c>
      <c r="I701" s="864">
        <v>23576.295011270915</v>
      </c>
      <c r="J701" s="864">
        <v>24207.275170436846</v>
      </c>
      <c r="K701" s="864">
        <v>24871.474013515646</v>
      </c>
      <c r="L701" s="18" t="s">
        <v>1083</v>
      </c>
      <c r="M701" s="442"/>
      <c r="N701" s="527"/>
      <c r="P701" s="527"/>
      <c r="T701" s="443"/>
      <c r="U701" s="440"/>
      <c r="V701" s="440"/>
      <c r="W701" s="440"/>
      <c r="X701" s="442"/>
    </row>
    <row r="702" spans="1:24" x14ac:dyDescent="0.25">
      <c r="A702" s="862">
        <v>1420</v>
      </c>
      <c r="B702" s="863" t="s">
        <v>6999</v>
      </c>
      <c r="C702" s="862">
        <v>1420</v>
      </c>
      <c r="D702" s="165" t="s">
        <v>2145</v>
      </c>
      <c r="E702" s="165" t="s">
        <v>7000</v>
      </c>
      <c r="F702" s="163">
        <v>2</v>
      </c>
      <c r="G702" s="864"/>
      <c r="H702" s="864">
        <v>22543.773843636376</v>
      </c>
      <c r="I702" s="864">
        <v>23117.378925061577</v>
      </c>
      <c r="J702" s="864">
        <v>23721.17221397251</v>
      </c>
      <c r="K702" s="864">
        <v>24356.756366171976</v>
      </c>
      <c r="L702" s="18" t="s">
        <v>1084</v>
      </c>
      <c r="M702" s="442"/>
      <c r="N702" s="527"/>
      <c r="P702" s="527"/>
      <c r="T702" s="443"/>
      <c r="U702" s="440"/>
      <c r="V702" s="440"/>
      <c r="W702" s="440"/>
      <c r="X702" s="442"/>
    </row>
    <row r="703" spans="1:24" x14ac:dyDescent="0.25">
      <c r="A703" s="862">
        <v>1421</v>
      </c>
      <c r="B703" s="863" t="s">
        <v>7001</v>
      </c>
      <c r="C703" s="862">
        <v>1421</v>
      </c>
      <c r="D703" s="165" t="s">
        <v>2145</v>
      </c>
      <c r="E703" s="165" t="s">
        <v>7002</v>
      </c>
      <c r="F703" s="163">
        <v>2</v>
      </c>
      <c r="G703" s="864"/>
      <c r="H703" s="864">
        <v>23034.755348647359</v>
      </c>
      <c r="I703" s="864">
        <v>23648.601660321394</v>
      </c>
      <c r="J703" s="864">
        <v>24294.734201623021</v>
      </c>
      <c r="K703" s="864">
        <v>24974.901324337123</v>
      </c>
      <c r="L703" s="18" t="s">
        <v>1085</v>
      </c>
      <c r="M703" s="442"/>
      <c r="N703" s="527"/>
      <c r="P703" s="527"/>
      <c r="T703" s="443"/>
      <c r="U703" s="440"/>
      <c r="V703" s="440"/>
      <c r="W703" s="440"/>
      <c r="X703" s="442"/>
    </row>
    <row r="704" spans="1:24" x14ac:dyDescent="0.25">
      <c r="A704" s="862">
        <v>1422</v>
      </c>
      <c r="B704" s="863" t="s">
        <v>7003</v>
      </c>
      <c r="C704" s="862">
        <v>1422</v>
      </c>
      <c r="D704" s="165" t="s">
        <v>2145</v>
      </c>
      <c r="E704" s="165" t="s">
        <v>7004</v>
      </c>
      <c r="F704" s="163">
        <v>2</v>
      </c>
      <c r="G704" s="864"/>
      <c r="H704" s="864">
        <v>23200.77434106158</v>
      </c>
      <c r="I704" s="864">
        <v>23804.567629972513</v>
      </c>
      <c r="J704" s="864">
        <v>24440.151782171979</v>
      </c>
      <c r="K704" s="864">
        <v>25109.18773185564</v>
      </c>
      <c r="L704" s="18" t="s">
        <v>1086</v>
      </c>
      <c r="M704" s="442"/>
      <c r="N704" s="527"/>
      <c r="P704" s="527"/>
      <c r="T704" s="443"/>
      <c r="U704" s="440"/>
      <c r="V704" s="440"/>
      <c r="W704" s="440"/>
      <c r="X704" s="442"/>
    </row>
    <row r="705" spans="1:24" x14ac:dyDescent="0.25">
      <c r="A705" s="862">
        <v>1423</v>
      </c>
      <c r="B705" s="863" t="s">
        <v>7005</v>
      </c>
      <c r="C705" s="862">
        <v>1423</v>
      </c>
      <c r="D705" s="165" t="s">
        <v>2145</v>
      </c>
      <c r="E705" s="165" t="s">
        <v>7006</v>
      </c>
      <c r="F705" s="163">
        <v>2</v>
      </c>
      <c r="G705" s="864"/>
      <c r="H705" s="864">
        <v>26573.427198631314</v>
      </c>
      <c r="I705" s="864">
        <v>27299.371998913059</v>
      </c>
      <c r="J705" s="864">
        <v>28063.518285694601</v>
      </c>
      <c r="K705" s="864">
        <v>28867.87666352855</v>
      </c>
      <c r="L705" s="18" t="s">
        <v>1087</v>
      </c>
      <c r="M705" s="442"/>
      <c r="N705" s="527"/>
      <c r="P705" s="527"/>
      <c r="T705" s="443"/>
      <c r="U705" s="440"/>
      <c r="V705" s="440"/>
      <c r="W705" s="440"/>
      <c r="X705" s="442"/>
    </row>
    <row r="706" spans="1:24" x14ac:dyDescent="0.25">
      <c r="A706" s="862">
        <v>1424</v>
      </c>
      <c r="B706" s="863" t="s">
        <v>7007</v>
      </c>
      <c r="C706" s="862">
        <v>1424</v>
      </c>
      <c r="D706" s="165" t="s">
        <v>2145</v>
      </c>
      <c r="E706" s="165" t="s">
        <v>7008</v>
      </c>
      <c r="F706" s="163">
        <v>2</v>
      </c>
      <c r="G706" s="864"/>
      <c r="H706" s="864">
        <v>28000.162639112354</v>
      </c>
      <c r="I706" s="864">
        <v>28704.748408422052</v>
      </c>
      <c r="J706" s="864">
        <v>29446.428374767784</v>
      </c>
      <c r="K706" s="864">
        <v>30227.154864309337</v>
      </c>
      <c r="L706" s="18" t="s">
        <v>1088</v>
      </c>
      <c r="M706" s="442"/>
      <c r="N706" s="527"/>
      <c r="P706" s="527"/>
      <c r="T706" s="443"/>
      <c r="U706" s="440"/>
      <c r="V706" s="440"/>
      <c r="W706" s="440"/>
      <c r="X706" s="442"/>
    </row>
    <row r="707" spans="1:24" x14ac:dyDescent="0.25">
      <c r="A707" s="862">
        <v>1425</v>
      </c>
      <c r="B707" s="863" t="s">
        <v>7009</v>
      </c>
      <c r="C707" s="862">
        <v>1425</v>
      </c>
      <c r="D707" s="165" t="s">
        <v>2145</v>
      </c>
      <c r="E707" s="165" t="s">
        <v>7010</v>
      </c>
      <c r="F707" s="163">
        <v>2</v>
      </c>
      <c r="G707" s="864"/>
      <c r="H707" s="864">
        <v>30463.789733117654</v>
      </c>
      <c r="I707" s="864">
        <v>31239.941368822088</v>
      </c>
      <c r="J707" s="864">
        <v>32056.94615790006</v>
      </c>
      <c r="K707" s="864">
        <v>32916.931261689853</v>
      </c>
      <c r="L707" s="18" t="s">
        <v>1089</v>
      </c>
      <c r="M707" s="442"/>
      <c r="N707" s="527"/>
      <c r="P707" s="527"/>
      <c r="T707" s="443"/>
      <c r="U707" s="440"/>
      <c r="V707" s="440"/>
      <c r="W707" s="440"/>
      <c r="X707" s="442"/>
    </row>
    <row r="708" spans="1:24" x14ac:dyDescent="0.25">
      <c r="A708" s="862">
        <v>1426</v>
      </c>
      <c r="B708" s="863" t="s">
        <v>7011</v>
      </c>
      <c r="C708" s="862">
        <v>1426</v>
      </c>
      <c r="D708" s="165" t="s">
        <v>2145</v>
      </c>
      <c r="E708" s="165" t="s">
        <v>7012</v>
      </c>
      <c r="F708" s="163">
        <v>1</v>
      </c>
      <c r="G708" s="864"/>
      <c r="H708" s="864">
        <v>0</v>
      </c>
      <c r="I708" s="864">
        <v>0</v>
      </c>
      <c r="J708" s="864">
        <v>25752.811084542387</v>
      </c>
      <c r="K708" s="864">
        <v>26644.273450624867</v>
      </c>
      <c r="L708" s="18" t="s">
        <v>4611</v>
      </c>
      <c r="M708" s="442"/>
      <c r="N708" s="527"/>
      <c r="P708" s="527"/>
      <c r="T708" s="443"/>
      <c r="U708" s="440"/>
      <c r="V708" s="440"/>
      <c r="W708" s="440"/>
      <c r="X708" s="442"/>
    </row>
    <row r="709" spans="1:24" x14ac:dyDescent="0.25">
      <c r="A709" s="862">
        <v>1427</v>
      </c>
      <c r="B709" s="863" t="s">
        <v>7013</v>
      </c>
      <c r="C709" s="862">
        <v>1427</v>
      </c>
      <c r="D709" s="165" t="s">
        <v>2145</v>
      </c>
      <c r="E709" s="165" t="s">
        <v>7014</v>
      </c>
      <c r="F709" s="163">
        <v>1</v>
      </c>
      <c r="G709" s="864"/>
      <c r="H709" s="864">
        <v>19134.305107561988</v>
      </c>
      <c r="I709" s="864">
        <v>19782.902454721447</v>
      </c>
      <c r="J709" s="864">
        <v>20465.651073241075</v>
      </c>
      <c r="K709" s="864">
        <v>21184.315618479897</v>
      </c>
      <c r="L709" s="18" t="s">
        <v>2978</v>
      </c>
      <c r="M709" s="442"/>
      <c r="P709" s="527"/>
      <c r="T709" s="443"/>
      <c r="U709" s="440"/>
      <c r="V709" s="440"/>
      <c r="W709" s="440"/>
      <c r="X709" s="442"/>
    </row>
    <row r="710" spans="1:24" x14ac:dyDescent="0.25">
      <c r="A710" s="862">
        <v>1428</v>
      </c>
      <c r="B710" s="863" t="s">
        <v>7015</v>
      </c>
      <c r="C710" s="862">
        <v>1428</v>
      </c>
      <c r="D710" s="165" t="s">
        <v>2145</v>
      </c>
      <c r="E710" s="165" t="s">
        <v>7016</v>
      </c>
      <c r="F710" s="163">
        <v>1</v>
      </c>
      <c r="G710" s="864"/>
      <c r="H710" s="864">
        <v>25579.764006224708</v>
      </c>
      <c r="I710" s="864">
        <v>26447.591812858664</v>
      </c>
      <c r="J710" s="864">
        <v>27361.127408636417</v>
      </c>
      <c r="K710" s="864">
        <v>28322.727504531453</v>
      </c>
      <c r="L710" s="18" t="s">
        <v>1090</v>
      </c>
      <c r="M710" s="442"/>
      <c r="P710" s="527"/>
      <c r="T710" s="443"/>
      <c r="U710" s="440"/>
      <c r="V710" s="440"/>
      <c r="W710" s="440"/>
      <c r="X710" s="442"/>
    </row>
    <row r="711" spans="1:24" x14ac:dyDescent="0.25">
      <c r="A711" s="862">
        <v>1429</v>
      </c>
      <c r="B711" s="863" t="s">
        <v>7017</v>
      </c>
      <c r="C711" s="862">
        <v>1429</v>
      </c>
      <c r="D711" s="165" t="s">
        <v>2145</v>
      </c>
      <c r="E711" s="165" t="s">
        <v>7018</v>
      </c>
      <c r="F711" s="163">
        <v>1</v>
      </c>
      <c r="G711" s="864"/>
      <c r="H711" s="864">
        <v>0</v>
      </c>
      <c r="I711" s="864">
        <v>20850.741386601894</v>
      </c>
      <c r="J711" s="864">
        <v>21555.357891139378</v>
      </c>
      <c r="K711" s="864">
        <v>22297.032158216622</v>
      </c>
      <c r="L711" s="18" t="s">
        <v>3874</v>
      </c>
      <c r="M711" s="442"/>
      <c r="P711" s="527"/>
      <c r="T711" s="443"/>
      <c r="U711" s="440"/>
      <c r="V711" s="440"/>
      <c r="W711" s="440"/>
      <c r="X711" s="442"/>
    </row>
    <row r="712" spans="1:24" x14ac:dyDescent="0.25">
      <c r="A712" s="862">
        <v>1430</v>
      </c>
      <c r="B712" s="863" t="s">
        <v>7019</v>
      </c>
      <c r="C712" s="862">
        <v>1430</v>
      </c>
      <c r="D712" s="165" t="s">
        <v>2145</v>
      </c>
      <c r="E712" s="165" t="s">
        <v>7020</v>
      </c>
      <c r="F712" s="163">
        <v>1</v>
      </c>
      <c r="G712" s="864"/>
      <c r="H712" s="864">
        <v>0</v>
      </c>
      <c r="I712" s="864">
        <v>0</v>
      </c>
      <c r="J712" s="864">
        <v>0</v>
      </c>
      <c r="K712" s="864">
        <v>19609.20411622605</v>
      </c>
      <c r="L712" s="18" t="s">
        <v>10874</v>
      </c>
      <c r="M712" s="442"/>
      <c r="P712" s="527"/>
      <c r="T712" s="443"/>
      <c r="U712" s="440"/>
      <c r="V712" s="440"/>
      <c r="W712" s="440"/>
      <c r="X712" s="442"/>
    </row>
    <row r="713" spans="1:24" x14ac:dyDescent="0.25">
      <c r="A713" s="862">
        <v>1431</v>
      </c>
      <c r="B713" s="863" t="s">
        <v>7021</v>
      </c>
      <c r="C713" s="862">
        <v>1431</v>
      </c>
      <c r="D713" s="165" t="s">
        <v>2145</v>
      </c>
      <c r="E713" s="165" t="s">
        <v>7022</v>
      </c>
      <c r="F713" s="163">
        <v>1</v>
      </c>
      <c r="G713" s="864"/>
      <c r="H713" s="864">
        <v>20742.309964111821</v>
      </c>
      <c r="I713" s="864">
        <v>21429.29121288508</v>
      </c>
      <c r="J713" s="864">
        <v>22152.460378843432</v>
      </c>
      <c r="K713" s="864">
        <v>22913.678023281729</v>
      </c>
      <c r="L713" s="18" t="s">
        <v>1091</v>
      </c>
      <c r="M713" s="442"/>
      <c r="P713" s="527"/>
      <c r="T713" s="443"/>
      <c r="U713" s="440"/>
      <c r="V713" s="440"/>
      <c r="W713" s="440"/>
      <c r="X713" s="442"/>
    </row>
    <row r="714" spans="1:24" x14ac:dyDescent="0.25">
      <c r="A714" s="862">
        <v>1432</v>
      </c>
      <c r="B714" s="863" t="s">
        <v>7023</v>
      </c>
      <c r="C714" s="862">
        <v>1432</v>
      </c>
      <c r="D714" s="165" t="s">
        <v>2145</v>
      </c>
      <c r="E714" s="165" t="s">
        <v>7024</v>
      </c>
      <c r="F714" s="163">
        <v>1</v>
      </c>
      <c r="G714" s="864"/>
      <c r="H714" s="864">
        <v>0</v>
      </c>
      <c r="I714" s="864">
        <v>83613.434267054516</v>
      </c>
      <c r="J714" s="864">
        <v>86700.46232670726</v>
      </c>
      <c r="K714" s="864">
        <v>0</v>
      </c>
      <c r="L714" s="18" t="s">
        <v>4612</v>
      </c>
      <c r="M714" s="442"/>
      <c r="P714" s="527"/>
      <c r="T714" s="443"/>
      <c r="U714" s="440"/>
      <c r="V714" s="440"/>
      <c r="W714" s="440"/>
      <c r="X714" s="442"/>
    </row>
    <row r="715" spans="1:24" x14ac:dyDescent="0.25">
      <c r="A715" s="862">
        <v>1433</v>
      </c>
      <c r="B715" s="863" t="s">
        <v>7025</v>
      </c>
      <c r="C715" s="862">
        <v>1433</v>
      </c>
      <c r="D715" s="165" t="s">
        <v>2145</v>
      </c>
      <c r="E715" s="165" t="s">
        <v>7026</v>
      </c>
      <c r="F715" s="163">
        <v>1</v>
      </c>
      <c r="G715" s="864"/>
      <c r="H715" s="864">
        <v>16905.199372484862</v>
      </c>
      <c r="I715" s="864">
        <v>17484.525346530776</v>
      </c>
      <c r="J715" s="864">
        <v>18094.36947796238</v>
      </c>
      <c r="K715" s="864">
        <v>18736.28881562587</v>
      </c>
      <c r="L715" s="18" t="s">
        <v>1092</v>
      </c>
      <c r="M715" s="442"/>
      <c r="P715" s="527"/>
      <c r="T715" s="443"/>
      <c r="U715" s="440"/>
      <c r="V715" s="440"/>
      <c r="W715" s="440"/>
      <c r="X715" s="442"/>
    </row>
    <row r="716" spans="1:24" x14ac:dyDescent="0.25">
      <c r="A716" s="862">
        <v>1434</v>
      </c>
      <c r="B716" s="863" t="s">
        <v>7027</v>
      </c>
      <c r="C716" s="862">
        <v>1434</v>
      </c>
      <c r="D716" s="165" t="s">
        <v>4463</v>
      </c>
      <c r="E716" s="165" t="s">
        <v>7028</v>
      </c>
      <c r="F716" s="163">
        <v>2</v>
      </c>
      <c r="G716" s="864"/>
      <c r="H716" s="864">
        <v>0</v>
      </c>
      <c r="I716" s="864">
        <v>0</v>
      </c>
      <c r="J716" s="864">
        <v>15187.911645949851</v>
      </c>
      <c r="K716" s="864">
        <v>0</v>
      </c>
      <c r="L716" s="18" t="s">
        <v>4613</v>
      </c>
      <c r="M716" s="442"/>
      <c r="P716" s="527"/>
      <c r="T716" s="443"/>
      <c r="U716" s="440"/>
      <c r="V716" s="440"/>
      <c r="W716" s="440"/>
      <c r="X716" s="442"/>
    </row>
    <row r="717" spans="1:24" x14ac:dyDescent="0.25">
      <c r="A717" s="862">
        <v>1435</v>
      </c>
      <c r="B717" s="863" t="s">
        <v>7029</v>
      </c>
      <c r="C717" s="862">
        <v>1435</v>
      </c>
      <c r="D717" s="165" t="s">
        <v>4463</v>
      </c>
      <c r="E717" s="165" t="s">
        <v>7030</v>
      </c>
      <c r="F717" s="163">
        <v>2</v>
      </c>
      <c r="G717" s="864"/>
      <c r="H717" s="864">
        <v>0</v>
      </c>
      <c r="I717" s="864">
        <v>0</v>
      </c>
      <c r="J717" s="864">
        <v>13294.445735441084</v>
      </c>
      <c r="K717" s="864">
        <v>0</v>
      </c>
      <c r="L717" s="18" t="s">
        <v>5031</v>
      </c>
      <c r="M717" s="442"/>
      <c r="P717" s="527"/>
      <c r="T717" s="443"/>
      <c r="U717" s="440"/>
      <c r="V717" s="440"/>
      <c r="W717" s="440"/>
      <c r="X717" s="442"/>
    </row>
    <row r="718" spans="1:24" x14ac:dyDescent="0.25">
      <c r="A718" s="862">
        <v>1436</v>
      </c>
      <c r="B718" s="863" t="s">
        <v>7031</v>
      </c>
      <c r="C718" s="862">
        <v>1436</v>
      </c>
      <c r="D718" s="165" t="s">
        <v>2146</v>
      </c>
      <c r="E718" s="165" t="s">
        <v>7032</v>
      </c>
      <c r="F718" s="163">
        <v>2</v>
      </c>
      <c r="G718" s="864"/>
      <c r="H718" s="864">
        <v>20132.252831964746</v>
      </c>
      <c r="I718" s="864">
        <v>20878.658951746031</v>
      </c>
      <c r="J718" s="864">
        <v>21664.329118112513</v>
      </c>
      <c r="K718" s="864">
        <v>22491.355467375412</v>
      </c>
      <c r="L718" s="18" t="s">
        <v>4614</v>
      </c>
      <c r="M718" s="442"/>
      <c r="P718" s="527"/>
      <c r="T718" s="443"/>
      <c r="U718" s="440"/>
      <c r="V718" s="440"/>
      <c r="W718" s="440"/>
      <c r="X718" s="442"/>
    </row>
    <row r="719" spans="1:24" x14ac:dyDescent="0.25">
      <c r="A719" s="862">
        <v>1437</v>
      </c>
      <c r="B719" s="863" t="s">
        <v>7033</v>
      </c>
      <c r="C719" s="862">
        <v>1437</v>
      </c>
      <c r="D719" s="165" t="s">
        <v>2146</v>
      </c>
      <c r="E719" s="165" t="s">
        <v>7034</v>
      </c>
      <c r="F719" s="163">
        <v>1</v>
      </c>
      <c r="G719" s="864"/>
      <c r="H719" s="864">
        <v>0</v>
      </c>
      <c r="I719" s="864">
        <v>12473.264926783104</v>
      </c>
      <c r="J719" s="864">
        <v>12817.948479426168</v>
      </c>
      <c r="K719" s="864">
        <v>13180.762573934886</v>
      </c>
      <c r="L719" s="18" t="s">
        <v>10875</v>
      </c>
      <c r="M719" s="442"/>
      <c r="P719" s="527"/>
      <c r="T719" s="443"/>
      <c r="U719" s="440"/>
      <c r="V719" s="440"/>
      <c r="W719" s="440"/>
      <c r="X719" s="442"/>
    </row>
    <row r="720" spans="1:24" x14ac:dyDescent="0.25">
      <c r="A720" s="862">
        <v>1438</v>
      </c>
      <c r="B720" s="863" t="s">
        <v>7035</v>
      </c>
      <c r="C720" s="862">
        <v>1438</v>
      </c>
      <c r="D720" s="165" t="s">
        <v>2146</v>
      </c>
      <c r="E720" s="165" t="s">
        <v>7036</v>
      </c>
      <c r="F720" s="163">
        <v>1</v>
      </c>
      <c r="G720" s="864"/>
      <c r="H720" s="864">
        <v>11439.250827292159</v>
      </c>
      <c r="I720" s="864">
        <v>11747.30743325149</v>
      </c>
      <c r="J720" s="864">
        <v>12071.624614875076</v>
      </c>
      <c r="K720" s="864">
        <v>12413.015400946129</v>
      </c>
      <c r="L720" s="18" t="s">
        <v>1093</v>
      </c>
      <c r="M720" s="442"/>
      <c r="P720" s="527"/>
      <c r="T720" s="443"/>
      <c r="U720" s="440"/>
      <c r="V720" s="440"/>
      <c r="W720" s="440"/>
      <c r="X720" s="442"/>
    </row>
    <row r="721" spans="1:24" x14ac:dyDescent="0.25">
      <c r="A721" s="862">
        <v>1439</v>
      </c>
      <c r="B721" s="863" t="s">
        <v>7037</v>
      </c>
      <c r="C721" s="862">
        <v>1439</v>
      </c>
      <c r="D721" s="165" t="s">
        <v>2146</v>
      </c>
      <c r="E721" s="165" t="s">
        <v>7038</v>
      </c>
      <c r="F721" s="163">
        <v>2</v>
      </c>
      <c r="G721" s="864"/>
      <c r="H721" s="864">
        <v>10051.373297687702</v>
      </c>
      <c r="I721" s="864">
        <v>10349.770320868629</v>
      </c>
      <c r="J721" s="864">
        <v>10663.83403921738</v>
      </c>
      <c r="K721" s="864">
        <v>10994.4402307247</v>
      </c>
      <c r="L721" s="18" t="s">
        <v>3875</v>
      </c>
      <c r="M721" s="442"/>
      <c r="P721" s="527"/>
      <c r="T721" s="443"/>
      <c r="U721" s="440"/>
      <c r="V721" s="440"/>
      <c r="W721" s="440"/>
      <c r="X721" s="442"/>
    </row>
    <row r="722" spans="1:24" x14ac:dyDescent="0.25">
      <c r="A722" s="862">
        <v>1440</v>
      </c>
      <c r="B722" s="863" t="s">
        <v>7039</v>
      </c>
      <c r="C722" s="862">
        <v>1440</v>
      </c>
      <c r="D722" s="165" t="s">
        <v>2146</v>
      </c>
      <c r="E722" s="165" t="s">
        <v>7040</v>
      </c>
      <c r="F722" s="163">
        <v>2</v>
      </c>
      <c r="G722" s="864"/>
      <c r="H722" s="864">
        <v>13380.515419738638</v>
      </c>
      <c r="I722" s="864">
        <v>13769.048356918358</v>
      </c>
      <c r="J722" s="864">
        <v>14200.783452280277</v>
      </c>
      <c r="K722" s="864">
        <v>14632.518547642196</v>
      </c>
      <c r="L722" s="18" t="s">
        <v>2982</v>
      </c>
      <c r="M722" s="442"/>
      <c r="P722" s="527"/>
      <c r="T722" s="443"/>
      <c r="U722" s="440"/>
      <c r="V722" s="440"/>
      <c r="W722" s="440"/>
      <c r="X722" s="442"/>
    </row>
    <row r="723" spans="1:24" x14ac:dyDescent="0.25">
      <c r="A723" s="862">
        <v>1441</v>
      </c>
      <c r="B723" s="863" t="s">
        <v>7041</v>
      </c>
      <c r="C723" s="862">
        <v>1441</v>
      </c>
      <c r="D723" s="165" t="s">
        <v>4464</v>
      </c>
      <c r="E723" s="165" t="s">
        <v>7042</v>
      </c>
      <c r="F723" s="163">
        <v>1</v>
      </c>
      <c r="G723" s="864"/>
      <c r="H723" s="864">
        <v>198558.99442489198</v>
      </c>
      <c r="I723" s="864">
        <v>0</v>
      </c>
      <c r="J723" s="864">
        <v>0</v>
      </c>
      <c r="K723" s="864">
        <v>0</v>
      </c>
      <c r="L723" s="18" t="s">
        <v>4615</v>
      </c>
      <c r="M723" s="442"/>
      <c r="P723" s="527"/>
      <c r="T723" s="443"/>
      <c r="U723" s="440"/>
      <c r="V723" s="440"/>
      <c r="W723" s="440"/>
      <c r="X723" s="442"/>
    </row>
    <row r="724" spans="1:24" x14ac:dyDescent="0.25">
      <c r="A724" s="862">
        <v>1442</v>
      </c>
      <c r="B724" s="863" t="s">
        <v>7043</v>
      </c>
      <c r="C724" s="862">
        <v>1442</v>
      </c>
      <c r="D724" s="165" t="s">
        <v>2147</v>
      </c>
      <c r="E724" s="165" t="s">
        <v>7044</v>
      </c>
      <c r="F724" s="163">
        <v>1</v>
      </c>
      <c r="G724" s="864"/>
      <c r="H724" s="864">
        <v>18696.15212772461</v>
      </c>
      <c r="I724" s="864">
        <v>19715.45686655906</v>
      </c>
      <c r="J724" s="864">
        <v>20251.92986916233</v>
      </c>
      <c r="K724" s="864">
        <v>20816.641468685899</v>
      </c>
      <c r="L724" s="18" t="s">
        <v>3876</v>
      </c>
      <c r="M724" s="442"/>
      <c r="P724" s="527"/>
      <c r="T724" s="443"/>
      <c r="U724" s="440"/>
      <c r="V724" s="440"/>
      <c r="W724" s="440"/>
      <c r="X724" s="442"/>
    </row>
    <row r="725" spans="1:24" x14ac:dyDescent="0.25">
      <c r="A725" s="862">
        <v>1443</v>
      </c>
      <c r="B725" s="863" t="s">
        <v>7045</v>
      </c>
      <c r="C725" s="862">
        <v>1443</v>
      </c>
      <c r="D725" s="165" t="s">
        <v>2147</v>
      </c>
      <c r="E725" s="165" t="s">
        <v>7046</v>
      </c>
      <c r="F725" s="163">
        <v>1</v>
      </c>
      <c r="G725" s="864"/>
      <c r="H725" s="864">
        <v>0</v>
      </c>
      <c r="I725" s="864">
        <v>0</v>
      </c>
      <c r="J725" s="864">
        <v>0</v>
      </c>
      <c r="K725" s="864">
        <v>18901.173592119045</v>
      </c>
      <c r="L725" s="18" t="s">
        <v>10876</v>
      </c>
      <c r="M725" s="442"/>
      <c r="P725" s="527"/>
      <c r="T725" s="443"/>
      <c r="U725" s="440"/>
      <c r="V725" s="440"/>
      <c r="W725" s="440"/>
      <c r="X725" s="442"/>
    </row>
    <row r="726" spans="1:24" x14ac:dyDescent="0.25">
      <c r="A726" s="862">
        <v>1444</v>
      </c>
      <c r="B726" s="863" t="s">
        <v>7047</v>
      </c>
      <c r="C726" s="862">
        <v>1444</v>
      </c>
      <c r="D726" s="165" t="s">
        <v>2147</v>
      </c>
      <c r="E726" s="165" t="s">
        <v>7048</v>
      </c>
      <c r="F726" s="163">
        <v>1</v>
      </c>
      <c r="G726" s="864"/>
      <c r="H726" s="864">
        <v>47754.719790990821</v>
      </c>
      <c r="I726" s="864">
        <v>49152.349321898429</v>
      </c>
      <c r="J726" s="864">
        <v>50623.562119781047</v>
      </c>
      <c r="K726" s="864">
        <v>52172.189703665259</v>
      </c>
      <c r="L726" s="18" t="s">
        <v>3877</v>
      </c>
      <c r="M726" s="442"/>
      <c r="P726" s="527"/>
      <c r="T726" s="443"/>
      <c r="U726" s="440"/>
      <c r="V726" s="440"/>
      <c r="W726" s="440"/>
      <c r="X726" s="442"/>
    </row>
    <row r="727" spans="1:24" x14ac:dyDescent="0.25">
      <c r="A727" s="862">
        <v>1445</v>
      </c>
      <c r="B727" s="863" t="s">
        <v>7049</v>
      </c>
      <c r="C727" s="862">
        <v>1445</v>
      </c>
      <c r="D727" s="165" t="s">
        <v>2147</v>
      </c>
      <c r="E727" s="165" t="s">
        <v>7050</v>
      </c>
      <c r="F727" s="163">
        <v>1</v>
      </c>
      <c r="G727" s="864"/>
      <c r="H727" s="864">
        <v>16202.40616826069</v>
      </c>
      <c r="I727" s="864">
        <v>16630.963079855537</v>
      </c>
      <c r="J727" s="864">
        <v>17082.086733433694</v>
      </c>
      <c r="K727" s="864">
        <v>17556.953737200165</v>
      </c>
      <c r="L727" s="18" t="s">
        <v>2983</v>
      </c>
      <c r="M727" s="442"/>
      <c r="P727" s="527"/>
      <c r="T727" s="443"/>
      <c r="U727" s="440"/>
      <c r="V727" s="440"/>
      <c r="W727" s="440"/>
      <c r="X727" s="442"/>
    </row>
    <row r="728" spans="1:24" x14ac:dyDescent="0.25">
      <c r="A728" s="862">
        <v>1446</v>
      </c>
      <c r="B728" s="863" t="s">
        <v>7051</v>
      </c>
      <c r="C728" s="862">
        <v>1446</v>
      </c>
      <c r="D728" s="165" t="s">
        <v>2147</v>
      </c>
      <c r="E728" s="165" t="s">
        <v>7052</v>
      </c>
      <c r="F728" s="163">
        <v>1</v>
      </c>
      <c r="G728" s="864"/>
      <c r="H728" s="864">
        <v>0</v>
      </c>
      <c r="I728" s="864">
        <v>0</v>
      </c>
      <c r="J728" s="864">
        <v>0</v>
      </c>
      <c r="K728" s="864">
        <v>13410.577798752047</v>
      </c>
      <c r="L728" s="18" t="s">
        <v>10877</v>
      </c>
      <c r="M728" s="442"/>
      <c r="P728" s="527"/>
      <c r="T728" s="443"/>
      <c r="U728" s="440"/>
      <c r="V728" s="440"/>
      <c r="W728" s="440"/>
      <c r="X728" s="442"/>
    </row>
    <row r="729" spans="1:24" x14ac:dyDescent="0.25">
      <c r="A729" s="862">
        <v>1447</v>
      </c>
      <c r="B729" s="863" t="s">
        <v>7053</v>
      </c>
      <c r="C729" s="862">
        <v>1447</v>
      </c>
      <c r="D729" s="165" t="s">
        <v>2147</v>
      </c>
      <c r="E729" s="165" t="s">
        <v>7054</v>
      </c>
      <c r="F729" s="163">
        <v>1</v>
      </c>
      <c r="G729" s="864"/>
      <c r="H729" s="864">
        <v>0</v>
      </c>
      <c r="I729" s="864">
        <v>0</v>
      </c>
      <c r="J729" s="864">
        <v>18528.929809517886</v>
      </c>
      <c r="K729" s="864">
        <v>19028.958127206934</v>
      </c>
      <c r="L729" s="18" t="s">
        <v>4616</v>
      </c>
      <c r="M729" s="442"/>
      <c r="P729" s="527"/>
      <c r="T729" s="443"/>
      <c r="U729" s="440"/>
      <c r="V729" s="440"/>
      <c r="W729" s="440"/>
      <c r="X729" s="442"/>
    </row>
    <row r="730" spans="1:24" x14ac:dyDescent="0.25">
      <c r="A730" s="862">
        <v>1448</v>
      </c>
      <c r="B730" s="863" t="s">
        <v>7055</v>
      </c>
      <c r="C730" s="862">
        <v>1448</v>
      </c>
      <c r="D730" s="165" t="s">
        <v>2147</v>
      </c>
      <c r="E730" s="165" t="s">
        <v>7056</v>
      </c>
      <c r="F730" s="163">
        <v>1</v>
      </c>
      <c r="G730" s="864"/>
      <c r="H730" s="864">
        <v>16654.796938367315</v>
      </c>
      <c r="I730" s="864">
        <v>17107.18770847395</v>
      </c>
      <c r="J730" s="864">
        <v>0</v>
      </c>
      <c r="K730" s="864">
        <v>0</v>
      </c>
      <c r="L730" s="18" t="s">
        <v>2984</v>
      </c>
      <c r="M730" s="442"/>
      <c r="P730" s="527"/>
      <c r="T730" s="443"/>
      <c r="U730" s="440"/>
      <c r="V730" s="440"/>
      <c r="W730" s="440"/>
      <c r="X730" s="442"/>
    </row>
    <row r="731" spans="1:24" x14ac:dyDescent="0.25">
      <c r="A731" s="862">
        <v>1449</v>
      </c>
      <c r="B731" s="863" t="s">
        <v>7057</v>
      </c>
      <c r="C731" s="862">
        <v>1449</v>
      </c>
      <c r="D731" s="165" t="s">
        <v>2147</v>
      </c>
      <c r="E731" s="165" t="s">
        <v>7058</v>
      </c>
      <c r="F731" s="163">
        <v>1</v>
      </c>
      <c r="G731" s="864"/>
      <c r="H731" s="864">
        <v>0</v>
      </c>
      <c r="I731" s="864">
        <v>0</v>
      </c>
      <c r="J731" s="864">
        <v>0</v>
      </c>
      <c r="K731" s="864">
        <v>16202.40616826069</v>
      </c>
      <c r="L731" s="18" t="s">
        <v>10878</v>
      </c>
      <c r="M731" s="442"/>
      <c r="P731" s="527"/>
      <c r="T731" s="443"/>
      <c r="U731" s="440"/>
      <c r="V731" s="440"/>
      <c r="W731" s="440"/>
      <c r="X731" s="442"/>
    </row>
    <row r="732" spans="1:24" x14ac:dyDescent="0.25">
      <c r="A732" s="862">
        <v>1450</v>
      </c>
      <c r="B732" s="863" t="s">
        <v>7059</v>
      </c>
      <c r="C732" s="862">
        <v>1450</v>
      </c>
      <c r="D732" s="165" t="s">
        <v>2147</v>
      </c>
      <c r="E732" s="165" t="s">
        <v>7060</v>
      </c>
      <c r="F732" s="163">
        <v>1</v>
      </c>
      <c r="G732" s="864"/>
      <c r="H732" s="864">
        <v>14573.839619380644</v>
      </c>
      <c r="I732" s="864">
        <v>14952.375597541892</v>
      </c>
      <c r="J732" s="864">
        <v>15350.853576306043</v>
      </c>
      <c r="K732" s="864">
        <v>15770.299316672324</v>
      </c>
      <c r="L732" s="18" t="s">
        <v>2985</v>
      </c>
      <c r="M732" s="442"/>
      <c r="P732" s="527"/>
      <c r="T732" s="443"/>
      <c r="U732" s="440"/>
      <c r="V732" s="440"/>
      <c r="W732" s="440"/>
      <c r="X732" s="442"/>
    </row>
    <row r="733" spans="1:24" x14ac:dyDescent="0.25">
      <c r="A733" s="862">
        <v>1451</v>
      </c>
      <c r="B733" s="863" t="s">
        <v>7061</v>
      </c>
      <c r="C733" s="862">
        <v>1451</v>
      </c>
      <c r="D733" s="165" t="s">
        <v>2147</v>
      </c>
      <c r="E733" s="165" t="s">
        <v>7062</v>
      </c>
      <c r="F733" s="163">
        <v>1</v>
      </c>
      <c r="G733" s="864"/>
      <c r="H733" s="864">
        <v>12215.788337910333</v>
      </c>
      <c r="I733" s="864">
        <v>12549.764051486884</v>
      </c>
      <c r="J733" s="864">
        <v>12866.15098087056</v>
      </c>
      <c r="K733" s="864">
        <v>13199.191441771331</v>
      </c>
      <c r="L733" s="18" t="s">
        <v>3878</v>
      </c>
      <c r="M733" s="442"/>
      <c r="P733" s="527"/>
      <c r="T733" s="443"/>
      <c r="U733" s="440"/>
      <c r="V733" s="440"/>
      <c r="W733" s="440"/>
      <c r="X733" s="442"/>
    </row>
    <row r="734" spans="1:24" x14ac:dyDescent="0.25">
      <c r="A734" s="862">
        <v>1452</v>
      </c>
      <c r="B734" s="863" t="s">
        <v>7063</v>
      </c>
      <c r="C734" s="862">
        <v>1452</v>
      </c>
      <c r="D734" s="165" t="s">
        <v>2147</v>
      </c>
      <c r="E734" s="165" t="s">
        <v>7064</v>
      </c>
      <c r="F734" s="163">
        <v>1</v>
      </c>
      <c r="G734" s="864"/>
      <c r="H734" s="864">
        <v>11549.358885746287</v>
      </c>
      <c r="I734" s="864">
        <v>11835.003154593875</v>
      </c>
      <c r="J734" s="864">
        <v>12135.701974577385</v>
      </c>
      <c r="K734" s="864">
        <v>12452.239751166833</v>
      </c>
      <c r="L734" s="18" t="s">
        <v>2986</v>
      </c>
      <c r="M734" s="442"/>
      <c r="P734" s="527"/>
      <c r="T734" s="443"/>
      <c r="U734" s="440"/>
      <c r="V734" s="440"/>
      <c r="W734" s="440"/>
      <c r="X734" s="442"/>
    </row>
    <row r="735" spans="1:24" x14ac:dyDescent="0.25">
      <c r="A735" s="862">
        <v>1453</v>
      </c>
      <c r="B735" s="863" t="s">
        <v>7065</v>
      </c>
      <c r="C735" s="862">
        <v>1453</v>
      </c>
      <c r="D735" s="165" t="s">
        <v>2147</v>
      </c>
      <c r="E735" s="165" t="s">
        <v>7066</v>
      </c>
      <c r="F735" s="163">
        <v>1</v>
      </c>
      <c r="G735" s="864"/>
      <c r="H735" s="864">
        <v>13875.882527003487</v>
      </c>
      <c r="I735" s="864">
        <v>14232.998201945276</v>
      </c>
      <c r="J735" s="864">
        <v>14608.90943872611</v>
      </c>
      <c r="K735" s="864">
        <v>15004.611828904081</v>
      </c>
      <c r="L735" s="18" t="s">
        <v>2987</v>
      </c>
      <c r="M735" s="442"/>
      <c r="P735" s="527"/>
      <c r="T735" s="443"/>
      <c r="U735" s="440"/>
      <c r="V735" s="440"/>
      <c r="W735" s="440"/>
      <c r="X735" s="442"/>
    </row>
    <row r="736" spans="1:24" x14ac:dyDescent="0.25">
      <c r="A736" s="862">
        <v>1454</v>
      </c>
      <c r="B736" s="863" t="s">
        <v>7067</v>
      </c>
      <c r="C736" s="862">
        <v>1454</v>
      </c>
      <c r="D736" s="165" t="s">
        <v>2147</v>
      </c>
      <c r="E736" s="165" t="s">
        <v>7068</v>
      </c>
      <c r="F736" s="163">
        <v>1</v>
      </c>
      <c r="G736" s="864"/>
      <c r="H736" s="864">
        <v>12945.273070500605</v>
      </c>
      <c r="I736" s="864">
        <v>13273.818284669409</v>
      </c>
      <c r="J736" s="864">
        <v>13619.650588619545</v>
      </c>
      <c r="K736" s="864">
        <v>13983.675065585636</v>
      </c>
      <c r="L736" s="18" t="s">
        <v>2988</v>
      </c>
      <c r="M736" s="442"/>
      <c r="P736" s="527"/>
      <c r="T736" s="443"/>
      <c r="U736" s="440"/>
      <c r="V736" s="440"/>
      <c r="W736" s="440"/>
      <c r="X736" s="442"/>
    </row>
    <row r="737" spans="1:24" x14ac:dyDescent="0.25">
      <c r="A737" s="862">
        <v>1455</v>
      </c>
      <c r="B737" s="863" t="s">
        <v>7069</v>
      </c>
      <c r="C737" s="862">
        <v>1455</v>
      </c>
      <c r="D737" s="165" t="s">
        <v>2147</v>
      </c>
      <c r="E737" s="165" t="s">
        <v>7070</v>
      </c>
      <c r="F737" s="163">
        <v>1</v>
      </c>
      <c r="G737" s="864"/>
      <c r="H737" s="864">
        <v>0</v>
      </c>
      <c r="I737" s="864">
        <v>15727.495203204911</v>
      </c>
      <c r="J737" s="864">
        <v>16132.610459022975</v>
      </c>
      <c r="K737" s="864">
        <v>16559.055509737023</v>
      </c>
      <c r="L737" s="18" t="s">
        <v>4617</v>
      </c>
      <c r="M737" s="442"/>
      <c r="P737" s="527"/>
      <c r="T737" s="443"/>
      <c r="U737" s="440"/>
      <c r="V737" s="440"/>
      <c r="W737" s="440"/>
      <c r="X737" s="442"/>
    </row>
    <row r="738" spans="1:24" x14ac:dyDescent="0.25">
      <c r="A738" s="862">
        <v>1456</v>
      </c>
      <c r="B738" s="863" t="s">
        <v>7071</v>
      </c>
      <c r="C738" s="862">
        <v>1456</v>
      </c>
      <c r="D738" s="165" t="s">
        <v>2147</v>
      </c>
      <c r="E738" s="165" t="s">
        <v>7072</v>
      </c>
      <c r="F738" s="163">
        <v>1</v>
      </c>
      <c r="G738" s="864"/>
      <c r="H738" s="864">
        <v>0</v>
      </c>
      <c r="I738" s="864">
        <v>0</v>
      </c>
      <c r="J738" s="864">
        <v>0</v>
      </c>
      <c r="K738" s="864">
        <v>20429.102450523649</v>
      </c>
      <c r="L738" s="18" t="s">
        <v>10879</v>
      </c>
      <c r="M738" s="442"/>
      <c r="P738" s="527"/>
      <c r="T738" s="443"/>
      <c r="U738" s="440"/>
      <c r="V738" s="440"/>
      <c r="W738" s="440"/>
      <c r="X738" s="442"/>
    </row>
    <row r="739" spans="1:24" x14ac:dyDescent="0.25">
      <c r="A739" s="862">
        <v>1457</v>
      </c>
      <c r="B739" s="863" t="s">
        <v>7073</v>
      </c>
      <c r="C739" s="862">
        <v>1457</v>
      </c>
      <c r="D739" s="165" t="s">
        <v>2147</v>
      </c>
      <c r="E739" s="165" t="s">
        <v>7074</v>
      </c>
      <c r="F739" s="163">
        <v>1</v>
      </c>
      <c r="G739" s="864"/>
      <c r="H739" s="864">
        <v>0</v>
      </c>
      <c r="I739" s="864">
        <v>0</v>
      </c>
      <c r="J739" s="864">
        <v>0</v>
      </c>
      <c r="K739" s="864">
        <v>12945.273070500605</v>
      </c>
      <c r="L739" s="18" t="s">
        <v>10880</v>
      </c>
      <c r="M739" s="442"/>
      <c r="P739" s="527"/>
      <c r="T739" s="443"/>
      <c r="U739" s="440"/>
      <c r="V739" s="440"/>
      <c r="W739" s="440"/>
      <c r="X739" s="442"/>
    </row>
    <row r="740" spans="1:24" x14ac:dyDescent="0.25">
      <c r="A740" s="862">
        <v>1458</v>
      </c>
      <c r="B740" s="863" t="s">
        <v>7075</v>
      </c>
      <c r="C740" s="862">
        <v>1458</v>
      </c>
      <c r="D740" s="165" t="s">
        <v>2147</v>
      </c>
      <c r="E740" s="165" t="s">
        <v>7076</v>
      </c>
      <c r="F740" s="163">
        <v>1</v>
      </c>
      <c r="G740" s="864"/>
      <c r="H740" s="864">
        <v>0</v>
      </c>
      <c r="I740" s="864">
        <v>0</v>
      </c>
      <c r="J740" s="864">
        <v>0</v>
      </c>
      <c r="K740" s="864">
        <v>12014.663613997722</v>
      </c>
      <c r="L740" s="18" t="s">
        <v>10881</v>
      </c>
      <c r="M740" s="442"/>
      <c r="P740" s="527"/>
      <c r="T740" s="443"/>
      <c r="U740" s="440"/>
      <c r="V740" s="440"/>
      <c r="W740" s="440"/>
      <c r="X740" s="442"/>
    </row>
    <row r="741" spans="1:24" x14ac:dyDescent="0.25">
      <c r="A741" s="862">
        <v>1459</v>
      </c>
      <c r="B741" s="863" t="s">
        <v>7077</v>
      </c>
      <c r="C741" s="862">
        <v>1459</v>
      </c>
      <c r="D741" s="165" t="s">
        <v>2147</v>
      </c>
      <c r="E741" s="165" t="s">
        <v>7078</v>
      </c>
      <c r="F741" s="163">
        <v>2</v>
      </c>
      <c r="G741" s="864"/>
      <c r="H741" s="864">
        <v>26773.609574674952</v>
      </c>
      <c r="I741" s="864">
        <v>27799.972725498639</v>
      </c>
      <c r="J741" s="864">
        <v>28880.342185751782</v>
      </c>
      <c r="K741" s="864">
        <v>30017.588561070708</v>
      </c>
      <c r="L741" s="18" t="s">
        <v>1094</v>
      </c>
      <c r="M741" s="442"/>
      <c r="P741" s="527"/>
      <c r="T741" s="443"/>
      <c r="U741" s="440"/>
      <c r="V741" s="440"/>
      <c r="W741" s="440"/>
      <c r="X741" s="442"/>
    </row>
    <row r="742" spans="1:24" x14ac:dyDescent="0.25">
      <c r="A742" s="862">
        <v>1460</v>
      </c>
      <c r="B742" s="863" t="s">
        <v>7079</v>
      </c>
      <c r="C742" s="862">
        <v>1460</v>
      </c>
      <c r="D742" s="165" t="s">
        <v>2147</v>
      </c>
      <c r="E742" s="165" t="s">
        <v>7080</v>
      </c>
      <c r="F742" s="163">
        <v>2</v>
      </c>
      <c r="G742" s="864"/>
      <c r="H742" s="864">
        <v>0</v>
      </c>
      <c r="I742" s="864">
        <v>0</v>
      </c>
      <c r="J742" s="864">
        <v>23585.339573233403</v>
      </c>
      <c r="K742" s="864">
        <v>24460.874292317174</v>
      </c>
      <c r="L742" s="18" t="s">
        <v>4618</v>
      </c>
      <c r="M742" s="442"/>
      <c r="P742" s="527"/>
      <c r="T742" s="443"/>
      <c r="U742" s="440"/>
      <c r="V742" s="440"/>
      <c r="W742" s="440"/>
      <c r="X742" s="442"/>
    </row>
    <row r="743" spans="1:24" x14ac:dyDescent="0.25">
      <c r="A743" s="862">
        <v>1461</v>
      </c>
      <c r="B743" s="863" t="s">
        <v>7081</v>
      </c>
      <c r="C743" s="862">
        <v>1461</v>
      </c>
      <c r="D743" s="165" t="s">
        <v>2147</v>
      </c>
      <c r="E743" s="165" t="s">
        <v>7082</v>
      </c>
      <c r="F743" s="163">
        <v>2</v>
      </c>
      <c r="G743" s="864"/>
      <c r="H743" s="864">
        <v>0</v>
      </c>
      <c r="I743" s="864">
        <v>0</v>
      </c>
      <c r="J743" s="864">
        <v>29504.846426115662</v>
      </c>
      <c r="K743" s="864">
        <v>30645.449950399121</v>
      </c>
      <c r="L743" s="18" t="s">
        <v>4619</v>
      </c>
      <c r="M743" s="442"/>
      <c r="P743" s="527"/>
      <c r="T743" s="443"/>
      <c r="U743" s="440"/>
      <c r="V743" s="440"/>
      <c r="W743" s="440"/>
      <c r="X743" s="442"/>
    </row>
    <row r="744" spans="1:24" x14ac:dyDescent="0.25">
      <c r="A744" s="862">
        <v>1462</v>
      </c>
      <c r="B744" s="863" t="s">
        <v>7083</v>
      </c>
      <c r="C744" s="862">
        <v>1462</v>
      </c>
      <c r="D744" s="165" t="s">
        <v>2147</v>
      </c>
      <c r="E744" s="165" t="s">
        <v>7084</v>
      </c>
      <c r="F744" s="163">
        <v>2</v>
      </c>
      <c r="G744" s="864"/>
      <c r="H744" s="864">
        <v>0</v>
      </c>
      <c r="I744" s="864">
        <v>0</v>
      </c>
      <c r="J744" s="864">
        <v>23070.599846895821</v>
      </c>
      <c r="K744" s="864">
        <v>23923.121066556054</v>
      </c>
      <c r="L744" s="18" t="s">
        <v>4620</v>
      </c>
      <c r="M744" s="442"/>
      <c r="P744" s="527"/>
      <c r="T744" s="443"/>
      <c r="U744" s="440"/>
      <c r="V744" s="440"/>
      <c r="W744" s="440"/>
      <c r="X744" s="442"/>
    </row>
    <row r="745" spans="1:24" x14ac:dyDescent="0.25">
      <c r="A745" s="862">
        <v>1463</v>
      </c>
      <c r="B745" s="863" t="s">
        <v>7085</v>
      </c>
      <c r="C745" s="862">
        <v>1463</v>
      </c>
      <c r="D745" s="165" t="s">
        <v>2147</v>
      </c>
      <c r="E745" s="165" t="s">
        <v>7086</v>
      </c>
      <c r="F745" s="163">
        <v>2</v>
      </c>
      <c r="G745" s="864"/>
      <c r="H745" s="864">
        <v>0</v>
      </c>
      <c r="I745" s="864">
        <v>0</v>
      </c>
      <c r="J745" s="864">
        <v>28914.159710798165</v>
      </c>
      <c r="K745" s="864">
        <v>30019.586152453248</v>
      </c>
      <c r="L745" s="18" t="s">
        <v>10882</v>
      </c>
      <c r="M745" s="442"/>
      <c r="P745" s="527"/>
      <c r="T745" s="443"/>
      <c r="U745" s="440"/>
      <c r="V745" s="440"/>
      <c r="W745" s="440"/>
      <c r="X745" s="442"/>
    </row>
    <row r="746" spans="1:24" x14ac:dyDescent="0.25">
      <c r="A746" s="862">
        <v>1464</v>
      </c>
      <c r="B746" s="863" t="s">
        <v>7087</v>
      </c>
      <c r="C746" s="862">
        <v>1464</v>
      </c>
      <c r="D746" s="165" t="s">
        <v>2147</v>
      </c>
      <c r="E746" s="165" t="s">
        <v>7088</v>
      </c>
      <c r="F746" s="163">
        <v>2</v>
      </c>
      <c r="G746" s="864"/>
      <c r="H746" s="864">
        <v>27312.67646742221</v>
      </c>
      <c r="I746" s="864">
        <v>28363.366784655558</v>
      </c>
      <c r="J746" s="864">
        <v>29469.377078304478</v>
      </c>
      <c r="K746" s="864">
        <v>30633.577954005308</v>
      </c>
      <c r="L746" s="18" t="s">
        <v>1095</v>
      </c>
      <c r="M746" s="442"/>
      <c r="P746" s="527"/>
      <c r="T746" s="443"/>
      <c r="U746" s="440"/>
      <c r="V746" s="440"/>
      <c r="W746" s="440"/>
      <c r="X746" s="442"/>
    </row>
    <row r="747" spans="1:24" x14ac:dyDescent="0.25">
      <c r="A747" s="862">
        <v>1465</v>
      </c>
      <c r="B747" s="863" t="s">
        <v>7089</v>
      </c>
      <c r="C747" s="862">
        <v>1465</v>
      </c>
      <c r="D747" s="165" t="s">
        <v>2147</v>
      </c>
      <c r="E747" s="165" t="s">
        <v>7090</v>
      </c>
      <c r="F747" s="163">
        <v>2</v>
      </c>
      <c r="G747" s="864"/>
      <c r="H747" s="864">
        <v>28490.026336738589</v>
      </c>
      <c r="I747" s="864">
        <v>29616.763376168539</v>
      </c>
      <c r="J747" s="864">
        <v>30802.810047305255</v>
      </c>
      <c r="K747" s="864">
        <v>32051.280227449159</v>
      </c>
      <c r="L747" s="18" t="s">
        <v>1096</v>
      </c>
      <c r="M747" s="442"/>
      <c r="P747" s="527"/>
      <c r="T747" s="443"/>
      <c r="U747" s="440"/>
      <c r="V747" s="440"/>
      <c r="W747" s="440"/>
      <c r="X747" s="442"/>
    </row>
    <row r="748" spans="1:24" x14ac:dyDescent="0.25">
      <c r="A748" s="862">
        <v>1466</v>
      </c>
      <c r="B748" s="863" t="s">
        <v>7091</v>
      </c>
      <c r="C748" s="862">
        <v>1466</v>
      </c>
      <c r="D748" s="165" t="s">
        <v>2147</v>
      </c>
      <c r="E748" s="165" t="s">
        <v>7092</v>
      </c>
      <c r="F748" s="163">
        <v>2</v>
      </c>
      <c r="G748" s="864"/>
      <c r="H748" s="864">
        <v>29709.618191769812</v>
      </c>
      <c r="I748" s="864">
        <v>30892.550985606085</v>
      </c>
      <c r="J748" s="864">
        <v>32137.712671118283</v>
      </c>
      <c r="K748" s="864">
        <v>33448.411742938115</v>
      </c>
      <c r="L748" s="18" t="s">
        <v>1097</v>
      </c>
      <c r="M748" s="442"/>
      <c r="P748" s="527"/>
      <c r="T748" s="443"/>
      <c r="U748" s="440"/>
      <c r="V748" s="440"/>
      <c r="W748" s="440"/>
      <c r="X748" s="442"/>
    </row>
    <row r="749" spans="1:24" x14ac:dyDescent="0.25">
      <c r="A749" s="862">
        <v>1467</v>
      </c>
      <c r="B749" s="863" t="s">
        <v>7093</v>
      </c>
      <c r="C749" s="862">
        <v>1467</v>
      </c>
      <c r="D749" s="165" t="s">
        <v>2147</v>
      </c>
      <c r="E749" s="165" t="s">
        <v>7094</v>
      </c>
      <c r="F749" s="163">
        <v>2</v>
      </c>
      <c r="G749" s="864"/>
      <c r="H749" s="864">
        <v>29912.907828108091</v>
      </c>
      <c r="I749" s="864">
        <v>31105.18225384568</v>
      </c>
      <c r="J749" s="864">
        <v>32360.22076892019</v>
      </c>
      <c r="K749" s="864">
        <v>33681.283213630537</v>
      </c>
      <c r="L749" s="18" t="s">
        <v>1098</v>
      </c>
      <c r="M749" s="442"/>
      <c r="P749" s="527"/>
      <c r="T749" s="443"/>
      <c r="U749" s="440"/>
      <c r="V749" s="440"/>
      <c r="W749" s="440"/>
      <c r="X749" s="442"/>
    </row>
    <row r="750" spans="1:24" x14ac:dyDescent="0.25">
      <c r="A750" s="862">
        <v>1468</v>
      </c>
      <c r="B750" s="863" t="s">
        <v>7095</v>
      </c>
      <c r="C750" s="862">
        <v>1468</v>
      </c>
      <c r="D750" s="165" t="s">
        <v>2147</v>
      </c>
      <c r="E750" s="165" t="s">
        <v>7096</v>
      </c>
      <c r="F750" s="163">
        <v>2</v>
      </c>
      <c r="G750" s="864"/>
      <c r="H750" s="864">
        <v>30590.442640570054</v>
      </c>
      <c r="I750" s="864">
        <v>31813.953147977656</v>
      </c>
      <c r="J750" s="864">
        <v>33101.833337705219</v>
      </c>
      <c r="K750" s="864">
        <v>34457.489013050086</v>
      </c>
      <c r="L750" s="18" t="s">
        <v>1099</v>
      </c>
      <c r="M750" s="442"/>
      <c r="P750" s="527"/>
      <c r="T750" s="443"/>
      <c r="U750" s="440"/>
      <c r="V750" s="440"/>
      <c r="W750" s="440"/>
      <c r="X750" s="442"/>
    </row>
    <row r="751" spans="1:24" x14ac:dyDescent="0.25">
      <c r="A751" s="862">
        <v>1469</v>
      </c>
      <c r="B751" s="863" t="s">
        <v>7097</v>
      </c>
      <c r="C751" s="862">
        <v>1469</v>
      </c>
      <c r="D751" s="165" t="s">
        <v>2147</v>
      </c>
      <c r="E751" s="165" t="s">
        <v>7098</v>
      </c>
      <c r="F751" s="163">
        <v>2</v>
      </c>
      <c r="G751" s="864"/>
      <c r="H751" s="864">
        <v>30793.683622575521</v>
      </c>
      <c r="I751" s="864">
        <v>32026.535761884417</v>
      </c>
      <c r="J751" s="864">
        <v>33324.292781174307</v>
      </c>
      <c r="K751" s="864">
        <v>34690.311829409708</v>
      </c>
      <c r="L751" s="18" t="s">
        <v>1100</v>
      </c>
      <c r="M751" s="442"/>
      <c r="P751" s="527"/>
      <c r="T751" s="443"/>
      <c r="U751" s="440"/>
      <c r="V751" s="440"/>
      <c r="W751" s="440"/>
      <c r="X751" s="442"/>
    </row>
    <row r="752" spans="1:24" x14ac:dyDescent="0.25">
      <c r="A752" s="862">
        <v>1470</v>
      </c>
      <c r="B752" s="863" t="s">
        <v>7099</v>
      </c>
      <c r="C752" s="862">
        <v>1470</v>
      </c>
      <c r="D752" s="165" t="s">
        <v>2147</v>
      </c>
      <c r="E752" s="165" t="s">
        <v>7100</v>
      </c>
      <c r="F752" s="163">
        <v>1</v>
      </c>
      <c r="G752" s="864"/>
      <c r="H752" s="864">
        <v>0</v>
      </c>
      <c r="I752" s="864">
        <v>15676.474403437529</v>
      </c>
      <c r="J752" s="864">
        <v>16078.836429163246</v>
      </c>
      <c r="K752" s="864">
        <v>16502.361902209566</v>
      </c>
      <c r="L752" s="18" t="s">
        <v>3879</v>
      </c>
      <c r="M752" s="442"/>
      <c r="P752" s="527"/>
      <c r="T752" s="443"/>
      <c r="U752" s="440"/>
      <c r="V752" s="440"/>
      <c r="W752" s="440"/>
      <c r="X752" s="442"/>
    </row>
    <row r="753" spans="1:24" x14ac:dyDescent="0.25">
      <c r="A753" s="862">
        <v>1471</v>
      </c>
      <c r="B753" s="863" t="s">
        <v>7101</v>
      </c>
      <c r="C753" s="862">
        <v>1471</v>
      </c>
      <c r="D753" s="165" t="s">
        <v>2147</v>
      </c>
      <c r="E753" s="165" t="s">
        <v>7102</v>
      </c>
      <c r="F753" s="163">
        <v>1</v>
      </c>
      <c r="G753" s="864"/>
      <c r="H753" s="864">
        <v>0</v>
      </c>
      <c r="I753" s="864">
        <v>0</v>
      </c>
      <c r="J753" s="864">
        <v>14868.823174901465</v>
      </c>
      <c r="K753" s="864">
        <v>15252.492718806881</v>
      </c>
      <c r="L753" s="18" t="s">
        <v>4621</v>
      </c>
      <c r="M753" s="442"/>
      <c r="P753" s="527"/>
      <c r="T753" s="443"/>
      <c r="U753" s="440"/>
      <c r="V753" s="440"/>
      <c r="W753" s="440"/>
      <c r="X753" s="442"/>
    </row>
    <row r="754" spans="1:24" x14ac:dyDescent="0.25">
      <c r="A754" s="862">
        <v>1472</v>
      </c>
      <c r="B754" s="863" t="s">
        <v>7103</v>
      </c>
      <c r="C754" s="862">
        <v>1472</v>
      </c>
      <c r="D754" s="165" t="s">
        <v>2147</v>
      </c>
      <c r="E754" s="165" t="s">
        <v>7104</v>
      </c>
      <c r="F754" s="163">
        <v>1</v>
      </c>
      <c r="G754" s="864"/>
      <c r="H754" s="864">
        <v>13642.427024238121</v>
      </c>
      <c r="I754" s="864">
        <v>14003.893844685295</v>
      </c>
      <c r="J754" s="864">
        <v>14384.419353298083</v>
      </c>
      <c r="K754" s="864">
        <v>14784.943519390774</v>
      </c>
      <c r="L754" s="18" t="s">
        <v>1101</v>
      </c>
      <c r="M754" s="442"/>
      <c r="P754" s="527"/>
      <c r="T754" s="443"/>
      <c r="U754" s="440"/>
      <c r="V754" s="440"/>
      <c r="W754" s="440"/>
      <c r="X754" s="442"/>
    </row>
    <row r="755" spans="1:24" x14ac:dyDescent="0.25">
      <c r="A755" s="862">
        <v>1473</v>
      </c>
      <c r="B755" s="863" t="s">
        <v>7105</v>
      </c>
      <c r="C755" s="862">
        <v>1473</v>
      </c>
      <c r="D755" s="165" t="s">
        <v>2147</v>
      </c>
      <c r="E755" s="165" t="s">
        <v>7106</v>
      </c>
      <c r="F755" s="163">
        <v>1</v>
      </c>
      <c r="G755" s="864"/>
      <c r="H755" s="864">
        <v>0</v>
      </c>
      <c r="I755" s="864">
        <v>11284.049313285679</v>
      </c>
      <c r="J755" s="864">
        <v>11558.423114853593</v>
      </c>
      <c r="K755" s="864">
        <v>11847.22058348561</v>
      </c>
      <c r="L755" s="18" t="s">
        <v>3880</v>
      </c>
      <c r="M755" s="442"/>
      <c r="P755" s="527"/>
      <c r="T755" s="443"/>
      <c r="U755" s="440"/>
      <c r="V755" s="440"/>
      <c r="W755" s="440"/>
      <c r="X755" s="442"/>
    </row>
    <row r="756" spans="1:24" x14ac:dyDescent="0.25">
      <c r="A756" s="862">
        <v>1474</v>
      </c>
      <c r="B756" s="863" t="s">
        <v>7107</v>
      </c>
      <c r="C756" s="862">
        <v>1474</v>
      </c>
      <c r="D756" s="165" t="s">
        <v>2147</v>
      </c>
      <c r="E756" s="165" t="s">
        <v>7108</v>
      </c>
      <c r="F756" s="163">
        <v>1</v>
      </c>
      <c r="G756" s="864"/>
      <c r="H756" s="864">
        <v>0</v>
      </c>
      <c r="I756" s="864">
        <v>8527.7259029767229</v>
      </c>
      <c r="J756" s="864">
        <v>8719.2203412121889</v>
      </c>
      <c r="K756" s="864">
        <v>8920.795140025044</v>
      </c>
      <c r="L756" s="18" t="s">
        <v>3881</v>
      </c>
      <c r="M756" s="442"/>
      <c r="P756" s="527"/>
      <c r="T756" s="443"/>
      <c r="U756" s="440"/>
      <c r="V756" s="440"/>
      <c r="W756" s="440"/>
      <c r="X756" s="442"/>
    </row>
    <row r="757" spans="1:24" x14ac:dyDescent="0.25">
      <c r="A757" s="862">
        <v>1475</v>
      </c>
      <c r="B757" s="863" t="s">
        <v>7109</v>
      </c>
      <c r="C757" s="862">
        <v>1475</v>
      </c>
      <c r="D757" s="165" t="s">
        <v>2147</v>
      </c>
      <c r="E757" s="165" t="s">
        <v>7110</v>
      </c>
      <c r="F757" s="163">
        <v>1</v>
      </c>
      <c r="G757" s="864"/>
      <c r="H757" s="864">
        <v>11391.679742567519</v>
      </c>
      <c r="I757" s="864">
        <v>0</v>
      </c>
      <c r="J757" s="864">
        <v>0</v>
      </c>
      <c r="K757" s="864">
        <v>0</v>
      </c>
      <c r="L757" s="18" t="s">
        <v>1102</v>
      </c>
      <c r="M757" s="442"/>
      <c r="P757" s="527"/>
      <c r="T757" s="443"/>
      <c r="U757" s="440"/>
      <c r="V757" s="440"/>
      <c r="W757" s="440"/>
      <c r="X757" s="442"/>
    </row>
    <row r="758" spans="1:24" x14ac:dyDescent="0.25">
      <c r="A758" s="862">
        <v>1476</v>
      </c>
      <c r="B758" s="863" t="s">
        <v>7111</v>
      </c>
      <c r="C758" s="862">
        <v>1476</v>
      </c>
      <c r="D758" s="165" t="s">
        <v>2147</v>
      </c>
      <c r="E758" s="165" t="s">
        <v>7112</v>
      </c>
      <c r="F758" s="163">
        <v>1</v>
      </c>
      <c r="G758" s="864"/>
      <c r="H758" s="864">
        <v>10987.240305859055</v>
      </c>
      <c r="I758" s="864">
        <v>0</v>
      </c>
      <c r="J758" s="864">
        <v>0</v>
      </c>
      <c r="K758" s="864">
        <v>0</v>
      </c>
      <c r="L758" s="18" t="s">
        <v>1103</v>
      </c>
      <c r="M758" s="442"/>
      <c r="P758" s="527"/>
      <c r="T758" s="443"/>
      <c r="U758" s="440"/>
      <c r="V758" s="440"/>
      <c r="W758" s="440"/>
      <c r="X758" s="442"/>
    </row>
    <row r="759" spans="1:24" x14ac:dyDescent="0.25">
      <c r="A759" s="862">
        <v>1477</v>
      </c>
      <c r="B759" s="863" t="s">
        <v>7113</v>
      </c>
      <c r="C759" s="862">
        <v>1477</v>
      </c>
      <c r="D759" s="165" t="s">
        <v>2147</v>
      </c>
      <c r="E759" s="165" t="s">
        <v>7114</v>
      </c>
      <c r="F759" s="163">
        <v>1</v>
      </c>
      <c r="G759" s="864"/>
      <c r="H759" s="864">
        <v>11954.620021961689</v>
      </c>
      <c r="I759" s="864">
        <v>0</v>
      </c>
      <c r="J759" s="864">
        <v>0</v>
      </c>
      <c r="K759" s="864">
        <v>0</v>
      </c>
      <c r="L759" s="18" t="s">
        <v>1104</v>
      </c>
      <c r="M759" s="442"/>
      <c r="P759" s="527"/>
      <c r="T759" s="443"/>
      <c r="U759" s="440"/>
      <c r="V759" s="440"/>
      <c r="W759" s="440"/>
      <c r="X759" s="442"/>
    </row>
    <row r="760" spans="1:24" x14ac:dyDescent="0.25">
      <c r="A760" s="862">
        <v>1478</v>
      </c>
      <c r="B760" s="863" t="s">
        <v>7115</v>
      </c>
      <c r="C760" s="862">
        <v>1478</v>
      </c>
      <c r="D760" s="165" t="s">
        <v>2147</v>
      </c>
      <c r="E760" s="165" t="s">
        <v>7116</v>
      </c>
      <c r="F760" s="163">
        <v>2</v>
      </c>
      <c r="G760" s="864"/>
      <c r="H760" s="864">
        <v>15330.159026198004</v>
      </c>
      <c r="I760" s="864">
        <v>15822.228170055754</v>
      </c>
      <c r="J760" s="864">
        <v>16340.195689906021</v>
      </c>
      <c r="K760" s="864">
        <v>16885.43672075725</v>
      </c>
      <c r="L760" s="18" t="s">
        <v>1105</v>
      </c>
      <c r="M760" s="442"/>
      <c r="P760" s="527"/>
      <c r="T760" s="443"/>
      <c r="U760" s="440"/>
      <c r="V760" s="440"/>
      <c r="W760" s="440"/>
      <c r="X760" s="442"/>
    </row>
    <row r="761" spans="1:24" x14ac:dyDescent="0.25">
      <c r="A761" s="862">
        <v>1479</v>
      </c>
      <c r="B761" s="863" t="s">
        <v>7117</v>
      </c>
      <c r="C761" s="862">
        <v>1479</v>
      </c>
      <c r="D761" s="165" t="s">
        <v>2147</v>
      </c>
      <c r="E761" s="165" t="s">
        <v>7118</v>
      </c>
      <c r="F761" s="163">
        <v>2</v>
      </c>
      <c r="G761" s="864"/>
      <c r="H761" s="864">
        <v>16167.560138297657</v>
      </c>
      <c r="I761" s="864">
        <v>16694.752522162958</v>
      </c>
      <c r="J761" s="864">
        <v>17249.734092657389</v>
      </c>
      <c r="K761" s="864">
        <v>17833.937282081424</v>
      </c>
      <c r="L761" s="18" t="s">
        <v>1106</v>
      </c>
      <c r="M761" s="442"/>
      <c r="P761" s="527"/>
      <c r="T761" s="443"/>
      <c r="U761" s="440"/>
      <c r="V761" s="440"/>
      <c r="W761" s="440"/>
      <c r="X761" s="442"/>
    </row>
    <row r="762" spans="1:24" x14ac:dyDescent="0.25">
      <c r="A762" s="862">
        <v>1480</v>
      </c>
      <c r="B762" s="863" t="s">
        <v>7119</v>
      </c>
      <c r="C762" s="862">
        <v>1480</v>
      </c>
      <c r="D762" s="165" t="s">
        <v>2147</v>
      </c>
      <c r="E762" s="165" t="s">
        <v>7120</v>
      </c>
      <c r="F762" s="163">
        <v>2</v>
      </c>
      <c r="G762" s="864"/>
      <c r="H762" s="864">
        <v>0</v>
      </c>
      <c r="I762" s="864">
        <v>15968.604648686834</v>
      </c>
      <c r="J762" s="864">
        <v>0</v>
      </c>
      <c r="K762" s="864">
        <v>0</v>
      </c>
      <c r="L762" s="18" t="s">
        <v>10883</v>
      </c>
      <c r="M762" s="442"/>
      <c r="P762" s="527"/>
      <c r="T762" s="443"/>
      <c r="U762" s="440"/>
      <c r="V762" s="440"/>
      <c r="W762" s="440"/>
      <c r="X762" s="442"/>
    </row>
    <row r="763" spans="1:24" x14ac:dyDescent="0.25">
      <c r="A763" s="862">
        <v>1481</v>
      </c>
      <c r="B763" s="863" t="s">
        <v>7121</v>
      </c>
      <c r="C763" s="862">
        <v>1481</v>
      </c>
      <c r="D763" s="165" t="s">
        <v>2147</v>
      </c>
      <c r="E763" s="165" t="s">
        <v>7122</v>
      </c>
      <c r="F763" s="163">
        <v>2</v>
      </c>
      <c r="G763" s="864"/>
      <c r="H763" s="864">
        <v>14264.119751421904</v>
      </c>
      <c r="I763" s="864">
        <v>14701.871062445802</v>
      </c>
      <c r="J763" s="864">
        <v>15162.655884861266</v>
      </c>
      <c r="K763" s="864">
        <v>15647.6774618007</v>
      </c>
      <c r="L763" s="18" t="s">
        <v>1107</v>
      </c>
      <c r="M763" s="442"/>
      <c r="N763" s="459"/>
      <c r="P763" s="527"/>
      <c r="T763" s="443"/>
      <c r="U763" s="440"/>
      <c r="V763" s="440"/>
      <c r="W763" s="440"/>
      <c r="X763" s="442"/>
    </row>
    <row r="764" spans="1:24" x14ac:dyDescent="0.25">
      <c r="A764" s="862">
        <v>1482</v>
      </c>
      <c r="B764" s="863" t="s">
        <v>7123</v>
      </c>
      <c r="C764" s="862">
        <v>1482</v>
      </c>
      <c r="D764" s="165" t="s">
        <v>2147</v>
      </c>
      <c r="E764" s="165" t="s">
        <v>7124</v>
      </c>
      <c r="F764" s="163">
        <v>1</v>
      </c>
      <c r="G764" s="864"/>
      <c r="H764" s="864">
        <v>0</v>
      </c>
      <c r="I764" s="864">
        <v>0</v>
      </c>
      <c r="J764" s="864">
        <v>0</v>
      </c>
      <c r="K764" s="864">
        <v>11186.149631925351</v>
      </c>
      <c r="L764" s="18" t="s">
        <v>10884</v>
      </c>
      <c r="M764" s="442"/>
      <c r="N764" s="456"/>
      <c r="P764" s="527"/>
      <c r="T764" s="443"/>
      <c r="U764" s="440"/>
      <c r="V764" s="440"/>
      <c r="W764" s="440"/>
      <c r="X764" s="442"/>
    </row>
    <row r="765" spans="1:24" x14ac:dyDescent="0.25">
      <c r="A765" s="862">
        <v>1483</v>
      </c>
      <c r="B765" s="863" t="s">
        <v>7125</v>
      </c>
      <c r="C765" s="862">
        <v>1483</v>
      </c>
      <c r="D765" s="165" t="s">
        <v>2147</v>
      </c>
      <c r="E765" s="165" t="s">
        <v>7126</v>
      </c>
      <c r="F765" s="163">
        <v>1</v>
      </c>
      <c r="G765" s="864"/>
      <c r="H765" s="864">
        <v>0</v>
      </c>
      <c r="I765" s="864">
        <v>11130.840256313633</v>
      </c>
      <c r="J765" s="864">
        <v>11392.041009071299</v>
      </c>
      <c r="K765" s="864">
        <v>11667.001875421562</v>
      </c>
      <c r="L765" s="18" t="s">
        <v>3882</v>
      </c>
      <c r="M765" s="442"/>
      <c r="N765" s="456"/>
      <c r="P765" s="527"/>
      <c r="T765" s="443"/>
      <c r="U765" s="440"/>
      <c r="V765" s="440"/>
      <c r="W765" s="440"/>
      <c r="X765" s="442"/>
    </row>
    <row r="766" spans="1:24" x14ac:dyDescent="0.25">
      <c r="A766" s="862">
        <v>1484</v>
      </c>
      <c r="B766" s="863" t="s">
        <v>7127</v>
      </c>
      <c r="C766" s="862">
        <v>1484</v>
      </c>
      <c r="D766" s="165" t="s">
        <v>2147</v>
      </c>
      <c r="E766" s="165" t="s">
        <v>7128</v>
      </c>
      <c r="F766" s="163">
        <v>1</v>
      </c>
      <c r="G766" s="864"/>
      <c r="H766" s="864">
        <v>0</v>
      </c>
      <c r="I766" s="864">
        <v>0</v>
      </c>
      <c r="J766" s="864">
        <v>0</v>
      </c>
      <c r="K766" s="864">
        <v>12071.099641712832</v>
      </c>
      <c r="L766" s="18" t="s">
        <v>10885</v>
      </c>
      <c r="M766" s="442"/>
      <c r="N766" s="456"/>
      <c r="P766" s="527"/>
      <c r="T766" s="443"/>
      <c r="U766" s="440"/>
      <c r="V766" s="440"/>
      <c r="W766" s="440"/>
      <c r="X766" s="442"/>
    </row>
    <row r="767" spans="1:24" x14ac:dyDescent="0.25">
      <c r="A767" s="862">
        <v>1485</v>
      </c>
      <c r="B767" s="863" t="s">
        <v>7129</v>
      </c>
      <c r="C767" s="862">
        <v>1485</v>
      </c>
      <c r="D767" s="165" t="s">
        <v>2148</v>
      </c>
      <c r="E767" s="165" t="s">
        <v>7130</v>
      </c>
      <c r="F767" s="163">
        <v>2</v>
      </c>
      <c r="G767" s="864"/>
      <c r="H767" s="864">
        <v>11588.545672531154</v>
      </c>
      <c r="I767" s="864">
        <v>11930.69019409178</v>
      </c>
      <c r="J767" s="864">
        <v>12290.897121593491</v>
      </c>
      <c r="K767" s="864">
        <v>12670.026569604906</v>
      </c>
      <c r="L767" s="18" t="s">
        <v>1108</v>
      </c>
      <c r="M767" s="442"/>
      <c r="N767" s="455"/>
      <c r="P767" s="527"/>
      <c r="T767" s="443"/>
      <c r="U767" s="440"/>
      <c r="V767" s="440"/>
      <c r="W767" s="440"/>
      <c r="X767" s="442"/>
    </row>
    <row r="768" spans="1:24" x14ac:dyDescent="0.25">
      <c r="A768" s="862">
        <v>1486</v>
      </c>
      <c r="B768" s="863" t="s">
        <v>7131</v>
      </c>
      <c r="C768" s="862">
        <v>1486</v>
      </c>
      <c r="D768" s="165" t="s">
        <v>2148</v>
      </c>
      <c r="E768" s="165" t="s">
        <v>7132</v>
      </c>
      <c r="F768" s="163">
        <v>2</v>
      </c>
      <c r="G768" s="864"/>
      <c r="H768" s="864">
        <v>12487.14637641523</v>
      </c>
      <c r="I768" s="864">
        <v>12868.086591939536</v>
      </c>
      <c r="J768" s="864">
        <v>13269.081057669102</v>
      </c>
      <c r="K768" s="864">
        <v>13691.17096492384</v>
      </c>
      <c r="L768" s="18" t="s">
        <v>1109</v>
      </c>
      <c r="M768" s="442"/>
      <c r="N768" s="454"/>
      <c r="P768" s="527"/>
      <c r="T768" s="443"/>
      <c r="U768" s="440"/>
      <c r="V768" s="440"/>
      <c r="W768" s="440"/>
      <c r="X768" s="442"/>
    </row>
    <row r="769" spans="1:24" x14ac:dyDescent="0.25">
      <c r="A769" s="862">
        <v>1487</v>
      </c>
      <c r="B769" s="863" t="s">
        <v>7133</v>
      </c>
      <c r="C769" s="862">
        <v>1487</v>
      </c>
      <c r="D769" s="165" t="s">
        <v>2148</v>
      </c>
      <c r="E769" s="165" t="s">
        <v>7134</v>
      </c>
      <c r="F769" s="163">
        <v>2</v>
      </c>
      <c r="G769" s="864"/>
      <c r="H769" s="864">
        <v>13446.319052517501</v>
      </c>
      <c r="I769" s="864">
        <v>13868.635305711352</v>
      </c>
      <c r="J769" s="864">
        <v>14313.178730125928</v>
      </c>
      <c r="K769" s="864">
        <v>14781.126324644618</v>
      </c>
      <c r="L769" s="18" t="s">
        <v>1110</v>
      </c>
      <c r="M769" s="442"/>
      <c r="N769" s="454"/>
      <c r="P769" s="527"/>
      <c r="T769" s="443"/>
      <c r="U769" s="440"/>
      <c r="V769" s="440"/>
      <c r="W769" s="440"/>
      <c r="X769" s="442"/>
    </row>
    <row r="770" spans="1:24" x14ac:dyDescent="0.25">
      <c r="A770" s="862">
        <v>1488</v>
      </c>
      <c r="B770" s="863" t="s">
        <v>7135</v>
      </c>
      <c r="C770" s="862">
        <v>1488</v>
      </c>
      <c r="D770" s="165" t="s">
        <v>2148</v>
      </c>
      <c r="E770" s="165" t="s">
        <v>7136</v>
      </c>
      <c r="F770" s="163">
        <v>1</v>
      </c>
      <c r="G770" s="864"/>
      <c r="H770" s="864">
        <v>18504.643658601803</v>
      </c>
      <c r="I770" s="864">
        <v>19186.970993100396</v>
      </c>
      <c r="J770" s="864">
        <v>0</v>
      </c>
      <c r="K770" s="864">
        <v>20661.287041435375</v>
      </c>
      <c r="L770" s="18" t="s">
        <v>1111</v>
      </c>
      <c r="M770" s="442"/>
      <c r="N770" s="447"/>
      <c r="P770" s="527"/>
      <c r="T770" s="443"/>
      <c r="U770" s="440"/>
      <c r="V770" s="440"/>
      <c r="W770" s="440"/>
      <c r="X770" s="442"/>
    </row>
    <row r="771" spans="1:24" x14ac:dyDescent="0.25">
      <c r="A771" s="862">
        <v>1489</v>
      </c>
      <c r="B771" s="863" t="s">
        <v>7137</v>
      </c>
      <c r="C771" s="862">
        <v>1489</v>
      </c>
      <c r="D771" s="165" t="s">
        <v>2148</v>
      </c>
      <c r="E771" s="165" t="s">
        <v>7138</v>
      </c>
      <c r="F771" s="163">
        <v>2</v>
      </c>
      <c r="G771" s="864"/>
      <c r="H771" s="864">
        <v>21193.791570809797</v>
      </c>
      <c r="I771" s="864">
        <v>21990.690800417658</v>
      </c>
      <c r="J771" s="864">
        <v>22829.543464852522</v>
      </c>
      <c r="K771" s="864">
        <v>23712.509885166244</v>
      </c>
      <c r="L771" s="18" t="s">
        <v>1112</v>
      </c>
      <c r="M771" s="442"/>
      <c r="N771" s="447"/>
      <c r="P771" s="527"/>
      <c r="T771" s="443"/>
      <c r="U771" s="440"/>
      <c r="V771" s="440"/>
      <c r="W771" s="440"/>
      <c r="X771" s="442"/>
    </row>
    <row r="772" spans="1:24" x14ac:dyDescent="0.25">
      <c r="A772" s="862">
        <v>1490</v>
      </c>
      <c r="B772" s="863" t="s">
        <v>7139</v>
      </c>
      <c r="C772" s="862">
        <v>1490</v>
      </c>
      <c r="D772" s="165" t="s">
        <v>2148</v>
      </c>
      <c r="E772" s="165" t="s">
        <v>7140</v>
      </c>
      <c r="F772" s="163">
        <v>2</v>
      </c>
      <c r="G772" s="864"/>
      <c r="H772" s="864">
        <v>21272.603133360779</v>
      </c>
      <c r="I772" s="864">
        <v>22067.342041916785</v>
      </c>
      <c r="J772" s="864">
        <v>22903.947972457725</v>
      </c>
      <c r="K772" s="864">
        <v>23784.581246035443</v>
      </c>
      <c r="L772" s="18" t="s">
        <v>1113</v>
      </c>
      <c r="M772" s="442"/>
      <c r="N772" s="447"/>
      <c r="P772" s="527"/>
      <c r="T772" s="443"/>
      <c r="U772" s="440"/>
      <c r="V772" s="440"/>
      <c r="W772" s="440"/>
      <c r="X772" s="442"/>
    </row>
    <row r="773" spans="1:24" x14ac:dyDescent="0.25">
      <c r="A773" s="862">
        <v>1491</v>
      </c>
      <c r="B773" s="863" t="s">
        <v>7141</v>
      </c>
      <c r="C773" s="862">
        <v>1491</v>
      </c>
      <c r="D773" s="165" t="s">
        <v>2148</v>
      </c>
      <c r="E773" s="165" t="s">
        <v>7142</v>
      </c>
      <c r="F773" s="163">
        <v>2</v>
      </c>
      <c r="G773" s="864"/>
      <c r="H773" s="864">
        <v>20520.61381059216</v>
      </c>
      <c r="I773" s="864">
        <v>21275.775637478207</v>
      </c>
      <c r="J773" s="864">
        <v>22070.687371718363</v>
      </c>
      <c r="K773" s="864">
        <v>22907.422921522411</v>
      </c>
      <c r="L773" s="18" t="s">
        <v>1114</v>
      </c>
      <c r="M773" s="442"/>
      <c r="N773" s="447"/>
      <c r="P773" s="527"/>
      <c r="T773" s="443"/>
      <c r="U773" s="440"/>
      <c r="V773" s="440"/>
      <c r="W773" s="440"/>
      <c r="X773" s="442"/>
    </row>
    <row r="774" spans="1:24" x14ac:dyDescent="0.25">
      <c r="A774" s="862">
        <v>1492</v>
      </c>
      <c r="B774" s="863" t="s">
        <v>7143</v>
      </c>
      <c r="C774" s="862">
        <v>1492</v>
      </c>
      <c r="D774" s="165" t="s">
        <v>2148</v>
      </c>
      <c r="E774" s="165" t="s">
        <v>7144</v>
      </c>
      <c r="F774" s="163">
        <v>1</v>
      </c>
      <c r="G774" s="864"/>
      <c r="H774" s="864">
        <v>28356.657674347516</v>
      </c>
      <c r="I774" s="864">
        <v>29387.258777958778</v>
      </c>
      <c r="J774" s="864">
        <v>30472.122003566488</v>
      </c>
      <c r="K774" s="864">
        <v>31614.074221566912</v>
      </c>
      <c r="L774" s="18" t="s">
        <v>1115</v>
      </c>
      <c r="M774" s="442"/>
      <c r="N774" s="447"/>
      <c r="P774" s="527"/>
      <c r="T774" s="443"/>
      <c r="U774" s="440"/>
      <c r="V774" s="440"/>
      <c r="W774" s="440"/>
      <c r="X774" s="442"/>
    </row>
    <row r="775" spans="1:24" x14ac:dyDescent="0.25">
      <c r="A775" s="862">
        <v>1493</v>
      </c>
      <c r="B775" s="863" t="s">
        <v>7145</v>
      </c>
      <c r="C775" s="862">
        <v>1493</v>
      </c>
      <c r="D775" s="165" t="s">
        <v>2148</v>
      </c>
      <c r="E775" s="165" t="s">
        <v>7146</v>
      </c>
      <c r="F775" s="163">
        <v>1</v>
      </c>
      <c r="G775" s="864"/>
      <c r="H775" s="864">
        <v>18850.673538743853</v>
      </c>
      <c r="I775" s="864">
        <v>19510.713302240802</v>
      </c>
      <c r="J775" s="864">
        <v>20205.502887194179</v>
      </c>
      <c r="K775" s="864">
        <v>20936.8694171528</v>
      </c>
      <c r="L775" s="18" t="s">
        <v>1116</v>
      </c>
      <c r="M775" s="442"/>
      <c r="N775" s="447"/>
      <c r="P775" s="527"/>
      <c r="T775" s="443"/>
      <c r="U775" s="440"/>
      <c r="V775" s="440"/>
      <c r="W775" s="440"/>
      <c r="X775" s="442"/>
    </row>
    <row r="776" spans="1:24" x14ac:dyDescent="0.25">
      <c r="A776" s="862">
        <v>1494</v>
      </c>
      <c r="B776" s="863" t="s">
        <v>7147</v>
      </c>
      <c r="C776" s="862">
        <v>1494</v>
      </c>
      <c r="D776" s="165" t="s">
        <v>2148</v>
      </c>
      <c r="E776" s="165" t="s">
        <v>7148</v>
      </c>
      <c r="F776" s="163">
        <v>1</v>
      </c>
      <c r="G776" s="864"/>
      <c r="H776" s="864">
        <v>16473.30917925826</v>
      </c>
      <c r="I776" s="864">
        <v>0</v>
      </c>
      <c r="J776" s="864">
        <v>0</v>
      </c>
      <c r="K776" s="864">
        <v>0</v>
      </c>
      <c r="L776" s="18" t="s">
        <v>1117</v>
      </c>
      <c r="M776" s="442"/>
      <c r="N776" s="447"/>
      <c r="P776" s="527"/>
      <c r="T776" s="443"/>
      <c r="U776" s="440"/>
      <c r="V776" s="440"/>
      <c r="W776" s="440"/>
      <c r="X776" s="442"/>
    </row>
    <row r="777" spans="1:24" x14ac:dyDescent="0.25">
      <c r="A777" s="862">
        <v>1495</v>
      </c>
      <c r="B777" s="863" t="s">
        <v>7149</v>
      </c>
      <c r="C777" s="862">
        <v>1495</v>
      </c>
      <c r="D777" s="165" t="s">
        <v>2148</v>
      </c>
      <c r="E777" s="165" t="s">
        <v>7150</v>
      </c>
      <c r="F777" s="163">
        <v>1</v>
      </c>
      <c r="G777" s="864"/>
      <c r="H777" s="864">
        <v>0</v>
      </c>
      <c r="I777" s="864">
        <v>20059.323944249914</v>
      </c>
      <c r="J777" s="864">
        <v>20748.625018463445</v>
      </c>
      <c r="K777" s="864">
        <v>21474.214670142497</v>
      </c>
      <c r="L777" s="18" t="s">
        <v>3883</v>
      </c>
      <c r="M777" s="442"/>
      <c r="N777" s="444"/>
      <c r="P777" s="527"/>
      <c r="T777" s="443"/>
      <c r="U777" s="440"/>
      <c r="V777" s="440"/>
      <c r="W777" s="440"/>
      <c r="X777" s="442"/>
    </row>
    <row r="778" spans="1:24" x14ac:dyDescent="0.25">
      <c r="A778" s="862">
        <v>1496</v>
      </c>
      <c r="B778" s="863" t="s">
        <v>7151</v>
      </c>
      <c r="C778" s="862">
        <v>1496</v>
      </c>
      <c r="D778" s="165" t="s">
        <v>2148</v>
      </c>
      <c r="E778" s="165" t="s">
        <v>7152</v>
      </c>
      <c r="F778" s="163">
        <v>1</v>
      </c>
      <c r="G778" s="864"/>
      <c r="H778" s="864">
        <v>0</v>
      </c>
      <c r="I778" s="864">
        <v>18393.156489726491</v>
      </c>
      <c r="J778" s="864">
        <v>19017.838430382984</v>
      </c>
      <c r="K778" s="864">
        <v>19675.398367916143</v>
      </c>
      <c r="L778" s="18" t="s">
        <v>3884</v>
      </c>
      <c r="M778" s="442"/>
      <c r="N778" s="444"/>
      <c r="P778" s="527"/>
      <c r="T778" s="443"/>
      <c r="U778" s="440"/>
      <c r="V778" s="440"/>
      <c r="W778" s="440"/>
      <c r="X778" s="442"/>
    </row>
    <row r="779" spans="1:24" x14ac:dyDescent="0.25">
      <c r="A779" s="862">
        <v>1497</v>
      </c>
      <c r="B779" s="863" t="s">
        <v>7153</v>
      </c>
      <c r="C779" s="862">
        <v>1497</v>
      </c>
      <c r="D779" s="165" t="s">
        <v>2148</v>
      </c>
      <c r="E779" s="165" t="s">
        <v>7154</v>
      </c>
      <c r="F779" s="163">
        <v>1</v>
      </c>
      <c r="G779" s="864"/>
      <c r="H779" s="864">
        <v>14301.483478921762</v>
      </c>
      <c r="I779" s="864">
        <v>0</v>
      </c>
      <c r="J779" s="864">
        <v>0</v>
      </c>
      <c r="K779" s="864">
        <v>0</v>
      </c>
      <c r="L779" s="18" t="s">
        <v>1118</v>
      </c>
      <c r="M779" s="442"/>
      <c r="N779" s="434"/>
      <c r="P779" s="527"/>
      <c r="T779" s="443"/>
      <c r="U779" s="440"/>
      <c r="V779" s="440"/>
      <c r="W779" s="440"/>
      <c r="X779" s="442"/>
    </row>
    <row r="780" spans="1:24" x14ac:dyDescent="0.25">
      <c r="A780" s="862">
        <v>1498</v>
      </c>
      <c r="B780" s="863" t="s">
        <v>7155</v>
      </c>
      <c r="C780" s="862">
        <v>1498</v>
      </c>
      <c r="D780" s="165" t="s">
        <v>2148</v>
      </c>
      <c r="E780" s="165" t="s">
        <v>7156</v>
      </c>
      <c r="F780" s="163">
        <v>1</v>
      </c>
      <c r="G780" s="864"/>
      <c r="H780" s="864">
        <v>0</v>
      </c>
      <c r="I780" s="864">
        <v>20259.699255232365</v>
      </c>
      <c r="J780" s="864">
        <v>20956.776453188504</v>
      </c>
      <c r="K780" s="864">
        <v>21690.551498280831</v>
      </c>
      <c r="L780" s="18" t="s">
        <v>3885</v>
      </c>
      <c r="M780" s="442"/>
      <c r="N780" s="434"/>
      <c r="P780" s="527"/>
      <c r="T780" s="443"/>
      <c r="U780" s="440"/>
      <c r="V780" s="440"/>
      <c r="W780" s="440"/>
      <c r="X780" s="442"/>
    </row>
    <row r="781" spans="1:24" x14ac:dyDescent="0.25">
      <c r="A781" s="862">
        <v>1499</v>
      </c>
      <c r="B781" s="863" t="s">
        <v>7157</v>
      </c>
      <c r="C781" s="862">
        <v>1499</v>
      </c>
      <c r="D781" s="165" t="s">
        <v>2148</v>
      </c>
      <c r="E781" s="165" t="s">
        <v>7158</v>
      </c>
      <c r="F781" s="163">
        <v>1</v>
      </c>
      <c r="G781" s="864"/>
      <c r="H781" s="864">
        <v>0</v>
      </c>
      <c r="I781" s="864">
        <v>20537.402925867835</v>
      </c>
      <c r="J781" s="864">
        <v>21245.248463603217</v>
      </c>
      <c r="K781" s="864">
        <v>21990.346636250582</v>
      </c>
      <c r="L781" s="18" t="s">
        <v>4622</v>
      </c>
      <c r="M781" s="442"/>
      <c r="N781" s="434"/>
      <c r="P781" s="527"/>
      <c r="T781" s="443"/>
      <c r="U781" s="440"/>
      <c r="V781" s="440"/>
      <c r="W781" s="440"/>
      <c r="X781" s="442"/>
    </row>
    <row r="782" spans="1:24" x14ac:dyDescent="0.25">
      <c r="A782" s="862">
        <v>1500</v>
      </c>
      <c r="B782" s="863" t="s">
        <v>7159</v>
      </c>
      <c r="C782" s="862">
        <v>1500</v>
      </c>
      <c r="D782" s="165" t="s">
        <v>2148</v>
      </c>
      <c r="E782" s="165" t="s">
        <v>7160</v>
      </c>
      <c r="F782" s="163">
        <v>1</v>
      </c>
      <c r="G782" s="864"/>
      <c r="H782" s="864">
        <v>0</v>
      </c>
      <c r="I782" s="864">
        <v>0</v>
      </c>
      <c r="J782" s="864">
        <v>0</v>
      </c>
      <c r="K782" s="864">
        <v>18548.665452148674</v>
      </c>
      <c r="L782" s="18" t="s">
        <v>10886</v>
      </c>
      <c r="M782" s="442"/>
      <c r="N782" s="433"/>
      <c r="P782" s="527"/>
      <c r="T782" s="443"/>
      <c r="U782" s="440"/>
      <c r="V782" s="440"/>
      <c r="W782" s="440"/>
      <c r="X782" s="442"/>
    </row>
    <row r="783" spans="1:24" x14ac:dyDescent="0.25">
      <c r="A783" s="862">
        <v>1501</v>
      </c>
      <c r="B783" s="863" t="s">
        <v>7161</v>
      </c>
      <c r="C783" s="862">
        <v>1501</v>
      </c>
      <c r="D783" s="165" t="s">
        <v>2148</v>
      </c>
      <c r="E783" s="165" t="s">
        <v>7162</v>
      </c>
      <c r="F783" s="163">
        <v>1</v>
      </c>
      <c r="G783" s="864"/>
      <c r="H783" s="864">
        <v>0</v>
      </c>
      <c r="I783" s="864">
        <v>0</v>
      </c>
      <c r="J783" s="864">
        <v>0</v>
      </c>
      <c r="K783" s="864">
        <v>17521.19552185923</v>
      </c>
      <c r="L783" s="18" t="s">
        <v>10887</v>
      </c>
      <c r="M783" s="442"/>
      <c r="N783" s="433"/>
      <c r="P783" s="527"/>
      <c r="T783" s="443"/>
      <c r="U783" s="440"/>
      <c r="V783" s="440"/>
      <c r="W783" s="440"/>
      <c r="X783" s="442"/>
    </row>
    <row r="784" spans="1:24" x14ac:dyDescent="0.25">
      <c r="A784" s="862">
        <v>1502</v>
      </c>
      <c r="B784" s="863" t="s">
        <v>7163</v>
      </c>
      <c r="C784" s="862">
        <v>1502</v>
      </c>
      <c r="D784" s="165" t="s">
        <v>2148</v>
      </c>
      <c r="E784" s="165" t="s">
        <v>7164</v>
      </c>
      <c r="F784" s="163">
        <v>1</v>
      </c>
      <c r="G784" s="864"/>
      <c r="H784" s="864">
        <v>19596.429263819984</v>
      </c>
      <c r="I784" s="864">
        <v>20116.615179560533</v>
      </c>
      <c r="J784" s="864">
        <v>20664.188399733117</v>
      </c>
      <c r="K784" s="864">
        <v>21240.58126307268</v>
      </c>
      <c r="L784" s="18" t="s">
        <v>1119</v>
      </c>
      <c r="M784" s="442"/>
      <c r="N784" s="433"/>
      <c r="P784" s="527"/>
      <c r="T784" s="443"/>
      <c r="U784" s="440"/>
      <c r="V784" s="440"/>
      <c r="W784" s="440"/>
      <c r="X784" s="442"/>
    </row>
    <row r="785" spans="1:24" x14ac:dyDescent="0.25">
      <c r="A785" s="862">
        <v>1503</v>
      </c>
      <c r="B785" s="863" t="s">
        <v>7165</v>
      </c>
      <c r="C785" s="862">
        <v>1503</v>
      </c>
      <c r="D785" s="165" t="s">
        <v>2148</v>
      </c>
      <c r="E785" s="165" t="s">
        <v>7166</v>
      </c>
      <c r="F785" s="163">
        <v>1</v>
      </c>
      <c r="G785" s="864"/>
      <c r="H785" s="864">
        <v>23218.204557642242</v>
      </c>
      <c r="I785" s="864">
        <v>23805.339961493912</v>
      </c>
      <c r="J785" s="864">
        <v>24423.369430128696</v>
      </c>
      <c r="K785" s="864">
        <v>25073.922866244975</v>
      </c>
      <c r="L785" s="18" t="s">
        <v>1120</v>
      </c>
      <c r="M785" s="442"/>
      <c r="N785" s="433"/>
      <c r="P785" s="527"/>
      <c r="T785" s="443"/>
      <c r="U785" s="440"/>
      <c r="V785" s="440"/>
      <c r="W785" s="440"/>
      <c r="X785" s="442"/>
    </row>
    <row r="786" spans="1:24" x14ac:dyDescent="0.25">
      <c r="A786" s="862">
        <v>1504</v>
      </c>
      <c r="B786" s="863" t="s">
        <v>7167</v>
      </c>
      <c r="C786" s="862">
        <v>1504</v>
      </c>
      <c r="D786" s="165" t="s">
        <v>2148</v>
      </c>
      <c r="E786" s="165" t="s">
        <v>7168</v>
      </c>
      <c r="F786" s="163">
        <v>1</v>
      </c>
      <c r="G786" s="864"/>
      <c r="H786" s="864">
        <v>18383.052679737386</v>
      </c>
      <c r="I786" s="864">
        <v>18833.967730796387</v>
      </c>
      <c r="J786" s="864">
        <v>19308.61515296375</v>
      </c>
      <c r="K786" s="864">
        <v>19808.254416506425</v>
      </c>
      <c r="L786" s="18" t="s">
        <v>1121</v>
      </c>
      <c r="M786" s="442"/>
      <c r="N786" s="433"/>
      <c r="P786" s="527"/>
      <c r="T786" s="443"/>
      <c r="U786" s="440"/>
      <c r="V786" s="440"/>
      <c r="W786" s="440"/>
      <c r="X786" s="442"/>
    </row>
    <row r="787" spans="1:24" x14ac:dyDescent="0.25">
      <c r="A787" s="862">
        <v>1505</v>
      </c>
      <c r="B787" s="863" t="s">
        <v>7169</v>
      </c>
      <c r="C787" s="862">
        <v>1505</v>
      </c>
      <c r="D787" s="165" t="s">
        <v>2148</v>
      </c>
      <c r="E787" s="165" t="s">
        <v>7170</v>
      </c>
      <c r="F787" s="163">
        <v>1</v>
      </c>
      <c r="G787" s="864"/>
      <c r="H787" s="864">
        <v>17674.722101666262</v>
      </c>
      <c r="I787" s="864">
        <v>18137.145253595714</v>
      </c>
      <c r="J787" s="864">
        <v>18623.918164019276</v>
      </c>
      <c r="K787" s="864">
        <v>19136.324998699336</v>
      </c>
      <c r="L787" s="18" t="s">
        <v>1122</v>
      </c>
      <c r="M787" s="442"/>
      <c r="N787" s="433"/>
      <c r="P787" s="527"/>
      <c r="T787" s="443"/>
      <c r="U787" s="440"/>
      <c r="V787" s="440"/>
      <c r="W787" s="440"/>
      <c r="X787" s="442"/>
    </row>
    <row r="788" spans="1:24" x14ac:dyDescent="0.25">
      <c r="A788" s="862">
        <v>1506</v>
      </c>
      <c r="B788" s="863" t="s">
        <v>7171</v>
      </c>
      <c r="C788" s="862">
        <v>1506</v>
      </c>
      <c r="D788" s="165" t="s">
        <v>2148</v>
      </c>
      <c r="E788" s="165" t="s">
        <v>7172</v>
      </c>
      <c r="F788" s="163">
        <v>1</v>
      </c>
      <c r="G788" s="864"/>
      <c r="H788" s="864">
        <v>0</v>
      </c>
      <c r="I788" s="864">
        <v>0</v>
      </c>
      <c r="J788" s="864">
        <v>0</v>
      </c>
      <c r="K788" s="864">
        <v>22538.474388293667</v>
      </c>
      <c r="L788" s="18" t="s">
        <v>10888</v>
      </c>
      <c r="M788" s="442"/>
      <c r="N788" s="433"/>
      <c r="P788" s="527"/>
      <c r="T788" s="443"/>
      <c r="U788" s="440"/>
      <c r="V788" s="440"/>
      <c r="W788" s="440"/>
      <c r="X788" s="442"/>
    </row>
    <row r="789" spans="1:24" x14ac:dyDescent="0.25">
      <c r="A789" s="862">
        <v>1507</v>
      </c>
      <c r="B789" s="863" t="s">
        <v>7173</v>
      </c>
      <c r="C789" s="862">
        <v>1507</v>
      </c>
      <c r="D789" s="165" t="s">
        <v>2148</v>
      </c>
      <c r="E789" s="165" t="s">
        <v>7174</v>
      </c>
      <c r="F789" s="163">
        <v>1</v>
      </c>
      <c r="G789" s="864"/>
      <c r="H789" s="864">
        <v>0</v>
      </c>
      <c r="I789" s="864">
        <v>0</v>
      </c>
      <c r="J789" s="864">
        <v>0</v>
      </c>
      <c r="K789" s="864">
        <v>23626.670211384677</v>
      </c>
      <c r="L789" s="18" t="s">
        <v>10889</v>
      </c>
      <c r="M789" s="442"/>
      <c r="N789" s="433"/>
      <c r="P789" s="527"/>
      <c r="T789" s="443"/>
      <c r="U789" s="440"/>
      <c r="V789" s="440"/>
      <c r="W789" s="440"/>
      <c r="X789" s="442"/>
    </row>
    <row r="790" spans="1:24" x14ac:dyDescent="0.25">
      <c r="A790" s="862">
        <v>1508</v>
      </c>
      <c r="B790" s="863" t="s">
        <v>7175</v>
      </c>
      <c r="C790" s="862">
        <v>1508</v>
      </c>
      <c r="D790" s="165" t="s">
        <v>2148</v>
      </c>
      <c r="E790" s="165" t="s">
        <v>7176</v>
      </c>
      <c r="F790" s="163">
        <v>1</v>
      </c>
      <c r="G790" s="864"/>
      <c r="H790" s="864">
        <v>20775.074539815152</v>
      </c>
      <c r="I790" s="864">
        <v>0</v>
      </c>
      <c r="J790" s="864">
        <v>0</v>
      </c>
      <c r="K790" s="864">
        <v>0</v>
      </c>
      <c r="L790" s="18" t="s">
        <v>1123</v>
      </c>
      <c r="M790" s="442"/>
      <c r="N790" s="433"/>
      <c r="P790" s="527"/>
      <c r="T790" s="443"/>
      <c r="U790" s="440"/>
      <c r="V790" s="440"/>
      <c r="W790" s="440"/>
      <c r="X790" s="442"/>
    </row>
    <row r="791" spans="1:24" x14ac:dyDescent="0.25">
      <c r="A791" s="862">
        <v>1509</v>
      </c>
      <c r="B791" s="863" t="s">
        <v>7177</v>
      </c>
      <c r="C791" s="862">
        <v>1509</v>
      </c>
      <c r="D791" s="165" t="s">
        <v>2148</v>
      </c>
      <c r="E791" s="165" t="s">
        <v>7178</v>
      </c>
      <c r="F791" s="163">
        <v>1</v>
      </c>
      <c r="G791" s="864"/>
      <c r="H791" s="864">
        <v>23872.211833005211</v>
      </c>
      <c r="I791" s="864">
        <v>0</v>
      </c>
      <c r="J791" s="864">
        <v>0</v>
      </c>
      <c r="K791" s="864">
        <v>0</v>
      </c>
      <c r="L791" s="18" t="s">
        <v>1124</v>
      </c>
      <c r="M791" s="442"/>
      <c r="N791" s="433"/>
      <c r="P791" s="527"/>
      <c r="T791" s="443"/>
      <c r="U791" s="440"/>
      <c r="V791" s="440"/>
      <c r="W791" s="440"/>
      <c r="X791" s="442"/>
    </row>
    <row r="792" spans="1:24" x14ac:dyDescent="0.25">
      <c r="A792" s="862">
        <v>1510</v>
      </c>
      <c r="B792" s="863" t="s">
        <v>7179</v>
      </c>
      <c r="C792" s="862">
        <v>1510</v>
      </c>
      <c r="D792" s="165" t="s">
        <v>2148</v>
      </c>
      <c r="E792" s="165" t="s">
        <v>7180</v>
      </c>
      <c r="F792" s="163">
        <v>1</v>
      </c>
      <c r="G792" s="864"/>
      <c r="H792" s="864">
        <v>0</v>
      </c>
      <c r="I792" s="864">
        <v>21149.466050508177</v>
      </c>
      <c r="J792" s="864">
        <v>21897.785919101429</v>
      </c>
      <c r="K792" s="864">
        <v>22685.481337157322</v>
      </c>
      <c r="L792" s="18" t="s">
        <v>3886</v>
      </c>
      <c r="M792" s="442"/>
      <c r="N792" s="433"/>
      <c r="P792" s="527"/>
      <c r="T792" s="443"/>
      <c r="U792" s="440"/>
      <c r="V792" s="440"/>
      <c r="W792" s="440"/>
      <c r="X792" s="442"/>
    </row>
    <row r="793" spans="1:24" x14ac:dyDescent="0.25">
      <c r="A793" s="862">
        <v>1511</v>
      </c>
      <c r="B793" s="863" t="s">
        <v>7181</v>
      </c>
      <c r="C793" s="862">
        <v>1511</v>
      </c>
      <c r="D793" s="165" t="s">
        <v>2148</v>
      </c>
      <c r="E793" s="165" t="s">
        <v>7182</v>
      </c>
      <c r="F793" s="163">
        <v>1</v>
      </c>
      <c r="G793" s="864"/>
      <c r="H793" s="864">
        <v>0</v>
      </c>
      <c r="I793" s="864">
        <v>22451.136189081757</v>
      </c>
      <c r="J793" s="864">
        <v>23251.096122544037</v>
      </c>
      <c r="K793" s="864">
        <v>24093.15193031474</v>
      </c>
      <c r="L793" s="18" t="s">
        <v>3887</v>
      </c>
      <c r="M793" s="442"/>
      <c r="N793" s="433"/>
      <c r="P793" s="527"/>
      <c r="T793" s="443"/>
      <c r="U793" s="440"/>
      <c r="V793" s="440"/>
      <c r="W793" s="440"/>
      <c r="X793" s="442"/>
    </row>
    <row r="794" spans="1:24" x14ac:dyDescent="0.25">
      <c r="A794" s="862">
        <v>1512</v>
      </c>
      <c r="B794" s="863" t="s">
        <v>7183</v>
      </c>
      <c r="C794" s="862">
        <v>1512</v>
      </c>
      <c r="D794" s="165" t="s">
        <v>2148</v>
      </c>
      <c r="E794" s="165" t="s">
        <v>7184</v>
      </c>
      <c r="F794" s="163">
        <v>1</v>
      </c>
      <c r="G794" s="864"/>
      <c r="H794" s="864">
        <v>0</v>
      </c>
      <c r="I794" s="864">
        <v>23415.766738203241</v>
      </c>
      <c r="J794" s="864">
        <v>24253.995648309548</v>
      </c>
      <c r="K794" s="864">
        <v>25136.349149558406</v>
      </c>
      <c r="L794" s="18" t="s">
        <v>3888</v>
      </c>
      <c r="M794" s="442"/>
      <c r="N794" s="433"/>
      <c r="P794" s="527"/>
      <c r="T794" s="443"/>
      <c r="U794" s="440"/>
      <c r="V794" s="440"/>
      <c r="W794" s="440"/>
      <c r="X794" s="442"/>
    </row>
    <row r="795" spans="1:24" x14ac:dyDescent="0.25">
      <c r="A795" s="862">
        <v>1513</v>
      </c>
      <c r="B795" s="863" t="s">
        <v>7185</v>
      </c>
      <c r="C795" s="862">
        <v>1513</v>
      </c>
      <c r="D795" s="165" t="s">
        <v>2148</v>
      </c>
      <c r="E795" s="165" t="s">
        <v>7186</v>
      </c>
      <c r="F795" s="163">
        <v>1</v>
      </c>
      <c r="G795" s="864"/>
      <c r="H795" s="864">
        <v>0</v>
      </c>
      <c r="I795" s="864">
        <v>0</v>
      </c>
      <c r="J795" s="864">
        <v>22371.059646279671</v>
      </c>
      <c r="K795" s="864">
        <v>0</v>
      </c>
      <c r="L795" s="18" t="s">
        <v>4623</v>
      </c>
      <c r="M795" s="442"/>
      <c r="N795" s="433"/>
      <c r="P795" s="527"/>
      <c r="T795" s="443"/>
      <c r="U795" s="440"/>
      <c r="V795" s="440"/>
      <c r="W795" s="440"/>
      <c r="X795" s="442"/>
    </row>
    <row r="796" spans="1:24" x14ac:dyDescent="0.25">
      <c r="A796" s="862">
        <v>1514</v>
      </c>
      <c r="B796" s="863" t="s">
        <v>7187</v>
      </c>
      <c r="C796" s="862">
        <v>1514</v>
      </c>
      <c r="D796" s="165" t="s">
        <v>2148</v>
      </c>
      <c r="E796" s="165" t="s">
        <v>7188</v>
      </c>
      <c r="F796" s="163">
        <v>1</v>
      </c>
      <c r="G796" s="864"/>
      <c r="H796" s="864">
        <v>0</v>
      </c>
      <c r="I796" s="864">
        <v>25391.516055680993</v>
      </c>
      <c r="J796" s="864">
        <v>26308.127207106369</v>
      </c>
      <c r="K796" s="864">
        <v>27272.966490543364</v>
      </c>
      <c r="L796" s="18" t="s">
        <v>3889</v>
      </c>
      <c r="M796" s="442"/>
      <c r="N796" s="433"/>
      <c r="P796" s="527"/>
      <c r="T796" s="443"/>
      <c r="U796" s="440"/>
      <c r="V796" s="440"/>
      <c r="W796" s="440"/>
      <c r="X796" s="442"/>
    </row>
    <row r="797" spans="1:24" x14ac:dyDescent="0.25">
      <c r="A797" s="862">
        <v>1515</v>
      </c>
      <c r="B797" s="863" t="s">
        <v>7189</v>
      </c>
      <c r="C797" s="862">
        <v>1515</v>
      </c>
      <c r="D797" s="165" t="s">
        <v>2148</v>
      </c>
      <c r="E797" s="165" t="s">
        <v>7190</v>
      </c>
      <c r="F797" s="163">
        <v>1</v>
      </c>
      <c r="G797" s="864"/>
      <c r="H797" s="864">
        <v>0</v>
      </c>
      <c r="I797" s="864">
        <v>26001.673933137361</v>
      </c>
      <c r="J797" s="864">
        <v>26942.491364970097</v>
      </c>
      <c r="K797" s="864">
        <v>27932.827930436175</v>
      </c>
      <c r="L797" s="18" t="s">
        <v>3890</v>
      </c>
      <c r="M797" s="442"/>
      <c r="N797" s="433"/>
      <c r="P797" s="527"/>
      <c r="T797" s="443"/>
      <c r="U797" s="440"/>
      <c r="V797" s="440"/>
      <c r="W797" s="440"/>
      <c r="X797" s="442"/>
    </row>
    <row r="798" spans="1:24" x14ac:dyDescent="0.25">
      <c r="A798" s="862">
        <v>1516</v>
      </c>
      <c r="B798" s="863" t="s">
        <v>7191</v>
      </c>
      <c r="C798" s="862">
        <v>1516</v>
      </c>
      <c r="D798" s="165" t="s">
        <v>2148</v>
      </c>
      <c r="E798" s="165" t="s">
        <v>7192</v>
      </c>
      <c r="F798" s="163">
        <v>1</v>
      </c>
      <c r="G798" s="864"/>
      <c r="H798" s="864">
        <v>0</v>
      </c>
      <c r="I798" s="864">
        <v>27058.672422671705</v>
      </c>
      <c r="J798" s="864">
        <v>0</v>
      </c>
      <c r="K798" s="864">
        <v>0</v>
      </c>
      <c r="L798" s="18" t="s">
        <v>10890</v>
      </c>
      <c r="M798" s="442"/>
      <c r="N798" s="433"/>
      <c r="P798" s="527"/>
      <c r="T798" s="443"/>
      <c r="U798" s="440"/>
      <c r="V798" s="440"/>
      <c r="W798" s="440"/>
      <c r="X798" s="442"/>
    </row>
    <row r="799" spans="1:24" x14ac:dyDescent="0.25">
      <c r="A799" s="862">
        <v>1517</v>
      </c>
      <c r="B799" s="863" t="s">
        <v>7193</v>
      </c>
      <c r="C799" s="862">
        <v>1517</v>
      </c>
      <c r="D799" s="165" t="s">
        <v>2148</v>
      </c>
      <c r="E799" s="165" t="s">
        <v>7194</v>
      </c>
      <c r="F799" s="163">
        <v>1</v>
      </c>
      <c r="G799" s="864"/>
      <c r="H799" s="864">
        <v>0</v>
      </c>
      <c r="I799" s="864">
        <v>0</v>
      </c>
      <c r="J799" s="864">
        <v>28492.858712591642</v>
      </c>
      <c r="K799" s="864">
        <v>29518.467286651306</v>
      </c>
      <c r="L799" s="18" t="s">
        <v>4624</v>
      </c>
      <c r="M799" s="442"/>
      <c r="N799" s="433"/>
      <c r="P799" s="527"/>
      <c r="T799" s="443"/>
      <c r="U799" s="440"/>
      <c r="V799" s="440"/>
      <c r="W799" s="440"/>
      <c r="X799" s="442"/>
    </row>
    <row r="800" spans="1:24" x14ac:dyDescent="0.25">
      <c r="A800" s="862">
        <v>1518</v>
      </c>
      <c r="B800" s="863" t="s">
        <v>7195</v>
      </c>
      <c r="C800" s="862">
        <v>1518</v>
      </c>
      <c r="D800" s="165" t="s">
        <v>2148</v>
      </c>
      <c r="E800" s="165" t="s">
        <v>7196</v>
      </c>
      <c r="F800" s="163">
        <v>1</v>
      </c>
      <c r="G800" s="864"/>
      <c r="H800" s="864">
        <v>0</v>
      </c>
      <c r="I800" s="864">
        <v>0</v>
      </c>
      <c r="J800" s="864">
        <v>25401.26647673309</v>
      </c>
      <c r="K800" s="864">
        <v>26305.889755956723</v>
      </c>
      <c r="L800" s="18" t="s">
        <v>10891</v>
      </c>
      <c r="M800" s="442"/>
      <c r="N800" s="433"/>
      <c r="P800" s="527"/>
      <c r="T800" s="443"/>
      <c r="U800" s="440"/>
      <c r="V800" s="440"/>
      <c r="W800" s="440"/>
      <c r="X800" s="442"/>
    </row>
    <row r="801" spans="1:24" x14ac:dyDescent="0.25">
      <c r="A801" s="862">
        <v>1519</v>
      </c>
      <c r="B801" s="863" t="s">
        <v>7197</v>
      </c>
      <c r="C801" s="862">
        <v>1519</v>
      </c>
      <c r="D801" s="165" t="s">
        <v>2148</v>
      </c>
      <c r="E801" s="165" t="s">
        <v>7198</v>
      </c>
      <c r="F801" s="163">
        <v>1</v>
      </c>
      <c r="G801" s="864"/>
      <c r="H801" s="864">
        <v>17658.119295309916</v>
      </c>
      <c r="I801" s="864">
        <v>0</v>
      </c>
      <c r="J801" s="864">
        <v>0</v>
      </c>
      <c r="K801" s="864">
        <v>0</v>
      </c>
      <c r="L801" s="18" t="s">
        <v>1125</v>
      </c>
      <c r="M801" s="442"/>
      <c r="N801" s="433"/>
      <c r="P801" s="527"/>
      <c r="T801" s="443"/>
      <c r="U801" s="440"/>
      <c r="V801" s="440"/>
      <c r="W801" s="440"/>
      <c r="X801" s="442"/>
    </row>
    <row r="802" spans="1:24" x14ac:dyDescent="0.25">
      <c r="A802" s="862">
        <v>1520</v>
      </c>
      <c r="B802" s="863" t="s">
        <v>7199</v>
      </c>
      <c r="C802" s="862">
        <v>1520</v>
      </c>
      <c r="D802" s="165" t="s">
        <v>2148</v>
      </c>
      <c r="E802" s="165" t="s">
        <v>7200</v>
      </c>
      <c r="F802" s="163">
        <v>1</v>
      </c>
      <c r="G802" s="864"/>
      <c r="H802" s="864">
        <v>17282.031475216801</v>
      </c>
      <c r="I802" s="864">
        <v>17884.329838952701</v>
      </c>
      <c r="J802" s="864">
        <v>18518.349956822436</v>
      </c>
      <c r="K802" s="864">
        <v>19185.705580853166</v>
      </c>
      <c r="L802" s="18" t="s">
        <v>1126</v>
      </c>
      <c r="M802" s="442"/>
      <c r="N802" s="433"/>
      <c r="P802" s="527"/>
      <c r="T802" s="443"/>
      <c r="U802" s="440"/>
      <c r="V802" s="440"/>
      <c r="W802" s="440"/>
      <c r="X802" s="442"/>
    </row>
    <row r="803" spans="1:24" x14ac:dyDescent="0.25">
      <c r="A803" s="862">
        <v>1521</v>
      </c>
      <c r="B803" s="863" t="s">
        <v>7201</v>
      </c>
      <c r="C803" s="862">
        <v>1521</v>
      </c>
      <c r="D803" s="165" t="s">
        <v>2148</v>
      </c>
      <c r="E803" s="165" t="s">
        <v>7202</v>
      </c>
      <c r="F803" s="163">
        <v>1</v>
      </c>
      <c r="G803" s="864"/>
      <c r="H803" s="864">
        <v>21045.925478541569</v>
      </c>
      <c r="I803" s="864">
        <v>0</v>
      </c>
      <c r="J803" s="864">
        <v>0</v>
      </c>
      <c r="K803" s="864">
        <v>0</v>
      </c>
      <c r="L803" s="18" t="s">
        <v>1127</v>
      </c>
      <c r="M803" s="442"/>
      <c r="N803" s="433"/>
      <c r="P803" s="527"/>
      <c r="T803" s="443"/>
      <c r="U803" s="440"/>
      <c r="V803" s="440"/>
      <c r="W803" s="440"/>
      <c r="X803" s="442"/>
    </row>
    <row r="804" spans="1:24" x14ac:dyDescent="0.25">
      <c r="A804" s="862">
        <v>1522</v>
      </c>
      <c r="B804" s="863" t="s">
        <v>7203</v>
      </c>
      <c r="C804" s="862">
        <v>1522</v>
      </c>
      <c r="D804" s="165" t="s">
        <v>2148</v>
      </c>
      <c r="E804" s="165" t="s">
        <v>7204</v>
      </c>
      <c r="F804" s="163">
        <v>1</v>
      </c>
      <c r="G804" s="864"/>
      <c r="H804" s="864">
        <v>32524.142446197544</v>
      </c>
      <c r="I804" s="864">
        <v>33825.185739448709</v>
      </c>
      <c r="J804" s="864">
        <v>35194.746287540431</v>
      </c>
      <c r="K804" s="864">
        <v>36636.38071133467</v>
      </c>
      <c r="L804" s="18" t="s">
        <v>1128</v>
      </c>
      <c r="M804" s="442"/>
      <c r="N804" s="433"/>
      <c r="P804" s="527"/>
      <c r="T804" s="443"/>
      <c r="U804" s="440"/>
      <c r="V804" s="440"/>
      <c r="W804" s="440"/>
      <c r="X804" s="442"/>
    </row>
    <row r="805" spans="1:24" x14ac:dyDescent="0.25">
      <c r="A805" s="862">
        <v>1523</v>
      </c>
      <c r="B805" s="863" t="s">
        <v>7205</v>
      </c>
      <c r="C805" s="862">
        <v>1523</v>
      </c>
      <c r="D805" s="165" t="s">
        <v>2148</v>
      </c>
      <c r="E805" s="165" t="s">
        <v>7206</v>
      </c>
      <c r="F805" s="163">
        <v>1</v>
      </c>
      <c r="G805" s="864"/>
      <c r="H805" s="864">
        <v>32738.786887162845</v>
      </c>
      <c r="I805" s="864">
        <v>34049.087855304671</v>
      </c>
      <c r="J805" s="864">
        <v>35428.376807518805</v>
      </c>
      <c r="K805" s="864">
        <v>36880.262667915151</v>
      </c>
      <c r="L805" s="18" t="s">
        <v>1129</v>
      </c>
      <c r="M805" s="442"/>
      <c r="N805" s="433"/>
      <c r="P805" s="527"/>
      <c r="T805" s="443"/>
      <c r="U805" s="440"/>
      <c r="V805" s="440"/>
      <c r="W805" s="440"/>
      <c r="X805" s="442"/>
    </row>
    <row r="806" spans="1:24" x14ac:dyDescent="0.25">
      <c r="A806" s="862">
        <v>1524</v>
      </c>
      <c r="B806" s="863" t="s">
        <v>7207</v>
      </c>
      <c r="C806" s="862">
        <v>1524</v>
      </c>
      <c r="D806" s="165" t="s">
        <v>2148</v>
      </c>
      <c r="E806" s="165" t="s">
        <v>7208</v>
      </c>
      <c r="F806" s="163">
        <v>1</v>
      </c>
      <c r="G806" s="864"/>
      <c r="H806" s="864">
        <v>0</v>
      </c>
      <c r="I806" s="864">
        <v>0</v>
      </c>
      <c r="J806" s="864">
        <v>22094.415518753587</v>
      </c>
      <c r="K806" s="864">
        <v>22921.507700200738</v>
      </c>
      <c r="L806" s="18" t="s">
        <v>4625</v>
      </c>
      <c r="M806" s="442"/>
      <c r="N806" s="433"/>
      <c r="P806" s="527"/>
      <c r="T806" s="443"/>
      <c r="U806" s="440"/>
      <c r="V806" s="440"/>
      <c r="W806" s="440"/>
      <c r="X806" s="442"/>
    </row>
    <row r="807" spans="1:24" x14ac:dyDescent="0.25">
      <c r="A807" s="862">
        <v>1525</v>
      </c>
      <c r="B807" s="863" t="s">
        <v>7209</v>
      </c>
      <c r="C807" s="862">
        <v>1525</v>
      </c>
      <c r="D807" s="165" t="s">
        <v>2148</v>
      </c>
      <c r="E807" s="165" t="s">
        <v>7210</v>
      </c>
      <c r="F807" s="163">
        <v>1</v>
      </c>
      <c r="G807" s="864"/>
      <c r="H807" s="864">
        <v>0</v>
      </c>
      <c r="I807" s="864">
        <v>0</v>
      </c>
      <c r="J807" s="864">
        <v>0</v>
      </c>
      <c r="K807" s="864">
        <v>48614.133689996044</v>
      </c>
      <c r="L807" s="18" t="s">
        <v>10892</v>
      </c>
      <c r="M807" s="442"/>
      <c r="N807" s="433"/>
      <c r="P807" s="527"/>
      <c r="T807" s="443"/>
      <c r="U807" s="440"/>
      <c r="V807" s="440"/>
      <c r="W807" s="440"/>
      <c r="X807" s="442"/>
    </row>
    <row r="808" spans="1:24" x14ac:dyDescent="0.25">
      <c r="A808" s="862">
        <v>1526</v>
      </c>
      <c r="B808" s="863" t="s">
        <v>7211</v>
      </c>
      <c r="C808" s="862">
        <v>1526</v>
      </c>
      <c r="D808" s="165" t="s">
        <v>2148</v>
      </c>
      <c r="E808" s="165" t="s">
        <v>7212</v>
      </c>
      <c r="F808" s="163">
        <v>1</v>
      </c>
      <c r="G808" s="864"/>
      <c r="H808" s="864">
        <v>37698.164447071795</v>
      </c>
      <c r="I808" s="864">
        <v>39238.181280297409</v>
      </c>
      <c r="J808" s="864">
        <v>40859.268147876362</v>
      </c>
      <c r="K808" s="864">
        <v>42565.661612894219</v>
      </c>
      <c r="L808" s="18" t="s">
        <v>1130</v>
      </c>
      <c r="M808" s="442"/>
      <c r="N808" s="433"/>
      <c r="P808" s="527"/>
      <c r="T808" s="443"/>
      <c r="U808" s="440"/>
      <c r="V808" s="440"/>
      <c r="W808" s="440"/>
      <c r="X808" s="442"/>
    </row>
    <row r="809" spans="1:24" x14ac:dyDescent="0.25">
      <c r="A809" s="862">
        <v>1527</v>
      </c>
      <c r="B809" s="863" t="s">
        <v>7213</v>
      </c>
      <c r="C809" s="862">
        <v>1527</v>
      </c>
      <c r="D809" s="165" t="s">
        <v>2148</v>
      </c>
      <c r="E809" s="165" t="s">
        <v>7214</v>
      </c>
      <c r="F809" s="163">
        <v>1</v>
      </c>
      <c r="G809" s="864"/>
      <c r="H809" s="864">
        <v>0</v>
      </c>
      <c r="I809" s="864">
        <v>0</v>
      </c>
      <c r="J809" s="864">
        <v>0</v>
      </c>
      <c r="K809" s="864">
        <v>50469.87816406419</v>
      </c>
      <c r="L809" s="18" t="s">
        <v>10893</v>
      </c>
      <c r="M809" s="442"/>
      <c r="N809" s="433"/>
      <c r="P809" s="527"/>
      <c r="T809" s="443"/>
      <c r="U809" s="440"/>
      <c r="V809" s="440"/>
      <c r="W809" s="440"/>
      <c r="X809" s="442"/>
    </row>
    <row r="810" spans="1:24" x14ac:dyDescent="0.25">
      <c r="A810" s="862">
        <v>1528</v>
      </c>
      <c r="B810" s="863" t="s">
        <v>7215</v>
      </c>
      <c r="C810" s="862">
        <v>1528</v>
      </c>
      <c r="D810" s="165" t="s">
        <v>2148</v>
      </c>
      <c r="E810" s="165" t="s">
        <v>7216</v>
      </c>
      <c r="F810" s="163">
        <v>1</v>
      </c>
      <c r="G810" s="864"/>
      <c r="H810" s="864">
        <v>0</v>
      </c>
      <c r="I810" s="864">
        <v>0</v>
      </c>
      <c r="J810" s="864">
        <v>0</v>
      </c>
      <c r="K810" s="864">
        <v>42751.399555360418</v>
      </c>
      <c r="L810" s="18" t="s">
        <v>10894</v>
      </c>
      <c r="M810" s="442"/>
      <c r="N810" s="433"/>
      <c r="P810" s="527"/>
      <c r="T810" s="443"/>
      <c r="U810" s="440"/>
      <c r="V810" s="440"/>
      <c r="W810" s="440"/>
      <c r="X810" s="442"/>
    </row>
    <row r="811" spans="1:24" x14ac:dyDescent="0.25">
      <c r="A811" s="862">
        <v>1529</v>
      </c>
      <c r="B811" s="863" t="s">
        <v>7217</v>
      </c>
      <c r="C811" s="862">
        <v>1529</v>
      </c>
      <c r="D811" s="165" t="s">
        <v>2148</v>
      </c>
      <c r="E811" s="165" t="s">
        <v>7218</v>
      </c>
      <c r="F811" s="163">
        <v>1</v>
      </c>
      <c r="G811" s="864"/>
      <c r="H811" s="864">
        <v>40117.823707229116</v>
      </c>
      <c r="I811" s="864">
        <v>41683.503467910647</v>
      </c>
      <c r="J811" s="864">
        <v>43331.57501550435</v>
      </c>
      <c r="K811" s="864">
        <v>45066.3772420514</v>
      </c>
      <c r="L811" s="18" t="s">
        <v>1131</v>
      </c>
      <c r="M811" s="442"/>
      <c r="N811" s="433"/>
      <c r="P811" s="527"/>
      <c r="T811" s="443"/>
      <c r="U811" s="440"/>
      <c r="V811" s="440"/>
      <c r="W811" s="440"/>
      <c r="X811" s="442"/>
    </row>
    <row r="812" spans="1:24" x14ac:dyDescent="0.25">
      <c r="A812" s="862">
        <v>1530</v>
      </c>
      <c r="B812" s="863" t="s">
        <v>7219</v>
      </c>
      <c r="C812" s="862">
        <v>1530</v>
      </c>
      <c r="D812" s="165" t="s">
        <v>2148</v>
      </c>
      <c r="E812" s="165" t="s">
        <v>7220</v>
      </c>
      <c r="F812" s="163">
        <v>1</v>
      </c>
      <c r="G812" s="864"/>
      <c r="H812" s="864">
        <v>37389.465486494148</v>
      </c>
      <c r="I812" s="864">
        <v>38841.343654835036</v>
      </c>
      <c r="J812" s="864">
        <v>40369.624052596482</v>
      </c>
      <c r="K812" s="864">
        <v>41978.362600599605</v>
      </c>
      <c r="L812" s="18" t="s">
        <v>1132</v>
      </c>
      <c r="M812" s="442"/>
      <c r="N812" s="433"/>
      <c r="P812" s="527"/>
      <c r="T812" s="443"/>
      <c r="U812" s="440"/>
      <c r="V812" s="440"/>
      <c r="W812" s="440"/>
      <c r="X812" s="442"/>
    </row>
    <row r="813" spans="1:24" x14ac:dyDescent="0.25">
      <c r="A813" s="862">
        <v>1531</v>
      </c>
      <c r="B813" s="863" t="s">
        <v>7221</v>
      </c>
      <c r="C813" s="862">
        <v>1531</v>
      </c>
      <c r="D813" s="165" t="s">
        <v>2148</v>
      </c>
      <c r="E813" s="165" t="s">
        <v>7222</v>
      </c>
      <c r="F813" s="163">
        <v>1</v>
      </c>
      <c r="G813" s="864"/>
      <c r="H813" s="864">
        <v>0</v>
      </c>
      <c r="I813" s="864">
        <v>0</v>
      </c>
      <c r="J813" s="864">
        <v>0</v>
      </c>
      <c r="K813" s="864">
        <v>39819.971570467897</v>
      </c>
      <c r="L813" s="18" t="s">
        <v>10895</v>
      </c>
      <c r="M813" s="442"/>
      <c r="N813" s="433"/>
      <c r="P813" s="527"/>
      <c r="T813" s="443"/>
      <c r="U813" s="440"/>
      <c r="V813" s="440"/>
      <c r="W813" s="440"/>
      <c r="X813" s="442"/>
    </row>
    <row r="814" spans="1:24" x14ac:dyDescent="0.25">
      <c r="A814" s="862">
        <v>1532</v>
      </c>
      <c r="B814" s="863" t="s">
        <v>7223</v>
      </c>
      <c r="C814" s="862">
        <v>1532</v>
      </c>
      <c r="D814" s="165" t="s">
        <v>2148</v>
      </c>
      <c r="E814" s="165" t="s">
        <v>7224</v>
      </c>
      <c r="F814" s="163">
        <v>2</v>
      </c>
      <c r="G814" s="864"/>
      <c r="H814" s="864">
        <v>28565.299864735523</v>
      </c>
      <c r="I814" s="864">
        <v>29589.324372755407</v>
      </c>
      <c r="J814" s="864">
        <v>30667.263968041618</v>
      </c>
      <c r="K814" s="864">
        <v>31801.925313407341</v>
      </c>
      <c r="L814" s="18" t="s">
        <v>1133</v>
      </c>
      <c r="M814" s="442"/>
      <c r="N814" s="433"/>
      <c r="P814" s="527"/>
      <c r="T814" s="443"/>
      <c r="U814" s="440"/>
      <c r="V814" s="440"/>
      <c r="W814" s="440"/>
      <c r="X814" s="442"/>
    </row>
    <row r="815" spans="1:24" x14ac:dyDescent="0.25">
      <c r="A815" s="862">
        <v>1533</v>
      </c>
      <c r="B815" s="863" t="s">
        <v>7225</v>
      </c>
      <c r="C815" s="862">
        <v>1533</v>
      </c>
      <c r="D815" s="165" t="s">
        <v>2148</v>
      </c>
      <c r="E815" s="165" t="s">
        <v>7226</v>
      </c>
      <c r="F815" s="163">
        <v>1</v>
      </c>
      <c r="G815" s="864"/>
      <c r="H815" s="864">
        <v>28798.750701920748</v>
      </c>
      <c r="I815" s="864">
        <v>29893.849323615588</v>
      </c>
      <c r="J815" s="864">
        <v>31046.626912335942</v>
      </c>
      <c r="K815" s="864">
        <v>32260.054665892625</v>
      </c>
      <c r="L815" s="18" t="s">
        <v>1134</v>
      </c>
      <c r="M815" s="442"/>
      <c r="N815" s="433"/>
      <c r="P815" s="527"/>
      <c r="T815" s="443"/>
      <c r="U815" s="440"/>
      <c r="V815" s="440"/>
      <c r="W815" s="440"/>
      <c r="X815" s="442"/>
    </row>
    <row r="816" spans="1:24" x14ac:dyDescent="0.25">
      <c r="A816" s="862">
        <v>1534</v>
      </c>
      <c r="B816" s="863" t="s">
        <v>7227</v>
      </c>
      <c r="C816" s="862">
        <v>1534</v>
      </c>
      <c r="D816" s="165" t="s">
        <v>2148</v>
      </c>
      <c r="E816" s="165" t="s">
        <v>7228</v>
      </c>
      <c r="F816" s="163">
        <v>1</v>
      </c>
      <c r="G816" s="864"/>
      <c r="H816" s="864">
        <v>32317.992974309644</v>
      </c>
      <c r="I816" s="864">
        <v>33558.916098083741</v>
      </c>
      <c r="J816" s="864">
        <v>34865.15841182541</v>
      </c>
      <c r="K816" s="864">
        <v>36240.115570175592</v>
      </c>
      <c r="L816" s="18" t="s">
        <v>1135</v>
      </c>
      <c r="M816" s="442"/>
      <c r="N816" s="433"/>
      <c r="P816" s="527"/>
      <c r="T816" s="443"/>
      <c r="U816" s="440"/>
      <c r="V816" s="440"/>
      <c r="W816" s="440"/>
      <c r="X816" s="442"/>
    </row>
    <row r="817" spans="1:24" x14ac:dyDescent="0.25">
      <c r="A817" s="862">
        <v>1535</v>
      </c>
      <c r="B817" s="863" t="s">
        <v>7229</v>
      </c>
      <c r="C817" s="862">
        <v>1535</v>
      </c>
      <c r="D817" s="165" t="s">
        <v>2148</v>
      </c>
      <c r="E817" s="165" t="s">
        <v>7230</v>
      </c>
      <c r="F817" s="163">
        <v>1</v>
      </c>
      <c r="G817" s="864"/>
      <c r="H817" s="864">
        <v>29931.71584038049</v>
      </c>
      <c r="I817" s="864">
        <v>31074.447950788137</v>
      </c>
      <c r="J817" s="864">
        <v>32277.311445461972</v>
      </c>
      <c r="K817" s="864">
        <v>33543.513331562877</v>
      </c>
      <c r="L817" s="18" t="s">
        <v>1136</v>
      </c>
      <c r="M817" s="442"/>
      <c r="N817" s="433"/>
      <c r="P817" s="527"/>
      <c r="T817" s="443"/>
      <c r="U817" s="440"/>
      <c r="V817" s="440"/>
      <c r="W817" s="440"/>
      <c r="X817" s="442"/>
    </row>
    <row r="818" spans="1:24" x14ac:dyDescent="0.25">
      <c r="A818" s="862">
        <v>1536</v>
      </c>
      <c r="B818" s="863" t="s">
        <v>7231</v>
      </c>
      <c r="C818" s="862">
        <v>1536</v>
      </c>
      <c r="D818" s="165" t="s">
        <v>2148</v>
      </c>
      <c r="E818" s="165" t="s">
        <v>7232</v>
      </c>
      <c r="F818" s="163">
        <v>2</v>
      </c>
      <c r="G818" s="864"/>
      <c r="H818" s="864">
        <v>17807.542037311094</v>
      </c>
      <c r="I818" s="864">
        <v>18423.565145196386</v>
      </c>
      <c r="J818" s="864">
        <v>19072.00099156241</v>
      </c>
      <c r="K818" s="864">
        <v>19754.569805546424</v>
      </c>
      <c r="L818" s="18" t="s">
        <v>1137</v>
      </c>
      <c r="M818" s="442"/>
      <c r="N818" s="433"/>
      <c r="P818" s="527"/>
      <c r="T818" s="443"/>
      <c r="U818" s="440"/>
      <c r="V818" s="440"/>
      <c r="W818" s="440"/>
      <c r="X818" s="442"/>
    </row>
    <row r="819" spans="1:24" x14ac:dyDescent="0.25">
      <c r="A819" s="862">
        <v>1537</v>
      </c>
      <c r="B819" s="863" t="s">
        <v>7233</v>
      </c>
      <c r="C819" s="862">
        <v>1537</v>
      </c>
      <c r="D819" s="165" t="s">
        <v>2148</v>
      </c>
      <c r="E819" s="165" t="s">
        <v>7234</v>
      </c>
      <c r="F819" s="163">
        <v>2</v>
      </c>
      <c r="G819" s="864"/>
      <c r="H819" s="864">
        <v>16595.106610742201</v>
      </c>
      <c r="I819" s="864">
        <v>17183.059588214754</v>
      </c>
      <c r="J819" s="864">
        <v>17801.948363149855</v>
      </c>
      <c r="K819" s="864">
        <v>18453.414779546914</v>
      </c>
      <c r="L819" s="18" t="s">
        <v>1138</v>
      </c>
      <c r="M819" s="442"/>
      <c r="N819" s="433"/>
      <c r="P819" s="527"/>
      <c r="T819" s="443"/>
      <c r="U819" s="440"/>
      <c r="V819" s="440"/>
      <c r="W819" s="440"/>
      <c r="X819" s="442"/>
    </row>
    <row r="820" spans="1:24" x14ac:dyDescent="0.25">
      <c r="A820" s="862">
        <v>1538</v>
      </c>
      <c r="B820" s="863" t="s">
        <v>7235</v>
      </c>
      <c r="C820" s="862">
        <v>1538</v>
      </c>
      <c r="D820" s="165" t="s">
        <v>2148</v>
      </c>
      <c r="E820" s="165" t="s">
        <v>7236</v>
      </c>
      <c r="F820" s="163">
        <v>2</v>
      </c>
      <c r="G820" s="864"/>
      <c r="H820" s="864">
        <v>17807.542037311094</v>
      </c>
      <c r="I820" s="864">
        <v>18423.565145196386</v>
      </c>
      <c r="J820" s="864">
        <v>19072.00099156241</v>
      </c>
      <c r="K820" s="864">
        <v>19754.569805546424</v>
      </c>
      <c r="L820" s="18" t="s">
        <v>1139</v>
      </c>
      <c r="M820" s="442"/>
      <c r="N820" s="433"/>
      <c r="P820" s="527"/>
      <c r="T820" s="443"/>
      <c r="U820" s="440"/>
      <c r="V820" s="440"/>
      <c r="W820" s="440"/>
      <c r="X820" s="442"/>
    </row>
    <row r="821" spans="1:24" x14ac:dyDescent="0.25">
      <c r="A821" s="862">
        <v>1539</v>
      </c>
      <c r="B821" s="863" t="s">
        <v>7237</v>
      </c>
      <c r="C821" s="862">
        <v>1539</v>
      </c>
      <c r="D821" s="165" t="s">
        <v>2148</v>
      </c>
      <c r="E821" s="165" t="s">
        <v>7238</v>
      </c>
      <c r="F821" s="163">
        <v>2</v>
      </c>
      <c r="G821" s="864"/>
      <c r="H821" s="864">
        <v>13852.402212719215</v>
      </c>
      <c r="I821" s="864">
        <v>14292.237641600281</v>
      </c>
      <c r="J821" s="864">
        <v>14755.205625458515</v>
      </c>
      <c r="K821" s="864">
        <v>15242.573701552948</v>
      </c>
      <c r="L821" s="18" t="s">
        <v>1140</v>
      </c>
      <c r="M821" s="442"/>
      <c r="N821" s="433"/>
      <c r="P821" s="527"/>
      <c r="T821" s="443"/>
      <c r="U821" s="440"/>
      <c r="V821" s="440"/>
      <c r="W821" s="440"/>
      <c r="X821" s="442"/>
    </row>
    <row r="822" spans="1:24" x14ac:dyDescent="0.25">
      <c r="A822" s="862">
        <v>1540</v>
      </c>
      <c r="B822" s="863" t="s">
        <v>7239</v>
      </c>
      <c r="C822" s="862">
        <v>1540</v>
      </c>
      <c r="D822" s="165" t="s">
        <v>2148</v>
      </c>
      <c r="E822" s="165" t="s">
        <v>7240</v>
      </c>
      <c r="F822" s="163">
        <v>2</v>
      </c>
      <c r="G822" s="864"/>
      <c r="H822" s="864">
        <v>13852.402212719215</v>
      </c>
      <c r="I822" s="864">
        <v>14292.237641600281</v>
      </c>
      <c r="J822" s="864">
        <v>14755.205625458515</v>
      </c>
      <c r="K822" s="864">
        <v>15242.573701552948</v>
      </c>
      <c r="L822" s="18" t="s">
        <v>1141</v>
      </c>
      <c r="M822" s="442"/>
      <c r="N822" s="433"/>
      <c r="P822" s="527"/>
      <c r="T822" s="443"/>
      <c r="U822" s="440"/>
      <c r="V822" s="440"/>
      <c r="W822" s="440"/>
      <c r="X822" s="442"/>
    </row>
    <row r="823" spans="1:24" x14ac:dyDescent="0.25">
      <c r="A823" s="862">
        <v>1541</v>
      </c>
      <c r="B823" s="863" t="s">
        <v>7241</v>
      </c>
      <c r="C823" s="862">
        <v>1541</v>
      </c>
      <c r="D823" s="165" t="s">
        <v>2148</v>
      </c>
      <c r="E823" s="165" t="s">
        <v>7242</v>
      </c>
      <c r="F823" s="163">
        <v>2</v>
      </c>
      <c r="G823" s="864"/>
      <c r="H823" s="864">
        <v>0</v>
      </c>
      <c r="I823" s="864">
        <v>0</v>
      </c>
      <c r="J823" s="864">
        <v>31885.262410397798</v>
      </c>
      <c r="K823" s="864">
        <v>0</v>
      </c>
      <c r="L823" s="18" t="s">
        <v>4626</v>
      </c>
      <c r="M823" s="442"/>
      <c r="N823" s="433"/>
      <c r="P823" s="527"/>
      <c r="T823" s="443"/>
      <c r="U823" s="440"/>
      <c r="V823" s="440"/>
      <c r="W823" s="440"/>
      <c r="X823" s="442"/>
    </row>
    <row r="824" spans="1:24" x14ac:dyDescent="0.25">
      <c r="A824" s="862">
        <v>1542</v>
      </c>
      <c r="B824" s="863" t="s">
        <v>7243</v>
      </c>
      <c r="C824" s="862">
        <v>1542</v>
      </c>
      <c r="D824" s="165" t="s">
        <v>2148</v>
      </c>
      <c r="E824" s="165" t="s">
        <v>7244</v>
      </c>
      <c r="F824" s="163">
        <v>2</v>
      </c>
      <c r="G824" s="864"/>
      <c r="H824" s="864">
        <v>17256.875730537198</v>
      </c>
      <c r="I824" s="864">
        <v>17843.564404713667</v>
      </c>
      <c r="J824" s="864">
        <v>18461.126664984913</v>
      </c>
      <c r="K824" s="864">
        <v>19111.192202112547</v>
      </c>
      <c r="L824" s="18" t="s">
        <v>1142</v>
      </c>
      <c r="M824" s="442"/>
      <c r="N824" s="433"/>
      <c r="P824" s="527"/>
      <c r="T824" s="443"/>
      <c r="U824" s="440"/>
      <c r="V824" s="440"/>
      <c r="W824" s="440"/>
      <c r="X824" s="442"/>
    </row>
    <row r="825" spans="1:24" x14ac:dyDescent="0.25">
      <c r="A825" s="862">
        <v>1543</v>
      </c>
      <c r="B825" s="863" t="s">
        <v>7245</v>
      </c>
      <c r="C825" s="862">
        <v>1543</v>
      </c>
      <c r="D825" s="165" t="s">
        <v>2148</v>
      </c>
      <c r="E825" s="165" t="s">
        <v>7246</v>
      </c>
      <c r="F825" s="163">
        <v>2</v>
      </c>
      <c r="G825" s="864"/>
      <c r="H825" s="864">
        <v>18497.759935017664</v>
      </c>
      <c r="I825" s="864">
        <v>19131.935987219676</v>
      </c>
      <c r="J825" s="864">
        <v>19799.520700034522</v>
      </c>
      <c r="K825" s="864">
        <v>20502.234302599441</v>
      </c>
      <c r="L825" s="18" t="s">
        <v>1143</v>
      </c>
      <c r="M825" s="442"/>
      <c r="N825" s="433"/>
      <c r="P825" s="527"/>
      <c r="T825" s="443"/>
      <c r="U825" s="440"/>
      <c r="V825" s="440"/>
      <c r="W825" s="440"/>
      <c r="X825" s="442"/>
    </row>
    <row r="826" spans="1:24" x14ac:dyDescent="0.25">
      <c r="A826" s="862">
        <v>1544</v>
      </c>
      <c r="B826" s="863" t="s">
        <v>7247</v>
      </c>
      <c r="C826" s="862">
        <v>1544</v>
      </c>
      <c r="D826" s="165" t="s">
        <v>2148</v>
      </c>
      <c r="E826" s="165" t="s">
        <v>7248</v>
      </c>
      <c r="F826" s="163">
        <v>2</v>
      </c>
      <c r="G826" s="864"/>
      <c r="H826" s="864">
        <v>17991.364278777586</v>
      </c>
      <c r="I826" s="864">
        <v>18609.696115241812</v>
      </c>
      <c r="J826" s="864">
        <v>19260.62176693806</v>
      </c>
      <c r="K826" s="864">
        <v>19945.816193815768</v>
      </c>
      <c r="L826" s="18" t="s">
        <v>1144</v>
      </c>
      <c r="M826" s="442"/>
      <c r="N826" s="433"/>
      <c r="P826" s="527"/>
      <c r="T826" s="443"/>
      <c r="U826" s="440"/>
      <c r="V826" s="440"/>
      <c r="W826" s="440"/>
      <c r="X826" s="442"/>
    </row>
    <row r="827" spans="1:24" x14ac:dyDescent="0.25">
      <c r="A827" s="862">
        <v>1545</v>
      </c>
      <c r="B827" s="863" t="s">
        <v>7249</v>
      </c>
      <c r="C827" s="862">
        <v>1545</v>
      </c>
      <c r="D827" s="165" t="s">
        <v>2148</v>
      </c>
      <c r="E827" s="165" t="s">
        <v>7250</v>
      </c>
      <c r="F827" s="163">
        <v>2</v>
      </c>
      <c r="G827" s="864"/>
      <c r="H827" s="864">
        <v>19315.14312477062</v>
      </c>
      <c r="I827" s="864">
        <v>19949.364446160464</v>
      </c>
      <c r="J827" s="864">
        <v>20616.994428163125</v>
      </c>
      <c r="K827" s="864">
        <v>21319.753299915865</v>
      </c>
      <c r="L827" s="18" t="s">
        <v>1145</v>
      </c>
      <c r="M827" s="442"/>
      <c r="N827" s="433"/>
      <c r="P827" s="527"/>
      <c r="T827" s="443"/>
      <c r="U827" s="440"/>
      <c r="V827" s="440"/>
      <c r="W827" s="440"/>
      <c r="X827" s="442"/>
    </row>
    <row r="828" spans="1:24" x14ac:dyDescent="0.25">
      <c r="A828" s="862">
        <v>1546</v>
      </c>
      <c r="B828" s="863" t="s">
        <v>7251</v>
      </c>
      <c r="C828" s="862">
        <v>1546</v>
      </c>
      <c r="D828" s="165" t="s">
        <v>2148</v>
      </c>
      <c r="E828" s="165" t="s">
        <v>7252</v>
      </c>
      <c r="F828" s="163">
        <v>2</v>
      </c>
      <c r="G828" s="864"/>
      <c r="H828" s="864">
        <v>0</v>
      </c>
      <c r="I828" s="864">
        <v>21367.905898065248</v>
      </c>
      <c r="J828" s="864">
        <v>22106.24635144628</v>
      </c>
      <c r="K828" s="864">
        <v>22844.586804827319</v>
      </c>
      <c r="L828" s="18" t="s">
        <v>3891</v>
      </c>
      <c r="M828" s="442"/>
      <c r="N828" s="433"/>
      <c r="P828" s="527"/>
      <c r="T828" s="443"/>
      <c r="U828" s="440"/>
      <c r="V828" s="440"/>
      <c r="W828" s="440"/>
      <c r="X828" s="442"/>
    </row>
    <row r="829" spans="1:24" x14ac:dyDescent="0.25">
      <c r="A829" s="862">
        <v>1547</v>
      </c>
      <c r="B829" s="863" t="s">
        <v>7253</v>
      </c>
      <c r="C829" s="862">
        <v>1547</v>
      </c>
      <c r="D829" s="165" t="s">
        <v>2148</v>
      </c>
      <c r="E829" s="165" t="s">
        <v>7254</v>
      </c>
      <c r="F829" s="163">
        <v>2</v>
      </c>
      <c r="G829" s="864"/>
      <c r="H829" s="864">
        <v>0</v>
      </c>
      <c r="I829" s="864">
        <v>22871.936746757099</v>
      </c>
      <c r="J829" s="864">
        <v>23672.97502527196</v>
      </c>
      <c r="K829" s="864">
        <v>24474.013303786822</v>
      </c>
      <c r="L829" s="18" t="s">
        <v>3892</v>
      </c>
      <c r="M829" s="442"/>
      <c r="N829" s="433"/>
      <c r="P829" s="527"/>
      <c r="T829" s="443"/>
      <c r="U829" s="440"/>
      <c r="V829" s="440"/>
      <c r="W829" s="440"/>
      <c r="X829" s="442"/>
    </row>
    <row r="830" spans="1:24" x14ac:dyDescent="0.25">
      <c r="A830" s="862">
        <v>1548</v>
      </c>
      <c r="B830" s="863" t="s">
        <v>7255</v>
      </c>
      <c r="C830" s="862">
        <v>1548</v>
      </c>
      <c r="D830" s="165" t="s">
        <v>2148</v>
      </c>
      <c r="E830" s="165" t="s">
        <v>7256</v>
      </c>
      <c r="F830" s="163">
        <v>2</v>
      </c>
      <c r="G830" s="864"/>
      <c r="H830" s="864">
        <v>20973.981654397267</v>
      </c>
      <c r="I830" s="864">
        <v>21675.427719703162</v>
      </c>
      <c r="J830" s="864">
        <v>22413.768173084194</v>
      </c>
      <c r="K830" s="864">
        <v>23190.994858804555</v>
      </c>
      <c r="L830" s="18" t="s">
        <v>1146</v>
      </c>
      <c r="M830" s="442"/>
      <c r="N830" s="433"/>
      <c r="P830" s="527"/>
      <c r="T830" s="443"/>
      <c r="U830" s="440"/>
      <c r="V830" s="440"/>
      <c r="W830" s="440"/>
      <c r="X830" s="442"/>
    </row>
    <row r="831" spans="1:24" x14ac:dyDescent="0.25">
      <c r="A831" s="862">
        <v>1549</v>
      </c>
      <c r="B831" s="863" t="s">
        <v>7257</v>
      </c>
      <c r="C831" s="862">
        <v>1549</v>
      </c>
      <c r="D831" s="165" t="s">
        <v>2148</v>
      </c>
      <c r="E831" s="165" t="s">
        <v>7258</v>
      </c>
      <c r="F831" s="163">
        <v>2</v>
      </c>
      <c r="G831" s="864"/>
      <c r="H831" s="864">
        <v>0</v>
      </c>
      <c r="I831" s="864">
        <v>23224.86817334544</v>
      </c>
      <c r="J831" s="864">
        <v>24040.618937902535</v>
      </c>
      <c r="K831" s="864">
        <v>24856.369702459633</v>
      </c>
      <c r="L831" s="18" t="s">
        <v>3893</v>
      </c>
      <c r="M831" s="442"/>
      <c r="N831" s="433"/>
      <c r="P831" s="527"/>
      <c r="T831" s="443"/>
      <c r="U831" s="440"/>
      <c r="V831" s="440"/>
      <c r="W831" s="440"/>
      <c r="X831" s="442"/>
    </row>
    <row r="832" spans="1:24" x14ac:dyDescent="0.25">
      <c r="A832" s="862">
        <v>1550</v>
      </c>
      <c r="B832" s="863" t="s">
        <v>7259</v>
      </c>
      <c r="C832" s="862">
        <v>1550</v>
      </c>
      <c r="D832" s="165" t="s">
        <v>2148</v>
      </c>
      <c r="E832" s="165" t="s">
        <v>7260</v>
      </c>
      <c r="F832" s="163">
        <v>2</v>
      </c>
      <c r="G832" s="864"/>
      <c r="H832" s="864">
        <v>0</v>
      </c>
      <c r="I832" s="864">
        <v>24663.742450974827</v>
      </c>
      <c r="J832" s="864">
        <v>25539.474889396413</v>
      </c>
      <c r="K832" s="864">
        <v>26415.207327818007</v>
      </c>
      <c r="L832" s="18" t="s">
        <v>3894</v>
      </c>
      <c r="M832" s="442"/>
      <c r="N832" s="433"/>
      <c r="P832" s="527"/>
      <c r="T832" s="443"/>
      <c r="U832" s="440"/>
      <c r="V832" s="440"/>
      <c r="W832" s="440"/>
      <c r="X832" s="442"/>
    </row>
    <row r="833" spans="1:24" x14ac:dyDescent="0.25">
      <c r="A833" s="862">
        <v>1551</v>
      </c>
      <c r="B833" s="863" t="s">
        <v>7261</v>
      </c>
      <c r="C833" s="862">
        <v>1551</v>
      </c>
      <c r="D833" s="165" t="s">
        <v>2148</v>
      </c>
      <c r="E833" s="165" t="s">
        <v>7262</v>
      </c>
      <c r="F833" s="163">
        <v>2</v>
      </c>
      <c r="G833" s="864"/>
      <c r="H833" s="864">
        <v>27580.965472368731</v>
      </c>
      <c r="I833" s="864">
        <v>28546.647786993144</v>
      </c>
      <c r="J833" s="864">
        <v>29563.122130354135</v>
      </c>
      <c r="K833" s="864">
        <v>30633.104653721035</v>
      </c>
      <c r="L833" s="18" t="s">
        <v>1147</v>
      </c>
      <c r="M833" s="442"/>
      <c r="N833" s="433"/>
      <c r="P833" s="527"/>
      <c r="T833" s="443"/>
      <c r="U833" s="440"/>
      <c r="V833" s="440"/>
      <c r="W833" s="440"/>
      <c r="X833" s="442"/>
    </row>
    <row r="834" spans="1:24" x14ac:dyDescent="0.25">
      <c r="A834" s="862">
        <v>1552</v>
      </c>
      <c r="B834" s="863" t="s">
        <v>7263</v>
      </c>
      <c r="C834" s="862">
        <v>1552</v>
      </c>
      <c r="D834" s="165" t="s">
        <v>2148</v>
      </c>
      <c r="E834" s="165" t="s">
        <v>7264</v>
      </c>
      <c r="F834" s="163">
        <v>2</v>
      </c>
      <c r="G834" s="864"/>
      <c r="H834" s="864">
        <v>28616.268951852024</v>
      </c>
      <c r="I834" s="864">
        <v>29623.870534399855</v>
      </c>
      <c r="J834" s="864">
        <v>30684.482335887544</v>
      </c>
      <c r="K834" s="864">
        <v>31800.911045960082</v>
      </c>
      <c r="L834" s="18" t="s">
        <v>1148</v>
      </c>
      <c r="M834" s="442"/>
      <c r="N834" s="433"/>
      <c r="P834" s="527"/>
      <c r="T834" s="443"/>
      <c r="U834" s="440"/>
      <c r="V834" s="440"/>
      <c r="W834" s="440"/>
      <c r="X834" s="442"/>
    </row>
    <row r="835" spans="1:24" x14ac:dyDescent="0.25">
      <c r="A835" s="862">
        <v>1553</v>
      </c>
      <c r="B835" s="863" t="s">
        <v>7265</v>
      </c>
      <c r="C835" s="862">
        <v>1553</v>
      </c>
      <c r="D835" s="165" t="s">
        <v>2148</v>
      </c>
      <c r="E835" s="165" t="s">
        <v>7266</v>
      </c>
      <c r="F835" s="163">
        <v>2</v>
      </c>
      <c r="G835" s="864"/>
      <c r="H835" s="864">
        <v>18817.173695600024</v>
      </c>
      <c r="I835" s="864">
        <v>19458.683356229249</v>
      </c>
      <c r="J835" s="864">
        <v>20133.963830973877</v>
      </c>
      <c r="K835" s="864">
        <v>20844.780618158977</v>
      </c>
      <c r="L835" s="18" t="s">
        <v>1149</v>
      </c>
      <c r="M835" s="442"/>
      <c r="N835" s="433"/>
      <c r="P835" s="527"/>
      <c r="T835" s="443"/>
      <c r="U835" s="440"/>
      <c r="V835" s="440"/>
      <c r="W835" s="440"/>
      <c r="X835" s="442"/>
    </row>
    <row r="836" spans="1:24" x14ac:dyDescent="0.25">
      <c r="A836" s="862">
        <v>1554</v>
      </c>
      <c r="B836" s="863" t="s">
        <v>7267</v>
      </c>
      <c r="C836" s="862">
        <v>1554</v>
      </c>
      <c r="D836" s="165" t="s">
        <v>2148</v>
      </c>
      <c r="E836" s="165" t="s">
        <v>7268</v>
      </c>
      <c r="F836" s="163">
        <v>2</v>
      </c>
      <c r="G836" s="864"/>
      <c r="H836" s="864">
        <v>18316.406486639902</v>
      </c>
      <c r="I836" s="864">
        <v>18895.354129698768</v>
      </c>
      <c r="J836" s="864">
        <v>0</v>
      </c>
      <c r="K836" s="864">
        <v>0</v>
      </c>
      <c r="L836" s="18" t="s">
        <v>3895</v>
      </c>
      <c r="M836" s="442"/>
      <c r="N836" s="433"/>
      <c r="P836" s="527"/>
      <c r="T836" s="443"/>
      <c r="U836" s="440"/>
      <c r="V836" s="440"/>
      <c r="W836" s="440"/>
      <c r="X836" s="442"/>
    </row>
    <row r="837" spans="1:24" x14ac:dyDescent="0.25">
      <c r="A837" s="862">
        <v>1555</v>
      </c>
      <c r="B837" s="863" t="s">
        <v>7269</v>
      </c>
      <c r="C837" s="862">
        <v>1555</v>
      </c>
      <c r="D837" s="165" t="s">
        <v>2148</v>
      </c>
      <c r="E837" s="165" t="s">
        <v>7270</v>
      </c>
      <c r="F837" s="163">
        <v>2</v>
      </c>
      <c r="G837" s="864"/>
      <c r="H837" s="864">
        <v>21468.103769605204</v>
      </c>
      <c r="I837" s="864">
        <v>22189.513546740716</v>
      </c>
      <c r="J837" s="864">
        <v>22948.949441646921</v>
      </c>
      <c r="K837" s="864">
        <v>23748.35802940018</v>
      </c>
      <c r="L837" s="18" t="s">
        <v>1150</v>
      </c>
      <c r="M837" s="442"/>
      <c r="N837" s="433"/>
      <c r="P837" s="527"/>
      <c r="T837" s="443"/>
      <c r="U837" s="440"/>
      <c r="V837" s="440"/>
      <c r="W837" s="440"/>
      <c r="X837" s="442"/>
    </row>
    <row r="838" spans="1:24" x14ac:dyDescent="0.25">
      <c r="A838" s="862">
        <v>1556</v>
      </c>
      <c r="B838" s="863" t="s">
        <v>7271</v>
      </c>
      <c r="C838" s="862">
        <v>1556</v>
      </c>
      <c r="D838" s="165" t="s">
        <v>2148</v>
      </c>
      <c r="E838" s="165" t="s">
        <v>7272</v>
      </c>
      <c r="F838" s="163">
        <v>2</v>
      </c>
      <c r="G838" s="864"/>
      <c r="H838" s="864">
        <v>17807.542037311094</v>
      </c>
      <c r="I838" s="864">
        <v>18423.565145196386</v>
      </c>
      <c r="J838" s="864">
        <v>19072.00099156241</v>
      </c>
      <c r="K838" s="864">
        <v>19754.569805546424</v>
      </c>
      <c r="L838" s="18" t="s">
        <v>1151</v>
      </c>
      <c r="M838" s="442"/>
      <c r="N838" s="433"/>
      <c r="P838" s="527"/>
      <c r="T838" s="443"/>
      <c r="U838" s="440"/>
      <c r="V838" s="440"/>
      <c r="W838" s="440"/>
      <c r="X838" s="442"/>
    </row>
    <row r="839" spans="1:24" x14ac:dyDescent="0.25">
      <c r="A839" s="862">
        <v>1557</v>
      </c>
      <c r="B839" s="863" t="s">
        <v>7273</v>
      </c>
      <c r="C839" s="862">
        <v>1557</v>
      </c>
      <c r="D839" s="165" t="s">
        <v>2148</v>
      </c>
      <c r="E839" s="165" t="s">
        <v>7274</v>
      </c>
      <c r="F839" s="163">
        <v>2</v>
      </c>
      <c r="G839" s="864"/>
      <c r="H839" s="864">
        <v>17807.542037311094</v>
      </c>
      <c r="I839" s="864">
        <v>18423.565145196386</v>
      </c>
      <c r="J839" s="864">
        <v>19072.00099156241</v>
      </c>
      <c r="K839" s="864">
        <v>19754.569805546424</v>
      </c>
      <c r="L839" s="18" t="s">
        <v>1152</v>
      </c>
      <c r="M839" s="442"/>
      <c r="N839" s="433"/>
      <c r="P839" s="527"/>
      <c r="T839" s="443"/>
      <c r="U839" s="440"/>
      <c r="V839" s="440"/>
      <c r="W839" s="440"/>
      <c r="X839" s="442"/>
    </row>
    <row r="840" spans="1:24" x14ac:dyDescent="0.25">
      <c r="A840" s="862">
        <v>1558</v>
      </c>
      <c r="B840" s="863" t="s">
        <v>7275</v>
      </c>
      <c r="C840" s="862">
        <v>1558</v>
      </c>
      <c r="D840" s="165" t="s">
        <v>2148</v>
      </c>
      <c r="E840" s="165" t="s">
        <v>7276</v>
      </c>
      <c r="F840" s="163">
        <v>2</v>
      </c>
      <c r="G840" s="864"/>
      <c r="H840" s="864">
        <v>16617.487638719445</v>
      </c>
      <c r="I840" s="864">
        <v>17176.607377512162</v>
      </c>
      <c r="J840" s="864">
        <v>17765.152088389339</v>
      </c>
      <c r="K840" s="864">
        <v>18384.660923736945</v>
      </c>
      <c r="L840" s="18" t="s">
        <v>1153</v>
      </c>
      <c r="M840" s="442"/>
      <c r="N840" s="433"/>
      <c r="P840" s="527"/>
      <c r="T840" s="443"/>
      <c r="U840" s="440"/>
      <c r="V840" s="440"/>
      <c r="W840" s="440"/>
      <c r="X840" s="442"/>
    </row>
    <row r="841" spans="1:24" x14ac:dyDescent="0.25">
      <c r="A841" s="862">
        <v>1559</v>
      </c>
      <c r="B841" s="863" t="s">
        <v>7277</v>
      </c>
      <c r="C841" s="862">
        <v>1559</v>
      </c>
      <c r="D841" s="165" t="s">
        <v>2148</v>
      </c>
      <c r="E841" s="165" t="s">
        <v>7278</v>
      </c>
      <c r="F841" s="163">
        <v>2</v>
      </c>
      <c r="G841" s="864"/>
      <c r="H841" s="864">
        <v>35589.656134965553</v>
      </c>
      <c r="I841" s="864">
        <v>36879.4082351377</v>
      </c>
      <c r="J841" s="864">
        <v>38237.018199132057</v>
      </c>
      <c r="K841" s="864">
        <v>39666.107527352717</v>
      </c>
      <c r="L841" s="18" t="s">
        <v>1154</v>
      </c>
      <c r="M841" s="442"/>
      <c r="N841" s="433"/>
      <c r="P841" s="527"/>
      <c r="T841" s="443"/>
      <c r="U841" s="440"/>
      <c r="V841" s="440"/>
      <c r="W841" s="440"/>
      <c r="X841" s="442"/>
    </row>
    <row r="842" spans="1:24" x14ac:dyDescent="0.25">
      <c r="A842" s="862">
        <v>1560</v>
      </c>
      <c r="B842" s="863" t="s">
        <v>7279</v>
      </c>
      <c r="C842" s="862">
        <v>1560</v>
      </c>
      <c r="D842" s="165" t="s">
        <v>2148</v>
      </c>
      <c r="E842" s="165" t="s">
        <v>7280</v>
      </c>
      <c r="F842" s="163">
        <v>2</v>
      </c>
      <c r="G842" s="864"/>
      <c r="H842" s="864">
        <v>21908.821037349346</v>
      </c>
      <c r="I842" s="864">
        <v>22703.340552817808</v>
      </c>
      <c r="J842" s="864">
        <v>23539.688797834035</v>
      </c>
      <c r="K842" s="864">
        <v>24420.038693413488</v>
      </c>
      <c r="L842" s="18" t="s">
        <v>1155</v>
      </c>
      <c r="M842" s="442"/>
      <c r="N842" s="433"/>
      <c r="P842" s="527"/>
      <c r="T842" s="443"/>
      <c r="U842" s="440"/>
      <c r="V842" s="440"/>
      <c r="W842" s="440"/>
      <c r="X842" s="442"/>
    </row>
    <row r="843" spans="1:24" x14ac:dyDescent="0.25">
      <c r="A843" s="862">
        <v>1561</v>
      </c>
      <c r="B843" s="863" t="s">
        <v>7281</v>
      </c>
      <c r="C843" s="862">
        <v>1561</v>
      </c>
      <c r="D843" s="165" t="s">
        <v>2148</v>
      </c>
      <c r="E843" s="165" t="s">
        <v>7282</v>
      </c>
      <c r="F843" s="163">
        <v>2</v>
      </c>
      <c r="G843" s="864"/>
      <c r="H843" s="864">
        <v>13593.234869840708</v>
      </c>
      <c r="I843" s="864">
        <v>14021.888809329675</v>
      </c>
      <c r="J843" s="864">
        <v>14473.086804354125</v>
      </c>
      <c r="K843" s="864">
        <v>14948.051122985262</v>
      </c>
      <c r="L843" s="18" t="s">
        <v>1156</v>
      </c>
      <c r="M843" s="442"/>
      <c r="N843" s="433"/>
      <c r="P843" s="527"/>
      <c r="T843" s="443"/>
      <c r="U843" s="440"/>
      <c r="V843" s="440"/>
      <c r="W843" s="440"/>
      <c r="X843" s="442"/>
    </row>
    <row r="844" spans="1:24" x14ac:dyDescent="0.25">
      <c r="A844" s="862">
        <v>1562</v>
      </c>
      <c r="B844" s="863" t="s">
        <v>7283</v>
      </c>
      <c r="C844" s="862">
        <v>1562</v>
      </c>
      <c r="D844" s="165" t="s">
        <v>2148</v>
      </c>
      <c r="E844" s="165" t="s">
        <v>7284</v>
      </c>
      <c r="F844" s="163">
        <v>2</v>
      </c>
      <c r="G844" s="864"/>
      <c r="H844" s="864">
        <v>29799.953754357368</v>
      </c>
      <c r="I844" s="864">
        <v>30921.668235778376</v>
      </c>
      <c r="J844" s="864">
        <v>32102.458442541585</v>
      </c>
      <c r="K844" s="864">
        <v>33345.357381235437</v>
      </c>
      <c r="L844" s="18" t="s">
        <v>1157</v>
      </c>
      <c r="M844" s="442"/>
      <c r="N844" s="433"/>
      <c r="P844" s="527"/>
      <c r="T844" s="443"/>
      <c r="U844" s="440"/>
      <c r="V844" s="440"/>
      <c r="W844" s="440"/>
      <c r="X844" s="442"/>
    </row>
    <row r="845" spans="1:24" x14ac:dyDescent="0.25">
      <c r="A845" s="862">
        <v>1563</v>
      </c>
      <c r="B845" s="863" t="s">
        <v>7285</v>
      </c>
      <c r="C845" s="862">
        <v>1563</v>
      </c>
      <c r="D845" s="165" t="s">
        <v>2148</v>
      </c>
      <c r="E845" s="165" t="s">
        <v>7286</v>
      </c>
      <c r="F845" s="163">
        <v>2</v>
      </c>
      <c r="G845" s="864"/>
      <c r="H845" s="864">
        <v>29799.953754357368</v>
      </c>
      <c r="I845" s="864">
        <v>30921.668235778376</v>
      </c>
      <c r="J845" s="864">
        <v>32102.458442541585</v>
      </c>
      <c r="K845" s="864">
        <v>33345.357381235437</v>
      </c>
      <c r="L845" s="18" t="s">
        <v>1158</v>
      </c>
      <c r="M845" s="442"/>
      <c r="N845" s="433"/>
      <c r="P845" s="527"/>
      <c r="T845" s="443"/>
      <c r="U845" s="440"/>
      <c r="V845" s="440"/>
      <c r="W845" s="440"/>
      <c r="X845" s="442"/>
    </row>
    <row r="846" spans="1:24" x14ac:dyDescent="0.25">
      <c r="A846" s="862">
        <v>1564</v>
      </c>
      <c r="B846" s="863" t="s">
        <v>7287</v>
      </c>
      <c r="C846" s="862">
        <v>1564</v>
      </c>
      <c r="D846" s="165" t="s">
        <v>2148</v>
      </c>
      <c r="E846" s="165" t="s">
        <v>7288</v>
      </c>
      <c r="F846" s="163">
        <v>2</v>
      </c>
      <c r="G846" s="864"/>
      <c r="H846" s="864">
        <v>17991.364278777586</v>
      </c>
      <c r="I846" s="864">
        <v>18609.741384429632</v>
      </c>
      <c r="J846" s="864">
        <v>19260.667036125884</v>
      </c>
      <c r="K846" s="864">
        <v>19945.861463003588</v>
      </c>
      <c r="L846" s="18" t="s">
        <v>1159</v>
      </c>
      <c r="M846" s="442"/>
      <c r="N846" s="433"/>
      <c r="P846" s="527"/>
      <c r="T846" s="443"/>
      <c r="U846" s="440"/>
      <c r="V846" s="440"/>
      <c r="W846" s="440"/>
      <c r="X846" s="442"/>
    </row>
    <row r="847" spans="1:24" x14ac:dyDescent="0.25">
      <c r="A847" s="862">
        <v>1565</v>
      </c>
      <c r="B847" s="863" t="s">
        <v>7289</v>
      </c>
      <c r="C847" s="862">
        <v>1565</v>
      </c>
      <c r="D847" s="165" t="s">
        <v>2148</v>
      </c>
      <c r="E847" s="165" t="s">
        <v>7290</v>
      </c>
      <c r="F847" s="163">
        <v>2</v>
      </c>
      <c r="G847" s="864"/>
      <c r="H847" s="864">
        <v>19348.833684811932</v>
      </c>
      <c r="I847" s="864">
        <v>20031.945729049814</v>
      </c>
      <c r="J847" s="864">
        <v>20751.001508418565</v>
      </c>
      <c r="K847" s="864">
        <v>21507.902328806726</v>
      </c>
      <c r="L847" s="18" t="s">
        <v>1160</v>
      </c>
      <c r="M847" s="442"/>
      <c r="N847" s="433"/>
      <c r="P847" s="527"/>
      <c r="T847" s="443"/>
      <c r="U847" s="440"/>
      <c r="V847" s="440"/>
      <c r="W847" s="440"/>
      <c r="X847" s="442"/>
    </row>
    <row r="848" spans="1:24" x14ac:dyDescent="0.25">
      <c r="A848" s="862">
        <v>1566</v>
      </c>
      <c r="B848" s="863" t="s">
        <v>7291</v>
      </c>
      <c r="C848" s="862">
        <v>1566</v>
      </c>
      <c r="D848" s="165" t="s">
        <v>2148</v>
      </c>
      <c r="E848" s="165" t="s">
        <v>7292</v>
      </c>
      <c r="F848" s="163">
        <v>2</v>
      </c>
      <c r="G848" s="864"/>
      <c r="H848" s="864">
        <v>19382.573064719672</v>
      </c>
      <c r="I848" s="864">
        <v>20060.97711342404</v>
      </c>
      <c r="J848" s="864">
        <v>20775.053282132343</v>
      </c>
      <c r="K848" s="864">
        <v>21526.748145920941</v>
      </c>
      <c r="L848" s="18" t="s">
        <v>1161</v>
      </c>
      <c r="M848" s="442"/>
      <c r="N848" s="433"/>
      <c r="P848" s="527"/>
      <c r="T848" s="443"/>
      <c r="U848" s="440"/>
      <c r="V848" s="440"/>
      <c r="W848" s="440"/>
      <c r="X848" s="442"/>
    </row>
    <row r="849" spans="1:24" x14ac:dyDescent="0.25">
      <c r="A849" s="862">
        <v>1567</v>
      </c>
      <c r="B849" s="863" t="s">
        <v>7293</v>
      </c>
      <c r="C849" s="862">
        <v>1567</v>
      </c>
      <c r="D849" s="165" t="s">
        <v>2148</v>
      </c>
      <c r="E849" s="165" t="s">
        <v>7294</v>
      </c>
      <c r="F849" s="163">
        <v>2</v>
      </c>
      <c r="G849" s="864"/>
      <c r="H849" s="864">
        <v>17991.364278777586</v>
      </c>
      <c r="I849" s="864">
        <v>18609.741384429632</v>
      </c>
      <c r="J849" s="864">
        <v>19260.667036125884</v>
      </c>
      <c r="K849" s="864">
        <v>19945.861463003588</v>
      </c>
      <c r="L849" s="18" t="s">
        <v>1162</v>
      </c>
      <c r="M849" s="442"/>
      <c r="N849" s="433"/>
      <c r="P849" s="527"/>
      <c r="T849" s="443"/>
      <c r="U849" s="440"/>
      <c r="V849" s="440"/>
      <c r="W849" s="440"/>
      <c r="X849" s="442"/>
    </row>
    <row r="850" spans="1:24" x14ac:dyDescent="0.25">
      <c r="A850" s="862">
        <v>1568</v>
      </c>
      <c r="B850" s="863" t="s">
        <v>7295</v>
      </c>
      <c r="C850" s="862">
        <v>1568</v>
      </c>
      <c r="D850" s="165" t="s">
        <v>2148</v>
      </c>
      <c r="E850" s="165" t="s">
        <v>7296</v>
      </c>
      <c r="F850" s="163">
        <v>2</v>
      </c>
      <c r="G850" s="864"/>
      <c r="H850" s="864">
        <v>20349.291860208104</v>
      </c>
      <c r="I850" s="864">
        <v>21075.952863130999</v>
      </c>
      <c r="J850" s="864">
        <v>21840.821060575876</v>
      </c>
      <c r="K850" s="864">
        <v>22645.978835182563</v>
      </c>
      <c r="L850" s="18" t="s">
        <v>1163</v>
      </c>
      <c r="M850" s="442"/>
      <c r="N850" s="433"/>
      <c r="P850" s="527"/>
      <c r="T850" s="443"/>
      <c r="U850" s="440"/>
      <c r="V850" s="440"/>
      <c r="W850" s="440"/>
      <c r="X850" s="442"/>
    </row>
    <row r="851" spans="1:24" x14ac:dyDescent="0.25">
      <c r="A851" s="862">
        <v>1569</v>
      </c>
      <c r="B851" s="863" t="s">
        <v>7297</v>
      </c>
      <c r="C851" s="862">
        <v>1569</v>
      </c>
      <c r="D851" s="165" t="s">
        <v>2148</v>
      </c>
      <c r="E851" s="165" t="s">
        <v>7298</v>
      </c>
      <c r="F851" s="163">
        <v>2</v>
      </c>
      <c r="G851" s="864"/>
      <c r="H851" s="864">
        <v>18725.85282701797</v>
      </c>
      <c r="I851" s="864">
        <v>19375.9183641456</v>
      </c>
      <c r="J851" s="864">
        <v>20060.207407266858</v>
      </c>
      <c r="K851" s="864">
        <v>20780.485454706813</v>
      </c>
      <c r="L851" s="18" t="s">
        <v>1164</v>
      </c>
      <c r="M851" s="442"/>
      <c r="N851" s="433"/>
      <c r="P851" s="527"/>
      <c r="T851" s="443"/>
      <c r="U851" s="440"/>
      <c r="V851" s="440"/>
      <c r="W851" s="440"/>
      <c r="X851" s="442"/>
    </row>
    <row r="852" spans="1:24" x14ac:dyDescent="0.25">
      <c r="A852" s="862">
        <v>1570</v>
      </c>
      <c r="B852" s="863" t="s">
        <v>7299</v>
      </c>
      <c r="C852" s="862">
        <v>1570</v>
      </c>
      <c r="D852" s="165" t="s">
        <v>2148</v>
      </c>
      <c r="E852" s="165" t="s">
        <v>7300</v>
      </c>
      <c r="F852" s="163">
        <v>2</v>
      </c>
      <c r="G852" s="864"/>
      <c r="H852" s="864">
        <v>21024.328389786115</v>
      </c>
      <c r="I852" s="864">
        <v>21773.533448244496</v>
      </c>
      <c r="J852" s="864">
        <v>22562.167969296057</v>
      </c>
      <c r="K852" s="864">
        <v>23392.314335580628</v>
      </c>
      <c r="L852" s="18" t="s">
        <v>1165</v>
      </c>
      <c r="M852" s="442"/>
      <c r="N852" s="433"/>
      <c r="P852" s="527"/>
      <c r="T852" s="443"/>
      <c r="U852" s="440"/>
      <c r="V852" s="440"/>
      <c r="W852" s="440"/>
      <c r="X852" s="442"/>
    </row>
    <row r="853" spans="1:24" x14ac:dyDescent="0.25">
      <c r="A853" s="862">
        <v>1571</v>
      </c>
      <c r="B853" s="863" t="s">
        <v>7301</v>
      </c>
      <c r="C853" s="862">
        <v>1571</v>
      </c>
      <c r="D853" s="165" t="s">
        <v>2148</v>
      </c>
      <c r="E853" s="165" t="s">
        <v>7302</v>
      </c>
      <c r="F853" s="163">
        <v>2</v>
      </c>
      <c r="G853" s="864"/>
      <c r="H853" s="864">
        <v>19900.998288852326</v>
      </c>
      <c r="I853" s="864">
        <v>20601.765316340887</v>
      </c>
      <c r="J853" s="864">
        <v>21339.381462716767</v>
      </c>
      <c r="K853" s="864">
        <v>22115.838572244145</v>
      </c>
      <c r="L853" s="18" t="s">
        <v>1166</v>
      </c>
      <c r="M853" s="442"/>
      <c r="N853" s="433"/>
      <c r="P853" s="527"/>
      <c r="T853" s="443"/>
      <c r="U853" s="440"/>
      <c r="V853" s="440"/>
      <c r="W853" s="440"/>
      <c r="X853" s="442"/>
    </row>
    <row r="854" spans="1:24" x14ac:dyDescent="0.25">
      <c r="A854" s="862">
        <v>1572</v>
      </c>
      <c r="B854" s="863" t="s">
        <v>7303</v>
      </c>
      <c r="C854" s="862">
        <v>1572</v>
      </c>
      <c r="D854" s="165" t="s">
        <v>2148</v>
      </c>
      <c r="E854" s="165" t="s">
        <v>7304</v>
      </c>
      <c r="F854" s="163">
        <v>2</v>
      </c>
      <c r="G854" s="864"/>
      <c r="H854" s="864">
        <v>21387.262262029231</v>
      </c>
      <c r="I854" s="864">
        <v>22152.130459474109</v>
      </c>
      <c r="J854" s="864">
        <v>22957.242964892976</v>
      </c>
      <c r="K854" s="864">
        <v>23804.727430113475</v>
      </c>
      <c r="L854" s="18" t="s">
        <v>1167</v>
      </c>
      <c r="M854" s="442"/>
      <c r="N854" s="433"/>
      <c r="P854" s="527"/>
      <c r="T854" s="443"/>
      <c r="U854" s="440"/>
      <c r="V854" s="440"/>
      <c r="W854" s="440"/>
      <c r="X854" s="442"/>
    </row>
    <row r="855" spans="1:24" x14ac:dyDescent="0.25">
      <c r="A855" s="862">
        <v>1573</v>
      </c>
      <c r="B855" s="863" t="s">
        <v>7305</v>
      </c>
      <c r="C855" s="862">
        <v>1573</v>
      </c>
      <c r="D855" s="165" t="s">
        <v>2148</v>
      </c>
      <c r="E855" s="165" t="s">
        <v>7306</v>
      </c>
      <c r="F855" s="163">
        <v>2</v>
      </c>
      <c r="G855" s="864"/>
      <c r="H855" s="864">
        <v>20263.841622719803</v>
      </c>
      <c r="I855" s="864">
        <v>20980.226520007036</v>
      </c>
      <c r="J855" s="864">
        <v>21734.320650750222</v>
      </c>
      <c r="K855" s="864">
        <v>22528.115859213522</v>
      </c>
      <c r="L855" s="18" t="s">
        <v>1168</v>
      </c>
      <c r="M855" s="442"/>
      <c r="N855" s="433"/>
      <c r="P855" s="527"/>
      <c r="T855" s="443"/>
      <c r="U855" s="440"/>
      <c r="V855" s="440"/>
      <c r="W855" s="440"/>
      <c r="X855" s="442"/>
    </row>
    <row r="856" spans="1:24" x14ac:dyDescent="0.25">
      <c r="A856" s="862">
        <v>1574</v>
      </c>
      <c r="B856" s="863" t="s">
        <v>7307</v>
      </c>
      <c r="C856" s="862">
        <v>1574</v>
      </c>
      <c r="D856" s="165" t="s">
        <v>2148</v>
      </c>
      <c r="E856" s="165" t="s">
        <v>7308</v>
      </c>
      <c r="F856" s="163">
        <v>2</v>
      </c>
      <c r="G856" s="864"/>
      <c r="H856" s="864">
        <v>19210.193177618854</v>
      </c>
      <c r="I856" s="864">
        <v>19895.014951056542</v>
      </c>
      <c r="J856" s="864">
        <v>20615.870879639144</v>
      </c>
      <c r="K856" s="864">
        <v>21374.705252313346</v>
      </c>
      <c r="L856" s="18" t="s">
        <v>1169</v>
      </c>
      <c r="M856" s="442"/>
      <c r="N856" s="433"/>
      <c r="P856" s="527"/>
      <c r="T856" s="443"/>
      <c r="U856" s="440"/>
      <c r="V856" s="440"/>
      <c r="W856" s="440"/>
      <c r="X856" s="442"/>
    </row>
    <row r="857" spans="1:24" x14ac:dyDescent="0.25">
      <c r="A857" s="862">
        <v>1575</v>
      </c>
      <c r="B857" s="863" t="s">
        <v>7309</v>
      </c>
      <c r="C857" s="862">
        <v>1575</v>
      </c>
      <c r="D857" s="165" t="s">
        <v>2148</v>
      </c>
      <c r="E857" s="165" t="s">
        <v>7310</v>
      </c>
      <c r="F857" s="163">
        <v>2</v>
      </c>
      <c r="G857" s="864"/>
      <c r="H857" s="864">
        <v>0</v>
      </c>
      <c r="I857" s="864">
        <v>19952.660705289778</v>
      </c>
      <c r="J857" s="864">
        <v>20659.301721351181</v>
      </c>
      <c r="K857" s="864">
        <v>21365.899530991559</v>
      </c>
      <c r="L857" s="18" t="s">
        <v>3896</v>
      </c>
      <c r="M857" s="442"/>
      <c r="N857" s="433"/>
      <c r="P857" s="527"/>
      <c r="T857" s="443"/>
      <c r="U857" s="440"/>
      <c r="V857" s="440"/>
      <c r="W857" s="440"/>
      <c r="X857" s="442"/>
    </row>
    <row r="858" spans="1:24" x14ac:dyDescent="0.25">
      <c r="A858" s="862">
        <v>1576</v>
      </c>
      <c r="B858" s="863" t="s">
        <v>7311</v>
      </c>
      <c r="C858" s="862">
        <v>1576</v>
      </c>
      <c r="D858" s="165" t="s">
        <v>2148</v>
      </c>
      <c r="E858" s="165" t="s">
        <v>7312</v>
      </c>
      <c r="F858" s="163">
        <v>2</v>
      </c>
      <c r="G858" s="864"/>
      <c r="H858" s="864">
        <v>18559.590889642543</v>
      </c>
      <c r="I858" s="864">
        <v>19210.149971197821</v>
      </c>
      <c r="J858" s="864">
        <v>19894.971744635503</v>
      </c>
      <c r="K858" s="864">
        <v>20615.827673218115</v>
      </c>
      <c r="L858" s="18" t="s">
        <v>1170</v>
      </c>
      <c r="M858" s="442"/>
      <c r="N858" s="433"/>
      <c r="P858" s="527"/>
      <c r="T858" s="443"/>
      <c r="U858" s="440"/>
      <c r="V858" s="440"/>
      <c r="W858" s="440"/>
      <c r="X858" s="442"/>
    </row>
    <row r="859" spans="1:24" x14ac:dyDescent="0.25">
      <c r="A859" s="862">
        <v>1577</v>
      </c>
      <c r="B859" s="863" t="s">
        <v>7313</v>
      </c>
      <c r="C859" s="862">
        <v>1577</v>
      </c>
      <c r="D859" s="165" t="s">
        <v>2148</v>
      </c>
      <c r="E859" s="165" t="s">
        <v>7314</v>
      </c>
      <c r="F859" s="163">
        <v>2</v>
      </c>
      <c r="G859" s="864"/>
      <c r="H859" s="864">
        <v>21410.204095688416</v>
      </c>
      <c r="I859" s="864">
        <v>22194.271018248266</v>
      </c>
      <c r="J859" s="864">
        <v>23019.60007289852</v>
      </c>
      <c r="K859" s="864">
        <v>23888.394787112087</v>
      </c>
      <c r="L859" s="18" t="s">
        <v>1171</v>
      </c>
      <c r="M859" s="442"/>
      <c r="N859" s="433"/>
      <c r="P859" s="527"/>
      <c r="T859" s="443"/>
      <c r="U859" s="440"/>
      <c r="V859" s="440"/>
      <c r="W859" s="440"/>
      <c r="X859" s="442"/>
    </row>
    <row r="860" spans="1:24" x14ac:dyDescent="0.25">
      <c r="A860" s="862">
        <v>1578</v>
      </c>
      <c r="B860" s="863" t="s">
        <v>7315</v>
      </c>
      <c r="C860" s="862">
        <v>1578</v>
      </c>
      <c r="D860" s="165" t="s">
        <v>2148</v>
      </c>
      <c r="E860" s="165" t="s">
        <v>7316</v>
      </c>
      <c r="F860" s="163">
        <v>2</v>
      </c>
      <c r="G860" s="864"/>
      <c r="H860" s="864">
        <v>0</v>
      </c>
      <c r="I860" s="864">
        <v>0</v>
      </c>
      <c r="J860" s="864">
        <v>0</v>
      </c>
      <c r="K860" s="864">
        <v>22489.548335156269</v>
      </c>
      <c r="L860" s="18" t="s">
        <v>10896</v>
      </c>
      <c r="M860" s="442"/>
      <c r="N860" s="433"/>
      <c r="P860" s="527"/>
      <c r="T860" s="443"/>
      <c r="U860" s="440"/>
      <c r="V860" s="440"/>
      <c r="W860" s="440"/>
      <c r="X860" s="442"/>
    </row>
    <row r="861" spans="1:24" x14ac:dyDescent="0.25">
      <c r="A861" s="862">
        <v>1579</v>
      </c>
      <c r="B861" s="863" t="s">
        <v>7317</v>
      </c>
      <c r="C861" s="862">
        <v>1579</v>
      </c>
      <c r="D861" s="165" t="s">
        <v>2148</v>
      </c>
      <c r="E861" s="165" t="s">
        <v>7318</v>
      </c>
      <c r="F861" s="163">
        <v>2</v>
      </c>
      <c r="G861" s="864"/>
      <c r="H861" s="864">
        <v>0</v>
      </c>
      <c r="I861" s="864">
        <v>0</v>
      </c>
      <c r="J861" s="864">
        <v>0</v>
      </c>
      <c r="K861" s="864">
        <v>24071.623905774293</v>
      </c>
      <c r="L861" s="18" t="s">
        <v>10897</v>
      </c>
      <c r="M861" s="442"/>
      <c r="N861" s="433"/>
      <c r="P861" s="527"/>
      <c r="T861" s="443"/>
      <c r="U861" s="440"/>
      <c r="V861" s="440"/>
      <c r="W861" s="440"/>
      <c r="X861" s="442"/>
    </row>
    <row r="862" spans="1:24" x14ac:dyDescent="0.25">
      <c r="A862" s="862">
        <v>1580</v>
      </c>
      <c r="B862" s="863" t="s">
        <v>7319</v>
      </c>
      <c r="C862" s="862">
        <v>1580</v>
      </c>
      <c r="D862" s="165" t="s">
        <v>2148</v>
      </c>
      <c r="E862" s="165" t="s">
        <v>7320</v>
      </c>
      <c r="F862" s="163">
        <v>2</v>
      </c>
      <c r="G862" s="864"/>
      <c r="H862" s="864">
        <v>19888.306572130787</v>
      </c>
      <c r="I862" s="864">
        <v>20603.718491662716</v>
      </c>
      <c r="J862" s="864">
        <v>21356.806410338981</v>
      </c>
      <c r="K862" s="864">
        <v>22149.514617106241</v>
      </c>
      <c r="L862" s="18" t="s">
        <v>1172</v>
      </c>
      <c r="M862" s="442"/>
      <c r="N862" s="433"/>
      <c r="P862" s="527"/>
      <c r="T862" s="443"/>
      <c r="U862" s="440"/>
      <c r="V862" s="440"/>
      <c r="W862" s="440"/>
      <c r="X862" s="442"/>
    </row>
    <row r="863" spans="1:24" x14ac:dyDescent="0.25">
      <c r="A863" s="862">
        <v>1581</v>
      </c>
      <c r="B863" s="863" t="s">
        <v>7321</v>
      </c>
      <c r="C863" s="862">
        <v>1581</v>
      </c>
      <c r="D863" s="165" t="s">
        <v>2148</v>
      </c>
      <c r="E863" s="165" t="s">
        <v>7322</v>
      </c>
      <c r="F863" s="163">
        <v>2</v>
      </c>
      <c r="G863" s="864"/>
      <c r="H863" s="864">
        <v>19210.193177618854</v>
      </c>
      <c r="I863" s="864">
        <v>19895.014951056542</v>
      </c>
      <c r="J863" s="864">
        <v>20615.870879639144</v>
      </c>
      <c r="K863" s="864">
        <v>21374.705252313346</v>
      </c>
      <c r="L863" s="18" t="s">
        <v>1173</v>
      </c>
      <c r="M863" s="442"/>
      <c r="N863" s="433"/>
      <c r="P863" s="527"/>
      <c r="T863" s="443"/>
      <c r="U863" s="440"/>
      <c r="V863" s="440"/>
      <c r="W863" s="440"/>
      <c r="X863" s="442"/>
    </row>
    <row r="864" spans="1:24" x14ac:dyDescent="0.25">
      <c r="A864" s="862">
        <v>1582</v>
      </c>
      <c r="B864" s="863" t="s">
        <v>7323</v>
      </c>
      <c r="C864" s="862">
        <v>1582</v>
      </c>
      <c r="D864" s="165" t="s">
        <v>2148</v>
      </c>
      <c r="E864" s="165" t="s">
        <v>7324</v>
      </c>
      <c r="F864" s="163">
        <v>2</v>
      </c>
      <c r="G864" s="864"/>
      <c r="H864" s="864">
        <v>18805.07601286831</v>
      </c>
      <c r="I864" s="864">
        <v>19444.91990200639</v>
      </c>
      <c r="J864" s="864">
        <v>20118.421593132356</v>
      </c>
      <c r="K864" s="864">
        <v>20827.395755929767</v>
      </c>
      <c r="L864" s="18" t="s">
        <v>1174</v>
      </c>
      <c r="M864" s="442"/>
      <c r="N864" s="433"/>
      <c r="P864" s="527"/>
      <c r="T864" s="443"/>
      <c r="U864" s="440"/>
      <c r="V864" s="440"/>
      <c r="W864" s="440"/>
      <c r="X864" s="442"/>
    </row>
    <row r="865" spans="1:24" x14ac:dyDescent="0.25">
      <c r="A865" s="862">
        <v>1583</v>
      </c>
      <c r="B865" s="863" t="s">
        <v>7325</v>
      </c>
      <c r="C865" s="862">
        <v>1583</v>
      </c>
      <c r="D865" s="165" t="s">
        <v>2148</v>
      </c>
      <c r="E865" s="165" t="s">
        <v>7326</v>
      </c>
      <c r="F865" s="163">
        <v>2</v>
      </c>
      <c r="G865" s="864"/>
      <c r="H865" s="864">
        <v>18069.932975417818</v>
      </c>
      <c r="I865" s="864">
        <v>18677.933732251571</v>
      </c>
      <c r="J865" s="864">
        <v>19317.95044707381</v>
      </c>
      <c r="K865" s="864">
        <v>19991.624963883918</v>
      </c>
      <c r="L865" s="18" t="s">
        <v>1175</v>
      </c>
      <c r="M865" s="442"/>
      <c r="N865" s="433"/>
      <c r="P865" s="527"/>
      <c r="T865" s="443"/>
      <c r="U865" s="440"/>
      <c r="V865" s="440"/>
      <c r="W865" s="440"/>
      <c r="X865" s="442"/>
    </row>
    <row r="866" spans="1:24" x14ac:dyDescent="0.25">
      <c r="A866" s="862">
        <v>1584</v>
      </c>
      <c r="B866" s="863" t="s">
        <v>7327</v>
      </c>
      <c r="C866" s="862">
        <v>1584</v>
      </c>
      <c r="D866" s="165" t="s">
        <v>2148</v>
      </c>
      <c r="E866" s="165" t="s">
        <v>7328</v>
      </c>
      <c r="F866" s="163">
        <v>2</v>
      </c>
      <c r="G866" s="864"/>
      <c r="H866" s="864">
        <v>19490.488447142674</v>
      </c>
      <c r="I866" s="864">
        <v>20160.015147533239</v>
      </c>
      <c r="J866" s="864">
        <v>20864.755081069005</v>
      </c>
      <c r="K866" s="864">
        <v>21606.609330275634</v>
      </c>
      <c r="L866" s="18" t="s">
        <v>1176</v>
      </c>
      <c r="M866" s="442"/>
      <c r="N866" s="433"/>
      <c r="P866" s="527"/>
      <c r="T866" s="443"/>
      <c r="U866" s="440"/>
      <c r="V866" s="440"/>
      <c r="W866" s="440"/>
      <c r="X866" s="442"/>
    </row>
    <row r="867" spans="1:24" x14ac:dyDescent="0.25">
      <c r="A867" s="862">
        <v>1585</v>
      </c>
      <c r="B867" s="863" t="s">
        <v>7329</v>
      </c>
      <c r="C867" s="862">
        <v>1585</v>
      </c>
      <c r="D867" s="165" t="s">
        <v>2148</v>
      </c>
      <c r="E867" s="165" t="s">
        <v>7330</v>
      </c>
      <c r="F867" s="163">
        <v>2</v>
      </c>
      <c r="G867" s="864"/>
      <c r="H867" s="864">
        <v>18755.345409692192</v>
      </c>
      <c r="I867" s="864">
        <v>19393.028977778416</v>
      </c>
      <c r="J867" s="864">
        <v>20064.283935010459</v>
      </c>
      <c r="K867" s="864">
        <v>20770.838538229793</v>
      </c>
      <c r="L867" s="18" t="s">
        <v>1177</v>
      </c>
      <c r="M867" s="442"/>
      <c r="N867" s="433"/>
      <c r="P867" s="527"/>
      <c r="T867" s="443"/>
      <c r="U867" s="440"/>
      <c r="V867" s="440"/>
      <c r="W867" s="440"/>
      <c r="X867" s="442"/>
    </row>
    <row r="868" spans="1:24" x14ac:dyDescent="0.25">
      <c r="A868" s="862">
        <v>1586</v>
      </c>
      <c r="B868" s="863" t="s">
        <v>7331</v>
      </c>
      <c r="C868" s="862">
        <v>1586</v>
      </c>
      <c r="D868" s="165" t="s">
        <v>2148</v>
      </c>
      <c r="E868" s="165" t="s">
        <v>7332</v>
      </c>
      <c r="F868" s="163">
        <v>2</v>
      </c>
      <c r="G868" s="864"/>
      <c r="H868" s="864">
        <v>18639.29293347424</v>
      </c>
      <c r="I868" s="864">
        <v>19271.964556720162</v>
      </c>
      <c r="J868" s="864">
        <v>19937.905124164645</v>
      </c>
      <c r="K868" s="864">
        <v>20638.92930549123</v>
      </c>
      <c r="L868" s="18" t="s">
        <v>1178</v>
      </c>
      <c r="M868" s="442"/>
      <c r="N868" s="433"/>
      <c r="P868" s="527"/>
      <c r="T868" s="443"/>
      <c r="U868" s="440"/>
      <c r="V868" s="440"/>
      <c r="W868" s="440"/>
      <c r="X868" s="442"/>
    </row>
    <row r="869" spans="1:24" x14ac:dyDescent="0.25">
      <c r="A869" s="862">
        <v>1587</v>
      </c>
      <c r="B869" s="863" t="s">
        <v>7333</v>
      </c>
      <c r="C869" s="862">
        <v>1587</v>
      </c>
      <c r="D869" s="165" t="s">
        <v>2148</v>
      </c>
      <c r="E869" s="165" t="s">
        <v>7334</v>
      </c>
      <c r="F869" s="163">
        <v>2</v>
      </c>
      <c r="G869" s="864"/>
      <c r="H869" s="864">
        <v>17904.149896023748</v>
      </c>
      <c r="I869" s="864">
        <v>18504.978386965355</v>
      </c>
      <c r="J869" s="864">
        <v>19137.433978106092</v>
      </c>
      <c r="K869" s="864">
        <v>19803.158513445382</v>
      </c>
      <c r="L869" s="18" t="s">
        <v>1179</v>
      </c>
      <c r="M869" s="442"/>
      <c r="N869" s="433"/>
      <c r="P869" s="527"/>
      <c r="T869" s="443"/>
      <c r="U869" s="440"/>
      <c r="V869" s="440"/>
      <c r="W869" s="440"/>
      <c r="X869" s="442"/>
    </row>
    <row r="870" spans="1:24" x14ac:dyDescent="0.25">
      <c r="A870" s="862">
        <v>1588</v>
      </c>
      <c r="B870" s="863" t="s">
        <v>7335</v>
      </c>
      <c r="C870" s="862">
        <v>1588</v>
      </c>
      <c r="D870" s="165" t="s">
        <v>2148</v>
      </c>
      <c r="E870" s="165" t="s">
        <v>7336</v>
      </c>
      <c r="F870" s="163">
        <v>2</v>
      </c>
      <c r="G870" s="864"/>
      <c r="H870" s="864">
        <v>19551.294299036279</v>
      </c>
      <c r="I870" s="864">
        <v>20223.456591110102</v>
      </c>
      <c r="J870" s="864">
        <v>20931.004942013289</v>
      </c>
      <c r="K870" s="864">
        <v>21675.754021429399</v>
      </c>
      <c r="L870" s="18" t="s">
        <v>1180</v>
      </c>
      <c r="M870" s="442"/>
      <c r="N870" s="433"/>
      <c r="P870" s="527"/>
      <c r="T870" s="443"/>
      <c r="U870" s="440"/>
      <c r="V870" s="440"/>
      <c r="W870" s="440"/>
      <c r="X870" s="442"/>
    </row>
    <row r="871" spans="1:24" x14ac:dyDescent="0.25">
      <c r="A871" s="862">
        <v>1589</v>
      </c>
      <c r="B871" s="863" t="s">
        <v>7337</v>
      </c>
      <c r="C871" s="862">
        <v>1589</v>
      </c>
      <c r="D871" s="165" t="s">
        <v>2148</v>
      </c>
      <c r="E871" s="165" t="s">
        <v>7338</v>
      </c>
      <c r="F871" s="163">
        <v>2</v>
      </c>
      <c r="G871" s="864"/>
      <c r="H871" s="864">
        <v>18821.667282734026</v>
      </c>
      <c r="I871" s="864">
        <v>19462.202474608701</v>
      </c>
      <c r="J871" s="864">
        <v>20136.481881313335</v>
      </c>
      <c r="K871" s="864">
        <v>20846.233759689407</v>
      </c>
      <c r="L871" s="18" t="s">
        <v>1181</v>
      </c>
      <c r="M871" s="442"/>
      <c r="N871" s="433"/>
      <c r="P871" s="527"/>
      <c r="T871" s="443"/>
      <c r="U871" s="440"/>
      <c r="V871" s="440"/>
      <c r="W871" s="440"/>
      <c r="X871" s="442"/>
    </row>
    <row r="872" spans="1:24" x14ac:dyDescent="0.25">
      <c r="A872" s="862">
        <v>1590</v>
      </c>
      <c r="B872" s="863" t="s">
        <v>7339</v>
      </c>
      <c r="C872" s="862">
        <v>1590</v>
      </c>
      <c r="D872" s="165" t="s">
        <v>2148</v>
      </c>
      <c r="E872" s="165" t="s">
        <v>7340</v>
      </c>
      <c r="F872" s="163">
        <v>2</v>
      </c>
      <c r="G872" s="864"/>
      <c r="H872" s="864">
        <v>24993.025278805839</v>
      </c>
      <c r="I872" s="864">
        <v>25938.727422465392</v>
      </c>
      <c r="J872" s="864">
        <v>26934.203363159664</v>
      </c>
      <c r="K872" s="864">
        <v>27982.08869257191</v>
      </c>
      <c r="L872" s="18" t="s">
        <v>1182</v>
      </c>
      <c r="M872" s="442"/>
      <c r="N872" s="433"/>
      <c r="P872" s="527"/>
      <c r="T872" s="443"/>
      <c r="U872" s="440"/>
      <c r="V872" s="440"/>
      <c r="W872" s="440"/>
      <c r="X872" s="442"/>
    </row>
    <row r="873" spans="1:24" x14ac:dyDescent="0.25">
      <c r="A873" s="862">
        <v>1591</v>
      </c>
      <c r="B873" s="863" t="s">
        <v>7341</v>
      </c>
      <c r="C873" s="862">
        <v>1591</v>
      </c>
      <c r="D873" s="165" t="s">
        <v>2148</v>
      </c>
      <c r="E873" s="165" t="s">
        <v>7342</v>
      </c>
      <c r="F873" s="163">
        <v>2</v>
      </c>
      <c r="G873" s="864"/>
      <c r="H873" s="864">
        <v>27201.638885077507</v>
      </c>
      <c r="I873" s="864">
        <v>28247.018242069604</v>
      </c>
      <c r="J873" s="864">
        <v>29347.399373041906</v>
      </c>
      <c r="K873" s="864">
        <v>30505.677108203879</v>
      </c>
      <c r="L873" s="18" t="s">
        <v>1183</v>
      </c>
      <c r="M873" s="442"/>
      <c r="N873" s="433"/>
      <c r="P873" s="527"/>
      <c r="T873" s="443"/>
      <c r="U873" s="440"/>
      <c r="V873" s="440"/>
      <c r="W873" s="440"/>
      <c r="X873" s="442"/>
    </row>
    <row r="874" spans="1:24" x14ac:dyDescent="0.25">
      <c r="A874" s="862">
        <v>1592</v>
      </c>
      <c r="B874" s="863" t="s">
        <v>7343</v>
      </c>
      <c r="C874" s="862">
        <v>1592</v>
      </c>
      <c r="D874" s="165" t="s">
        <v>2148</v>
      </c>
      <c r="E874" s="165" t="s">
        <v>7344</v>
      </c>
      <c r="F874" s="163">
        <v>2</v>
      </c>
      <c r="G874" s="864"/>
      <c r="H874" s="864">
        <v>26265.480365850097</v>
      </c>
      <c r="I874" s="864">
        <v>27275.819315381123</v>
      </c>
      <c r="J874" s="864">
        <v>28339.345369208797</v>
      </c>
      <c r="K874" s="864">
        <v>29458.82373827948</v>
      </c>
      <c r="L874" s="18" t="s">
        <v>1184</v>
      </c>
      <c r="M874" s="442"/>
      <c r="N874" s="433"/>
      <c r="P874" s="527"/>
      <c r="T874" s="443"/>
      <c r="U874" s="440"/>
      <c r="V874" s="440"/>
      <c r="W874" s="440"/>
      <c r="X874" s="442"/>
    </row>
    <row r="875" spans="1:24" x14ac:dyDescent="0.25">
      <c r="A875" s="862">
        <v>1593</v>
      </c>
      <c r="B875" s="863" t="s">
        <v>7345</v>
      </c>
      <c r="C875" s="862">
        <v>1593</v>
      </c>
      <c r="D875" s="165" t="s">
        <v>2148</v>
      </c>
      <c r="E875" s="165" t="s">
        <v>7346</v>
      </c>
      <c r="F875" s="163">
        <v>2</v>
      </c>
      <c r="G875" s="864"/>
      <c r="H875" s="864">
        <v>24027.046444037558</v>
      </c>
      <c r="I875" s="864">
        <v>24908.241401088762</v>
      </c>
      <c r="J875" s="864">
        <v>25835.840054333788</v>
      </c>
      <c r="K875" s="864">
        <v>26812.261963350706</v>
      </c>
      <c r="L875" s="18" t="s">
        <v>1185</v>
      </c>
      <c r="M875" s="442"/>
      <c r="N875" s="433"/>
      <c r="P875" s="527"/>
      <c r="T875" s="443"/>
      <c r="U875" s="440"/>
      <c r="V875" s="440"/>
      <c r="W875" s="440"/>
      <c r="X875" s="442"/>
    </row>
    <row r="876" spans="1:24" x14ac:dyDescent="0.25">
      <c r="A876" s="862">
        <v>1594</v>
      </c>
      <c r="B876" s="863" t="s">
        <v>7347</v>
      </c>
      <c r="C876" s="862">
        <v>1594</v>
      </c>
      <c r="D876" s="165" t="s">
        <v>2148</v>
      </c>
      <c r="E876" s="165" t="s">
        <v>7348</v>
      </c>
      <c r="F876" s="163">
        <v>2</v>
      </c>
      <c r="G876" s="864"/>
      <c r="H876" s="864">
        <v>20332.348667708011</v>
      </c>
      <c r="I876" s="864">
        <v>21031.817417877261</v>
      </c>
      <c r="J876" s="864">
        <v>21768.098038770106</v>
      </c>
      <c r="K876" s="864">
        <v>22543.134819333198</v>
      </c>
      <c r="L876" s="18" t="s">
        <v>1186</v>
      </c>
      <c r="M876" s="442"/>
      <c r="N876" s="433"/>
      <c r="P876" s="527"/>
      <c r="T876" s="443"/>
      <c r="U876" s="440"/>
      <c r="V876" s="440"/>
      <c r="W876" s="440"/>
      <c r="X876" s="442"/>
    </row>
    <row r="877" spans="1:24" x14ac:dyDescent="0.25">
      <c r="A877" s="862">
        <v>1595</v>
      </c>
      <c r="B877" s="863" t="s">
        <v>7349</v>
      </c>
      <c r="C877" s="862">
        <v>1595</v>
      </c>
      <c r="D877" s="165" t="s">
        <v>2148</v>
      </c>
      <c r="E877" s="165" t="s">
        <v>7350</v>
      </c>
      <c r="F877" s="163">
        <v>2</v>
      </c>
      <c r="G877" s="864"/>
      <c r="H877" s="864">
        <v>19569.150245510016</v>
      </c>
      <c r="I877" s="864">
        <v>20235.868528533159</v>
      </c>
      <c r="J877" s="864">
        <v>20937.67042543842</v>
      </c>
      <c r="K877" s="864">
        <v>21676.413812330367</v>
      </c>
      <c r="L877" s="18" t="s">
        <v>1187</v>
      </c>
      <c r="M877" s="442"/>
      <c r="N877" s="433"/>
      <c r="P877" s="527"/>
      <c r="T877" s="443"/>
      <c r="U877" s="440"/>
      <c r="V877" s="440"/>
      <c r="W877" s="440"/>
      <c r="X877" s="442"/>
    </row>
    <row r="878" spans="1:24" x14ac:dyDescent="0.25">
      <c r="A878" s="862">
        <v>1596</v>
      </c>
      <c r="B878" s="863" t="s">
        <v>7351</v>
      </c>
      <c r="C878" s="862">
        <v>1596</v>
      </c>
      <c r="D878" s="165" t="s">
        <v>2148</v>
      </c>
      <c r="E878" s="165" t="s">
        <v>7352</v>
      </c>
      <c r="F878" s="163">
        <v>2</v>
      </c>
      <c r="G878" s="864"/>
      <c r="H878" s="864">
        <v>29150.208599616075</v>
      </c>
      <c r="I878" s="864">
        <v>30217.623231337078</v>
      </c>
      <c r="J878" s="864">
        <v>31341.206210406286</v>
      </c>
      <c r="K878" s="864">
        <v>32523.938779875247</v>
      </c>
      <c r="L878" s="18" t="s">
        <v>1188</v>
      </c>
      <c r="M878" s="442"/>
      <c r="N878" s="433"/>
      <c r="P878" s="527"/>
      <c r="T878" s="443"/>
      <c r="U878" s="440"/>
      <c r="V878" s="440"/>
      <c r="W878" s="440"/>
      <c r="X878" s="442"/>
    </row>
    <row r="879" spans="1:24" x14ac:dyDescent="0.25">
      <c r="A879" s="862">
        <v>1597</v>
      </c>
      <c r="B879" s="863" t="s">
        <v>7353</v>
      </c>
      <c r="C879" s="862">
        <v>1597</v>
      </c>
      <c r="D879" s="165" t="s">
        <v>2148</v>
      </c>
      <c r="E879" s="165" t="s">
        <v>7354</v>
      </c>
      <c r="F879" s="163">
        <v>2</v>
      </c>
      <c r="G879" s="864"/>
      <c r="H879" s="864">
        <v>24027.046444037558</v>
      </c>
      <c r="I879" s="864">
        <v>24908.241401088762</v>
      </c>
      <c r="J879" s="864">
        <v>25835.840054333788</v>
      </c>
      <c r="K879" s="864">
        <v>26812.261963350706</v>
      </c>
      <c r="L879" s="18" t="s">
        <v>1189</v>
      </c>
      <c r="M879" s="442"/>
      <c r="N879" s="433"/>
      <c r="P879" s="527"/>
      <c r="T879" s="443"/>
      <c r="U879" s="440"/>
      <c r="V879" s="440"/>
      <c r="W879" s="440"/>
      <c r="X879" s="442"/>
    </row>
    <row r="880" spans="1:24" x14ac:dyDescent="0.25">
      <c r="A880" s="862">
        <v>1598</v>
      </c>
      <c r="B880" s="863" t="s">
        <v>7355</v>
      </c>
      <c r="C880" s="862">
        <v>1598</v>
      </c>
      <c r="D880" s="165" t="s">
        <v>2148</v>
      </c>
      <c r="E880" s="165" t="s">
        <v>7356</v>
      </c>
      <c r="F880" s="163">
        <v>2</v>
      </c>
      <c r="G880" s="864"/>
      <c r="H880" s="864">
        <v>30063.834589211951</v>
      </c>
      <c r="I880" s="864">
        <v>31211.051480588438</v>
      </c>
      <c r="J880" s="864">
        <v>32418.670948574756</v>
      </c>
      <c r="K880" s="864">
        <v>33689.847061906621</v>
      </c>
      <c r="L880" s="18" t="s">
        <v>1190</v>
      </c>
      <c r="M880" s="442"/>
      <c r="N880" s="433"/>
      <c r="P880" s="527"/>
      <c r="T880" s="443"/>
      <c r="U880" s="440"/>
      <c r="V880" s="440"/>
      <c r="W880" s="440"/>
      <c r="X880" s="442"/>
    </row>
    <row r="881" spans="1:24" x14ac:dyDescent="0.25">
      <c r="A881" s="862">
        <v>1599</v>
      </c>
      <c r="B881" s="863" t="s">
        <v>7357</v>
      </c>
      <c r="C881" s="862">
        <v>1599</v>
      </c>
      <c r="D881" s="165" t="s">
        <v>2148</v>
      </c>
      <c r="E881" s="165" t="s">
        <v>7358</v>
      </c>
      <c r="F881" s="163">
        <v>2</v>
      </c>
      <c r="G881" s="864"/>
      <c r="H881" s="864">
        <v>35142.051764663651</v>
      </c>
      <c r="I881" s="864">
        <v>36555.722654575802</v>
      </c>
      <c r="J881" s="864">
        <v>38043.795001513798</v>
      </c>
      <c r="K881" s="864">
        <v>39610.200589792017</v>
      </c>
      <c r="L881" s="18" t="s">
        <v>1191</v>
      </c>
      <c r="M881" s="442"/>
      <c r="N881" s="433"/>
      <c r="P881" s="527"/>
      <c r="T881" s="443"/>
      <c r="U881" s="440"/>
      <c r="V881" s="440"/>
      <c r="W881" s="440"/>
      <c r="X881" s="442"/>
    </row>
    <row r="882" spans="1:24" x14ac:dyDescent="0.25">
      <c r="A882" s="862">
        <v>1600</v>
      </c>
      <c r="B882" s="863" t="s">
        <v>7359</v>
      </c>
      <c r="C882" s="862">
        <v>1600</v>
      </c>
      <c r="D882" s="165" t="s">
        <v>2148</v>
      </c>
      <c r="E882" s="165" t="s">
        <v>7360</v>
      </c>
      <c r="F882" s="163">
        <v>2</v>
      </c>
      <c r="G882" s="864"/>
      <c r="H882" s="864">
        <v>31243.306016075661</v>
      </c>
      <c r="I882" s="864">
        <v>32471.016469844231</v>
      </c>
      <c r="J882" s="864">
        <v>33763.32052306323</v>
      </c>
      <c r="K882" s="864">
        <v>35123.631482994584</v>
      </c>
      <c r="L882" s="18" t="s">
        <v>1192</v>
      </c>
      <c r="M882" s="442"/>
      <c r="N882" s="433"/>
      <c r="P882" s="527"/>
      <c r="T882" s="443"/>
      <c r="U882" s="440"/>
      <c r="V882" s="440"/>
      <c r="W882" s="440"/>
      <c r="X882" s="442"/>
    </row>
    <row r="883" spans="1:24" x14ac:dyDescent="0.25">
      <c r="A883" s="862">
        <v>1601</v>
      </c>
      <c r="B883" s="863" t="s">
        <v>7361</v>
      </c>
      <c r="C883" s="862">
        <v>1601</v>
      </c>
      <c r="D883" s="165" t="s">
        <v>2148</v>
      </c>
      <c r="E883" s="165" t="s">
        <v>7362</v>
      </c>
      <c r="F883" s="163">
        <v>2</v>
      </c>
      <c r="G883" s="864"/>
      <c r="H883" s="864">
        <v>29034.639409913565</v>
      </c>
      <c r="I883" s="864">
        <v>30162.715856770632</v>
      </c>
      <c r="J883" s="864">
        <v>31350.157926132633</v>
      </c>
      <c r="K883" s="864">
        <v>32600.076480314252</v>
      </c>
      <c r="L883" s="18" t="s">
        <v>1193</v>
      </c>
      <c r="M883" s="442"/>
      <c r="N883" s="433"/>
      <c r="P883" s="527"/>
      <c r="T883" s="443"/>
      <c r="U883" s="440"/>
      <c r="V883" s="440"/>
      <c r="W883" s="440"/>
      <c r="X883" s="442"/>
    </row>
    <row r="884" spans="1:24" x14ac:dyDescent="0.25">
      <c r="A884" s="862">
        <v>1602</v>
      </c>
      <c r="B884" s="863" t="s">
        <v>7363</v>
      </c>
      <c r="C884" s="862">
        <v>1602</v>
      </c>
      <c r="D884" s="165" t="s">
        <v>2148</v>
      </c>
      <c r="E884" s="165" t="s">
        <v>7364</v>
      </c>
      <c r="F884" s="163">
        <v>2</v>
      </c>
      <c r="G884" s="864"/>
      <c r="H884" s="864">
        <v>35142.051764663651</v>
      </c>
      <c r="I884" s="864">
        <v>36555.722654575802</v>
      </c>
      <c r="J884" s="864">
        <v>38043.795001513798</v>
      </c>
      <c r="K884" s="864">
        <v>39610.200589792017</v>
      </c>
      <c r="L884" s="18" t="s">
        <v>1194</v>
      </c>
      <c r="M884" s="442"/>
      <c r="N884" s="433"/>
      <c r="P884" s="527"/>
      <c r="T884" s="443"/>
      <c r="U884" s="440"/>
      <c r="V884" s="440"/>
      <c r="W884" s="440"/>
      <c r="X884" s="442"/>
    </row>
    <row r="885" spans="1:24" x14ac:dyDescent="0.25">
      <c r="A885" s="862">
        <v>1603</v>
      </c>
      <c r="B885" s="863" t="s">
        <v>7365</v>
      </c>
      <c r="C885" s="862">
        <v>1603</v>
      </c>
      <c r="D885" s="165" t="s">
        <v>2148</v>
      </c>
      <c r="E885" s="165" t="s">
        <v>7366</v>
      </c>
      <c r="F885" s="163">
        <v>2</v>
      </c>
      <c r="G885" s="864"/>
      <c r="H885" s="864">
        <v>25025.160381075624</v>
      </c>
      <c r="I885" s="864">
        <v>25933.92103474848</v>
      </c>
      <c r="J885" s="864">
        <v>26890.511196509378</v>
      </c>
      <c r="K885" s="864">
        <v>27897.436838778474</v>
      </c>
      <c r="L885" s="18" t="s">
        <v>10898</v>
      </c>
      <c r="M885" s="442"/>
      <c r="N885" s="433"/>
      <c r="P885" s="527"/>
      <c r="T885" s="443"/>
      <c r="U885" s="440"/>
      <c r="V885" s="440"/>
      <c r="W885" s="440"/>
      <c r="X885" s="442"/>
    </row>
    <row r="886" spans="1:24" x14ac:dyDescent="0.25">
      <c r="A886" s="862">
        <v>1604</v>
      </c>
      <c r="B886" s="863" t="s">
        <v>7367</v>
      </c>
      <c r="C886" s="862">
        <v>1604</v>
      </c>
      <c r="D886" s="165" t="s">
        <v>2148</v>
      </c>
      <c r="E886" s="165" t="s">
        <v>7368</v>
      </c>
      <c r="F886" s="163">
        <v>2</v>
      </c>
      <c r="G886" s="864"/>
      <c r="H886" s="864">
        <v>28389.602018307876</v>
      </c>
      <c r="I886" s="864">
        <v>29444.529994349166</v>
      </c>
      <c r="J886" s="864">
        <v>30554.978221423102</v>
      </c>
      <c r="K886" s="864">
        <v>31723.841529739162</v>
      </c>
      <c r="L886" s="18" t="s">
        <v>1195</v>
      </c>
      <c r="M886" s="442"/>
      <c r="N886" s="433"/>
      <c r="P886" s="527"/>
      <c r="T886" s="443"/>
      <c r="U886" s="440"/>
      <c r="V886" s="440"/>
      <c r="W886" s="440"/>
      <c r="X886" s="442"/>
    </row>
    <row r="887" spans="1:24" x14ac:dyDescent="0.25">
      <c r="A887" s="862">
        <v>1605</v>
      </c>
      <c r="B887" s="863" t="s">
        <v>7369</v>
      </c>
      <c r="C887" s="862">
        <v>1605</v>
      </c>
      <c r="D887" s="165" t="s">
        <v>2148</v>
      </c>
      <c r="E887" s="165" t="s">
        <v>7370</v>
      </c>
      <c r="F887" s="163">
        <v>1</v>
      </c>
      <c r="G887" s="864"/>
      <c r="H887" s="864">
        <v>0</v>
      </c>
      <c r="I887" s="864">
        <v>17900.203608467182</v>
      </c>
      <c r="J887" s="864">
        <v>18339.950176412225</v>
      </c>
      <c r="K887" s="864">
        <v>18802.878148434327</v>
      </c>
      <c r="L887" s="18" t="s">
        <v>3897</v>
      </c>
      <c r="M887" s="442"/>
      <c r="N887" s="433"/>
      <c r="P887" s="527"/>
      <c r="T887" s="443"/>
      <c r="U887" s="440"/>
      <c r="V887" s="440"/>
      <c r="W887" s="440"/>
      <c r="X887" s="442"/>
    </row>
    <row r="888" spans="1:24" x14ac:dyDescent="0.25">
      <c r="A888" s="862">
        <v>1606</v>
      </c>
      <c r="B888" s="863" t="s">
        <v>7371</v>
      </c>
      <c r="C888" s="862">
        <v>1606</v>
      </c>
      <c r="D888" s="165" t="s">
        <v>2148</v>
      </c>
      <c r="E888" s="165" t="s">
        <v>7372</v>
      </c>
      <c r="F888" s="163">
        <v>1</v>
      </c>
      <c r="G888" s="864"/>
      <c r="H888" s="864">
        <v>0</v>
      </c>
      <c r="I888" s="864">
        <v>16955.477396709335</v>
      </c>
      <c r="J888" s="864">
        <v>17368.619802928351</v>
      </c>
      <c r="K888" s="864">
        <v>17803.543394186214</v>
      </c>
      <c r="L888" s="18" t="s">
        <v>3898</v>
      </c>
      <c r="M888" s="442"/>
      <c r="N888" s="433"/>
      <c r="P888" s="527"/>
      <c r="T888" s="443"/>
      <c r="U888" s="440"/>
      <c r="V888" s="440"/>
      <c r="W888" s="440"/>
      <c r="X888" s="442"/>
    </row>
    <row r="889" spans="1:24" x14ac:dyDescent="0.25">
      <c r="A889" s="862">
        <v>1607</v>
      </c>
      <c r="B889" s="863" t="s">
        <v>7373</v>
      </c>
      <c r="C889" s="862">
        <v>1607</v>
      </c>
      <c r="D889" s="165" t="s">
        <v>2148</v>
      </c>
      <c r="E889" s="165" t="s">
        <v>7374</v>
      </c>
      <c r="F889" s="163">
        <v>1</v>
      </c>
      <c r="G889" s="864"/>
      <c r="H889" s="864">
        <v>19171.65368438742</v>
      </c>
      <c r="I889" s="864">
        <v>20126.408593581378</v>
      </c>
      <c r="J889" s="864">
        <v>20628.892753432967</v>
      </c>
      <c r="K889" s="864">
        <v>21157.825495117442</v>
      </c>
      <c r="L889" s="18" t="s">
        <v>3899</v>
      </c>
      <c r="M889" s="442"/>
      <c r="N889" s="433"/>
      <c r="P889" s="527"/>
      <c r="T889" s="443"/>
      <c r="U889" s="440"/>
      <c r="V889" s="440"/>
      <c r="W889" s="440"/>
      <c r="X889" s="442"/>
    </row>
    <row r="890" spans="1:24" x14ac:dyDescent="0.25">
      <c r="A890" s="862">
        <v>1608</v>
      </c>
      <c r="B890" s="863" t="s">
        <v>7375</v>
      </c>
      <c r="C890" s="862">
        <v>1608</v>
      </c>
      <c r="D890" s="165" t="s">
        <v>2148</v>
      </c>
      <c r="E890" s="165" t="s">
        <v>7376</v>
      </c>
      <c r="F890" s="163">
        <v>1</v>
      </c>
      <c r="G890" s="864"/>
      <c r="H890" s="864">
        <v>13111.17104937469</v>
      </c>
      <c r="I890" s="864">
        <v>0</v>
      </c>
      <c r="J890" s="864">
        <v>0</v>
      </c>
      <c r="K890" s="864">
        <v>0</v>
      </c>
      <c r="L890" s="18" t="s">
        <v>1196</v>
      </c>
      <c r="M890" s="442"/>
      <c r="N890" s="433"/>
      <c r="P890" s="527"/>
      <c r="T890" s="443"/>
      <c r="U890" s="440"/>
      <c r="V890" s="440"/>
      <c r="W890" s="440"/>
      <c r="X890" s="442"/>
    </row>
    <row r="891" spans="1:24" x14ac:dyDescent="0.25">
      <c r="A891" s="862">
        <v>1609</v>
      </c>
      <c r="B891" s="863" t="s">
        <v>7377</v>
      </c>
      <c r="C891" s="862">
        <v>1609</v>
      </c>
      <c r="D891" s="165" t="s">
        <v>2148</v>
      </c>
      <c r="E891" s="165" t="s">
        <v>7378</v>
      </c>
      <c r="F891" s="163">
        <v>1</v>
      </c>
      <c r="G891" s="864"/>
      <c r="H891" s="864">
        <v>14048.892137608165</v>
      </c>
      <c r="I891" s="864">
        <v>14404.878324894302</v>
      </c>
      <c r="J891" s="864">
        <v>14779.603445185421</v>
      </c>
      <c r="K891" s="864">
        <v>15174.03121503607</v>
      </c>
      <c r="L891" s="18" t="s">
        <v>1197</v>
      </c>
      <c r="M891" s="442"/>
      <c r="N891" s="433"/>
      <c r="P891" s="527"/>
      <c r="T891" s="443"/>
      <c r="U891" s="440"/>
      <c r="V891" s="440"/>
      <c r="W891" s="440"/>
      <c r="X891" s="442"/>
    </row>
    <row r="892" spans="1:24" x14ac:dyDescent="0.25">
      <c r="A892" s="862">
        <v>1610</v>
      </c>
      <c r="B892" s="863" t="s">
        <v>7379</v>
      </c>
      <c r="C892" s="862">
        <v>1610</v>
      </c>
      <c r="D892" s="165" t="s">
        <v>2148</v>
      </c>
      <c r="E892" s="165" t="s">
        <v>7380</v>
      </c>
      <c r="F892" s="163">
        <v>1</v>
      </c>
      <c r="G892" s="864"/>
      <c r="H892" s="864">
        <v>16210.791566002794</v>
      </c>
      <c r="I892" s="864">
        <v>16603.880840638794</v>
      </c>
      <c r="J892" s="864">
        <v>17017.690021197461</v>
      </c>
      <c r="K892" s="864">
        <v>17453.236364041892</v>
      </c>
      <c r="L892" s="18" t="s">
        <v>2989</v>
      </c>
      <c r="M892" s="442"/>
      <c r="N892" s="433"/>
      <c r="P892" s="527"/>
      <c r="T892" s="443"/>
      <c r="U892" s="440"/>
      <c r="V892" s="440"/>
      <c r="W892" s="440"/>
      <c r="X892" s="442"/>
    </row>
    <row r="893" spans="1:24" x14ac:dyDescent="0.25">
      <c r="A893" s="862">
        <v>1611</v>
      </c>
      <c r="B893" s="863" t="s">
        <v>7381</v>
      </c>
      <c r="C893" s="862">
        <v>1611</v>
      </c>
      <c r="D893" s="165" t="s">
        <v>2148</v>
      </c>
      <c r="E893" s="165" t="s">
        <v>7382</v>
      </c>
      <c r="F893" s="163">
        <v>1</v>
      </c>
      <c r="G893" s="864"/>
      <c r="H893" s="864">
        <v>15581.969351228472</v>
      </c>
      <c r="I893" s="864">
        <v>15957.283409414036</v>
      </c>
      <c r="J893" s="864">
        <v>16352.353656967709</v>
      </c>
      <c r="K893" s="864">
        <v>16768.250890061205</v>
      </c>
      <c r="L893" s="18" t="s">
        <v>2990</v>
      </c>
      <c r="M893" s="442"/>
      <c r="N893" s="433"/>
      <c r="P893" s="527"/>
      <c r="T893" s="443"/>
      <c r="U893" s="440"/>
      <c r="V893" s="440"/>
      <c r="W893" s="440"/>
      <c r="X893" s="442"/>
    </row>
    <row r="894" spans="1:24" x14ac:dyDescent="0.25">
      <c r="A894" s="862">
        <v>1612</v>
      </c>
      <c r="B894" s="863" t="s">
        <v>7383</v>
      </c>
      <c r="C894" s="862">
        <v>1612</v>
      </c>
      <c r="D894" s="165" t="s">
        <v>2148</v>
      </c>
      <c r="E894" s="165" t="s">
        <v>7384</v>
      </c>
      <c r="F894" s="163">
        <v>1</v>
      </c>
      <c r="G894" s="864"/>
      <c r="H894" s="864">
        <v>18276.921700261268</v>
      </c>
      <c r="I894" s="864">
        <v>18728.315826447069</v>
      </c>
      <c r="J894" s="864">
        <v>19203.481627644906</v>
      </c>
      <c r="K894" s="864">
        <v>19703.650519452258</v>
      </c>
      <c r="L894" s="18" t="s">
        <v>2991</v>
      </c>
      <c r="M894" s="442"/>
      <c r="N894" s="433"/>
      <c r="P894" s="527"/>
      <c r="T894" s="443"/>
      <c r="U894" s="440"/>
      <c r="V894" s="440"/>
      <c r="W894" s="440"/>
      <c r="X894" s="442"/>
    </row>
    <row r="895" spans="1:24" x14ac:dyDescent="0.25">
      <c r="A895" s="862">
        <v>1613</v>
      </c>
      <c r="B895" s="863" t="s">
        <v>7385</v>
      </c>
      <c r="C895" s="862">
        <v>1613</v>
      </c>
      <c r="D895" s="165" t="s">
        <v>2148</v>
      </c>
      <c r="E895" s="165" t="s">
        <v>7386</v>
      </c>
      <c r="F895" s="163">
        <v>1</v>
      </c>
      <c r="G895" s="864"/>
      <c r="H895" s="864">
        <v>15710.643709776728</v>
      </c>
      <c r="I895" s="864">
        <v>16098.232118548383</v>
      </c>
      <c r="J895" s="864">
        <v>16506.240388293965</v>
      </c>
      <c r="K895" s="864">
        <v>16932.023660830171</v>
      </c>
      <c r="L895" s="18" t="s">
        <v>1198</v>
      </c>
      <c r="M895" s="442"/>
      <c r="N895" s="433"/>
      <c r="P895" s="527"/>
      <c r="T895" s="443"/>
      <c r="U895" s="440"/>
      <c r="V895" s="440"/>
      <c r="W895" s="440"/>
      <c r="X895" s="442"/>
    </row>
    <row r="896" spans="1:24" x14ac:dyDescent="0.25">
      <c r="A896" s="862">
        <v>1614</v>
      </c>
      <c r="B896" s="863" t="s">
        <v>7387</v>
      </c>
      <c r="C896" s="862">
        <v>1614</v>
      </c>
      <c r="D896" s="165" t="s">
        <v>2148</v>
      </c>
      <c r="E896" s="165" t="s">
        <v>7388</v>
      </c>
      <c r="F896" s="163">
        <v>1</v>
      </c>
      <c r="G896" s="864"/>
      <c r="H896" s="864">
        <v>14403.964388616323</v>
      </c>
      <c r="I896" s="864">
        <v>14754.21362303567</v>
      </c>
      <c r="J896" s="864">
        <v>15122.47123008535</v>
      </c>
      <c r="K896" s="864">
        <v>15510.137428803569</v>
      </c>
      <c r="L896" s="18" t="s">
        <v>1199</v>
      </c>
      <c r="M896" s="442"/>
      <c r="N896" s="433"/>
      <c r="P896" s="527"/>
      <c r="T896" s="443"/>
      <c r="U896" s="440"/>
      <c r="V896" s="440"/>
      <c r="W896" s="440"/>
      <c r="X896" s="442"/>
    </row>
    <row r="897" spans="1:24" x14ac:dyDescent="0.25">
      <c r="A897" s="862">
        <v>1615</v>
      </c>
      <c r="B897" s="863" t="s">
        <v>7389</v>
      </c>
      <c r="C897" s="862">
        <v>1615</v>
      </c>
      <c r="D897" s="165" t="s">
        <v>2148</v>
      </c>
      <c r="E897" s="165" t="s">
        <v>7390</v>
      </c>
      <c r="F897" s="163">
        <v>1</v>
      </c>
      <c r="G897" s="864"/>
      <c r="H897" s="864">
        <v>0</v>
      </c>
      <c r="I897" s="864">
        <v>0</v>
      </c>
      <c r="J897" s="864">
        <v>15676.268520809524</v>
      </c>
      <c r="K897" s="864">
        <v>16053.394181767873</v>
      </c>
      <c r="L897" s="18" t="s">
        <v>4627</v>
      </c>
      <c r="M897" s="442"/>
      <c r="N897" s="433"/>
      <c r="P897" s="527"/>
      <c r="T897" s="443"/>
      <c r="U897" s="440"/>
      <c r="V897" s="440"/>
      <c r="W897" s="440"/>
      <c r="X897" s="442"/>
    </row>
    <row r="898" spans="1:24" x14ac:dyDescent="0.25">
      <c r="A898" s="862">
        <v>1616</v>
      </c>
      <c r="B898" s="863" t="s">
        <v>7391</v>
      </c>
      <c r="C898" s="862">
        <v>1616</v>
      </c>
      <c r="D898" s="165" t="s">
        <v>2148</v>
      </c>
      <c r="E898" s="165" t="s">
        <v>7392</v>
      </c>
      <c r="F898" s="163">
        <v>1</v>
      </c>
      <c r="G898" s="864"/>
      <c r="H898" s="864">
        <v>0</v>
      </c>
      <c r="I898" s="864">
        <v>0</v>
      </c>
      <c r="J898" s="864">
        <v>14237.251699383974</v>
      </c>
      <c r="K898" s="864">
        <v>14573.848798180756</v>
      </c>
      <c r="L898" s="18" t="s">
        <v>4628</v>
      </c>
      <c r="M898" s="442"/>
      <c r="N898" s="433"/>
      <c r="P898" s="527"/>
      <c r="T898" s="443"/>
      <c r="U898" s="440"/>
      <c r="V898" s="440"/>
      <c r="W898" s="440"/>
      <c r="X898" s="442"/>
    </row>
    <row r="899" spans="1:24" x14ac:dyDescent="0.25">
      <c r="A899" s="862">
        <v>1617</v>
      </c>
      <c r="B899" s="863" t="s">
        <v>7393</v>
      </c>
      <c r="C899" s="862">
        <v>1617</v>
      </c>
      <c r="D899" s="165" t="s">
        <v>2148</v>
      </c>
      <c r="E899" s="165" t="s">
        <v>7394</v>
      </c>
      <c r="F899" s="163">
        <v>1</v>
      </c>
      <c r="G899" s="864"/>
      <c r="H899" s="864">
        <v>17098.148555957367</v>
      </c>
      <c r="I899" s="864">
        <v>17525.798787211184</v>
      </c>
      <c r="J899" s="864">
        <v>17975.930313022964</v>
      </c>
      <c r="K899" s="864">
        <v>18449.787772537773</v>
      </c>
      <c r="L899" s="18" t="s">
        <v>1200</v>
      </c>
      <c r="M899" s="442"/>
      <c r="N899" s="433"/>
      <c r="P899" s="527"/>
      <c r="T899" s="443"/>
      <c r="U899" s="440"/>
      <c r="V899" s="440"/>
      <c r="W899" s="440"/>
      <c r="X899" s="442"/>
    </row>
    <row r="900" spans="1:24" x14ac:dyDescent="0.25">
      <c r="A900" s="862">
        <v>1618</v>
      </c>
      <c r="B900" s="863" t="s">
        <v>7395</v>
      </c>
      <c r="C900" s="862">
        <v>1618</v>
      </c>
      <c r="D900" s="165" t="s">
        <v>2148</v>
      </c>
      <c r="E900" s="165" t="s">
        <v>7396</v>
      </c>
      <c r="F900" s="163">
        <v>1</v>
      </c>
      <c r="G900" s="864"/>
      <c r="H900" s="864">
        <v>16182.125939061412</v>
      </c>
      <c r="I900" s="864">
        <v>16583.327588482342</v>
      </c>
      <c r="J900" s="864">
        <v>17005.610313423029</v>
      </c>
      <c r="K900" s="864">
        <v>17450.140963081954</v>
      </c>
      <c r="L900" s="18" t="s">
        <v>1201</v>
      </c>
      <c r="M900" s="442"/>
      <c r="N900" s="433"/>
      <c r="P900" s="527"/>
      <c r="T900" s="443"/>
      <c r="U900" s="440"/>
      <c r="V900" s="440"/>
      <c r="W900" s="440"/>
      <c r="X900" s="442"/>
    </row>
    <row r="901" spans="1:24" x14ac:dyDescent="0.25">
      <c r="A901" s="862">
        <v>1619</v>
      </c>
      <c r="B901" s="863" t="s">
        <v>7397</v>
      </c>
      <c r="C901" s="862">
        <v>1619</v>
      </c>
      <c r="D901" s="165" t="s">
        <v>2148</v>
      </c>
      <c r="E901" s="165" t="s">
        <v>7398</v>
      </c>
      <c r="F901" s="163">
        <v>1</v>
      </c>
      <c r="G901" s="864"/>
      <c r="H901" s="864">
        <v>18965.414515960209</v>
      </c>
      <c r="I901" s="864">
        <v>19446.389755585929</v>
      </c>
      <c r="J901" s="864">
        <v>19952.64672784603</v>
      </c>
      <c r="K901" s="864">
        <v>20485.585651778718</v>
      </c>
      <c r="L901" s="18" t="s">
        <v>1202</v>
      </c>
      <c r="M901" s="442"/>
      <c r="N901" s="433"/>
      <c r="P901" s="527"/>
      <c r="T901" s="443"/>
      <c r="U901" s="440"/>
      <c r="V901" s="440"/>
      <c r="W901" s="440"/>
      <c r="X901" s="442"/>
    </row>
    <row r="902" spans="1:24" x14ac:dyDescent="0.25">
      <c r="A902" s="862">
        <v>1620</v>
      </c>
      <c r="B902" s="863" t="s">
        <v>7399</v>
      </c>
      <c r="C902" s="862">
        <v>1620</v>
      </c>
      <c r="D902" s="165" t="s">
        <v>2148</v>
      </c>
      <c r="E902" s="165" t="s">
        <v>7400</v>
      </c>
      <c r="F902" s="163">
        <v>1</v>
      </c>
      <c r="G902" s="864"/>
      <c r="H902" s="864">
        <v>18445.240639627878</v>
      </c>
      <c r="I902" s="864">
        <v>18911.785844165366</v>
      </c>
      <c r="J902" s="864">
        <v>19402.873776844834</v>
      </c>
      <c r="K902" s="864">
        <v>19919.826866757936</v>
      </c>
      <c r="L902" s="18" t="s">
        <v>1203</v>
      </c>
      <c r="M902" s="442"/>
      <c r="N902" s="433"/>
      <c r="P902" s="527"/>
      <c r="T902" s="443"/>
      <c r="U902" s="440"/>
      <c r="V902" s="440"/>
      <c r="W902" s="440"/>
      <c r="X902" s="442"/>
    </row>
    <row r="903" spans="1:24" x14ac:dyDescent="0.25">
      <c r="A903" s="862">
        <v>1621</v>
      </c>
      <c r="B903" s="863" t="s">
        <v>7401</v>
      </c>
      <c r="C903" s="862">
        <v>1621</v>
      </c>
      <c r="D903" s="165" t="s">
        <v>2148</v>
      </c>
      <c r="E903" s="165" t="s">
        <v>7402</v>
      </c>
      <c r="F903" s="163">
        <v>1</v>
      </c>
      <c r="G903" s="864"/>
      <c r="H903" s="864">
        <v>0</v>
      </c>
      <c r="I903" s="864">
        <v>0</v>
      </c>
      <c r="J903" s="864">
        <v>23191.860919982038</v>
      </c>
      <c r="K903" s="864">
        <v>23780.691920523335</v>
      </c>
      <c r="L903" s="18" t="s">
        <v>4629</v>
      </c>
      <c r="M903" s="442"/>
      <c r="N903" s="433"/>
      <c r="P903" s="527"/>
      <c r="T903" s="443"/>
      <c r="U903" s="440"/>
      <c r="V903" s="440"/>
      <c r="W903" s="440"/>
      <c r="X903" s="442"/>
    </row>
    <row r="904" spans="1:24" x14ac:dyDescent="0.25">
      <c r="A904" s="862">
        <v>1622</v>
      </c>
      <c r="B904" s="863" t="s">
        <v>7403</v>
      </c>
      <c r="C904" s="862">
        <v>1622</v>
      </c>
      <c r="D904" s="165" t="s">
        <v>2148</v>
      </c>
      <c r="E904" s="165" t="s">
        <v>7404</v>
      </c>
      <c r="F904" s="163">
        <v>1</v>
      </c>
      <c r="G904" s="864"/>
      <c r="H904" s="864">
        <v>0</v>
      </c>
      <c r="I904" s="864">
        <v>0</v>
      </c>
      <c r="J904" s="864">
        <v>19371.925357652402</v>
      </c>
      <c r="K904" s="864">
        <v>19853.172862091113</v>
      </c>
      <c r="L904" s="18" t="s">
        <v>4630</v>
      </c>
      <c r="M904" s="442"/>
      <c r="N904" s="433"/>
      <c r="P904" s="527"/>
      <c r="T904" s="443"/>
      <c r="U904" s="440"/>
      <c r="V904" s="440"/>
      <c r="W904" s="440"/>
      <c r="X904" s="442"/>
    </row>
    <row r="905" spans="1:24" x14ac:dyDescent="0.25">
      <c r="A905" s="862">
        <v>1623</v>
      </c>
      <c r="B905" s="863" t="s">
        <v>7405</v>
      </c>
      <c r="C905" s="862">
        <v>1623</v>
      </c>
      <c r="D905" s="165" t="s">
        <v>2148</v>
      </c>
      <c r="E905" s="165" t="s">
        <v>7406</v>
      </c>
      <c r="F905" s="163">
        <v>1</v>
      </c>
      <c r="G905" s="864"/>
      <c r="H905" s="864">
        <v>17543.77523279631</v>
      </c>
      <c r="I905" s="864">
        <v>18078.95876334031</v>
      </c>
      <c r="J905" s="864">
        <v>18642.331919165452</v>
      </c>
      <c r="K905" s="864">
        <v>19235.385721774197</v>
      </c>
      <c r="L905" s="18" t="s">
        <v>2992</v>
      </c>
      <c r="M905" s="442"/>
      <c r="N905" s="433"/>
      <c r="P905" s="527"/>
      <c r="T905" s="443"/>
      <c r="U905" s="440"/>
      <c r="V905" s="440"/>
      <c r="W905" s="440"/>
      <c r="X905" s="442"/>
    </row>
    <row r="906" spans="1:24" x14ac:dyDescent="0.25">
      <c r="A906" s="862">
        <v>1624</v>
      </c>
      <c r="B906" s="863" t="s">
        <v>7407</v>
      </c>
      <c r="C906" s="862">
        <v>1624</v>
      </c>
      <c r="D906" s="165" t="s">
        <v>2148</v>
      </c>
      <c r="E906" s="165" t="s">
        <v>7408</v>
      </c>
      <c r="F906" s="163">
        <v>1</v>
      </c>
      <c r="G906" s="864"/>
      <c r="H906" s="864">
        <v>16511.968107668643</v>
      </c>
      <c r="I906" s="864">
        <v>17010.994366777672</v>
      </c>
      <c r="J906" s="864">
        <v>17536.253285445833</v>
      </c>
      <c r="K906" s="864">
        <v>18089.189290753657</v>
      </c>
      <c r="L906" s="18" t="s">
        <v>2993</v>
      </c>
      <c r="M906" s="442"/>
      <c r="N906" s="433"/>
      <c r="P906" s="527"/>
      <c r="T906" s="443"/>
      <c r="U906" s="440"/>
      <c r="V906" s="440"/>
      <c r="W906" s="440"/>
      <c r="X906" s="442"/>
    </row>
    <row r="907" spans="1:24" x14ac:dyDescent="0.25">
      <c r="A907" s="862">
        <v>1625</v>
      </c>
      <c r="B907" s="863" t="s">
        <v>7409</v>
      </c>
      <c r="C907" s="862">
        <v>1625</v>
      </c>
      <c r="D907" s="165" t="s">
        <v>2148</v>
      </c>
      <c r="E907" s="165" t="s">
        <v>7410</v>
      </c>
      <c r="F907" s="163">
        <v>1</v>
      </c>
      <c r="G907" s="864"/>
      <c r="H907" s="864">
        <v>0</v>
      </c>
      <c r="I907" s="864">
        <v>0</v>
      </c>
      <c r="J907" s="864">
        <v>0</v>
      </c>
      <c r="K907" s="864">
        <v>21161.391677603679</v>
      </c>
      <c r="L907" s="18" t="s">
        <v>10899</v>
      </c>
      <c r="M907" s="442"/>
      <c r="N907" s="433"/>
      <c r="P907" s="527"/>
      <c r="T907" s="443"/>
      <c r="U907" s="440"/>
      <c r="V907" s="440"/>
      <c r="W907" s="440"/>
      <c r="X907" s="442"/>
    </row>
    <row r="908" spans="1:24" x14ac:dyDescent="0.25">
      <c r="A908" s="862">
        <v>1626</v>
      </c>
      <c r="B908" s="863" t="s">
        <v>7411</v>
      </c>
      <c r="C908" s="862">
        <v>1626</v>
      </c>
      <c r="D908" s="165" t="s">
        <v>2148</v>
      </c>
      <c r="E908" s="165" t="s">
        <v>7412</v>
      </c>
      <c r="F908" s="163">
        <v>1</v>
      </c>
      <c r="G908" s="864"/>
      <c r="H908" s="864">
        <v>0</v>
      </c>
      <c r="I908" s="864">
        <v>0</v>
      </c>
      <c r="J908" s="864">
        <v>0</v>
      </c>
      <c r="K908" s="864">
        <v>21161.391677603679</v>
      </c>
      <c r="L908" s="18" t="s">
        <v>10900</v>
      </c>
      <c r="M908" s="442"/>
      <c r="N908" s="433"/>
      <c r="P908" s="527"/>
      <c r="T908" s="443"/>
      <c r="U908" s="440"/>
      <c r="V908" s="440"/>
      <c r="W908" s="440"/>
      <c r="X908" s="442"/>
    </row>
    <row r="909" spans="1:24" x14ac:dyDescent="0.25">
      <c r="A909" s="862">
        <v>1627</v>
      </c>
      <c r="B909" s="863" t="s">
        <v>7413</v>
      </c>
      <c r="C909" s="862">
        <v>1627</v>
      </c>
      <c r="D909" s="165" t="s">
        <v>2148</v>
      </c>
      <c r="E909" s="165" t="s">
        <v>7414</v>
      </c>
      <c r="F909" s="163">
        <v>1</v>
      </c>
      <c r="G909" s="864"/>
      <c r="H909" s="864">
        <v>18147.759891407626</v>
      </c>
      <c r="I909" s="864">
        <v>18704.14388393992</v>
      </c>
      <c r="J909" s="864">
        <v>19289.835767880209</v>
      </c>
      <c r="K909" s="864">
        <v>19906.373159152914</v>
      </c>
      <c r="L909" s="18" t="s">
        <v>2994</v>
      </c>
      <c r="M909" s="442"/>
      <c r="N909" s="433"/>
      <c r="P909" s="527"/>
      <c r="T909" s="443"/>
      <c r="U909" s="440"/>
      <c r="V909" s="440"/>
      <c r="W909" s="440"/>
      <c r="X909" s="442"/>
    </row>
    <row r="910" spans="1:24" x14ac:dyDescent="0.25">
      <c r="A910" s="862">
        <v>1628</v>
      </c>
      <c r="B910" s="863" t="s">
        <v>7415</v>
      </c>
      <c r="C910" s="862">
        <v>1628</v>
      </c>
      <c r="D910" s="165" t="s">
        <v>2148</v>
      </c>
      <c r="E910" s="165" t="s">
        <v>7416</v>
      </c>
      <c r="F910" s="163">
        <v>1</v>
      </c>
      <c r="G910" s="864"/>
      <c r="H910" s="864">
        <v>0</v>
      </c>
      <c r="I910" s="864">
        <v>20475.617429805407</v>
      </c>
      <c r="J910" s="864">
        <v>21113.681444020072</v>
      </c>
      <c r="K910" s="864">
        <v>21785.34003646233</v>
      </c>
      <c r="L910" s="18" t="s">
        <v>3900</v>
      </c>
      <c r="M910" s="442"/>
      <c r="N910" s="433"/>
      <c r="P910" s="527"/>
      <c r="T910" s="443"/>
      <c r="U910" s="440"/>
      <c r="V910" s="440"/>
      <c r="W910" s="440"/>
      <c r="X910" s="442"/>
    </row>
    <row r="911" spans="1:24" x14ac:dyDescent="0.25">
      <c r="A911" s="862">
        <v>1629</v>
      </c>
      <c r="B911" s="863" t="s">
        <v>7417</v>
      </c>
      <c r="C911" s="862">
        <v>1629</v>
      </c>
      <c r="D911" s="165" t="s">
        <v>2148</v>
      </c>
      <c r="E911" s="165" t="s">
        <v>7418</v>
      </c>
      <c r="F911" s="163">
        <v>1</v>
      </c>
      <c r="G911" s="864"/>
      <c r="H911" s="864">
        <v>0</v>
      </c>
      <c r="I911" s="864">
        <v>20991.520992369242</v>
      </c>
      <c r="J911" s="864">
        <v>21647.710236723346</v>
      </c>
      <c r="K911" s="864">
        <v>22338.425947744094</v>
      </c>
      <c r="L911" s="18" t="s">
        <v>3901</v>
      </c>
      <c r="M911" s="442"/>
      <c r="N911" s="433"/>
      <c r="P911" s="527"/>
      <c r="T911" s="443"/>
      <c r="U911" s="440"/>
      <c r="V911" s="440"/>
      <c r="W911" s="440"/>
      <c r="X911" s="442"/>
    </row>
    <row r="912" spans="1:24" x14ac:dyDescent="0.25">
      <c r="A912" s="862">
        <v>1630</v>
      </c>
      <c r="B912" s="863" t="s">
        <v>7419</v>
      </c>
      <c r="C912" s="862">
        <v>1630</v>
      </c>
      <c r="D912" s="165" t="s">
        <v>2148</v>
      </c>
      <c r="E912" s="165" t="s">
        <v>7420</v>
      </c>
      <c r="F912" s="163">
        <v>1</v>
      </c>
      <c r="G912" s="864"/>
      <c r="H912" s="864">
        <v>0</v>
      </c>
      <c r="I912" s="864">
        <v>22608.438255526627</v>
      </c>
      <c r="J912" s="864">
        <v>23321.332911396665</v>
      </c>
      <c r="K912" s="864">
        <v>24071.736076938294</v>
      </c>
      <c r="L912" s="18" t="s">
        <v>3902</v>
      </c>
      <c r="M912" s="442"/>
      <c r="N912" s="433"/>
      <c r="P912" s="527"/>
      <c r="T912" s="443"/>
      <c r="U912" s="440"/>
      <c r="V912" s="440"/>
      <c r="W912" s="440"/>
      <c r="X912" s="442"/>
    </row>
    <row r="913" spans="1:24" x14ac:dyDescent="0.25">
      <c r="A913" s="862">
        <v>1631</v>
      </c>
      <c r="B913" s="863" t="s">
        <v>7421</v>
      </c>
      <c r="C913" s="862">
        <v>1631</v>
      </c>
      <c r="D913" s="165" t="s">
        <v>2148</v>
      </c>
      <c r="E913" s="165" t="s">
        <v>7422</v>
      </c>
      <c r="F913" s="163">
        <v>1</v>
      </c>
      <c r="G913" s="864"/>
      <c r="H913" s="864">
        <v>18261.007014897248</v>
      </c>
      <c r="I913" s="864">
        <v>18821.351533295485</v>
      </c>
      <c r="J913" s="864">
        <v>19411.236915211477</v>
      </c>
      <c r="K913" s="864">
        <v>20032.154182147693</v>
      </c>
      <c r="L913" s="18" t="s">
        <v>2995</v>
      </c>
      <c r="M913" s="442"/>
      <c r="N913" s="433"/>
      <c r="P913" s="527"/>
      <c r="T913" s="443"/>
      <c r="U913" s="440"/>
      <c r="V913" s="440"/>
      <c r="W913" s="440"/>
      <c r="X913" s="442"/>
    </row>
    <row r="914" spans="1:24" x14ac:dyDescent="0.25">
      <c r="A914" s="862">
        <v>1632</v>
      </c>
      <c r="B914" s="863" t="s">
        <v>7423</v>
      </c>
      <c r="C914" s="862">
        <v>1632</v>
      </c>
      <c r="D914" s="165" t="s">
        <v>2148</v>
      </c>
      <c r="E914" s="165" t="s">
        <v>7424</v>
      </c>
      <c r="F914" s="163">
        <v>1</v>
      </c>
      <c r="G914" s="864"/>
      <c r="H914" s="864">
        <v>0</v>
      </c>
      <c r="I914" s="864">
        <v>0</v>
      </c>
      <c r="J914" s="864">
        <v>17701.062904309667</v>
      </c>
      <c r="K914" s="864">
        <v>18241.791171065994</v>
      </c>
      <c r="L914" s="18" t="s">
        <v>4631</v>
      </c>
      <c r="M914" s="442"/>
      <c r="N914" s="433"/>
      <c r="P914" s="527"/>
      <c r="T914" s="443"/>
      <c r="U914" s="440"/>
      <c r="V914" s="440"/>
      <c r="W914" s="440"/>
      <c r="X914" s="442"/>
    </row>
    <row r="915" spans="1:24" x14ac:dyDescent="0.25">
      <c r="A915" s="862">
        <v>1633</v>
      </c>
      <c r="B915" s="863" t="s">
        <v>7425</v>
      </c>
      <c r="C915" s="862">
        <v>1633</v>
      </c>
      <c r="D915" s="165" t="s">
        <v>2148</v>
      </c>
      <c r="E915" s="165" t="s">
        <v>7426</v>
      </c>
      <c r="F915" s="163">
        <v>1</v>
      </c>
      <c r="G915" s="864"/>
      <c r="H915" s="864">
        <v>0</v>
      </c>
      <c r="I915" s="864">
        <v>0</v>
      </c>
      <c r="J915" s="864">
        <v>16751.045368368952</v>
      </c>
      <c r="K915" s="864">
        <v>17258.458623429397</v>
      </c>
      <c r="L915" s="18" t="s">
        <v>4632</v>
      </c>
      <c r="M915" s="442"/>
      <c r="N915" s="433"/>
      <c r="P915" s="527"/>
      <c r="T915" s="443"/>
      <c r="U915" s="440"/>
      <c r="V915" s="440"/>
      <c r="W915" s="440"/>
      <c r="X915" s="442"/>
    </row>
    <row r="916" spans="1:24" x14ac:dyDescent="0.25">
      <c r="A916" s="862">
        <v>1634</v>
      </c>
      <c r="B916" s="863" t="s">
        <v>7427</v>
      </c>
      <c r="C916" s="862">
        <v>1634</v>
      </c>
      <c r="D916" s="165" t="s">
        <v>2148</v>
      </c>
      <c r="E916" s="165" t="s">
        <v>7428</v>
      </c>
      <c r="F916" s="163">
        <v>1</v>
      </c>
      <c r="G916" s="864"/>
      <c r="H916" s="864">
        <v>20746.152224808397</v>
      </c>
      <c r="I916" s="864">
        <v>0</v>
      </c>
      <c r="J916" s="864">
        <v>0</v>
      </c>
      <c r="K916" s="864">
        <v>0</v>
      </c>
      <c r="L916" s="18" t="s">
        <v>2996</v>
      </c>
      <c r="M916" s="442"/>
      <c r="N916" s="433"/>
      <c r="P916" s="527"/>
      <c r="T916" s="443"/>
      <c r="U916" s="440"/>
      <c r="V916" s="440"/>
      <c r="W916" s="440"/>
      <c r="X916" s="442"/>
    </row>
    <row r="917" spans="1:24" x14ac:dyDescent="0.25">
      <c r="A917" s="862">
        <v>1635</v>
      </c>
      <c r="B917" s="863" t="s">
        <v>7429</v>
      </c>
      <c r="C917" s="862">
        <v>1635</v>
      </c>
      <c r="D917" s="165" t="s">
        <v>2148</v>
      </c>
      <c r="E917" s="165" t="s">
        <v>7430</v>
      </c>
      <c r="F917" s="163">
        <v>1</v>
      </c>
      <c r="G917" s="864"/>
      <c r="H917" s="864">
        <v>20746.152224808397</v>
      </c>
      <c r="I917" s="864">
        <v>0</v>
      </c>
      <c r="J917" s="864">
        <v>0</v>
      </c>
      <c r="K917" s="864">
        <v>0</v>
      </c>
      <c r="L917" s="18" t="s">
        <v>2997</v>
      </c>
      <c r="M917" s="442"/>
      <c r="N917" s="433"/>
      <c r="P917" s="527"/>
      <c r="T917" s="443"/>
      <c r="U917" s="440"/>
      <c r="V917" s="440"/>
      <c r="W917" s="440"/>
      <c r="X917" s="442"/>
    </row>
    <row r="918" spans="1:24" x14ac:dyDescent="0.25">
      <c r="A918" s="862">
        <v>1636</v>
      </c>
      <c r="B918" s="863" t="s">
        <v>7431</v>
      </c>
      <c r="C918" s="862">
        <v>1636</v>
      </c>
      <c r="D918" s="165" t="s">
        <v>2148</v>
      </c>
      <c r="E918" s="165" t="s">
        <v>7432</v>
      </c>
      <c r="F918" s="163">
        <v>1</v>
      </c>
      <c r="G918" s="864"/>
      <c r="H918" s="864">
        <v>23734.617983562304</v>
      </c>
      <c r="I918" s="864">
        <v>24486.978114825939</v>
      </c>
      <c r="J918" s="864">
        <v>25278.990099170966</v>
      </c>
      <c r="K918" s="864">
        <v>26112.657496741329</v>
      </c>
      <c r="L918" s="18" t="s">
        <v>2998</v>
      </c>
      <c r="M918" s="442"/>
      <c r="N918" s="433"/>
      <c r="P918" s="527"/>
      <c r="T918" s="443"/>
      <c r="U918" s="440"/>
      <c r="V918" s="440"/>
      <c r="W918" s="440"/>
      <c r="X918" s="442"/>
    </row>
    <row r="919" spans="1:24" x14ac:dyDescent="0.25">
      <c r="A919" s="862">
        <v>1637</v>
      </c>
      <c r="B919" s="863" t="s">
        <v>7433</v>
      </c>
      <c r="C919" s="862">
        <v>1637</v>
      </c>
      <c r="D919" s="165" t="s">
        <v>2148</v>
      </c>
      <c r="E919" s="165" t="s">
        <v>7434</v>
      </c>
      <c r="F919" s="163">
        <v>1</v>
      </c>
      <c r="G919" s="864"/>
      <c r="H919" s="864">
        <v>0</v>
      </c>
      <c r="I919" s="864">
        <v>26320.427303242006</v>
      </c>
      <c r="J919" s="864">
        <v>27163.553368468696</v>
      </c>
      <c r="K919" s="864">
        <v>28051.037323393957</v>
      </c>
      <c r="L919" s="18" t="s">
        <v>3903</v>
      </c>
      <c r="M919" s="442"/>
      <c r="N919" s="433"/>
      <c r="P919" s="527"/>
      <c r="T919" s="443"/>
      <c r="U919" s="440"/>
      <c r="V919" s="440"/>
      <c r="W919" s="440"/>
      <c r="X919" s="442"/>
    </row>
    <row r="920" spans="1:24" x14ac:dyDescent="0.25">
      <c r="A920" s="862">
        <v>1638</v>
      </c>
      <c r="B920" s="863" t="s">
        <v>7435</v>
      </c>
      <c r="C920" s="862">
        <v>1638</v>
      </c>
      <c r="D920" s="165" t="s">
        <v>2148</v>
      </c>
      <c r="E920" s="165" t="s">
        <v>7436</v>
      </c>
      <c r="F920" s="163">
        <v>1</v>
      </c>
      <c r="G920" s="864"/>
      <c r="H920" s="864">
        <v>0</v>
      </c>
      <c r="I920" s="864">
        <v>0</v>
      </c>
      <c r="J920" s="864">
        <v>22967.054146577095</v>
      </c>
      <c r="K920" s="864">
        <v>23692.529296374254</v>
      </c>
      <c r="L920" s="18" t="s">
        <v>4633</v>
      </c>
      <c r="M920" s="442"/>
      <c r="N920" s="433"/>
      <c r="P920" s="527"/>
      <c r="T920" s="443"/>
      <c r="U920" s="440"/>
      <c r="V920" s="440"/>
      <c r="W920" s="440"/>
      <c r="X920" s="442"/>
    </row>
    <row r="921" spans="1:24" x14ac:dyDescent="0.25">
      <c r="A921" s="862">
        <v>1639</v>
      </c>
      <c r="B921" s="863" t="s">
        <v>7437</v>
      </c>
      <c r="C921" s="862">
        <v>1639</v>
      </c>
      <c r="D921" s="165" t="s">
        <v>2148</v>
      </c>
      <c r="E921" s="165" t="s">
        <v>7438</v>
      </c>
      <c r="F921" s="163">
        <v>1</v>
      </c>
      <c r="G921" s="864"/>
      <c r="H921" s="864">
        <v>0</v>
      </c>
      <c r="I921" s="864">
        <v>25357.826753580233</v>
      </c>
      <c r="J921" s="864">
        <v>26167.171862891504</v>
      </c>
      <c r="K921" s="864">
        <v>27019.104273867175</v>
      </c>
      <c r="L921" s="18" t="s">
        <v>3904</v>
      </c>
      <c r="M921" s="442"/>
      <c r="N921" s="433"/>
      <c r="P921" s="527"/>
      <c r="T921" s="443"/>
      <c r="U921" s="440"/>
      <c r="V921" s="440"/>
      <c r="W921" s="440"/>
      <c r="X921" s="442"/>
    </row>
    <row r="922" spans="1:24" x14ac:dyDescent="0.25">
      <c r="A922" s="862">
        <v>1640</v>
      </c>
      <c r="B922" s="863" t="s">
        <v>7439</v>
      </c>
      <c r="C922" s="862">
        <v>1640</v>
      </c>
      <c r="D922" s="165" t="s">
        <v>2148</v>
      </c>
      <c r="E922" s="165" t="s">
        <v>7440</v>
      </c>
      <c r="F922" s="163">
        <v>1</v>
      </c>
      <c r="G922" s="864"/>
      <c r="H922" s="864">
        <v>0</v>
      </c>
      <c r="I922" s="864">
        <v>0</v>
      </c>
      <c r="J922" s="864">
        <v>18418.294686410612</v>
      </c>
      <c r="K922" s="864">
        <v>18984.183941021176</v>
      </c>
      <c r="L922" s="18" t="s">
        <v>4634</v>
      </c>
      <c r="M922" s="442"/>
      <c r="N922" s="433"/>
      <c r="P922" s="527"/>
      <c r="T922" s="443"/>
      <c r="U922" s="440"/>
      <c r="V922" s="440"/>
      <c r="W922" s="440"/>
      <c r="X922" s="442"/>
    </row>
    <row r="923" spans="1:24" x14ac:dyDescent="0.25">
      <c r="A923" s="862">
        <v>1641</v>
      </c>
      <c r="B923" s="863" t="s">
        <v>7441</v>
      </c>
      <c r="C923" s="862">
        <v>1641</v>
      </c>
      <c r="D923" s="165" t="s">
        <v>2148</v>
      </c>
      <c r="E923" s="165" t="s">
        <v>7442</v>
      </c>
      <c r="F923" s="163">
        <v>1</v>
      </c>
      <c r="G923" s="864"/>
      <c r="H923" s="864">
        <v>0</v>
      </c>
      <c r="I923" s="864">
        <v>0</v>
      </c>
      <c r="J923" s="864">
        <v>18418.294686410612</v>
      </c>
      <c r="K923" s="864">
        <v>18984.183941021176</v>
      </c>
      <c r="L923" s="18" t="s">
        <v>4635</v>
      </c>
      <c r="M923" s="442"/>
      <c r="N923" s="433"/>
      <c r="P923" s="527"/>
      <c r="T923" s="443"/>
      <c r="U923" s="440"/>
      <c r="V923" s="440"/>
      <c r="W923" s="440"/>
      <c r="X923" s="442"/>
    </row>
    <row r="924" spans="1:24" x14ac:dyDescent="0.25">
      <c r="A924" s="862">
        <v>1642</v>
      </c>
      <c r="B924" s="863" t="s">
        <v>7443</v>
      </c>
      <c r="C924" s="862">
        <v>1642</v>
      </c>
      <c r="D924" s="165" t="s">
        <v>2148</v>
      </c>
      <c r="E924" s="165" t="s">
        <v>7444</v>
      </c>
      <c r="F924" s="163">
        <v>1</v>
      </c>
      <c r="G924" s="864"/>
      <c r="H924" s="864">
        <v>0</v>
      </c>
      <c r="I924" s="864">
        <v>0</v>
      </c>
      <c r="J924" s="864">
        <v>20532.240991550221</v>
      </c>
      <c r="K924" s="864">
        <v>21172.308565908828</v>
      </c>
      <c r="L924" s="18" t="s">
        <v>4636</v>
      </c>
      <c r="M924" s="442"/>
      <c r="N924" s="433"/>
      <c r="P924" s="527"/>
      <c r="T924" s="443"/>
      <c r="U924" s="440"/>
      <c r="V924" s="440"/>
      <c r="W924" s="440"/>
      <c r="X924" s="442"/>
    </row>
    <row r="925" spans="1:24" x14ac:dyDescent="0.25">
      <c r="A925" s="862">
        <v>1643</v>
      </c>
      <c r="B925" s="863" t="s">
        <v>7445</v>
      </c>
      <c r="C925" s="862">
        <v>1643</v>
      </c>
      <c r="D925" s="165" t="s">
        <v>2148</v>
      </c>
      <c r="E925" s="165" t="s">
        <v>7446</v>
      </c>
      <c r="F925" s="163">
        <v>1</v>
      </c>
      <c r="G925" s="864"/>
      <c r="H925" s="864">
        <v>0</v>
      </c>
      <c r="I925" s="864">
        <v>0</v>
      </c>
      <c r="J925" s="864">
        <v>19670.304551656995</v>
      </c>
      <c r="K925" s="864">
        <v>20280.132346168561</v>
      </c>
      <c r="L925" s="18" t="s">
        <v>4637</v>
      </c>
      <c r="M925" s="442"/>
      <c r="N925" s="433"/>
      <c r="P925" s="527"/>
      <c r="T925" s="443"/>
      <c r="U925" s="440"/>
      <c r="V925" s="440"/>
      <c r="W925" s="440"/>
      <c r="X925" s="442"/>
    </row>
    <row r="926" spans="1:24" x14ac:dyDescent="0.25">
      <c r="A926" s="862">
        <v>1644</v>
      </c>
      <c r="B926" s="863" t="s">
        <v>7447</v>
      </c>
      <c r="C926" s="862">
        <v>1644</v>
      </c>
      <c r="D926" s="165" t="s">
        <v>2148</v>
      </c>
      <c r="E926" s="165" t="s">
        <v>7448</v>
      </c>
      <c r="F926" s="163">
        <v>1</v>
      </c>
      <c r="G926" s="864"/>
      <c r="H926" s="864">
        <v>0</v>
      </c>
      <c r="I926" s="864">
        <v>0</v>
      </c>
      <c r="J926" s="864">
        <v>19670.304551656995</v>
      </c>
      <c r="K926" s="864">
        <v>20280.132346168561</v>
      </c>
      <c r="L926" s="18" t="s">
        <v>4638</v>
      </c>
      <c r="M926" s="442"/>
      <c r="N926" s="433"/>
      <c r="T926" s="443"/>
      <c r="U926" s="440"/>
      <c r="V926" s="440"/>
      <c r="W926" s="440"/>
      <c r="X926" s="442"/>
    </row>
    <row r="927" spans="1:24" x14ac:dyDescent="0.25">
      <c r="A927" s="862">
        <v>1645</v>
      </c>
      <c r="B927" s="863" t="s">
        <v>7449</v>
      </c>
      <c r="C927" s="862">
        <v>1645</v>
      </c>
      <c r="D927" s="165" t="s">
        <v>2148</v>
      </c>
      <c r="E927" s="165" t="s">
        <v>7450</v>
      </c>
      <c r="F927" s="163">
        <v>1</v>
      </c>
      <c r="G927" s="864"/>
      <c r="H927" s="864">
        <v>20424.656432070402</v>
      </c>
      <c r="I927" s="864">
        <v>0</v>
      </c>
      <c r="J927" s="864">
        <v>0</v>
      </c>
      <c r="K927" s="864">
        <v>0</v>
      </c>
      <c r="L927" s="18" t="s">
        <v>2999</v>
      </c>
      <c r="M927" s="442"/>
      <c r="N927" s="433"/>
      <c r="T927" s="443"/>
      <c r="U927" s="440"/>
      <c r="V927" s="440"/>
      <c r="W927" s="440"/>
      <c r="X927" s="442"/>
    </row>
    <row r="928" spans="1:24" x14ac:dyDescent="0.25">
      <c r="A928" s="862">
        <v>1646</v>
      </c>
      <c r="B928" s="863" t="s">
        <v>7451</v>
      </c>
      <c r="C928" s="862">
        <v>1646</v>
      </c>
      <c r="D928" s="165" t="s">
        <v>2148</v>
      </c>
      <c r="E928" s="165" t="s">
        <v>7452</v>
      </c>
      <c r="F928" s="163">
        <v>1</v>
      </c>
      <c r="G928" s="864"/>
      <c r="H928" s="864">
        <v>14053.853768675141</v>
      </c>
      <c r="I928" s="864">
        <v>14452.688050751523</v>
      </c>
      <c r="J928" s="864">
        <v>14872.505549665262</v>
      </c>
      <c r="K928" s="864">
        <v>15314.439665449896</v>
      </c>
      <c r="L928" s="18" t="s">
        <v>1204</v>
      </c>
      <c r="M928" s="442"/>
      <c r="N928" s="433"/>
      <c r="T928" s="443"/>
      <c r="U928" s="440"/>
      <c r="V928" s="440"/>
      <c r="W928" s="440"/>
      <c r="X928" s="442"/>
    </row>
    <row r="929" spans="1:24" x14ac:dyDescent="0.25">
      <c r="A929" s="862">
        <v>1647</v>
      </c>
      <c r="B929" s="863" t="s">
        <v>7453</v>
      </c>
      <c r="C929" s="862">
        <v>1647</v>
      </c>
      <c r="D929" s="165" t="s">
        <v>2148</v>
      </c>
      <c r="E929" s="165" t="s">
        <v>7454</v>
      </c>
      <c r="F929" s="163">
        <v>1</v>
      </c>
      <c r="G929" s="864"/>
      <c r="H929" s="864">
        <v>14653.033811467792</v>
      </c>
      <c r="I929" s="864">
        <v>15072.177396848065</v>
      </c>
      <c r="J929" s="864">
        <v>15513.376334232566</v>
      </c>
      <c r="K929" s="864">
        <v>15977.794656088179</v>
      </c>
      <c r="L929" s="18" t="s">
        <v>1205</v>
      </c>
      <c r="M929" s="442"/>
      <c r="N929" s="433"/>
      <c r="T929" s="443"/>
      <c r="U929" s="440"/>
      <c r="V929" s="440"/>
      <c r="W929" s="440"/>
      <c r="X929" s="442"/>
    </row>
    <row r="930" spans="1:24" x14ac:dyDescent="0.25">
      <c r="A930" s="862">
        <v>1648</v>
      </c>
      <c r="B930" s="863" t="s">
        <v>7455</v>
      </c>
      <c r="C930" s="862">
        <v>1648</v>
      </c>
      <c r="D930" s="165" t="s">
        <v>2148</v>
      </c>
      <c r="E930" s="165" t="s">
        <v>7456</v>
      </c>
      <c r="F930" s="163">
        <v>1</v>
      </c>
      <c r="G930" s="864"/>
      <c r="H930" s="864">
        <v>15367.562600586705</v>
      </c>
      <c r="I930" s="864">
        <v>0</v>
      </c>
      <c r="J930" s="864">
        <v>0</v>
      </c>
      <c r="K930" s="864">
        <v>0</v>
      </c>
      <c r="L930" s="18" t="s">
        <v>1206</v>
      </c>
      <c r="M930" s="442"/>
      <c r="N930" s="433"/>
      <c r="T930" s="443"/>
      <c r="U930" s="440"/>
      <c r="V930" s="440"/>
      <c r="W930" s="440"/>
      <c r="X930" s="442"/>
    </row>
    <row r="931" spans="1:24" x14ac:dyDescent="0.25">
      <c r="A931" s="862">
        <v>1649</v>
      </c>
      <c r="B931" s="863" t="s">
        <v>7457</v>
      </c>
      <c r="C931" s="862">
        <v>1649</v>
      </c>
      <c r="D931" s="165" t="s">
        <v>2148</v>
      </c>
      <c r="E931" s="165" t="s">
        <v>7458</v>
      </c>
      <c r="F931" s="163">
        <v>1</v>
      </c>
      <c r="G931" s="864"/>
      <c r="H931" s="864">
        <v>18870.224247466387</v>
      </c>
      <c r="I931" s="864">
        <v>19896.196337296209</v>
      </c>
      <c r="J931" s="864">
        <v>20436.184872199628</v>
      </c>
      <c r="K931" s="864">
        <v>21004.569672808488</v>
      </c>
      <c r="L931" s="18" t="s">
        <v>3905</v>
      </c>
      <c r="M931" s="442"/>
      <c r="N931" s="433"/>
      <c r="T931" s="443"/>
      <c r="U931" s="440"/>
      <c r="V931" s="440"/>
      <c r="W931" s="440"/>
      <c r="X931" s="442"/>
    </row>
    <row r="932" spans="1:24" x14ac:dyDescent="0.25">
      <c r="A932" s="862">
        <v>1650</v>
      </c>
      <c r="B932" s="863" t="s">
        <v>7459</v>
      </c>
      <c r="C932" s="862">
        <v>1650</v>
      </c>
      <c r="D932" s="165" t="s">
        <v>2148</v>
      </c>
      <c r="E932" s="165" t="s">
        <v>7460</v>
      </c>
      <c r="F932" s="163">
        <v>1</v>
      </c>
      <c r="G932" s="864"/>
      <c r="H932" s="864">
        <v>20296.226638192529</v>
      </c>
      <c r="I932" s="864">
        <v>21410.420136039247</v>
      </c>
      <c r="J932" s="864">
        <v>21996.816807451556</v>
      </c>
      <c r="K932" s="864">
        <v>22614.090971669772</v>
      </c>
      <c r="L932" s="18" t="s">
        <v>3906</v>
      </c>
      <c r="M932" s="442"/>
      <c r="N932" s="433"/>
      <c r="T932" s="443"/>
      <c r="U932" s="440"/>
      <c r="V932" s="440"/>
      <c r="W932" s="440"/>
      <c r="X932" s="442"/>
    </row>
    <row r="933" spans="1:24" x14ac:dyDescent="0.25">
      <c r="A933" s="862">
        <v>1651</v>
      </c>
      <c r="B933" s="863" t="s">
        <v>7461</v>
      </c>
      <c r="C933" s="862">
        <v>1651</v>
      </c>
      <c r="D933" s="165" t="s">
        <v>2148</v>
      </c>
      <c r="E933" s="165" t="s">
        <v>7462</v>
      </c>
      <c r="F933" s="163">
        <v>1</v>
      </c>
      <c r="G933" s="864"/>
      <c r="H933" s="864">
        <v>19618.532639356166</v>
      </c>
      <c r="I933" s="864">
        <v>0</v>
      </c>
      <c r="J933" s="864">
        <v>0</v>
      </c>
      <c r="K933" s="864">
        <v>0</v>
      </c>
      <c r="L933" s="18" t="s">
        <v>1207</v>
      </c>
      <c r="M933" s="442"/>
      <c r="N933" s="433"/>
      <c r="T933" s="443"/>
      <c r="U933" s="440"/>
      <c r="V933" s="440"/>
      <c r="W933" s="440"/>
      <c r="X933" s="442"/>
    </row>
    <row r="934" spans="1:24" x14ac:dyDescent="0.25">
      <c r="A934" s="862">
        <v>1652</v>
      </c>
      <c r="B934" s="863" t="s">
        <v>7463</v>
      </c>
      <c r="C934" s="862">
        <v>1652</v>
      </c>
      <c r="D934" s="165" t="s">
        <v>2148</v>
      </c>
      <c r="E934" s="165" t="s">
        <v>7464</v>
      </c>
      <c r="F934" s="163">
        <v>1</v>
      </c>
      <c r="G934" s="864"/>
      <c r="H934" s="864">
        <v>19618.532639356166</v>
      </c>
      <c r="I934" s="864">
        <v>0</v>
      </c>
      <c r="J934" s="864">
        <v>0</v>
      </c>
      <c r="K934" s="864">
        <v>0</v>
      </c>
      <c r="L934" s="18" t="s">
        <v>1208</v>
      </c>
      <c r="M934" s="442"/>
      <c r="N934" s="433"/>
      <c r="T934" s="443"/>
      <c r="U934" s="440"/>
      <c r="V934" s="440"/>
      <c r="W934" s="440"/>
      <c r="X934" s="442"/>
    </row>
    <row r="935" spans="1:24" x14ac:dyDescent="0.25">
      <c r="A935" s="862">
        <v>1653</v>
      </c>
      <c r="B935" s="863" t="s">
        <v>7465</v>
      </c>
      <c r="C935" s="862">
        <v>1653</v>
      </c>
      <c r="D935" s="165" t="s">
        <v>2148</v>
      </c>
      <c r="E935" s="165" t="s">
        <v>7466</v>
      </c>
      <c r="F935" s="163">
        <v>1</v>
      </c>
      <c r="G935" s="864"/>
      <c r="H935" s="864">
        <v>0</v>
      </c>
      <c r="I935" s="864">
        <v>24049.10625356013</v>
      </c>
      <c r="J935" s="864">
        <v>24716.433813854608</v>
      </c>
      <c r="K935" s="864">
        <v>25418.8661427558</v>
      </c>
      <c r="L935" s="18" t="s">
        <v>3907</v>
      </c>
      <c r="M935" s="442"/>
      <c r="N935" s="433"/>
      <c r="T935" s="443"/>
      <c r="U935" s="440"/>
      <c r="V935" s="440"/>
      <c r="W935" s="440"/>
      <c r="X935" s="442"/>
    </row>
    <row r="936" spans="1:24" x14ac:dyDescent="0.25">
      <c r="A936" s="862">
        <v>1654</v>
      </c>
      <c r="B936" s="863" t="s">
        <v>7467</v>
      </c>
      <c r="C936" s="862">
        <v>1654</v>
      </c>
      <c r="D936" s="165" t="s">
        <v>2148</v>
      </c>
      <c r="E936" s="165" t="s">
        <v>7468</v>
      </c>
      <c r="F936" s="163">
        <v>2</v>
      </c>
      <c r="G936" s="864"/>
      <c r="H936" s="864">
        <v>33059.137740000806</v>
      </c>
      <c r="I936" s="864">
        <v>34258.488136335116</v>
      </c>
      <c r="J936" s="864">
        <v>35520.943177211215</v>
      </c>
      <c r="K936" s="864">
        <v>36849.85275050292</v>
      </c>
      <c r="L936" s="18" t="s">
        <v>1209</v>
      </c>
      <c r="M936" s="442"/>
      <c r="N936" s="433"/>
      <c r="T936" s="443"/>
      <c r="U936" s="440"/>
      <c r="V936" s="440"/>
      <c r="W936" s="440"/>
      <c r="X936" s="442"/>
    </row>
    <row r="937" spans="1:24" x14ac:dyDescent="0.25">
      <c r="A937" s="862">
        <v>1655</v>
      </c>
      <c r="B937" s="863" t="s">
        <v>7469</v>
      </c>
      <c r="C937" s="862">
        <v>1655</v>
      </c>
      <c r="D937" s="165" t="s">
        <v>2148</v>
      </c>
      <c r="E937" s="165" t="s">
        <v>7470</v>
      </c>
      <c r="F937" s="163">
        <v>2</v>
      </c>
      <c r="G937" s="864"/>
      <c r="H937" s="864">
        <v>35977.218064572822</v>
      </c>
      <c r="I937" s="864">
        <v>37325.412127516458</v>
      </c>
      <c r="J937" s="864">
        <v>38744.587598380836</v>
      </c>
      <c r="K937" s="864">
        <v>40238.456515080179</v>
      </c>
      <c r="L937" s="18" t="s">
        <v>1210</v>
      </c>
      <c r="M937" s="442"/>
      <c r="N937" s="433"/>
      <c r="T937" s="443"/>
      <c r="U937" s="440"/>
      <c r="V937" s="440"/>
      <c r="W937" s="440"/>
      <c r="X937" s="442"/>
    </row>
    <row r="938" spans="1:24" x14ac:dyDescent="0.25">
      <c r="A938" s="862">
        <v>1656</v>
      </c>
      <c r="B938" s="863" t="s">
        <v>7471</v>
      </c>
      <c r="C938" s="862">
        <v>1656</v>
      </c>
      <c r="D938" s="165" t="s">
        <v>2148</v>
      </c>
      <c r="E938" s="165" t="s">
        <v>7472</v>
      </c>
      <c r="F938" s="163">
        <v>1</v>
      </c>
      <c r="G938" s="864"/>
      <c r="H938" s="864">
        <v>0</v>
      </c>
      <c r="I938" s="864">
        <v>0</v>
      </c>
      <c r="J938" s="864">
        <v>0</v>
      </c>
      <c r="K938" s="864">
        <v>25457.069497411583</v>
      </c>
      <c r="L938" s="18" t="s">
        <v>10901</v>
      </c>
      <c r="M938" s="442"/>
      <c r="N938" s="433"/>
      <c r="T938" s="443"/>
      <c r="U938" s="440"/>
      <c r="V938" s="440"/>
      <c r="W938" s="440"/>
      <c r="X938" s="442"/>
    </row>
    <row r="939" spans="1:24" x14ac:dyDescent="0.25">
      <c r="A939" s="862">
        <v>1657</v>
      </c>
      <c r="B939" s="863" t="s">
        <v>7473</v>
      </c>
      <c r="C939" s="862">
        <v>1657</v>
      </c>
      <c r="D939" s="165" t="s">
        <v>2148</v>
      </c>
      <c r="E939" s="165" t="s">
        <v>7474</v>
      </c>
      <c r="F939" s="163">
        <v>1</v>
      </c>
      <c r="G939" s="864"/>
      <c r="H939" s="864">
        <v>0</v>
      </c>
      <c r="I939" s="864">
        <v>0</v>
      </c>
      <c r="J939" s="864">
        <v>0</v>
      </c>
      <c r="K939" s="864">
        <v>24260.995374415666</v>
      </c>
      <c r="L939" s="18" t="s">
        <v>10902</v>
      </c>
      <c r="M939" s="442"/>
      <c r="N939" s="433"/>
      <c r="T939" s="443"/>
      <c r="U939" s="440"/>
      <c r="V939" s="440"/>
      <c r="W939" s="440"/>
      <c r="X939" s="442"/>
    </row>
    <row r="940" spans="1:24" x14ac:dyDescent="0.25">
      <c r="A940" s="862">
        <v>1658</v>
      </c>
      <c r="B940" s="863" t="s">
        <v>7475</v>
      </c>
      <c r="C940" s="862">
        <v>1658</v>
      </c>
      <c r="D940" s="165" t="s">
        <v>2148</v>
      </c>
      <c r="E940" s="165" t="s">
        <v>7476</v>
      </c>
      <c r="F940" s="163">
        <v>1</v>
      </c>
      <c r="G940" s="864"/>
      <c r="H940" s="864">
        <v>26743.359439303153</v>
      </c>
      <c r="I940" s="864">
        <v>27353.208188821078</v>
      </c>
      <c r="J940" s="864">
        <v>27995.180251725262</v>
      </c>
      <c r="K940" s="864">
        <v>28670.922977420159</v>
      </c>
      <c r="L940" s="18" t="s">
        <v>1211</v>
      </c>
      <c r="M940" s="442"/>
      <c r="N940" s="433"/>
      <c r="T940" s="443"/>
      <c r="U940" s="440"/>
      <c r="V940" s="440"/>
      <c r="W940" s="440"/>
      <c r="X940" s="442"/>
    </row>
    <row r="941" spans="1:24" x14ac:dyDescent="0.25">
      <c r="A941" s="862">
        <v>1659</v>
      </c>
      <c r="B941" s="863" t="s">
        <v>7477</v>
      </c>
      <c r="C941" s="862">
        <v>1659</v>
      </c>
      <c r="D941" s="165" t="s">
        <v>2148</v>
      </c>
      <c r="E941" s="165" t="s">
        <v>7478</v>
      </c>
      <c r="F941" s="163">
        <v>1</v>
      </c>
      <c r="G941" s="864"/>
      <c r="H941" s="864">
        <v>26812.448306527709</v>
      </c>
      <c r="I941" s="864">
        <v>27755.402480886965</v>
      </c>
      <c r="J941" s="864">
        <v>28748.005046965318</v>
      </c>
      <c r="K941" s="864">
        <v>29792.840980449328</v>
      </c>
      <c r="L941" s="18" t="s">
        <v>1212</v>
      </c>
      <c r="M941" s="442"/>
      <c r="N941" s="433"/>
      <c r="T941" s="443"/>
      <c r="U941" s="440"/>
      <c r="V941" s="440"/>
      <c r="W941" s="440"/>
      <c r="X941" s="442"/>
    </row>
    <row r="942" spans="1:24" x14ac:dyDescent="0.25">
      <c r="A942" s="862">
        <v>1660</v>
      </c>
      <c r="B942" s="863" t="s">
        <v>7479</v>
      </c>
      <c r="C942" s="862">
        <v>1660</v>
      </c>
      <c r="D942" s="165" t="s">
        <v>2148</v>
      </c>
      <c r="E942" s="165" t="s">
        <v>7480</v>
      </c>
      <c r="F942" s="163">
        <v>1</v>
      </c>
      <c r="G942" s="864"/>
      <c r="H942" s="864">
        <v>0</v>
      </c>
      <c r="I942" s="864">
        <v>26423.024689048045</v>
      </c>
      <c r="J942" s="864">
        <v>27363.674863338849</v>
      </c>
      <c r="K942" s="864">
        <v>28353.832941539695</v>
      </c>
      <c r="L942" s="18" t="s">
        <v>3908</v>
      </c>
      <c r="M942" s="442"/>
      <c r="N942" s="433"/>
      <c r="T942" s="443"/>
      <c r="U942" s="440"/>
      <c r="V942" s="440"/>
      <c r="W942" s="440"/>
      <c r="X942" s="442"/>
    </row>
    <row r="943" spans="1:24" x14ac:dyDescent="0.25">
      <c r="A943" s="862">
        <v>1661</v>
      </c>
      <c r="B943" s="863" t="s">
        <v>7481</v>
      </c>
      <c r="C943" s="862">
        <v>1661</v>
      </c>
      <c r="D943" s="165" t="s">
        <v>2148</v>
      </c>
      <c r="E943" s="165" t="s">
        <v>7482</v>
      </c>
      <c r="F943" s="163">
        <v>1</v>
      </c>
      <c r="G943" s="864"/>
      <c r="H943" s="864">
        <v>16124.918239353225</v>
      </c>
      <c r="I943" s="864">
        <v>16469.983027933329</v>
      </c>
      <c r="J943" s="864">
        <v>16833.223571608913</v>
      </c>
      <c r="K943" s="864">
        <v>17215.573368375819</v>
      </c>
      <c r="L943" s="18" t="s">
        <v>3000</v>
      </c>
      <c r="M943" s="442"/>
      <c r="N943" s="433"/>
      <c r="T943" s="443"/>
      <c r="U943" s="440"/>
      <c r="V943" s="440"/>
      <c r="W943" s="440"/>
      <c r="X943" s="442"/>
    </row>
    <row r="944" spans="1:24" x14ac:dyDescent="0.25">
      <c r="A944" s="862">
        <v>1662</v>
      </c>
      <c r="B944" s="863" t="s">
        <v>7483</v>
      </c>
      <c r="C944" s="862">
        <v>1662</v>
      </c>
      <c r="D944" s="165" t="s">
        <v>2148</v>
      </c>
      <c r="E944" s="165" t="s">
        <v>7484</v>
      </c>
      <c r="F944" s="163">
        <v>1</v>
      </c>
      <c r="G944" s="864"/>
      <c r="H944" s="864">
        <v>18756.236884908361</v>
      </c>
      <c r="I944" s="864">
        <v>19200.838185280245</v>
      </c>
      <c r="J944" s="864">
        <v>19668.850151077218</v>
      </c>
      <c r="K944" s="864">
        <v>20161.499142411474</v>
      </c>
      <c r="L944" s="18" t="s">
        <v>1213</v>
      </c>
      <c r="M944" s="442"/>
      <c r="N944" s="433"/>
      <c r="T944" s="443"/>
      <c r="U944" s="440"/>
      <c r="V944" s="440"/>
      <c r="W944" s="440"/>
      <c r="X944" s="442"/>
    </row>
    <row r="945" spans="1:24" x14ac:dyDescent="0.25">
      <c r="A945" s="862">
        <v>1663</v>
      </c>
      <c r="B945" s="863" t="s">
        <v>7485</v>
      </c>
      <c r="C945" s="862">
        <v>1663</v>
      </c>
      <c r="D945" s="165" t="s">
        <v>2148</v>
      </c>
      <c r="E945" s="165" t="s">
        <v>7486</v>
      </c>
      <c r="F945" s="163">
        <v>1</v>
      </c>
      <c r="G945" s="864"/>
      <c r="H945" s="864">
        <v>0</v>
      </c>
      <c r="I945" s="864">
        <v>19561.482509828187</v>
      </c>
      <c r="J945" s="864">
        <v>19992.264379085165</v>
      </c>
      <c r="K945" s="864">
        <v>20445.706454594128</v>
      </c>
      <c r="L945" s="18" t="s">
        <v>3909</v>
      </c>
      <c r="M945" s="442"/>
      <c r="N945" s="433"/>
      <c r="T945" s="443"/>
      <c r="U945" s="440"/>
      <c r="V945" s="440"/>
      <c r="W945" s="440"/>
      <c r="X945" s="442"/>
    </row>
    <row r="946" spans="1:24" x14ac:dyDescent="0.25">
      <c r="A946" s="862">
        <v>1664</v>
      </c>
      <c r="B946" s="863" t="s">
        <v>7487</v>
      </c>
      <c r="C946" s="862">
        <v>1664</v>
      </c>
      <c r="D946" s="165" t="s">
        <v>2148</v>
      </c>
      <c r="E946" s="165" t="s">
        <v>7488</v>
      </c>
      <c r="F946" s="163">
        <v>1</v>
      </c>
      <c r="G946" s="864"/>
      <c r="H946" s="864">
        <v>0</v>
      </c>
      <c r="I946" s="864">
        <v>20952.241016697852</v>
      </c>
      <c r="J946" s="864">
        <v>21417.690438976839</v>
      </c>
      <c r="K946" s="864">
        <v>21907.648759617194</v>
      </c>
      <c r="L946" s="18" t="s">
        <v>3910</v>
      </c>
      <c r="M946" s="442"/>
      <c r="N946" s="433"/>
      <c r="T946" s="443"/>
      <c r="U946" s="440"/>
      <c r="V946" s="440"/>
      <c r="W946" s="440"/>
      <c r="X946" s="442"/>
    </row>
    <row r="947" spans="1:24" x14ac:dyDescent="0.25">
      <c r="A947" s="862">
        <v>1665</v>
      </c>
      <c r="B947" s="863" t="s">
        <v>7489</v>
      </c>
      <c r="C947" s="862">
        <v>1665</v>
      </c>
      <c r="D947" s="165" t="s">
        <v>2148</v>
      </c>
      <c r="E947" s="165" t="s">
        <v>7490</v>
      </c>
      <c r="F947" s="163">
        <v>1</v>
      </c>
      <c r="G947" s="864"/>
      <c r="H947" s="864">
        <v>0</v>
      </c>
      <c r="I947" s="864">
        <v>23733.758030437188</v>
      </c>
      <c r="J947" s="864">
        <v>24268.579166524712</v>
      </c>
      <c r="K947" s="864">
        <v>24831.551673545619</v>
      </c>
      <c r="L947" s="18" t="s">
        <v>3911</v>
      </c>
      <c r="M947" s="442"/>
      <c r="N947" s="433"/>
      <c r="T947" s="443"/>
      <c r="U947" s="440"/>
      <c r="V947" s="440"/>
      <c r="W947" s="440"/>
      <c r="X947" s="442"/>
    </row>
    <row r="948" spans="1:24" x14ac:dyDescent="0.25">
      <c r="A948" s="862">
        <v>1666</v>
      </c>
      <c r="B948" s="863" t="s">
        <v>7491</v>
      </c>
      <c r="C948" s="862">
        <v>1666</v>
      </c>
      <c r="D948" s="165" t="s">
        <v>2148</v>
      </c>
      <c r="E948" s="165" t="s">
        <v>7492</v>
      </c>
      <c r="F948" s="163">
        <v>1</v>
      </c>
      <c r="G948" s="864"/>
      <c r="H948" s="864">
        <v>0</v>
      </c>
      <c r="I948" s="864">
        <v>24602.982097230732</v>
      </c>
      <c r="J948" s="864">
        <v>25159.475029927573</v>
      </c>
      <c r="K948" s="864">
        <v>25745.254174258625</v>
      </c>
      <c r="L948" s="18" t="s">
        <v>3912</v>
      </c>
      <c r="M948" s="442"/>
      <c r="N948" s="433"/>
      <c r="T948" s="443"/>
      <c r="U948" s="440"/>
      <c r="V948" s="440"/>
      <c r="W948" s="440"/>
      <c r="X948" s="442"/>
    </row>
    <row r="949" spans="1:24" x14ac:dyDescent="0.25">
      <c r="A949" s="862">
        <v>1667</v>
      </c>
      <c r="B949" s="863" t="s">
        <v>7493</v>
      </c>
      <c r="C949" s="862">
        <v>1667</v>
      </c>
      <c r="D949" s="165" t="s">
        <v>2148</v>
      </c>
      <c r="E949" s="165" t="s">
        <v>7494</v>
      </c>
      <c r="F949" s="163">
        <v>1</v>
      </c>
      <c r="G949" s="864"/>
      <c r="H949" s="864">
        <v>37390.488159361696</v>
      </c>
      <c r="I949" s="864">
        <v>38393.2009037803</v>
      </c>
      <c r="J949" s="864">
        <v>39448.688003168289</v>
      </c>
      <c r="K949" s="864">
        <v>40559.729535153543</v>
      </c>
      <c r="L949" s="18" t="s">
        <v>1214</v>
      </c>
      <c r="M949" s="442"/>
      <c r="N949" s="433"/>
      <c r="T949" s="443"/>
      <c r="U949" s="440"/>
      <c r="V949" s="440"/>
      <c r="W949" s="440"/>
      <c r="X949" s="442"/>
    </row>
    <row r="950" spans="1:24" x14ac:dyDescent="0.25">
      <c r="A950" s="862">
        <v>1668</v>
      </c>
      <c r="B950" s="863" t="s">
        <v>7495</v>
      </c>
      <c r="C950" s="862">
        <v>1668</v>
      </c>
      <c r="D950" s="165" t="s">
        <v>2148</v>
      </c>
      <c r="E950" s="165" t="s">
        <v>7496</v>
      </c>
      <c r="F950" s="163">
        <v>1</v>
      </c>
      <c r="G950" s="864"/>
      <c r="H950" s="864">
        <v>34671.223043018501</v>
      </c>
      <c r="I950" s="864">
        <v>35596.258533716522</v>
      </c>
      <c r="J950" s="864">
        <v>36569.992502861736</v>
      </c>
      <c r="K950" s="864">
        <v>37594.969428283061</v>
      </c>
      <c r="L950" s="18" t="s">
        <v>1215</v>
      </c>
      <c r="M950" s="442"/>
      <c r="N950" s="433"/>
      <c r="T950" s="443"/>
      <c r="U950" s="440"/>
      <c r="V950" s="440"/>
      <c r="W950" s="440"/>
      <c r="X950" s="442"/>
    </row>
    <row r="951" spans="1:24" x14ac:dyDescent="0.25">
      <c r="A951" s="862">
        <v>1669</v>
      </c>
      <c r="B951" s="863" t="s">
        <v>7497</v>
      </c>
      <c r="C951" s="862">
        <v>1669</v>
      </c>
      <c r="D951" s="165" t="s">
        <v>2148</v>
      </c>
      <c r="E951" s="165" t="s">
        <v>7498</v>
      </c>
      <c r="F951" s="163">
        <v>1</v>
      </c>
      <c r="G951" s="864"/>
      <c r="H951" s="864">
        <v>0</v>
      </c>
      <c r="I951" s="864">
        <v>35961.98103348766</v>
      </c>
      <c r="J951" s="864">
        <v>36809.245030545506</v>
      </c>
      <c r="K951" s="864">
        <v>37701.108069548471</v>
      </c>
      <c r="L951" s="18" t="s">
        <v>3913</v>
      </c>
      <c r="M951" s="442"/>
      <c r="N951" s="433"/>
      <c r="T951" s="443"/>
      <c r="U951" s="440"/>
      <c r="V951" s="440"/>
      <c r="W951" s="440"/>
      <c r="X951" s="442"/>
    </row>
    <row r="952" spans="1:24" x14ac:dyDescent="0.25">
      <c r="A952" s="862">
        <v>1670</v>
      </c>
      <c r="B952" s="863" t="s">
        <v>7499</v>
      </c>
      <c r="C952" s="862">
        <v>1670</v>
      </c>
      <c r="D952" s="165" t="s">
        <v>2148</v>
      </c>
      <c r="E952" s="165" t="s">
        <v>7500</v>
      </c>
      <c r="F952" s="163">
        <v>1</v>
      </c>
      <c r="G952" s="864"/>
      <c r="H952" s="864">
        <v>0</v>
      </c>
      <c r="I952" s="864">
        <v>36843.575337249335</v>
      </c>
      <c r="J952" s="864">
        <v>37713.009275390301</v>
      </c>
      <c r="K952" s="864">
        <v>38628.220254471249</v>
      </c>
      <c r="L952" s="18" t="s">
        <v>3914</v>
      </c>
      <c r="M952" s="442"/>
      <c r="N952" s="433"/>
      <c r="T952" s="443"/>
      <c r="U952" s="440"/>
      <c r="V952" s="440"/>
      <c r="W952" s="440"/>
      <c r="X952" s="442"/>
    </row>
    <row r="953" spans="1:24" x14ac:dyDescent="0.25">
      <c r="A953" s="862">
        <v>1671</v>
      </c>
      <c r="B953" s="863" t="s">
        <v>7501</v>
      </c>
      <c r="C953" s="862">
        <v>1671</v>
      </c>
      <c r="D953" s="165" t="s">
        <v>2148</v>
      </c>
      <c r="E953" s="165" t="s">
        <v>7502</v>
      </c>
      <c r="F953" s="163">
        <v>1</v>
      </c>
      <c r="G953" s="864"/>
      <c r="H953" s="864">
        <v>0</v>
      </c>
      <c r="I953" s="864">
        <v>0</v>
      </c>
      <c r="J953" s="864">
        <v>0</v>
      </c>
      <c r="K953" s="864">
        <v>50478.418862668266</v>
      </c>
      <c r="L953" s="18" t="s">
        <v>10903</v>
      </c>
      <c r="M953" s="442"/>
      <c r="N953" s="433"/>
      <c r="T953" s="443"/>
      <c r="U953" s="440"/>
      <c r="V953" s="440"/>
      <c r="W953" s="440"/>
      <c r="X953" s="442"/>
    </row>
    <row r="954" spans="1:24" x14ac:dyDescent="0.25">
      <c r="A954" s="862">
        <v>1672</v>
      </c>
      <c r="B954" s="863" t="s">
        <v>7503</v>
      </c>
      <c r="C954" s="862">
        <v>1672</v>
      </c>
      <c r="D954" s="165" t="s">
        <v>2148</v>
      </c>
      <c r="E954" s="165" t="s">
        <v>7504</v>
      </c>
      <c r="F954" s="163">
        <v>1</v>
      </c>
      <c r="G954" s="864"/>
      <c r="H954" s="864">
        <v>0</v>
      </c>
      <c r="I954" s="864">
        <v>0</v>
      </c>
      <c r="J954" s="864">
        <v>0</v>
      </c>
      <c r="K954" s="864">
        <v>49023.121901229584</v>
      </c>
      <c r="L954" s="18" t="s">
        <v>10904</v>
      </c>
      <c r="M954" s="442"/>
      <c r="N954" s="433"/>
      <c r="T954" s="443"/>
      <c r="U954" s="440"/>
      <c r="V954" s="440"/>
      <c r="W954" s="440"/>
      <c r="X954" s="442"/>
    </row>
    <row r="955" spans="1:24" x14ac:dyDescent="0.25">
      <c r="A955" s="862">
        <v>1673</v>
      </c>
      <c r="B955" s="863" t="s">
        <v>7505</v>
      </c>
      <c r="C955" s="862">
        <v>1673</v>
      </c>
      <c r="D955" s="165" t="s">
        <v>2148</v>
      </c>
      <c r="E955" s="165" t="s">
        <v>7506</v>
      </c>
      <c r="F955" s="163">
        <v>1</v>
      </c>
      <c r="G955" s="864"/>
      <c r="H955" s="864">
        <v>0</v>
      </c>
      <c r="I955" s="864">
        <v>0</v>
      </c>
      <c r="J955" s="864">
        <v>0</v>
      </c>
      <c r="K955" s="864">
        <v>47719.322016350648</v>
      </c>
      <c r="L955" s="18" t="s">
        <v>10905</v>
      </c>
      <c r="M955" s="442"/>
      <c r="N955" s="433"/>
      <c r="T955" s="443"/>
      <c r="U955" s="440"/>
      <c r="V955" s="440"/>
      <c r="W955" s="440"/>
      <c r="X955" s="442"/>
    </row>
    <row r="956" spans="1:24" x14ac:dyDescent="0.25">
      <c r="A956" s="862">
        <v>1674</v>
      </c>
      <c r="B956" s="863" t="s">
        <v>7507</v>
      </c>
      <c r="C956" s="862">
        <v>1674</v>
      </c>
      <c r="D956" s="165" t="s">
        <v>2148</v>
      </c>
      <c r="E956" s="165" t="s">
        <v>7508</v>
      </c>
      <c r="F956" s="163">
        <v>1</v>
      </c>
      <c r="G956" s="864"/>
      <c r="H956" s="864">
        <v>0</v>
      </c>
      <c r="I956" s="864">
        <v>0</v>
      </c>
      <c r="J956" s="864">
        <v>0</v>
      </c>
      <c r="K956" s="864">
        <v>46255.3893840315</v>
      </c>
      <c r="L956" s="18" t="s">
        <v>10906</v>
      </c>
      <c r="M956" s="442"/>
      <c r="N956" s="433"/>
      <c r="T956" s="443"/>
      <c r="U956" s="440"/>
      <c r="V956" s="440"/>
      <c r="W956" s="440"/>
      <c r="X956" s="442"/>
    </row>
    <row r="957" spans="1:24" x14ac:dyDescent="0.25">
      <c r="A957" s="862">
        <v>1675</v>
      </c>
      <c r="B957" s="863" t="s">
        <v>7509</v>
      </c>
      <c r="C957" s="862">
        <v>1675</v>
      </c>
      <c r="D957" s="165" t="s">
        <v>2148</v>
      </c>
      <c r="E957" s="165" t="s">
        <v>7510</v>
      </c>
      <c r="F957" s="163">
        <v>1</v>
      </c>
      <c r="G957" s="864"/>
      <c r="H957" s="864">
        <v>0</v>
      </c>
      <c r="I957" s="864">
        <v>38879.531958186279</v>
      </c>
      <c r="J957" s="864">
        <v>39800.208852603333</v>
      </c>
      <c r="K957" s="864">
        <v>40769.325065688739</v>
      </c>
      <c r="L957" s="18" t="s">
        <v>3915</v>
      </c>
      <c r="M957" s="442"/>
      <c r="N957" s="433"/>
      <c r="T957" s="443"/>
      <c r="U957" s="440"/>
      <c r="V957" s="440"/>
      <c r="W957" s="440"/>
      <c r="X957" s="442"/>
    </row>
    <row r="958" spans="1:24" x14ac:dyDescent="0.25">
      <c r="A958" s="862">
        <v>1676</v>
      </c>
      <c r="B958" s="863" t="s">
        <v>7511</v>
      </c>
      <c r="C958" s="862">
        <v>1676</v>
      </c>
      <c r="D958" s="165" t="s">
        <v>2148</v>
      </c>
      <c r="E958" s="165" t="s">
        <v>7512</v>
      </c>
      <c r="F958" s="163">
        <v>1</v>
      </c>
      <c r="G958" s="864"/>
      <c r="H958" s="864">
        <v>0</v>
      </c>
      <c r="I958" s="864">
        <v>36843.575337249335</v>
      </c>
      <c r="J958" s="864">
        <v>37713.009275390301</v>
      </c>
      <c r="K958" s="864">
        <v>38628.220254471249</v>
      </c>
      <c r="L958" s="18" t="s">
        <v>3916</v>
      </c>
      <c r="M958" s="442"/>
      <c r="N958" s="433"/>
      <c r="T958" s="443"/>
      <c r="U958" s="440"/>
      <c r="V958" s="440"/>
      <c r="W958" s="440"/>
      <c r="X958" s="442"/>
    </row>
    <row r="959" spans="1:24" x14ac:dyDescent="0.25">
      <c r="A959" s="862">
        <v>1677</v>
      </c>
      <c r="B959" s="863" t="s">
        <v>7513</v>
      </c>
      <c r="C959" s="862">
        <v>1677</v>
      </c>
      <c r="D959" s="165" t="s">
        <v>2148</v>
      </c>
      <c r="E959" s="165" t="s">
        <v>7514</v>
      </c>
      <c r="F959" s="163">
        <v>1</v>
      </c>
      <c r="G959" s="864"/>
      <c r="H959" s="864">
        <v>0</v>
      </c>
      <c r="I959" s="864">
        <v>38786.383616051906</v>
      </c>
      <c r="J959" s="864">
        <v>39704.704512479257</v>
      </c>
      <c r="K959" s="864">
        <v>40671.370487655367</v>
      </c>
      <c r="L959" s="18" t="s">
        <v>3917</v>
      </c>
      <c r="M959" s="442"/>
      <c r="N959" s="433"/>
      <c r="T959" s="443"/>
      <c r="U959" s="440"/>
      <c r="V959" s="440"/>
      <c r="W959" s="440"/>
      <c r="X959" s="442"/>
    </row>
    <row r="960" spans="1:24" x14ac:dyDescent="0.25">
      <c r="A960" s="862">
        <v>1678</v>
      </c>
      <c r="B960" s="863" t="s">
        <v>7515</v>
      </c>
      <c r="C960" s="862">
        <v>1678</v>
      </c>
      <c r="D960" s="165" t="s">
        <v>2148</v>
      </c>
      <c r="E960" s="165" t="s">
        <v>7516</v>
      </c>
      <c r="F960" s="163">
        <v>1</v>
      </c>
      <c r="G960" s="864"/>
      <c r="H960" s="864">
        <v>17172.392684336904</v>
      </c>
      <c r="I960" s="864">
        <v>0</v>
      </c>
      <c r="J960" s="864">
        <v>0</v>
      </c>
      <c r="K960" s="864">
        <v>0</v>
      </c>
      <c r="L960" s="18" t="s">
        <v>4639</v>
      </c>
      <c r="M960" s="442"/>
      <c r="N960" s="433"/>
      <c r="T960" s="443"/>
      <c r="U960" s="440"/>
      <c r="V960" s="440"/>
      <c r="W960" s="440"/>
      <c r="X960" s="442"/>
    </row>
    <row r="961" spans="1:24" x14ac:dyDescent="0.25">
      <c r="A961" s="862">
        <v>1679</v>
      </c>
      <c r="B961" s="863" t="s">
        <v>7517</v>
      </c>
      <c r="C961" s="862">
        <v>1679</v>
      </c>
      <c r="D961" s="165" t="s">
        <v>2148</v>
      </c>
      <c r="E961" s="165" t="s">
        <v>7518</v>
      </c>
      <c r="F961" s="163">
        <v>2</v>
      </c>
      <c r="G961" s="864"/>
      <c r="H961" s="864">
        <v>29660.107199894832</v>
      </c>
      <c r="I961" s="864">
        <v>30729.943688026822</v>
      </c>
      <c r="J961" s="864">
        <v>31856.139776197921</v>
      </c>
      <c r="K961" s="864">
        <v>33041.592664731434</v>
      </c>
      <c r="L961" s="18" t="s">
        <v>1216</v>
      </c>
      <c r="M961" s="442"/>
      <c r="N961" s="433"/>
      <c r="T961" s="443"/>
      <c r="U961" s="440"/>
      <c r="V961" s="440"/>
      <c r="W961" s="440"/>
      <c r="X961" s="442"/>
    </row>
    <row r="962" spans="1:24" x14ac:dyDescent="0.25">
      <c r="A962" s="862">
        <v>1680</v>
      </c>
      <c r="B962" s="863" t="s">
        <v>7519</v>
      </c>
      <c r="C962" s="862">
        <v>1680</v>
      </c>
      <c r="D962" s="165" t="s">
        <v>2148</v>
      </c>
      <c r="E962" s="165" t="s">
        <v>7520</v>
      </c>
      <c r="F962" s="163">
        <v>2</v>
      </c>
      <c r="G962" s="864"/>
      <c r="H962" s="864">
        <v>32291.4070216045</v>
      </c>
      <c r="I962" s="864">
        <v>33506.918363492201</v>
      </c>
      <c r="J962" s="864">
        <v>34786.394456267662</v>
      </c>
      <c r="K962" s="864">
        <v>36133.185187804702</v>
      </c>
      <c r="L962" s="18" t="s">
        <v>1217</v>
      </c>
      <c r="M962" s="442"/>
      <c r="N962" s="433"/>
      <c r="T962" s="443"/>
      <c r="U962" s="440"/>
      <c r="V962" s="440"/>
      <c r="W962" s="440"/>
      <c r="X962" s="442"/>
    </row>
    <row r="963" spans="1:24" x14ac:dyDescent="0.25">
      <c r="A963" s="862">
        <v>1681</v>
      </c>
      <c r="B963" s="863" t="s">
        <v>7521</v>
      </c>
      <c r="C963" s="862">
        <v>1681</v>
      </c>
      <c r="D963" s="165" t="s">
        <v>2148</v>
      </c>
      <c r="E963" s="165" t="s">
        <v>7522</v>
      </c>
      <c r="F963" s="163">
        <v>2</v>
      </c>
      <c r="G963" s="864"/>
      <c r="H963" s="864">
        <v>32291.4070216045</v>
      </c>
      <c r="I963" s="864">
        <v>33506.918363492201</v>
      </c>
      <c r="J963" s="864">
        <v>34786.394456267662</v>
      </c>
      <c r="K963" s="864">
        <v>36133.185187804702</v>
      </c>
      <c r="L963" s="18" t="s">
        <v>1218</v>
      </c>
      <c r="M963" s="442"/>
      <c r="N963" s="433"/>
      <c r="T963" s="443"/>
      <c r="U963" s="440"/>
      <c r="V963" s="440"/>
      <c r="W963" s="440"/>
      <c r="X963" s="442"/>
    </row>
    <row r="964" spans="1:24" x14ac:dyDescent="0.25">
      <c r="A964" s="862">
        <v>1682</v>
      </c>
      <c r="B964" s="863" t="s">
        <v>7523</v>
      </c>
      <c r="C964" s="862">
        <v>1682</v>
      </c>
      <c r="D964" s="165" t="s">
        <v>2148</v>
      </c>
      <c r="E964" s="165" t="s">
        <v>7524</v>
      </c>
      <c r="F964" s="163">
        <v>2</v>
      </c>
      <c r="G964" s="864"/>
      <c r="H964" s="864">
        <v>40005.625256760424</v>
      </c>
      <c r="I964" s="864">
        <v>41567.985799852679</v>
      </c>
      <c r="J964" s="864">
        <v>43212.554402118454</v>
      </c>
      <c r="K964" s="864">
        <v>44943.676864042689</v>
      </c>
      <c r="L964" s="18" t="s">
        <v>1219</v>
      </c>
      <c r="M964" s="442"/>
      <c r="N964" s="433"/>
      <c r="T964" s="443"/>
      <c r="U964" s="440"/>
      <c r="V964" s="440"/>
      <c r="W964" s="440"/>
      <c r="X964" s="442"/>
    </row>
    <row r="965" spans="1:24" x14ac:dyDescent="0.25">
      <c r="A965" s="862">
        <v>1683</v>
      </c>
      <c r="B965" s="863" t="s">
        <v>7525</v>
      </c>
      <c r="C965" s="862">
        <v>1683</v>
      </c>
      <c r="D965" s="165" t="s">
        <v>2148</v>
      </c>
      <c r="E965" s="165" t="s">
        <v>7526</v>
      </c>
      <c r="F965" s="163">
        <v>2</v>
      </c>
      <c r="G965" s="864"/>
      <c r="H965" s="864">
        <v>38521.398584887043</v>
      </c>
      <c r="I965" s="864">
        <v>40005.625256760424</v>
      </c>
      <c r="J965" s="864">
        <v>41567.985799852679</v>
      </c>
      <c r="K965" s="864">
        <v>43212.554402118454</v>
      </c>
      <c r="L965" s="18" t="s">
        <v>1220</v>
      </c>
      <c r="M965" s="442"/>
      <c r="N965" s="433"/>
      <c r="T965" s="443"/>
      <c r="U965" s="440"/>
      <c r="V965" s="440"/>
      <c r="W965" s="440"/>
      <c r="X965" s="442"/>
    </row>
    <row r="966" spans="1:24" x14ac:dyDescent="0.25">
      <c r="A966" s="862">
        <v>1684</v>
      </c>
      <c r="B966" s="863" t="s">
        <v>7527</v>
      </c>
      <c r="C966" s="862">
        <v>1684</v>
      </c>
      <c r="D966" s="165" t="s">
        <v>2148</v>
      </c>
      <c r="E966" s="165" t="s">
        <v>7528</v>
      </c>
      <c r="F966" s="163">
        <v>2</v>
      </c>
      <c r="G966" s="864"/>
      <c r="H966" s="864">
        <v>28637.352792316742</v>
      </c>
      <c r="I966" s="864">
        <v>29653.455268202608</v>
      </c>
      <c r="J966" s="864">
        <v>30723.065412559336</v>
      </c>
      <c r="K966" s="864">
        <v>31848.944619445072</v>
      </c>
      <c r="L966" s="18" t="s">
        <v>1221</v>
      </c>
      <c r="M966" s="442"/>
      <c r="N966" s="433"/>
      <c r="T966" s="443"/>
      <c r="U966" s="440"/>
      <c r="V966" s="440"/>
      <c r="W966" s="440"/>
      <c r="X966" s="442"/>
    </row>
    <row r="967" spans="1:24" x14ac:dyDescent="0.25">
      <c r="A967" s="862">
        <v>1685</v>
      </c>
      <c r="B967" s="863" t="s">
        <v>7529</v>
      </c>
      <c r="C967" s="862">
        <v>1685</v>
      </c>
      <c r="D967" s="165" t="s">
        <v>2148</v>
      </c>
      <c r="E967" s="165" t="s">
        <v>7530</v>
      </c>
      <c r="F967" s="163">
        <v>2</v>
      </c>
      <c r="G967" s="864"/>
      <c r="H967" s="864">
        <v>29637.659569331263</v>
      </c>
      <c r="I967" s="864">
        <v>30695.228224844297</v>
      </c>
      <c r="J967" s="864">
        <v>31808.47744907067</v>
      </c>
      <c r="K967" s="864">
        <v>32980.304442333691</v>
      </c>
      <c r="L967" s="18" t="s">
        <v>1222</v>
      </c>
      <c r="M967" s="442"/>
      <c r="N967" s="433"/>
      <c r="T967" s="443"/>
      <c r="U967" s="440"/>
      <c r="V967" s="440"/>
      <c r="W967" s="440"/>
      <c r="X967" s="442"/>
    </row>
    <row r="968" spans="1:24" x14ac:dyDescent="0.25">
      <c r="A968" s="862">
        <v>1686</v>
      </c>
      <c r="B968" s="863" t="s">
        <v>7531</v>
      </c>
      <c r="C968" s="862">
        <v>1686</v>
      </c>
      <c r="D968" s="165" t="s">
        <v>2148</v>
      </c>
      <c r="E968" s="165" t="s">
        <v>7532</v>
      </c>
      <c r="F968" s="163">
        <v>2</v>
      </c>
      <c r="G968" s="864"/>
      <c r="H968" s="864">
        <v>34269.414746254282</v>
      </c>
      <c r="I968" s="864">
        <v>35557.989858795096</v>
      </c>
      <c r="J968" s="864">
        <v>36914.377566403047</v>
      </c>
      <c r="K968" s="864">
        <v>38342.154100727224</v>
      </c>
      <c r="L968" s="18" t="s">
        <v>1223</v>
      </c>
      <c r="M968" s="442"/>
      <c r="N968" s="433"/>
      <c r="T968" s="443"/>
      <c r="U968" s="440"/>
      <c r="V968" s="440"/>
      <c r="W968" s="440"/>
      <c r="X968" s="442"/>
    </row>
    <row r="969" spans="1:24" x14ac:dyDescent="0.25">
      <c r="A969" s="862">
        <v>1687</v>
      </c>
      <c r="B969" s="863" t="s">
        <v>7533</v>
      </c>
      <c r="C969" s="862">
        <v>1687</v>
      </c>
      <c r="D969" s="165" t="s">
        <v>2148</v>
      </c>
      <c r="E969" s="165" t="s">
        <v>7534</v>
      </c>
      <c r="F969" s="163">
        <v>2</v>
      </c>
      <c r="G969" s="864"/>
      <c r="H969" s="864">
        <v>32195.607431717017</v>
      </c>
      <c r="I969" s="864">
        <v>33383.776445553616</v>
      </c>
      <c r="J969" s="864">
        <v>34634.506878871376</v>
      </c>
      <c r="K969" s="864">
        <v>35951.058082034011</v>
      </c>
      <c r="L969" s="18" t="s">
        <v>1224</v>
      </c>
      <c r="M969" s="442"/>
      <c r="N969" s="433"/>
      <c r="T969" s="443"/>
      <c r="U969" s="440"/>
      <c r="V969" s="440"/>
      <c r="W969" s="440"/>
      <c r="X969" s="442"/>
    </row>
    <row r="970" spans="1:24" x14ac:dyDescent="0.25">
      <c r="A970" s="862">
        <v>1688</v>
      </c>
      <c r="B970" s="863" t="s">
        <v>7535</v>
      </c>
      <c r="C970" s="862">
        <v>1688</v>
      </c>
      <c r="D970" s="165" t="s">
        <v>2148</v>
      </c>
      <c r="E970" s="165" t="s">
        <v>7536</v>
      </c>
      <c r="F970" s="163">
        <v>2</v>
      </c>
      <c r="G970" s="864"/>
      <c r="H970" s="864">
        <v>24283.154931326862</v>
      </c>
      <c r="I970" s="864">
        <v>25919.348813908113</v>
      </c>
      <c r="J970" s="864">
        <v>0</v>
      </c>
      <c r="K970" s="864">
        <v>0</v>
      </c>
      <c r="L970" s="18" t="s">
        <v>4640</v>
      </c>
      <c r="M970" s="442"/>
      <c r="N970" s="433"/>
      <c r="T970" s="443"/>
      <c r="U970" s="440"/>
      <c r="V970" s="440"/>
      <c r="W970" s="440"/>
      <c r="X970" s="442"/>
    </row>
    <row r="971" spans="1:24" x14ac:dyDescent="0.25">
      <c r="A971" s="862">
        <v>1689</v>
      </c>
      <c r="B971" s="863" t="s">
        <v>7537</v>
      </c>
      <c r="C971" s="862">
        <v>1689</v>
      </c>
      <c r="D971" s="165" t="s">
        <v>2148</v>
      </c>
      <c r="E971" s="165" t="s">
        <v>7538</v>
      </c>
      <c r="F971" s="163">
        <v>2</v>
      </c>
      <c r="G971" s="864"/>
      <c r="H971" s="864">
        <v>25086.715972986556</v>
      </c>
      <c r="I971" s="864">
        <v>26788.096862841958</v>
      </c>
      <c r="J971" s="864">
        <v>0</v>
      </c>
      <c r="K971" s="864">
        <v>0</v>
      </c>
      <c r="L971" s="18" t="s">
        <v>4641</v>
      </c>
      <c r="M971" s="442"/>
      <c r="N971" s="433"/>
      <c r="T971" s="443"/>
      <c r="U971" s="440"/>
      <c r="V971" s="440"/>
      <c r="W971" s="440"/>
      <c r="X971" s="442"/>
    </row>
    <row r="972" spans="1:24" x14ac:dyDescent="0.25">
      <c r="A972" s="862">
        <v>1690</v>
      </c>
      <c r="B972" s="863" t="s">
        <v>7539</v>
      </c>
      <c r="C972" s="862">
        <v>1690</v>
      </c>
      <c r="D972" s="165" t="s">
        <v>2148</v>
      </c>
      <c r="E972" s="165" t="s">
        <v>7540</v>
      </c>
      <c r="F972" s="163">
        <v>2</v>
      </c>
      <c r="G972" s="864"/>
      <c r="H972" s="864">
        <v>0</v>
      </c>
      <c r="I972" s="864">
        <v>0</v>
      </c>
      <c r="J972" s="864">
        <v>0</v>
      </c>
      <c r="K972" s="864">
        <v>43744.972842969546</v>
      </c>
      <c r="L972" s="18" t="s">
        <v>10907</v>
      </c>
      <c r="M972" s="442"/>
      <c r="N972" s="433"/>
      <c r="T972" s="443"/>
      <c r="U972" s="440"/>
      <c r="V972" s="440"/>
      <c r="W972" s="440"/>
      <c r="X972" s="442"/>
    </row>
    <row r="973" spans="1:24" x14ac:dyDescent="0.25">
      <c r="A973" s="862">
        <v>1691</v>
      </c>
      <c r="B973" s="863" t="s">
        <v>7541</v>
      </c>
      <c r="C973" s="862">
        <v>1691</v>
      </c>
      <c r="D973" s="165" t="s">
        <v>2148</v>
      </c>
      <c r="E973" s="165" t="s">
        <v>7542</v>
      </c>
      <c r="F973" s="163">
        <v>2</v>
      </c>
      <c r="G973" s="864"/>
      <c r="H973" s="864">
        <v>41427.975533862271</v>
      </c>
      <c r="I973" s="864">
        <v>42924.5605758647</v>
      </c>
      <c r="J973" s="864">
        <v>44499.913251656741</v>
      </c>
      <c r="K973" s="864">
        <v>46158.198286703118</v>
      </c>
      <c r="L973" s="18" t="s">
        <v>1225</v>
      </c>
      <c r="M973" s="442"/>
      <c r="N973" s="433"/>
      <c r="T973" s="443"/>
      <c r="U973" s="440"/>
      <c r="V973" s="440"/>
      <c r="W973" s="440"/>
      <c r="X973" s="442"/>
    </row>
    <row r="974" spans="1:24" x14ac:dyDescent="0.25">
      <c r="A974" s="862">
        <v>1692</v>
      </c>
      <c r="B974" s="863" t="s">
        <v>7543</v>
      </c>
      <c r="C974" s="862">
        <v>1692</v>
      </c>
      <c r="D974" s="165" t="s">
        <v>2148</v>
      </c>
      <c r="E974" s="165" t="s">
        <v>7544</v>
      </c>
      <c r="F974" s="163">
        <v>2</v>
      </c>
      <c r="G974" s="864"/>
      <c r="H974" s="864">
        <v>0</v>
      </c>
      <c r="I974" s="864">
        <v>45054.209748291432</v>
      </c>
      <c r="J974" s="864">
        <v>46653.328520485506</v>
      </c>
      <c r="K974" s="864">
        <v>0</v>
      </c>
      <c r="L974" s="18" t="s">
        <v>4642</v>
      </c>
      <c r="M974" s="442"/>
      <c r="N974" s="433"/>
      <c r="T974" s="443"/>
      <c r="U974" s="440"/>
      <c r="V974" s="440"/>
      <c r="W974" s="440"/>
      <c r="X974" s="442"/>
    </row>
    <row r="975" spans="1:24" x14ac:dyDescent="0.25">
      <c r="A975" s="862">
        <v>1693</v>
      </c>
      <c r="B975" s="863" t="s">
        <v>7545</v>
      </c>
      <c r="C975" s="862">
        <v>1693</v>
      </c>
      <c r="D975" s="165" t="s">
        <v>2148</v>
      </c>
      <c r="E975" s="165" t="s">
        <v>7546</v>
      </c>
      <c r="F975" s="163">
        <v>2</v>
      </c>
      <c r="G975" s="864"/>
      <c r="H975" s="864">
        <v>26627.294356785933</v>
      </c>
      <c r="I975" s="864">
        <v>27610.939135299872</v>
      </c>
      <c r="J975" s="864">
        <v>28646.326100837679</v>
      </c>
      <c r="K975" s="864">
        <v>29736.216647457477</v>
      </c>
      <c r="L975" s="18" t="s">
        <v>1226</v>
      </c>
      <c r="M975" s="442"/>
      <c r="N975" s="433"/>
      <c r="T975" s="443"/>
      <c r="U975" s="440"/>
      <c r="V975" s="440"/>
      <c r="W975" s="440"/>
      <c r="X975" s="442"/>
    </row>
    <row r="976" spans="1:24" x14ac:dyDescent="0.25">
      <c r="A976" s="862">
        <v>1694</v>
      </c>
      <c r="B976" s="863" t="s">
        <v>7547</v>
      </c>
      <c r="C976" s="862">
        <v>1694</v>
      </c>
      <c r="D976" s="165" t="s">
        <v>2148</v>
      </c>
      <c r="E976" s="165" t="s">
        <v>7548</v>
      </c>
      <c r="F976" s="163">
        <v>2</v>
      </c>
      <c r="G976" s="864"/>
      <c r="H976" s="864">
        <v>31568.628523541105</v>
      </c>
      <c r="I976" s="864">
        <v>32756.525924847381</v>
      </c>
      <c r="J976" s="864">
        <v>34006.939476879794</v>
      </c>
      <c r="K976" s="864">
        <v>35323.173798757067</v>
      </c>
      <c r="L976" s="18" t="s">
        <v>1227</v>
      </c>
      <c r="M976" s="442"/>
      <c r="N976" s="433"/>
      <c r="T976" s="443"/>
      <c r="U976" s="440"/>
      <c r="V976" s="440"/>
      <c r="W976" s="440"/>
      <c r="X976" s="442"/>
    </row>
    <row r="977" spans="1:24" x14ac:dyDescent="0.25">
      <c r="A977" s="862">
        <v>1695</v>
      </c>
      <c r="B977" s="863" t="s">
        <v>7549</v>
      </c>
      <c r="C977" s="862">
        <v>1695</v>
      </c>
      <c r="D977" s="165" t="s">
        <v>2148</v>
      </c>
      <c r="E977" s="165" t="s">
        <v>7550</v>
      </c>
      <c r="F977" s="163">
        <v>2</v>
      </c>
      <c r="G977" s="864"/>
      <c r="H977" s="864">
        <v>30225.339797372624</v>
      </c>
      <c r="I977" s="864">
        <v>31330.169033159422</v>
      </c>
      <c r="J977" s="864">
        <v>32493.168619187389</v>
      </c>
      <c r="K977" s="864">
        <v>33717.37156204498</v>
      </c>
      <c r="L977" s="18" t="s">
        <v>1228</v>
      </c>
      <c r="M977" s="442"/>
      <c r="N977" s="433"/>
      <c r="T977" s="443"/>
      <c r="U977" s="440"/>
      <c r="V977" s="440"/>
      <c r="W977" s="440"/>
      <c r="X977" s="442"/>
    </row>
    <row r="978" spans="1:24" x14ac:dyDescent="0.25">
      <c r="A978" s="862">
        <v>1696</v>
      </c>
      <c r="B978" s="863" t="s">
        <v>7551</v>
      </c>
      <c r="C978" s="862">
        <v>1696</v>
      </c>
      <c r="D978" s="165" t="s">
        <v>2148</v>
      </c>
      <c r="E978" s="165" t="s">
        <v>7552</v>
      </c>
      <c r="F978" s="163">
        <v>2</v>
      </c>
      <c r="G978" s="864"/>
      <c r="H978" s="864">
        <v>26401.875013852026</v>
      </c>
      <c r="I978" s="864">
        <v>27348.444681978788</v>
      </c>
      <c r="J978" s="864">
        <v>28344.855249417258</v>
      </c>
      <c r="K978" s="864">
        <v>29393.687035205348</v>
      </c>
      <c r="L978" s="18" t="s">
        <v>1229</v>
      </c>
      <c r="M978" s="442"/>
      <c r="N978" s="433"/>
      <c r="T978" s="443"/>
      <c r="U978" s="440"/>
      <c r="V978" s="440"/>
      <c r="W978" s="440"/>
      <c r="X978" s="442"/>
    </row>
    <row r="979" spans="1:24" x14ac:dyDescent="0.25">
      <c r="A979" s="862">
        <v>1697</v>
      </c>
      <c r="B979" s="863" t="s">
        <v>7553</v>
      </c>
      <c r="C979" s="862">
        <v>1697</v>
      </c>
      <c r="D979" s="165" t="s">
        <v>2148</v>
      </c>
      <c r="E979" s="165" t="s">
        <v>7554</v>
      </c>
      <c r="F979" s="163">
        <v>2</v>
      </c>
      <c r="G979" s="864"/>
      <c r="H979" s="864">
        <v>29883.349170357378</v>
      </c>
      <c r="I979" s="864">
        <v>31005.063651778382</v>
      </c>
      <c r="J979" s="864">
        <v>32185.853858541592</v>
      </c>
      <c r="K979" s="864">
        <v>33428.752797235444</v>
      </c>
      <c r="L979" s="18" t="s">
        <v>1230</v>
      </c>
      <c r="M979" s="442"/>
      <c r="N979" s="433"/>
      <c r="T979" s="443"/>
      <c r="U979" s="440"/>
      <c r="V979" s="440"/>
      <c r="W979" s="440"/>
      <c r="X979" s="442"/>
    </row>
    <row r="980" spans="1:24" x14ac:dyDescent="0.25">
      <c r="A980" s="862">
        <v>1698</v>
      </c>
      <c r="B980" s="863" t="s">
        <v>7555</v>
      </c>
      <c r="C980" s="862">
        <v>1698</v>
      </c>
      <c r="D980" s="165" t="s">
        <v>2148</v>
      </c>
      <c r="E980" s="165" t="s">
        <v>7556</v>
      </c>
      <c r="F980" s="163">
        <v>2</v>
      </c>
      <c r="G980" s="864"/>
      <c r="H980" s="864">
        <v>0</v>
      </c>
      <c r="I980" s="864">
        <v>0</v>
      </c>
      <c r="J980" s="864">
        <v>32259.259284712763</v>
      </c>
      <c r="K980" s="864">
        <v>0</v>
      </c>
      <c r="L980" s="18" t="s">
        <v>4643</v>
      </c>
      <c r="M980" s="442"/>
      <c r="N980" s="433"/>
      <c r="P980" s="467"/>
      <c r="T980" s="443"/>
      <c r="U980" s="440"/>
      <c r="V980" s="440"/>
      <c r="W980" s="440"/>
      <c r="X980" s="442"/>
    </row>
    <row r="981" spans="1:24" x14ac:dyDescent="0.25">
      <c r="A981" s="862">
        <v>1699</v>
      </c>
      <c r="B981" s="863" t="s">
        <v>7557</v>
      </c>
      <c r="C981" s="862">
        <v>1699</v>
      </c>
      <c r="D981" s="165" t="s">
        <v>2148</v>
      </c>
      <c r="E981" s="165" t="s">
        <v>7558</v>
      </c>
      <c r="F981" s="163">
        <v>2</v>
      </c>
      <c r="G981" s="864"/>
      <c r="H981" s="864">
        <v>24148.50763926376</v>
      </c>
      <c r="I981" s="864">
        <v>24996.210346358053</v>
      </c>
      <c r="J981" s="864">
        <v>25888.548045933134</v>
      </c>
      <c r="K981" s="864">
        <v>26827.829444496612</v>
      </c>
      <c r="L981" s="18" t="s">
        <v>1231</v>
      </c>
      <c r="M981" s="442"/>
      <c r="N981" s="433"/>
      <c r="P981" s="467"/>
      <c r="T981" s="443"/>
      <c r="U981" s="440"/>
      <c r="V981" s="440"/>
      <c r="W981" s="440"/>
      <c r="X981" s="442"/>
    </row>
    <row r="982" spans="1:24" x14ac:dyDescent="0.25">
      <c r="A982" s="862">
        <v>1700</v>
      </c>
      <c r="B982" s="863" t="s">
        <v>7559</v>
      </c>
      <c r="C982" s="862">
        <v>1700</v>
      </c>
      <c r="D982" s="165" t="s">
        <v>2148</v>
      </c>
      <c r="E982" s="165" t="s">
        <v>7560</v>
      </c>
      <c r="F982" s="163">
        <v>2</v>
      </c>
      <c r="G982" s="864"/>
      <c r="H982" s="864">
        <v>26775.651868403078</v>
      </c>
      <c r="I982" s="864">
        <v>27734.489369148803</v>
      </c>
      <c r="J982" s="864">
        <v>28743.846800531992</v>
      </c>
      <c r="K982" s="864">
        <v>29806.304481590592</v>
      </c>
      <c r="L982" s="18" t="s">
        <v>1232</v>
      </c>
      <c r="M982" s="442"/>
      <c r="N982" s="433"/>
      <c r="P982" s="467"/>
      <c r="T982" s="443"/>
      <c r="U982" s="440"/>
      <c r="V982" s="440"/>
      <c r="W982" s="440"/>
      <c r="X982" s="442"/>
    </row>
    <row r="983" spans="1:24" x14ac:dyDescent="0.25">
      <c r="A983" s="862">
        <v>1701</v>
      </c>
      <c r="B983" s="863" t="s">
        <v>7561</v>
      </c>
      <c r="C983" s="862">
        <v>1701</v>
      </c>
      <c r="D983" s="165" t="s">
        <v>2148</v>
      </c>
      <c r="E983" s="165" t="s">
        <v>7562</v>
      </c>
      <c r="F983" s="163">
        <v>2</v>
      </c>
      <c r="G983" s="864"/>
      <c r="H983" s="864">
        <v>21472.676252747209</v>
      </c>
      <c r="I983" s="864">
        <v>22210.692766351734</v>
      </c>
      <c r="J983" s="864">
        <v>22987.549871790448</v>
      </c>
      <c r="K983" s="864">
        <v>23805.28466304066</v>
      </c>
      <c r="L983" s="18" t="s">
        <v>1233</v>
      </c>
      <c r="M983" s="442"/>
      <c r="N983" s="433"/>
      <c r="P983" s="467"/>
      <c r="T983" s="443"/>
      <c r="U983" s="440"/>
      <c r="V983" s="440"/>
      <c r="W983" s="440"/>
      <c r="X983" s="442"/>
    </row>
    <row r="984" spans="1:24" x14ac:dyDescent="0.25">
      <c r="A984" s="862">
        <v>1702</v>
      </c>
      <c r="B984" s="863" t="s">
        <v>7563</v>
      </c>
      <c r="C984" s="862">
        <v>1702</v>
      </c>
      <c r="D984" s="165" t="s">
        <v>2148</v>
      </c>
      <c r="E984" s="165" t="s">
        <v>7564</v>
      </c>
      <c r="F984" s="163">
        <v>2</v>
      </c>
      <c r="G984" s="864"/>
      <c r="H984" s="864">
        <v>23956.513685889517</v>
      </c>
      <c r="I984" s="864">
        <v>24790.997916508783</v>
      </c>
      <c r="J984" s="864">
        <v>25669.438108283055</v>
      </c>
      <c r="K984" s="864">
        <v>26594.097698964892</v>
      </c>
      <c r="L984" s="18" t="s">
        <v>1234</v>
      </c>
      <c r="M984" s="442"/>
      <c r="N984" s="433"/>
      <c r="P984" s="467"/>
      <c r="T984" s="443"/>
      <c r="U984" s="440"/>
      <c r="V984" s="440"/>
      <c r="W984" s="440"/>
      <c r="X984" s="442"/>
    </row>
    <row r="985" spans="1:24" x14ac:dyDescent="0.25">
      <c r="A985" s="862">
        <v>1703</v>
      </c>
      <c r="B985" s="863" t="s">
        <v>7565</v>
      </c>
      <c r="C985" s="862">
        <v>1703</v>
      </c>
      <c r="D985" s="165" t="s">
        <v>2148</v>
      </c>
      <c r="E985" s="165" t="s">
        <v>7566</v>
      </c>
      <c r="F985" s="163">
        <v>2</v>
      </c>
      <c r="G985" s="864"/>
      <c r="H985" s="864">
        <v>21220.440759590783</v>
      </c>
      <c r="I985" s="864">
        <v>21932.699351571016</v>
      </c>
      <c r="J985" s="864">
        <v>22682.440472733888</v>
      </c>
      <c r="K985" s="864">
        <v>23471.655948301654</v>
      </c>
      <c r="L985" s="18" t="s">
        <v>1235</v>
      </c>
      <c r="M985" s="442"/>
      <c r="N985" s="433"/>
      <c r="P985" s="467"/>
      <c r="T985" s="443"/>
      <c r="U985" s="440"/>
      <c r="V985" s="440"/>
      <c r="W985" s="440"/>
      <c r="X985" s="442"/>
    </row>
    <row r="986" spans="1:24" x14ac:dyDescent="0.25">
      <c r="A986" s="862">
        <v>1704</v>
      </c>
      <c r="B986" s="863" t="s">
        <v>7567</v>
      </c>
      <c r="C986" s="862">
        <v>1704</v>
      </c>
      <c r="D986" s="165" t="s">
        <v>2148</v>
      </c>
      <c r="E986" s="165" t="s">
        <v>7568</v>
      </c>
      <c r="F986" s="163">
        <v>1</v>
      </c>
      <c r="G986" s="864"/>
      <c r="H986" s="864">
        <v>0</v>
      </c>
      <c r="I986" s="864">
        <v>0</v>
      </c>
      <c r="J986" s="864">
        <v>31820.262066633044</v>
      </c>
      <c r="K986" s="864">
        <v>33102.727677452909</v>
      </c>
      <c r="L986" s="18" t="s">
        <v>4644</v>
      </c>
      <c r="M986" s="442"/>
      <c r="N986" s="433"/>
      <c r="P986" s="467"/>
      <c r="T986" s="443"/>
      <c r="U986" s="440"/>
      <c r="V986" s="440"/>
      <c r="W986" s="440"/>
      <c r="X986" s="442"/>
    </row>
    <row r="987" spans="1:24" x14ac:dyDescent="0.25">
      <c r="A987" s="862">
        <v>1705</v>
      </c>
      <c r="B987" s="863" t="s">
        <v>7569</v>
      </c>
      <c r="C987" s="862">
        <v>1705</v>
      </c>
      <c r="D987" s="165" t="s">
        <v>2148</v>
      </c>
      <c r="E987" s="165" t="s">
        <v>7570</v>
      </c>
      <c r="F987" s="163">
        <v>1</v>
      </c>
      <c r="G987" s="864"/>
      <c r="H987" s="864">
        <v>30563.058866194868</v>
      </c>
      <c r="I987" s="864">
        <v>31802.501943079402</v>
      </c>
      <c r="J987" s="864">
        <v>33107.168495075042</v>
      </c>
      <c r="K987" s="864">
        <v>34480.539734851343</v>
      </c>
      <c r="L987" s="18" t="s">
        <v>1236</v>
      </c>
      <c r="M987" s="442"/>
      <c r="N987" s="433"/>
      <c r="P987" s="467"/>
      <c r="T987" s="443"/>
      <c r="U987" s="440"/>
      <c r="V987" s="440"/>
      <c r="W987" s="440"/>
      <c r="X987" s="442"/>
    </row>
    <row r="988" spans="1:24" x14ac:dyDescent="0.25">
      <c r="A988" s="862">
        <v>1706</v>
      </c>
      <c r="B988" s="863" t="s">
        <v>7571</v>
      </c>
      <c r="C988" s="862">
        <v>1706</v>
      </c>
      <c r="D988" s="165" t="s">
        <v>2148</v>
      </c>
      <c r="E988" s="165" t="s">
        <v>7572</v>
      </c>
      <c r="F988" s="163">
        <v>1</v>
      </c>
      <c r="G988" s="864"/>
      <c r="H988" s="864">
        <v>29754.562175130166</v>
      </c>
      <c r="I988" s="864">
        <v>0</v>
      </c>
      <c r="J988" s="864">
        <v>32157.452799489853</v>
      </c>
      <c r="K988" s="864">
        <v>33454.565776825097</v>
      </c>
      <c r="L988" s="18" t="s">
        <v>4645</v>
      </c>
      <c r="M988" s="442"/>
      <c r="N988" s="433"/>
      <c r="P988" s="467"/>
      <c r="T988" s="443"/>
      <c r="U988" s="440"/>
      <c r="V988" s="440"/>
      <c r="W988" s="440"/>
      <c r="X988" s="442"/>
    </row>
    <row r="989" spans="1:24" x14ac:dyDescent="0.25">
      <c r="A989" s="862">
        <v>1707</v>
      </c>
      <c r="B989" s="863" t="s">
        <v>7573</v>
      </c>
      <c r="C989" s="862">
        <v>1707</v>
      </c>
      <c r="D989" s="165" t="s">
        <v>2148</v>
      </c>
      <c r="E989" s="165" t="s">
        <v>7574</v>
      </c>
      <c r="F989" s="163">
        <v>1</v>
      </c>
      <c r="G989" s="864"/>
      <c r="H989" s="864">
        <v>0</v>
      </c>
      <c r="I989" s="864">
        <v>0</v>
      </c>
      <c r="J989" s="864">
        <v>32232.495673227768</v>
      </c>
      <c r="K989" s="864">
        <v>33532.866540155657</v>
      </c>
      <c r="L989" s="18" t="s">
        <v>4646</v>
      </c>
      <c r="M989" s="442"/>
      <c r="N989" s="433"/>
      <c r="P989" s="467"/>
      <c r="T989" s="443"/>
      <c r="U989" s="440"/>
      <c r="V989" s="440"/>
      <c r="W989" s="440"/>
      <c r="X989" s="442"/>
    </row>
    <row r="990" spans="1:24" x14ac:dyDescent="0.25">
      <c r="A990" s="862">
        <v>1708</v>
      </c>
      <c r="B990" s="863" t="s">
        <v>7575</v>
      </c>
      <c r="C990" s="862">
        <v>1708</v>
      </c>
      <c r="D990" s="165" t="s">
        <v>2148</v>
      </c>
      <c r="E990" s="165" t="s">
        <v>7576</v>
      </c>
      <c r="F990" s="163">
        <v>1</v>
      </c>
      <c r="G990" s="864"/>
      <c r="H990" s="864">
        <v>0</v>
      </c>
      <c r="I990" s="864">
        <v>0</v>
      </c>
      <c r="J990" s="864">
        <v>0</v>
      </c>
      <c r="K990" s="864">
        <v>33118.805101677339</v>
      </c>
      <c r="L990" s="18" t="s">
        <v>10908</v>
      </c>
      <c r="M990" s="442"/>
      <c r="N990" s="433"/>
      <c r="P990" s="467"/>
      <c r="T990" s="443"/>
      <c r="U990" s="440"/>
      <c r="V990" s="440"/>
      <c r="W990" s="440"/>
      <c r="X990" s="442"/>
    </row>
    <row r="991" spans="1:24" x14ac:dyDescent="0.25">
      <c r="A991" s="862">
        <v>1709</v>
      </c>
      <c r="B991" s="863" t="s">
        <v>7577</v>
      </c>
      <c r="C991" s="862">
        <v>1709</v>
      </c>
      <c r="D991" s="165" t="s">
        <v>2148</v>
      </c>
      <c r="E991" s="165" t="s">
        <v>7578</v>
      </c>
      <c r="F991" s="163">
        <v>1</v>
      </c>
      <c r="G991" s="864"/>
      <c r="H991" s="864">
        <v>0</v>
      </c>
      <c r="I991" s="864">
        <v>0</v>
      </c>
      <c r="J991" s="864">
        <v>0</v>
      </c>
      <c r="K991" s="864">
        <v>34553.659284046735</v>
      </c>
      <c r="L991" s="18" t="s">
        <v>10909</v>
      </c>
      <c r="M991" s="442"/>
      <c r="N991" s="433"/>
      <c r="P991" s="467"/>
      <c r="T991" s="443"/>
      <c r="U991" s="440"/>
      <c r="V991" s="440"/>
      <c r="W991" s="440"/>
      <c r="X991" s="442"/>
    </row>
    <row r="992" spans="1:24" x14ac:dyDescent="0.25">
      <c r="A992" s="862">
        <v>1710</v>
      </c>
      <c r="B992" s="863" t="s">
        <v>7579</v>
      </c>
      <c r="C992" s="862">
        <v>1710</v>
      </c>
      <c r="D992" s="165" t="s">
        <v>2148</v>
      </c>
      <c r="E992" s="165" t="s">
        <v>7580</v>
      </c>
      <c r="F992" s="163">
        <v>1</v>
      </c>
      <c r="G992" s="864"/>
      <c r="H992" s="864">
        <v>0</v>
      </c>
      <c r="I992" s="864">
        <v>0</v>
      </c>
      <c r="J992" s="864">
        <v>0</v>
      </c>
      <c r="K992" s="864">
        <v>48887.852565916895</v>
      </c>
      <c r="L992" s="18" t="s">
        <v>10910</v>
      </c>
      <c r="M992" s="442"/>
      <c r="N992" s="433"/>
      <c r="P992" s="467"/>
      <c r="T992" s="443"/>
      <c r="U992" s="440"/>
      <c r="V992" s="440"/>
      <c r="W992" s="440"/>
      <c r="X992" s="442"/>
    </row>
    <row r="993" spans="1:24" x14ac:dyDescent="0.25">
      <c r="A993" s="862">
        <v>1711</v>
      </c>
      <c r="B993" s="863" t="s">
        <v>7581</v>
      </c>
      <c r="C993" s="862">
        <v>1711</v>
      </c>
      <c r="D993" s="165" t="s">
        <v>2148</v>
      </c>
      <c r="E993" s="165" t="s">
        <v>7582</v>
      </c>
      <c r="F993" s="163">
        <v>1</v>
      </c>
      <c r="G993" s="864"/>
      <c r="H993" s="864">
        <v>0</v>
      </c>
      <c r="I993" s="864">
        <v>35146.671110315991</v>
      </c>
      <c r="J993" s="864">
        <v>36622.114132894552</v>
      </c>
      <c r="K993" s="864">
        <v>38175.260449588357</v>
      </c>
      <c r="L993" s="18" t="s">
        <v>1237</v>
      </c>
      <c r="M993" s="442"/>
      <c r="N993" s="433"/>
      <c r="P993" s="467"/>
      <c r="T993" s="443"/>
      <c r="U993" s="440"/>
      <c r="V993" s="440"/>
      <c r="W993" s="440"/>
      <c r="X993" s="442"/>
    </row>
    <row r="994" spans="1:24" x14ac:dyDescent="0.25">
      <c r="A994" s="862">
        <v>1712</v>
      </c>
      <c r="B994" s="863" t="s">
        <v>7583</v>
      </c>
      <c r="C994" s="862">
        <v>1712</v>
      </c>
      <c r="D994" s="165" t="s">
        <v>2148</v>
      </c>
      <c r="E994" s="165" t="s">
        <v>7584</v>
      </c>
      <c r="F994" s="163">
        <v>1</v>
      </c>
      <c r="G994" s="864"/>
      <c r="H994" s="864">
        <v>0</v>
      </c>
      <c r="I994" s="864">
        <v>0</v>
      </c>
      <c r="J994" s="864">
        <v>48134.554120172965</v>
      </c>
      <c r="K994" s="864">
        <v>50124.55978526947</v>
      </c>
      <c r="L994" s="18" t="s">
        <v>4647</v>
      </c>
      <c r="M994" s="442"/>
      <c r="N994" s="433"/>
      <c r="P994" s="466"/>
      <c r="T994" s="443"/>
      <c r="U994" s="440"/>
      <c r="V994" s="440"/>
      <c r="W994" s="440"/>
      <c r="X994" s="442"/>
    </row>
    <row r="995" spans="1:24" x14ac:dyDescent="0.25">
      <c r="A995" s="862">
        <v>1713</v>
      </c>
      <c r="B995" s="863" t="s">
        <v>7585</v>
      </c>
      <c r="C995" s="862">
        <v>1713</v>
      </c>
      <c r="D995" s="165" t="s">
        <v>2148</v>
      </c>
      <c r="E995" s="165" t="s">
        <v>7586</v>
      </c>
      <c r="F995" s="163">
        <v>1</v>
      </c>
      <c r="G995" s="864"/>
      <c r="H995" s="864">
        <v>43340.135170229267</v>
      </c>
      <c r="I995" s="864">
        <v>0</v>
      </c>
      <c r="J995" s="864">
        <v>0</v>
      </c>
      <c r="K995" s="864">
        <v>0</v>
      </c>
      <c r="L995" s="18" t="s">
        <v>1238</v>
      </c>
      <c r="M995" s="442"/>
      <c r="N995" s="433"/>
      <c r="P995" s="466"/>
      <c r="T995" s="443"/>
      <c r="U995" s="440"/>
      <c r="V995" s="440"/>
      <c r="W995" s="440"/>
      <c r="X995" s="442"/>
    </row>
    <row r="996" spans="1:24" x14ac:dyDescent="0.25">
      <c r="A996" s="862">
        <v>1714</v>
      </c>
      <c r="B996" s="863" t="s">
        <v>7587</v>
      </c>
      <c r="C996" s="862">
        <v>1714</v>
      </c>
      <c r="D996" s="165" t="s">
        <v>2148</v>
      </c>
      <c r="E996" s="165" t="s">
        <v>7588</v>
      </c>
      <c r="F996" s="163">
        <v>1</v>
      </c>
      <c r="G996" s="864"/>
      <c r="H996" s="864">
        <v>0</v>
      </c>
      <c r="I996" s="864">
        <v>0</v>
      </c>
      <c r="J996" s="864">
        <v>0</v>
      </c>
      <c r="K996" s="864">
        <v>50116.79742188727</v>
      </c>
      <c r="L996" s="18" t="s">
        <v>10911</v>
      </c>
      <c r="M996" s="442"/>
      <c r="N996" s="433"/>
      <c r="P996" s="466"/>
      <c r="T996" s="443"/>
      <c r="U996" s="440"/>
      <c r="V996" s="440"/>
      <c r="W996" s="440"/>
      <c r="X996" s="442"/>
    </row>
    <row r="997" spans="1:24" x14ac:dyDescent="0.25">
      <c r="A997" s="862">
        <v>1715</v>
      </c>
      <c r="B997" s="863" t="s">
        <v>7589</v>
      </c>
      <c r="C997" s="862">
        <v>1715</v>
      </c>
      <c r="D997" s="165" t="s">
        <v>2148</v>
      </c>
      <c r="E997" s="165" t="s">
        <v>7590</v>
      </c>
      <c r="F997" s="163">
        <v>1</v>
      </c>
      <c r="G997" s="864"/>
      <c r="H997" s="864">
        <v>0</v>
      </c>
      <c r="I997" s="864">
        <v>0</v>
      </c>
      <c r="J997" s="864">
        <v>0</v>
      </c>
      <c r="K997" s="864">
        <v>52467.813750928522</v>
      </c>
      <c r="L997" s="18" t="s">
        <v>10912</v>
      </c>
      <c r="M997" s="442"/>
      <c r="N997" s="433"/>
      <c r="P997" s="466"/>
      <c r="T997" s="443"/>
      <c r="U997" s="440"/>
      <c r="V997" s="440"/>
      <c r="W997" s="440"/>
      <c r="X997" s="442"/>
    </row>
    <row r="998" spans="1:24" x14ac:dyDescent="0.25">
      <c r="A998" s="862">
        <v>1716</v>
      </c>
      <c r="B998" s="863" t="s">
        <v>7591</v>
      </c>
      <c r="C998" s="862">
        <v>1716</v>
      </c>
      <c r="D998" s="165" t="s">
        <v>2148</v>
      </c>
      <c r="E998" s="165" t="s">
        <v>7592</v>
      </c>
      <c r="F998" s="163">
        <v>1</v>
      </c>
      <c r="G998" s="864"/>
      <c r="H998" s="864">
        <v>32702.620857415066</v>
      </c>
      <c r="I998" s="864">
        <v>34046.368947871022</v>
      </c>
      <c r="J998" s="864">
        <v>35460.857907103069</v>
      </c>
      <c r="K998" s="864">
        <v>36949.831680812429</v>
      </c>
      <c r="L998" s="18" t="s">
        <v>1239</v>
      </c>
      <c r="M998" s="442"/>
      <c r="N998" s="433"/>
      <c r="P998" s="466"/>
      <c r="T998" s="443"/>
      <c r="U998" s="440"/>
      <c r="V998" s="440"/>
      <c r="W998" s="440"/>
      <c r="X998" s="442"/>
    </row>
    <row r="999" spans="1:24" x14ac:dyDescent="0.25">
      <c r="A999" s="862">
        <v>1717</v>
      </c>
      <c r="B999" s="863" t="s">
        <v>7593</v>
      </c>
      <c r="C999" s="862">
        <v>1717</v>
      </c>
      <c r="D999" s="165" t="s">
        <v>2148</v>
      </c>
      <c r="E999" s="165" t="s">
        <v>7594</v>
      </c>
      <c r="F999" s="163">
        <v>1</v>
      </c>
      <c r="G999" s="864"/>
      <c r="H999" s="864">
        <v>0</v>
      </c>
      <c r="I999" s="864">
        <v>34046.434631128948</v>
      </c>
      <c r="J999" s="864">
        <v>35460.989273618907</v>
      </c>
      <c r="K999" s="864">
        <v>36949.963047328274</v>
      </c>
      <c r="L999" s="18" t="s">
        <v>1240</v>
      </c>
      <c r="M999" s="442"/>
      <c r="N999" s="433"/>
      <c r="P999" s="466"/>
      <c r="T999" s="443"/>
      <c r="U999" s="440"/>
      <c r="V999" s="440"/>
      <c r="W999" s="440"/>
      <c r="X999" s="442"/>
    </row>
    <row r="1000" spans="1:24" x14ac:dyDescent="0.25">
      <c r="A1000" s="862">
        <v>1718</v>
      </c>
      <c r="B1000" s="863" t="s">
        <v>7595</v>
      </c>
      <c r="C1000" s="862">
        <v>1718</v>
      </c>
      <c r="D1000" s="165" t="s">
        <v>2148</v>
      </c>
      <c r="E1000" s="165" t="s">
        <v>7596</v>
      </c>
      <c r="F1000" s="163">
        <v>1</v>
      </c>
      <c r="G1000" s="864"/>
      <c r="H1000" s="864">
        <v>0</v>
      </c>
      <c r="I1000" s="864">
        <v>0</v>
      </c>
      <c r="J1000" s="864">
        <v>41297.473941182841</v>
      </c>
      <c r="K1000" s="864">
        <v>42990.985380044214</v>
      </c>
      <c r="L1000" s="18" t="s">
        <v>4648</v>
      </c>
      <c r="M1000" s="442"/>
      <c r="N1000" s="433"/>
      <c r="P1000" s="466"/>
      <c r="T1000" s="443"/>
      <c r="U1000" s="440"/>
      <c r="V1000" s="440"/>
      <c r="W1000" s="440"/>
      <c r="X1000" s="442"/>
    </row>
    <row r="1001" spans="1:24" x14ac:dyDescent="0.25">
      <c r="A1001" s="862">
        <v>1719</v>
      </c>
      <c r="B1001" s="863" t="s">
        <v>7597</v>
      </c>
      <c r="C1001" s="862">
        <v>1719</v>
      </c>
      <c r="D1001" s="165" t="s">
        <v>2148</v>
      </c>
      <c r="E1001" s="165" t="s">
        <v>7598</v>
      </c>
      <c r="F1001" s="163">
        <v>1</v>
      </c>
      <c r="G1001" s="864"/>
      <c r="H1001" s="864">
        <v>0</v>
      </c>
      <c r="I1001" s="864">
        <v>0</v>
      </c>
      <c r="J1001" s="864">
        <v>41297.473941182841</v>
      </c>
      <c r="K1001" s="864">
        <v>42990.985380044214</v>
      </c>
      <c r="L1001" s="18" t="s">
        <v>4649</v>
      </c>
      <c r="M1001" s="442"/>
      <c r="N1001" s="433"/>
      <c r="P1001" s="466"/>
      <c r="T1001" s="443"/>
      <c r="U1001" s="440"/>
      <c r="V1001" s="440"/>
      <c r="W1001" s="440"/>
      <c r="X1001" s="442"/>
    </row>
    <row r="1002" spans="1:24" x14ac:dyDescent="0.25">
      <c r="A1002" s="862">
        <v>1720</v>
      </c>
      <c r="B1002" s="863" t="s">
        <v>7599</v>
      </c>
      <c r="C1002" s="862">
        <v>1720</v>
      </c>
      <c r="D1002" s="165" t="s">
        <v>2148</v>
      </c>
      <c r="E1002" s="165" t="s">
        <v>7600</v>
      </c>
      <c r="F1002" s="163">
        <v>1</v>
      </c>
      <c r="G1002" s="864"/>
      <c r="H1002" s="864">
        <v>37968.21113400576</v>
      </c>
      <c r="I1002" s="864">
        <v>0</v>
      </c>
      <c r="J1002" s="864">
        <v>0</v>
      </c>
      <c r="K1002" s="864">
        <v>0</v>
      </c>
      <c r="L1002" s="18" t="s">
        <v>1241</v>
      </c>
      <c r="M1002" s="442"/>
      <c r="N1002" s="433"/>
      <c r="P1002" s="466"/>
      <c r="T1002" s="443"/>
      <c r="U1002" s="440"/>
      <c r="V1002" s="440"/>
      <c r="W1002" s="440"/>
      <c r="X1002" s="442"/>
    </row>
    <row r="1003" spans="1:24" x14ac:dyDescent="0.25">
      <c r="A1003" s="862">
        <v>1721</v>
      </c>
      <c r="B1003" s="863" t="s">
        <v>7601</v>
      </c>
      <c r="C1003" s="862">
        <v>1721</v>
      </c>
      <c r="D1003" s="165" t="s">
        <v>2148</v>
      </c>
      <c r="E1003" s="165" t="s">
        <v>7602</v>
      </c>
      <c r="F1003" s="163">
        <v>1</v>
      </c>
      <c r="G1003" s="864"/>
      <c r="H1003" s="864">
        <v>39378.716327874499</v>
      </c>
      <c r="I1003" s="864">
        <v>41004.048545018537</v>
      </c>
      <c r="J1003" s="864">
        <v>42714.900363969879</v>
      </c>
      <c r="K1003" s="864">
        <v>44515.803929524751</v>
      </c>
      <c r="L1003" s="18" t="s">
        <v>1242</v>
      </c>
      <c r="M1003" s="442"/>
      <c r="N1003" s="433"/>
      <c r="P1003" s="466"/>
      <c r="T1003" s="443"/>
      <c r="U1003" s="440"/>
      <c r="V1003" s="440"/>
      <c r="W1003" s="440"/>
      <c r="X1003" s="442"/>
    </row>
    <row r="1004" spans="1:24" x14ac:dyDescent="0.25">
      <c r="A1004" s="862">
        <v>1722</v>
      </c>
      <c r="B1004" s="863" t="s">
        <v>7603</v>
      </c>
      <c r="C1004" s="862">
        <v>1722</v>
      </c>
      <c r="D1004" s="165" t="s">
        <v>2148</v>
      </c>
      <c r="E1004" s="165" t="s">
        <v>7604</v>
      </c>
      <c r="F1004" s="163">
        <v>1</v>
      </c>
      <c r="G1004" s="864"/>
      <c r="H1004" s="864">
        <v>0</v>
      </c>
      <c r="I1004" s="864">
        <v>0</v>
      </c>
      <c r="J1004" s="864">
        <v>42897.336354524698</v>
      </c>
      <c r="K1004" s="864">
        <v>44660.209313745923</v>
      </c>
      <c r="L1004" s="18" t="s">
        <v>4650</v>
      </c>
      <c r="M1004" s="442"/>
      <c r="N1004" s="433"/>
      <c r="P1004" s="466"/>
      <c r="T1004" s="443"/>
      <c r="U1004" s="440"/>
      <c r="V1004" s="440"/>
      <c r="W1004" s="440"/>
      <c r="X1004" s="442"/>
    </row>
    <row r="1005" spans="1:24" x14ac:dyDescent="0.25">
      <c r="A1005" s="862">
        <v>1723</v>
      </c>
      <c r="B1005" s="863" t="s">
        <v>7605</v>
      </c>
      <c r="C1005" s="862">
        <v>1723</v>
      </c>
      <c r="D1005" s="165" t="s">
        <v>2148</v>
      </c>
      <c r="E1005" s="165" t="s">
        <v>7606</v>
      </c>
      <c r="F1005" s="163">
        <v>1</v>
      </c>
      <c r="G1005" s="864"/>
      <c r="H1005" s="864">
        <v>42985.178527942735</v>
      </c>
      <c r="I1005" s="864">
        <v>44592.754654493503</v>
      </c>
      <c r="J1005" s="864">
        <v>46284.958726344441</v>
      </c>
      <c r="K1005" s="864">
        <v>48066.226170398048</v>
      </c>
      <c r="L1005" s="18" t="s">
        <v>1243</v>
      </c>
      <c r="M1005" s="442"/>
      <c r="N1005" s="433"/>
      <c r="P1005" s="466"/>
      <c r="T1005" s="443"/>
      <c r="U1005" s="440"/>
      <c r="V1005" s="440"/>
      <c r="W1005" s="440"/>
      <c r="X1005" s="442"/>
    </row>
    <row r="1006" spans="1:24" x14ac:dyDescent="0.25">
      <c r="A1006" s="862">
        <v>1724</v>
      </c>
      <c r="B1006" s="863" t="s">
        <v>7607</v>
      </c>
      <c r="C1006" s="862">
        <v>1724</v>
      </c>
      <c r="D1006" s="165" t="s">
        <v>2148</v>
      </c>
      <c r="E1006" s="165" t="s">
        <v>7608</v>
      </c>
      <c r="F1006" s="163">
        <v>1</v>
      </c>
      <c r="G1006" s="864"/>
      <c r="H1006" s="864">
        <v>0</v>
      </c>
      <c r="I1006" s="864">
        <v>63831.858875294085</v>
      </c>
      <c r="J1006" s="864">
        <v>66502.605825437291</v>
      </c>
      <c r="K1006" s="864">
        <v>69313.914947521829</v>
      </c>
      <c r="L1006" s="18" t="s">
        <v>3918</v>
      </c>
      <c r="M1006" s="442"/>
      <c r="N1006" s="433"/>
      <c r="P1006" s="465"/>
      <c r="T1006" s="443"/>
      <c r="U1006" s="440"/>
      <c r="V1006" s="440"/>
      <c r="W1006" s="440"/>
      <c r="X1006" s="442"/>
    </row>
    <row r="1007" spans="1:24" x14ac:dyDescent="0.25">
      <c r="A1007" s="862">
        <v>1725</v>
      </c>
      <c r="B1007" s="863" t="s">
        <v>7609</v>
      </c>
      <c r="C1007" s="862">
        <v>1725</v>
      </c>
      <c r="D1007" s="165" t="s">
        <v>2148</v>
      </c>
      <c r="E1007" s="165" t="s">
        <v>7610</v>
      </c>
      <c r="F1007" s="163">
        <v>2</v>
      </c>
      <c r="G1007" s="864"/>
      <c r="H1007" s="864">
        <v>35397.908879999479</v>
      </c>
      <c r="I1007" s="864">
        <v>36737.424147660102</v>
      </c>
      <c r="J1007" s="864">
        <v>38147.468809947808</v>
      </c>
      <c r="K1007" s="864">
        <v>39631.709671076183</v>
      </c>
      <c r="L1007" s="18" t="s">
        <v>1244</v>
      </c>
      <c r="M1007" s="442"/>
      <c r="N1007" s="433"/>
      <c r="P1007" s="465"/>
      <c r="T1007" s="443"/>
      <c r="U1007" s="440"/>
      <c r="V1007" s="440"/>
      <c r="W1007" s="440"/>
      <c r="X1007" s="442"/>
    </row>
    <row r="1008" spans="1:24" x14ac:dyDescent="0.25">
      <c r="A1008" s="862">
        <v>1726</v>
      </c>
      <c r="B1008" s="863" t="s">
        <v>7611</v>
      </c>
      <c r="C1008" s="862">
        <v>1726</v>
      </c>
      <c r="D1008" s="165" t="s">
        <v>2148</v>
      </c>
      <c r="E1008" s="165" t="s">
        <v>7612</v>
      </c>
      <c r="F1008" s="163">
        <v>2</v>
      </c>
      <c r="G1008" s="864"/>
      <c r="H1008" s="864">
        <v>14837.437300083953</v>
      </c>
      <c r="I1008" s="864">
        <v>15319.780496330117</v>
      </c>
      <c r="J1008" s="864">
        <v>15827.474437756748</v>
      </c>
      <c r="K1008" s="864">
        <v>16361.922469186326</v>
      </c>
      <c r="L1008" s="18" t="s">
        <v>1245</v>
      </c>
      <c r="M1008" s="442"/>
      <c r="N1008" s="433"/>
      <c r="P1008" s="465"/>
      <c r="T1008" s="443"/>
      <c r="U1008" s="440"/>
      <c r="V1008" s="440"/>
      <c r="W1008" s="440"/>
      <c r="X1008" s="442"/>
    </row>
    <row r="1009" spans="1:24" x14ac:dyDescent="0.25">
      <c r="A1009" s="862">
        <v>1727</v>
      </c>
      <c r="B1009" s="863" t="s">
        <v>7613</v>
      </c>
      <c r="C1009" s="862">
        <v>1727</v>
      </c>
      <c r="D1009" s="165" t="s">
        <v>2148</v>
      </c>
      <c r="E1009" s="165" t="s">
        <v>7614</v>
      </c>
      <c r="F1009" s="163">
        <v>2</v>
      </c>
      <c r="G1009" s="864"/>
      <c r="H1009" s="864">
        <v>17126.729748247501</v>
      </c>
      <c r="I1009" s="864">
        <v>17706.356429123694</v>
      </c>
      <c r="J1009" s="864">
        <v>18316.494542592096</v>
      </c>
      <c r="K1009" s="864">
        <v>18958.728510226472</v>
      </c>
      <c r="L1009" s="18" t="s">
        <v>1246</v>
      </c>
      <c r="M1009" s="442"/>
      <c r="N1009" s="433"/>
      <c r="P1009" s="465"/>
      <c r="T1009" s="443"/>
      <c r="U1009" s="440"/>
      <c r="V1009" s="440"/>
      <c r="W1009" s="440"/>
      <c r="X1009" s="442"/>
    </row>
    <row r="1010" spans="1:24" x14ac:dyDescent="0.25">
      <c r="A1010" s="862">
        <v>1728</v>
      </c>
      <c r="B1010" s="863" t="s">
        <v>7615</v>
      </c>
      <c r="C1010" s="862">
        <v>1728</v>
      </c>
      <c r="D1010" s="165" t="s">
        <v>2148</v>
      </c>
      <c r="E1010" s="165" t="s">
        <v>7616</v>
      </c>
      <c r="F1010" s="163">
        <v>2</v>
      </c>
      <c r="G1010" s="864"/>
      <c r="H1010" s="864">
        <v>17693.767583619767</v>
      </c>
      <c r="I1010" s="864">
        <v>18296.888972975714</v>
      </c>
      <c r="J1010" s="864">
        <v>18931.744062995069</v>
      </c>
      <c r="K1010" s="864">
        <v>19600.053082815062</v>
      </c>
      <c r="L1010" s="18" t="s">
        <v>1247</v>
      </c>
      <c r="M1010" s="442"/>
      <c r="N1010" s="433"/>
      <c r="P1010" s="465"/>
      <c r="T1010" s="443"/>
      <c r="U1010" s="440"/>
      <c r="V1010" s="440"/>
      <c r="W1010" s="440"/>
      <c r="X1010" s="442"/>
    </row>
    <row r="1011" spans="1:24" x14ac:dyDescent="0.25">
      <c r="A1011" s="862">
        <v>1729</v>
      </c>
      <c r="B1011" s="863" t="s">
        <v>7617</v>
      </c>
      <c r="C1011" s="862">
        <v>1729</v>
      </c>
      <c r="D1011" s="165" t="s">
        <v>2148</v>
      </c>
      <c r="E1011" s="165" t="s">
        <v>7618</v>
      </c>
      <c r="F1011" s="163">
        <v>2</v>
      </c>
      <c r="G1011" s="864"/>
      <c r="H1011" s="864">
        <v>0</v>
      </c>
      <c r="I1011" s="864">
        <v>0</v>
      </c>
      <c r="J1011" s="864">
        <v>0</v>
      </c>
      <c r="K1011" s="864">
        <v>25995.97214567204</v>
      </c>
      <c r="L1011" s="18" t="s">
        <v>10913</v>
      </c>
      <c r="M1011" s="442"/>
      <c r="N1011" s="433"/>
      <c r="P1011" s="464"/>
      <c r="T1011" s="443"/>
      <c r="U1011" s="440"/>
      <c r="V1011" s="440"/>
      <c r="W1011" s="440"/>
      <c r="X1011" s="442"/>
    </row>
    <row r="1012" spans="1:24" x14ac:dyDescent="0.25">
      <c r="A1012" s="862">
        <v>1730</v>
      </c>
      <c r="B1012" s="863" t="s">
        <v>7619</v>
      </c>
      <c r="C1012" s="862">
        <v>1730</v>
      </c>
      <c r="D1012" s="165" t="s">
        <v>2148</v>
      </c>
      <c r="E1012" s="165" t="s">
        <v>7620</v>
      </c>
      <c r="F1012" s="163">
        <v>2</v>
      </c>
      <c r="G1012" s="864"/>
      <c r="H1012" s="864">
        <v>17607.476350818659</v>
      </c>
      <c r="I1012" s="864">
        <v>18203.626285249979</v>
      </c>
      <c r="J1012" s="864">
        <v>18831.147766842125</v>
      </c>
      <c r="K1012" s="864">
        <v>19491.715755544519</v>
      </c>
      <c r="L1012" s="18" t="s">
        <v>1248</v>
      </c>
      <c r="M1012" s="442"/>
      <c r="N1012" s="433"/>
      <c r="P1012" s="464"/>
      <c r="T1012" s="443"/>
      <c r="U1012" s="440"/>
      <c r="V1012" s="440"/>
      <c r="W1012" s="440"/>
      <c r="X1012" s="442"/>
    </row>
    <row r="1013" spans="1:24" x14ac:dyDescent="0.25">
      <c r="A1013" s="862">
        <v>1731</v>
      </c>
      <c r="B1013" s="863" t="s">
        <v>7621</v>
      </c>
      <c r="C1013" s="862">
        <v>1731</v>
      </c>
      <c r="D1013" s="165" t="s">
        <v>2148</v>
      </c>
      <c r="E1013" s="165" t="s">
        <v>7622</v>
      </c>
      <c r="F1013" s="163">
        <v>2</v>
      </c>
      <c r="G1013" s="864"/>
      <c r="H1013" s="864">
        <v>0</v>
      </c>
      <c r="I1013" s="864">
        <v>0</v>
      </c>
      <c r="J1013" s="864">
        <v>0</v>
      </c>
      <c r="K1013" s="864">
        <v>22738.143592548895</v>
      </c>
      <c r="L1013" s="18" t="s">
        <v>10914</v>
      </c>
      <c r="M1013" s="442"/>
      <c r="N1013" s="433"/>
      <c r="P1013" s="464"/>
      <c r="T1013" s="443"/>
      <c r="U1013" s="440"/>
      <c r="V1013" s="440"/>
      <c r="W1013" s="440"/>
      <c r="X1013" s="442"/>
    </row>
    <row r="1014" spans="1:24" x14ac:dyDescent="0.25">
      <c r="A1014" s="862">
        <v>1732</v>
      </c>
      <c r="B1014" s="863" t="s">
        <v>7623</v>
      </c>
      <c r="C1014" s="862">
        <v>1732</v>
      </c>
      <c r="D1014" s="165" t="s">
        <v>2148</v>
      </c>
      <c r="E1014" s="165" t="s">
        <v>7624</v>
      </c>
      <c r="F1014" s="163">
        <v>2</v>
      </c>
      <c r="G1014" s="864"/>
      <c r="H1014" s="864">
        <v>17256.875730537198</v>
      </c>
      <c r="I1014" s="864">
        <v>17843.564404713667</v>
      </c>
      <c r="J1014" s="864">
        <v>18461.126664984913</v>
      </c>
      <c r="K1014" s="864">
        <v>19111.192202112547</v>
      </c>
      <c r="L1014" s="18" t="s">
        <v>1249</v>
      </c>
      <c r="M1014" s="442"/>
      <c r="N1014" s="433"/>
      <c r="P1014" s="464"/>
      <c r="T1014" s="443"/>
      <c r="U1014" s="440"/>
      <c r="V1014" s="440"/>
      <c r="W1014" s="440"/>
      <c r="X1014" s="442"/>
    </row>
    <row r="1015" spans="1:24" x14ac:dyDescent="0.25">
      <c r="A1015" s="862">
        <v>1733</v>
      </c>
      <c r="B1015" s="863" t="s">
        <v>7625</v>
      </c>
      <c r="C1015" s="862">
        <v>1733</v>
      </c>
      <c r="D1015" s="165" t="s">
        <v>2148</v>
      </c>
      <c r="E1015" s="165" t="s">
        <v>7626</v>
      </c>
      <c r="F1015" s="163">
        <v>2</v>
      </c>
      <c r="G1015" s="864"/>
      <c r="H1015" s="864">
        <v>17308.69109143777</v>
      </c>
      <c r="I1015" s="864">
        <v>17897.597955817531</v>
      </c>
      <c r="J1015" s="864">
        <v>18517.514213855538</v>
      </c>
      <c r="K1015" s="864">
        <v>19170.069556313389</v>
      </c>
      <c r="L1015" s="18" t="s">
        <v>1770</v>
      </c>
      <c r="M1015" s="442"/>
      <c r="N1015" s="433"/>
      <c r="P1015" s="464"/>
      <c r="T1015" s="443"/>
      <c r="U1015" s="440"/>
      <c r="V1015" s="440"/>
      <c r="W1015" s="440"/>
      <c r="X1015" s="442"/>
    </row>
    <row r="1016" spans="1:24" x14ac:dyDescent="0.25">
      <c r="A1016" s="862">
        <v>1734</v>
      </c>
      <c r="B1016" s="863" t="s">
        <v>7627</v>
      </c>
      <c r="C1016" s="862">
        <v>1734</v>
      </c>
      <c r="D1016" s="165" t="s">
        <v>2148</v>
      </c>
      <c r="E1016" s="165" t="s">
        <v>7628</v>
      </c>
      <c r="F1016" s="163">
        <v>2</v>
      </c>
      <c r="G1016" s="864"/>
      <c r="H1016" s="864">
        <v>13487.478316279336</v>
      </c>
      <c r="I1016" s="864">
        <v>13907.576379269896</v>
      </c>
      <c r="J1016" s="864">
        <v>14349.765805917712</v>
      </c>
      <c r="K1016" s="864">
        <v>14815.223595106174</v>
      </c>
      <c r="L1016" s="18" t="s">
        <v>1767</v>
      </c>
      <c r="M1016" s="442"/>
      <c r="N1016" s="433"/>
      <c r="P1016" s="464"/>
      <c r="T1016" s="443"/>
      <c r="U1016" s="440"/>
      <c r="V1016" s="440"/>
      <c r="W1016" s="440"/>
      <c r="X1016" s="442"/>
    </row>
    <row r="1017" spans="1:24" x14ac:dyDescent="0.25">
      <c r="A1017" s="862">
        <v>1735</v>
      </c>
      <c r="B1017" s="863" t="s">
        <v>7629</v>
      </c>
      <c r="C1017" s="862">
        <v>1735</v>
      </c>
      <c r="D1017" s="165" t="s">
        <v>2148</v>
      </c>
      <c r="E1017" s="165" t="s">
        <v>7630</v>
      </c>
      <c r="F1017" s="163">
        <v>2</v>
      </c>
      <c r="G1017" s="864"/>
      <c r="H1017" s="864">
        <v>18778.209239836906</v>
      </c>
      <c r="I1017" s="864">
        <v>19420.805360973856</v>
      </c>
      <c r="J1017" s="864">
        <v>20097.262834601868</v>
      </c>
      <c r="K1017" s="864">
        <v>20809.301889858169</v>
      </c>
      <c r="L1017" s="18" t="s">
        <v>1768</v>
      </c>
      <c r="M1017" s="442"/>
      <c r="N1017" s="433"/>
      <c r="P1017" s="464"/>
      <c r="T1017" s="443"/>
      <c r="U1017" s="440"/>
      <c r="V1017" s="440"/>
      <c r="W1017" s="440"/>
      <c r="X1017" s="442"/>
    </row>
    <row r="1018" spans="1:24" x14ac:dyDescent="0.25">
      <c r="A1018" s="862">
        <v>1736</v>
      </c>
      <c r="B1018" s="863" t="s">
        <v>7631</v>
      </c>
      <c r="C1018" s="862">
        <v>1736</v>
      </c>
      <c r="D1018" s="165" t="s">
        <v>2148</v>
      </c>
      <c r="E1018" s="165" t="s">
        <v>7632</v>
      </c>
      <c r="F1018" s="163">
        <v>2</v>
      </c>
      <c r="G1018" s="864"/>
      <c r="H1018" s="864">
        <v>19298.537636502351</v>
      </c>
      <c r="I1018" s="864">
        <v>19928.730000176012</v>
      </c>
      <c r="J1018" s="864">
        <v>20592.104678523385</v>
      </c>
      <c r="K1018" s="864">
        <v>21290.381900681718</v>
      </c>
      <c r="L1018" s="18" t="s">
        <v>1769</v>
      </c>
      <c r="M1018" s="442"/>
      <c r="N1018" s="433"/>
      <c r="P1018" s="464"/>
      <c r="T1018" s="443"/>
      <c r="U1018" s="440"/>
      <c r="V1018" s="440"/>
      <c r="W1018" s="440"/>
      <c r="X1018" s="442"/>
    </row>
    <row r="1019" spans="1:24" x14ac:dyDescent="0.25">
      <c r="A1019" s="862">
        <v>1737</v>
      </c>
      <c r="B1019" s="863" t="s">
        <v>7633</v>
      </c>
      <c r="C1019" s="862">
        <v>1737</v>
      </c>
      <c r="D1019" s="165" t="s">
        <v>2148</v>
      </c>
      <c r="E1019" s="165" t="s">
        <v>7634</v>
      </c>
      <c r="F1019" s="163">
        <v>2</v>
      </c>
      <c r="G1019" s="864"/>
      <c r="H1019" s="864">
        <v>15017.130385773826</v>
      </c>
      <c r="I1019" s="864">
        <v>15505.403845624705</v>
      </c>
      <c r="J1019" s="864">
        <v>16019.390204158628</v>
      </c>
      <c r="K1019" s="864">
        <v>16560.447537010263</v>
      </c>
      <c r="L1019" s="18" t="s">
        <v>1771</v>
      </c>
      <c r="M1019" s="442"/>
      <c r="N1019" s="433"/>
      <c r="P1019" s="464"/>
      <c r="T1019" s="443"/>
      <c r="U1019" s="440"/>
      <c r="V1019" s="440"/>
      <c r="W1019" s="440"/>
      <c r="X1019" s="442"/>
    </row>
    <row r="1020" spans="1:24" x14ac:dyDescent="0.25">
      <c r="A1020" s="862">
        <v>1738</v>
      </c>
      <c r="B1020" s="863" t="s">
        <v>7635</v>
      </c>
      <c r="C1020" s="862">
        <v>1738</v>
      </c>
      <c r="D1020" s="165" t="s">
        <v>2148</v>
      </c>
      <c r="E1020" s="165" t="s">
        <v>7636</v>
      </c>
      <c r="F1020" s="163">
        <v>2</v>
      </c>
      <c r="G1020" s="864"/>
      <c r="H1020" s="864">
        <v>36302.1677282202</v>
      </c>
      <c r="I1020" s="864">
        <v>37650.18071614363</v>
      </c>
      <c r="J1020" s="864">
        <v>39069.175111987795</v>
      </c>
      <c r="K1020" s="864">
        <v>40562.86295366694</v>
      </c>
      <c r="L1020" s="18" t="s">
        <v>1772</v>
      </c>
      <c r="M1020" s="442"/>
      <c r="N1020" s="433"/>
      <c r="P1020" s="464"/>
      <c r="T1020" s="443"/>
      <c r="U1020" s="440"/>
      <c r="V1020" s="440"/>
      <c r="W1020" s="440"/>
      <c r="X1020" s="442"/>
    </row>
    <row r="1021" spans="1:24" x14ac:dyDescent="0.25">
      <c r="A1021" s="862">
        <v>1739</v>
      </c>
      <c r="B1021" s="863" t="s">
        <v>7637</v>
      </c>
      <c r="C1021" s="862">
        <v>1739</v>
      </c>
      <c r="D1021" s="165" t="s">
        <v>2148</v>
      </c>
      <c r="E1021" s="165" t="s">
        <v>7638</v>
      </c>
      <c r="F1021" s="163">
        <v>2</v>
      </c>
      <c r="G1021" s="864"/>
      <c r="H1021" s="864">
        <v>19423.645400634563</v>
      </c>
      <c r="I1021" s="864">
        <v>20100.128334812089</v>
      </c>
      <c r="J1021" s="864">
        <v>20812.256566345204</v>
      </c>
      <c r="K1021" s="864">
        <v>21561.844764917467</v>
      </c>
      <c r="L1021" s="18" t="s">
        <v>1773</v>
      </c>
      <c r="M1021" s="442"/>
      <c r="N1021" s="433"/>
      <c r="P1021" s="464"/>
      <c r="T1021" s="443"/>
      <c r="U1021" s="440"/>
      <c r="V1021" s="440"/>
      <c r="W1021" s="440"/>
      <c r="X1021" s="442"/>
    </row>
    <row r="1022" spans="1:24" x14ac:dyDescent="0.25">
      <c r="A1022" s="862">
        <v>1740</v>
      </c>
      <c r="B1022" s="863" t="s">
        <v>7639</v>
      </c>
      <c r="C1022" s="862">
        <v>1740</v>
      </c>
      <c r="D1022" s="165" t="s">
        <v>2148</v>
      </c>
      <c r="E1022" s="165" t="s">
        <v>7640</v>
      </c>
      <c r="F1022" s="163">
        <v>2</v>
      </c>
      <c r="G1022" s="864"/>
      <c r="H1022" s="864">
        <v>20133.843932402138</v>
      </c>
      <c r="I1022" s="864">
        <v>20840.830599831843</v>
      </c>
      <c r="J1022" s="864">
        <v>21585.017995774469</v>
      </c>
      <c r="K1022" s="864">
        <v>22368.393615597728</v>
      </c>
      <c r="L1022" s="18" t="s">
        <v>1774</v>
      </c>
      <c r="M1022" s="442"/>
      <c r="N1022" s="433"/>
      <c r="P1022" s="463"/>
      <c r="T1022" s="443"/>
      <c r="U1022" s="440"/>
      <c r="V1022" s="440"/>
      <c r="W1022" s="440"/>
      <c r="X1022" s="442"/>
    </row>
    <row r="1023" spans="1:24" x14ac:dyDescent="0.25">
      <c r="A1023" s="862">
        <v>1741</v>
      </c>
      <c r="B1023" s="863" t="s">
        <v>7641</v>
      </c>
      <c r="C1023" s="862">
        <v>1741</v>
      </c>
      <c r="D1023" s="165" t="s">
        <v>2148</v>
      </c>
      <c r="E1023" s="165" t="s">
        <v>7642</v>
      </c>
      <c r="F1023" s="163">
        <v>2</v>
      </c>
      <c r="G1023" s="864"/>
      <c r="H1023" s="864">
        <v>19588.895974917406</v>
      </c>
      <c r="I1023" s="864">
        <v>20258.768326676265</v>
      </c>
      <c r="J1023" s="864">
        <v>0</v>
      </c>
      <c r="K1023" s="864">
        <v>0</v>
      </c>
      <c r="L1023" s="18" t="s">
        <v>10915</v>
      </c>
      <c r="M1023" s="442"/>
      <c r="N1023" s="433"/>
      <c r="P1023" s="463"/>
      <c r="T1023" s="443"/>
      <c r="U1023" s="440"/>
      <c r="V1023" s="440"/>
      <c r="W1023" s="440"/>
      <c r="X1023" s="442"/>
    </row>
    <row r="1024" spans="1:24" x14ac:dyDescent="0.25">
      <c r="A1024" s="862">
        <v>1742</v>
      </c>
      <c r="B1024" s="863" t="s">
        <v>7643</v>
      </c>
      <c r="C1024" s="862">
        <v>1742</v>
      </c>
      <c r="D1024" s="165" t="s">
        <v>2148</v>
      </c>
      <c r="E1024" s="165" t="s">
        <v>7644</v>
      </c>
      <c r="F1024" s="163">
        <v>2</v>
      </c>
      <c r="G1024" s="864"/>
      <c r="H1024" s="864">
        <v>0</v>
      </c>
      <c r="I1024" s="864">
        <v>0</v>
      </c>
      <c r="J1024" s="864">
        <v>23359.266037012723</v>
      </c>
      <c r="K1024" s="864">
        <v>24134.950913891378</v>
      </c>
      <c r="L1024" s="18" t="s">
        <v>10916</v>
      </c>
      <c r="M1024" s="442"/>
      <c r="N1024" s="433"/>
      <c r="P1024" s="463"/>
      <c r="T1024" s="443"/>
      <c r="U1024" s="440"/>
      <c r="V1024" s="440"/>
      <c r="W1024" s="440"/>
      <c r="X1024" s="442"/>
    </row>
    <row r="1025" spans="1:24" x14ac:dyDescent="0.25">
      <c r="A1025" s="862">
        <v>1743</v>
      </c>
      <c r="B1025" s="863" t="s">
        <v>7645</v>
      </c>
      <c r="C1025" s="862">
        <v>1743</v>
      </c>
      <c r="D1025" s="165" t="s">
        <v>2148</v>
      </c>
      <c r="E1025" s="165" t="s">
        <v>7646</v>
      </c>
      <c r="F1025" s="163">
        <v>2</v>
      </c>
      <c r="G1025" s="864"/>
      <c r="H1025" s="864">
        <v>0</v>
      </c>
      <c r="I1025" s="864">
        <v>0</v>
      </c>
      <c r="J1025" s="864">
        <v>22479.812485490933</v>
      </c>
      <c r="K1025" s="864">
        <v>23255.497362369591</v>
      </c>
      <c r="L1025" s="18" t="s">
        <v>10917</v>
      </c>
      <c r="M1025" s="442"/>
      <c r="N1025" s="433"/>
      <c r="P1025" s="459"/>
      <c r="T1025" s="443"/>
      <c r="U1025" s="440"/>
      <c r="V1025" s="440"/>
      <c r="W1025" s="440"/>
      <c r="X1025" s="442"/>
    </row>
    <row r="1026" spans="1:24" x14ac:dyDescent="0.25">
      <c r="A1026" s="862">
        <v>1744</v>
      </c>
      <c r="B1026" s="863" t="s">
        <v>7647</v>
      </c>
      <c r="C1026" s="862">
        <v>1744</v>
      </c>
      <c r="D1026" s="165" t="s">
        <v>2148</v>
      </c>
      <c r="E1026" s="165" t="s">
        <v>7648</v>
      </c>
      <c r="F1026" s="163">
        <v>1</v>
      </c>
      <c r="G1026" s="864"/>
      <c r="H1026" s="864">
        <v>0</v>
      </c>
      <c r="I1026" s="864">
        <v>0</v>
      </c>
      <c r="J1026" s="864">
        <v>0</v>
      </c>
      <c r="K1026" s="864">
        <v>27662.02080856813</v>
      </c>
      <c r="L1026" s="18" t="s">
        <v>10918</v>
      </c>
      <c r="M1026" s="442"/>
      <c r="N1026" s="433"/>
      <c r="P1026" s="459"/>
      <c r="T1026" s="443"/>
      <c r="U1026" s="440"/>
      <c r="V1026" s="440"/>
      <c r="W1026" s="440"/>
      <c r="X1026" s="442"/>
    </row>
    <row r="1027" spans="1:24" x14ac:dyDescent="0.25">
      <c r="A1027" s="862">
        <v>1745</v>
      </c>
      <c r="B1027" s="863" t="s">
        <v>7649</v>
      </c>
      <c r="C1027" s="862">
        <v>1745</v>
      </c>
      <c r="D1027" s="165" t="s">
        <v>2148</v>
      </c>
      <c r="E1027" s="165" t="s">
        <v>7650</v>
      </c>
      <c r="F1027" s="163">
        <v>1</v>
      </c>
      <c r="G1027" s="864"/>
      <c r="H1027" s="864">
        <v>0</v>
      </c>
      <c r="I1027" s="864">
        <v>0</v>
      </c>
      <c r="J1027" s="864">
        <v>0</v>
      </c>
      <c r="K1027" s="864">
        <v>32204.126701333586</v>
      </c>
      <c r="L1027" s="18" t="s">
        <v>10919</v>
      </c>
      <c r="M1027" s="442"/>
      <c r="N1027" s="433"/>
      <c r="P1027" s="459"/>
      <c r="T1027" s="443"/>
      <c r="U1027" s="440"/>
      <c r="V1027" s="440"/>
      <c r="W1027" s="440"/>
      <c r="X1027" s="442"/>
    </row>
    <row r="1028" spans="1:24" x14ac:dyDescent="0.25">
      <c r="A1028" s="862">
        <v>1746</v>
      </c>
      <c r="B1028" s="863" t="s">
        <v>7651</v>
      </c>
      <c r="C1028" s="862">
        <v>1746</v>
      </c>
      <c r="D1028" s="165" t="s">
        <v>2148</v>
      </c>
      <c r="E1028" s="165" t="s">
        <v>7652</v>
      </c>
      <c r="F1028" s="163">
        <v>1</v>
      </c>
      <c r="G1028" s="864"/>
      <c r="H1028" s="864">
        <v>19162.712997063954</v>
      </c>
      <c r="I1028" s="864">
        <v>0</v>
      </c>
      <c r="J1028" s="864">
        <v>0</v>
      </c>
      <c r="K1028" s="864">
        <v>0</v>
      </c>
      <c r="L1028" s="18" t="s">
        <v>1775</v>
      </c>
      <c r="M1028" s="442"/>
      <c r="N1028" s="433"/>
      <c r="P1028" s="459"/>
      <c r="T1028" s="443"/>
      <c r="U1028" s="440"/>
      <c r="V1028" s="440"/>
      <c r="W1028" s="440"/>
      <c r="X1028" s="442"/>
    </row>
    <row r="1029" spans="1:24" x14ac:dyDescent="0.25">
      <c r="A1029" s="862">
        <v>1747</v>
      </c>
      <c r="B1029" s="863" t="s">
        <v>7653</v>
      </c>
      <c r="C1029" s="862">
        <v>1747</v>
      </c>
      <c r="D1029" s="165" t="s">
        <v>2148</v>
      </c>
      <c r="E1029" s="165" t="s">
        <v>7654</v>
      </c>
      <c r="F1029" s="163">
        <v>1</v>
      </c>
      <c r="G1029" s="864"/>
      <c r="H1029" s="864">
        <v>18943.556935538039</v>
      </c>
      <c r="I1029" s="864">
        <v>0</v>
      </c>
      <c r="J1029" s="864">
        <v>0</v>
      </c>
      <c r="K1029" s="864">
        <v>0</v>
      </c>
      <c r="L1029" s="18" t="s">
        <v>1776</v>
      </c>
      <c r="M1029" s="442"/>
      <c r="N1029" s="433"/>
      <c r="P1029" s="459"/>
      <c r="T1029" s="443"/>
      <c r="U1029" s="440"/>
      <c r="V1029" s="440"/>
      <c r="W1029" s="440"/>
      <c r="X1029" s="442"/>
    </row>
    <row r="1030" spans="1:24" x14ac:dyDescent="0.25">
      <c r="A1030" s="862">
        <v>1748</v>
      </c>
      <c r="B1030" s="863" t="s">
        <v>7655</v>
      </c>
      <c r="C1030" s="862">
        <v>1748</v>
      </c>
      <c r="D1030" s="165" t="s">
        <v>2148</v>
      </c>
      <c r="E1030" s="165" t="s">
        <v>7656</v>
      </c>
      <c r="F1030" s="163">
        <v>1</v>
      </c>
      <c r="G1030" s="864"/>
      <c r="H1030" s="864">
        <v>19688.567595658398</v>
      </c>
      <c r="I1030" s="864">
        <v>20370.301650131132</v>
      </c>
      <c r="J1030" s="864">
        <v>21087.94986665382</v>
      </c>
      <c r="K1030" s="864">
        <v>21843.346760380282</v>
      </c>
      <c r="L1030" s="18" t="s">
        <v>1777</v>
      </c>
      <c r="M1030" s="442"/>
      <c r="N1030" s="433"/>
      <c r="P1030" s="459"/>
      <c r="T1030" s="443"/>
      <c r="U1030" s="440"/>
      <c r="V1030" s="440"/>
      <c r="W1030" s="440"/>
      <c r="X1030" s="442"/>
    </row>
    <row r="1031" spans="1:24" x14ac:dyDescent="0.25">
      <c r="A1031" s="862">
        <v>1749</v>
      </c>
      <c r="B1031" s="863" t="s">
        <v>7657</v>
      </c>
      <c r="C1031" s="862">
        <v>1749</v>
      </c>
      <c r="D1031" s="165" t="s">
        <v>2148</v>
      </c>
      <c r="E1031" s="165" t="s">
        <v>7658</v>
      </c>
      <c r="F1031" s="163">
        <v>1</v>
      </c>
      <c r="G1031" s="864"/>
      <c r="H1031" s="864">
        <v>18894.24152982407</v>
      </c>
      <c r="I1031" s="864">
        <v>0</v>
      </c>
      <c r="J1031" s="864">
        <v>20229.168816472484</v>
      </c>
      <c r="K1031" s="864">
        <v>20949.780480551348</v>
      </c>
      <c r="L1031" s="18" t="s">
        <v>1778</v>
      </c>
      <c r="M1031" s="442"/>
      <c r="N1031" s="433"/>
      <c r="P1031" s="459"/>
      <c r="T1031" s="443"/>
      <c r="U1031" s="440"/>
      <c r="V1031" s="440"/>
      <c r="W1031" s="440"/>
      <c r="X1031" s="442"/>
    </row>
    <row r="1032" spans="1:24" x14ac:dyDescent="0.25">
      <c r="A1032" s="862">
        <v>1750</v>
      </c>
      <c r="B1032" s="863" t="s">
        <v>7659</v>
      </c>
      <c r="C1032" s="862">
        <v>1750</v>
      </c>
      <c r="D1032" s="165" t="s">
        <v>2148</v>
      </c>
      <c r="E1032" s="165" t="s">
        <v>7660</v>
      </c>
      <c r="F1032" s="163">
        <v>1</v>
      </c>
      <c r="G1032" s="864"/>
      <c r="H1032" s="864">
        <v>0</v>
      </c>
      <c r="I1032" s="864">
        <v>0</v>
      </c>
      <c r="J1032" s="864">
        <v>0</v>
      </c>
      <c r="K1032" s="864">
        <v>26790.588004380468</v>
      </c>
      <c r="L1032" s="18" t="s">
        <v>10920</v>
      </c>
      <c r="M1032" s="442"/>
      <c r="N1032" s="433"/>
      <c r="P1032" s="459"/>
      <c r="T1032" s="443"/>
      <c r="U1032" s="440"/>
      <c r="V1032" s="440"/>
      <c r="W1032" s="440"/>
      <c r="X1032" s="442"/>
    </row>
    <row r="1033" spans="1:24" x14ac:dyDescent="0.25">
      <c r="A1033" s="862">
        <v>1751</v>
      </c>
      <c r="B1033" s="863" t="s">
        <v>7661</v>
      </c>
      <c r="C1033" s="862">
        <v>1751</v>
      </c>
      <c r="D1033" s="165" t="s">
        <v>2148</v>
      </c>
      <c r="E1033" s="165" t="s">
        <v>7662</v>
      </c>
      <c r="F1033" s="163">
        <v>2</v>
      </c>
      <c r="G1033" s="864"/>
      <c r="H1033" s="864">
        <v>19605.774413802501</v>
      </c>
      <c r="I1033" s="864">
        <v>20308.61326481264</v>
      </c>
      <c r="J1033" s="864">
        <v>21048.480018651564</v>
      </c>
      <c r="K1033" s="864">
        <v>21827.275757844887</v>
      </c>
      <c r="L1033" s="18" t="s">
        <v>1779</v>
      </c>
      <c r="M1033" s="442"/>
      <c r="N1033" s="433"/>
      <c r="P1033" s="459"/>
      <c r="T1033" s="443"/>
      <c r="U1033" s="440"/>
      <c r="V1033" s="440"/>
      <c r="W1033" s="440"/>
      <c r="X1033" s="442"/>
    </row>
    <row r="1034" spans="1:24" x14ac:dyDescent="0.25">
      <c r="A1034" s="862">
        <v>1752</v>
      </c>
      <c r="B1034" s="863" t="s">
        <v>7663</v>
      </c>
      <c r="C1034" s="862">
        <v>1752</v>
      </c>
      <c r="D1034" s="165" t="s">
        <v>2148</v>
      </c>
      <c r="E1034" s="165" t="s">
        <v>7664</v>
      </c>
      <c r="F1034" s="163">
        <v>2</v>
      </c>
      <c r="G1034" s="864"/>
      <c r="H1034" s="864">
        <v>20352.107901739149</v>
      </c>
      <c r="I1034" s="864">
        <v>21087.826839158512</v>
      </c>
      <c r="J1034" s="864">
        <v>21862.301936248128</v>
      </c>
      <c r="K1034" s="864">
        <v>22677.520688375713</v>
      </c>
      <c r="L1034" s="18" t="s">
        <v>1780</v>
      </c>
      <c r="M1034" s="442"/>
      <c r="N1034" s="433"/>
      <c r="P1034" s="459"/>
      <c r="T1034" s="443"/>
      <c r="U1034" s="440"/>
      <c r="V1034" s="440"/>
      <c r="W1034" s="440"/>
      <c r="X1034" s="442"/>
    </row>
    <row r="1035" spans="1:24" x14ac:dyDescent="0.25">
      <c r="A1035" s="862">
        <v>1753</v>
      </c>
      <c r="B1035" s="863" t="s">
        <v>7665</v>
      </c>
      <c r="C1035" s="862">
        <v>1753</v>
      </c>
      <c r="D1035" s="165" t="s">
        <v>2148</v>
      </c>
      <c r="E1035" s="165" t="s">
        <v>7666</v>
      </c>
      <c r="F1035" s="163">
        <v>2</v>
      </c>
      <c r="G1035" s="864"/>
      <c r="H1035" s="864">
        <v>20267.884165455962</v>
      </c>
      <c r="I1035" s="864">
        <v>20999.930557087177</v>
      </c>
      <c r="J1035" s="864">
        <v>21770.517076283457</v>
      </c>
      <c r="K1035" s="864">
        <v>22581.631218412516</v>
      </c>
      <c r="L1035" s="18" t="s">
        <v>1781</v>
      </c>
      <c r="M1035" s="442"/>
      <c r="N1035" s="433"/>
      <c r="P1035" s="459"/>
      <c r="T1035" s="443"/>
      <c r="U1035" s="440"/>
      <c r="V1035" s="440"/>
      <c r="W1035" s="440"/>
      <c r="X1035" s="442"/>
    </row>
    <row r="1036" spans="1:24" x14ac:dyDescent="0.25">
      <c r="A1036" s="862">
        <v>1754</v>
      </c>
      <c r="B1036" s="863" t="s">
        <v>7667</v>
      </c>
      <c r="C1036" s="862">
        <v>1754</v>
      </c>
      <c r="D1036" s="165" t="s">
        <v>2148</v>
      </c>
      <c r="E1036" s="165" t="s">
        <v>7668</v>
      </c>
      <c r="F1036" s="163">
        <v>2</v>
      </c>
      <c r="G1036" s="864"/>
      <c r="H1036" s="864">
        <v>21014.217653392618</v>
      </c>
      <c r="I1036" s="864">
        <v>21779.14413143304</v>
      </c>
      <c r="J1036" s="864">
        <v>22584.338993880021</v>
      </c>
      <c r="K1036" s="864">
        <v>23431.919355364378</v>
      </c>
      <c r="L1036" s="18" t="s">
        <v>1782</v>
      </c>
      <c r="M1036" s="442"/>
      <c r="N1036" s="433"/>
      <c r="P1036" s="459"/>
      <c r="T1036" s="443"/>
      <c r="U1036" s="440"/>
      <c r="V1036" s="440"/>
      <c r="W1036" s="440"/>
      <c r="X1036" s="442"/>
    </row>
    <row r="1037" spans="1:24" x14ac:dyDescent="0.25">
      <c r="A1037" s="862">
        <v>1755</v>
      </c>
      <c r="B1037" s="863" t="s">
        <v>7669</v>
      </c>
      <c r="C1037" s="862">
        <v>1755</v>
      </c>
      <c r="D1037" s="165" t="s">
        <v>2149</v>
      </c>
      <c r="E1037" s="165" t="s">
        <v>7670</v>
      </c>
      <c r="F1037" s="163">
        <v>2</v>
      </c>
      <c r="G1037" s="864"/>
      <c r="H1037" s="864">
        <v>20556.260455992953</v>
      </c>
      <c r="I1037" s="864">
        <v>21317.50614728413</v>
      </c>
      <c r="J1037" s="864">
        <v>22118.843008818429</v>
      </c>
      <c r="K1037" s="864">
        <v>22962.363176907082</v>
      </c>
      <c r="L1037" s="18" t="s">
        <v>1783</v>
      </c>
      <c r="M1037" s="442"/>
      <c r="N1037" s="433"/>
      <c r="P1037" s="459"/>
      <c r="T1037" s="443"/>
      <c r="U1037" s="440"/>
      <c r="V1037" s="440"/>
      <c r="W1037" s="440"/>
      <c r="X1037" s="442"/>
    </row>
    <row r="1038" spans="1:24" x14ac:dyDescent="0.25">
      <c r="A1038" s="862">
        <v>1756</v>
      </c>
      <c r="B1038" s="863" t="s">
        <v>7671</v>
      </c>
      <c r="C1038" s="862">
        <v>1756</v>
      </c>
      <c r="D1038" s="165" t="s">
        <v>2149</v>
      </c>
      <c r="E1038" s="165" t="s">
        <v>7672</v>
      </c>
      <c r="F1038" s="163">
        <v>2</v>
      </c>
      <c r="G1038" s="864"/>
      <c r="H1038" s="864">
        <v>22592.247801628029</v>
      </c>
      <c r="I1038" s="864">
        <v>23447.299046594861</v>
      </c>
      <c r="J1038" s="864">
        <v>24347.355549419579</v>
      </c>
      <c r="K1038" s="864">
        <v>25294.801372410315</v>
      </c>
      <c r="L1038" s="18" t="s">
        <v>1784</v>
      </c>
      <c r="M1038" s="442"/>
      <c r="N1038" s="433"/>
      <c r="P1038" s="459"/>
      <c r="T1038" s="443"/>
      <c r="U1038" s="440"/>
      <c r="V1038" s="440"/>
      <c r="W1038" s="440"/>
      <c r="X1038" s="442"/>
    </row>
    <row r="1039" spans="1:24" x14ac:dyDescent="0.25">
      <c r="A1039" s="862">
        <v>1757</v>
      </c>
      <c r="B1039" s="863" t="s">
        <v>7673</v>
      </c>
      <c r="C1039" s="862">
        <v>1757</v>
      </c>
      <c r="D1039" s="165" t="s">
        <v>2149</v>
      </c>
      <c r="E1039" s="165" t="s">
        <v>7674</v>
      </c>
      <c r="F1039" s="163">
        <v>2</v>
      </c>
      <c r="G1039" s="864"/>
      <c r="H1039" s="864">
        <v>24628.235147263105</v>
      </c>
      <c r="I1039" s="864">
        <v>25577.091945905599</v>
      </c>
      <c r="J1039" s="864">
        <v>26575.868090020729</v>
      </c>
      <c r="K1039" s="864">
        <v>27627.190913580725</v>
      </c>
      <c r="L1039" s="18" t="s">
        <v>1785</v>
      </c>
      <c r="M1039" s="442"/>
      <c r="N1039" s="433"/>
      <c r="P1039" s="459"/>
      <c r="T1039" s="443"/>
      <c r="U1039" s="440"/>
      <c r="V1039" s="440"/>
      <c r="W1039" s="440"/>
      <c r="X1039" s="442"/>
    </row>
    <row r="1040" spans="1:24" x14ac:dyDescent="0.25">
      <c r="A1040" s="862">
        <v>1758</v>
      </c>
      <c r="B1040" s="863" t="s">
        <v>7675</v>
      </c>
      <c r="C1040" s="862">
        <v>1758</v>
      </c>
      <c r="D1040" s="165" t="s">
        <v>2149</v>
      </c>
      <c r="E1040" s="165" t="s">
        <v>7676</v>
      </c>
      <c r="F1040" s="163">
        <v>2</v>
      </c>
      <c r="G1040" s="864"/>
      <c r="H1040" s="864">
        <v>29770.821498349669</v>
      </c>
      <c r="I1040" s="864">
        <v>30932.443694411078</v>
      </c>
      <c r="J1040" s="864">
        <v>32155.22438682639</v>
      </c>
      <c r="K1040" s="864">
        <v>33442.326107228837</v>
      </c>
      <c r="L1040" s="18" t="s">
        <v>1786</v>
      </c>
      <c r="M1040" s="442"/>
      <c r="N1040" s="433"/>
      <c r="P1040" s="459"/>
      <c r="T1040" s="443"/>
      <c r="U1040" s="440"/>
      <c r="V1040" s="440"/>
      <c r="W1040" s="440"/>
      <c r="X1040" s="442"/>
    </row>
    <row r="1041" spans="1:24" x14ac:dyDescent="0.25">
      <c r="A1041" s="862">
        <v>1759</v>
      </c>
      <c r="B1041" s="863" t="s">
        <v>7677</v>
      </c>
      <c r="C1041" s="862">
        <v>1759</v>
      </c>
      <c r="D1041" s="165" t="s">
        <v>2149</v>
      </c>
      <c r="E1041" s="165" t="s">
        <v>7678</v>
      </c>
      <c r="F1041" s="163">
        <v>2</v>
      </c>
      <c r="G1041" s="864"/>
      <c r="H1041" s="864">
        <v>24821.744395896294</v>
      </c>
      <c r="I1041" s="864">
        <v>25752.647745728464</v>
      </c>
      <c r="J1041" s="864">
        <v>26786.99020713451</v>
      </c>
      <c r="K1041" s="864">
        <v>27821.332668540563</v>
      </c>
      <c r="L1041" s="18" t="s">
        <v>3001</v>
      </c>
      <c r="M1041" s="442"/>
      <c r="N1041" s="433"/>
      <c r="P1041" s="459"/>
      <c r="T1041" s="443"/>
      <c r="U1041" s="440"/>
      <c r="V1041" s="440"/>
      <c r="W1041" s="440"/>
      <c r="X1041" s="442"/>
    </row>
    <row r="1042" spans="1:24" x14ac:dyDescent="0.25">
      <c r="A1042" s="862">
        <v>1760</v>
      </c>
      <c r="B1042" s="863" t="s">
        <v>7679</v>
      </c>
      <c r="C1042" s="862">
        <v>1760</v>
      </c>
      <c r="D1042" s="165" t="s">
        <v>2149</v>
      </c>
      <c r="E1042" s="165" t="s">
        <v>7680</v>
      </c>
      <c r="F1042" s="163">
        <v>2</v>
      </c>
      <c r="G1042" s="864"/>
      <c r="H1042" s="864">
        <v>27479.691324485844</v>
      </c>
      <c r="I1042" s="864">
        <v>28529.60317239408</v>
      </c>
      <c r="J1042" s="864">
        <v>29696.188110403065</v>
      </c>
      <c r="K1042" s="864">
        <v>30862.773048412044</v>
      </c>
      <c r="L1042" s="18" t="s">
        <v>3002</v>
      </c>
      <c r="M1042" s="442"/>
      <c r="N1042" s="433"/>
      <c r="P1042" s="459"/>
      <c r="T1042" s="443"/>
      <c r="U1042" s="440"/>
      <c r="V1042" s="440"/>
      <c r="W1042" s="440"/>
      <c r="X1042" s="442"/>
    </row>
    <row r="1043" spans="1:24" x14ac:dyDescent="0.25">
      <c r="A1043" s="862">
        <v>1761</v>
      </c>
      <c r="B1043" s="863" t="s">
        <v>7681</v>
      </c>
      <c r="C1043" s="862">
        <v>1761</v>
      </c>
      <c r="D1043" s="165" t="s">
        <v>2149</v>
      </c>
      <c r="E1043" s="165" t="s">
        <v>7682</v>
      </c>
      <c r="F1043" s="163">
        <v>2</v>
      </c>
      <c r="G1043" s="864"/>
      <c r="H1043" s="864">
        <v>22557.91907946358</v>
      </c>
      <c r="I1043" s="864">
        <v>23387.426799700268</v>
      </c>
      <c r="J1043" s="864">
        <v>24309.183134962408</v>
      </c>
      <c r="K1043" s="864">
        <v>25230.890815891718</v>
      </c>
      <c r="L1043" s="18" t="s">
        <v>3003</v>
      </c>
      <c r="M1043" s="442"/>
      <c r="N1043" s="433"/>
      <c r="P1043" s="459"/>
      <c r="T1043" s="443"/>
      <c r="U1043" s="440"/>
      <c r="V1043" s="440"/>
      <c r="W1043" s="440"/>
      <c r="X1043" s="442"/>
    </row>
    <row r="1044" spans="1:24" x14ac:dyDescent="0.25">
      <c r="A1044" s="862">
        <v>1762</v>
      </c>
      <c r="B1044" s="863" t="s">
        <v>7683</v>
      </c>
      <c r="C1044" s="862">
        <v>1762</v>
      </c>
      <c r="D1044" s="165" t="s">
        <v>2149</v>
      </c>
      <c r="E1044" s="165" t="s">
        <v>7684</v>
      </c>
      <c r="F1044" s="163">
        <v>2</v>
      </c>
      <c r="G1044" s="864"/>
      <c r="H1044" s="864">
        <v>24102.138258476345</v>
      </c>
      <c r="I1044" s="864">
        <v>25000.783785649302</v>
      </c>
      <c r="J1044" s="864">
        <v>25999.36531243315</v>
      </c>
      <c r="K1044" s="864">
        <v>26997.898184884179</v>
      </c>
      <c r="L1044" s="18" t="s">
        <v>3004</v>
      </c>
      <c r="M1044" s="442"/>
      <c r="N1044" s="433"/>
      <c r="P1044" s="459"/>
      <c r="T1044" s="443"/>
      <c r="U1044" s="440"/>
      <c r="V1044" s="440"/>
      <c r="W1044" s="440"/>
      <c r="X1044" s="442"/>
    </row>
    <row r="1045" spans="1:24" x14ac:dyDescent="0.25">
      <c r="A1045" s="862">
        <v>1763</v>
      </c>
      <c r="B1045" s="863" t="s">
        <v>7685</v>
      </c>
      <c r="C1045" s="862">
        <v>1763</v>
      </c>
      <c r="D1045" s="165" t="s">
        <v>2149</v>
      </c>
      <c r="E1045" s="165" t="s">
        <v>7686</v>
      </c>
      <c r="F1045" s="163">
        <v>2</v>
      </c>
      <c r="G1045" s="864"/>
      <c r="H1045" s="864">
        <v>25476.493327797703</v>
      </c>
      <c r="I1045" s="864">
        <v>26436.686585987103</v>
      </c>
      <c r="J1045" s="864">
        <v>27503.627450382108</v>
      </c>
      <c r="K1045" s="864">
        <v>28570.519660444286</v>
      </c>
      <c r="L1045" s="18" t="s">
        <v>3005</v>
      </c>
      <c r="M1045" s="442"/>
      <c r="N1045" s="433"/>
      <c r="P1045" s="459"/>
      <c r="T1045" s="443"/>
      <c r="U1045" s="440"/>
      <c r="V1045" s="440"/>
      <c r="W1045" s="440"/>
      <c r="X1045" s="442"/>
    </row>
    <row r="1046" spans="1:24" x14ac:dyDescent="0.25">
      <c r="A1046" s="862">
        <v>1764</v>
      </c>
      <c r="B1046" s="863" t="s">
        <v>7687</v>
      </c>
      <c r="C1046" s="862">
        <v>1764</v>
      </c>
      <c r="D1046" s="165" t="s">
        <v>2149</v>
      </c>
      <c r="E1046" s="165" t="s">
        <v>7688</v>
      </c>
      <c r="F1046" s="163">
        <v>2</v>
      </c>
      <c r="G1046" s="864"/>
      <c r="H1046" s="864">
        <v>27020.712506810458</v>
      </c>
      <c r="I1046" s="864">
        <v>28050.04357193613</v>
      </c>
      <c r="J1046" s="864">
        <v>29193.809627852846</v>
      </c>
      <c r="K1046" s="864">
        <v>30337.52702943674</v>
      </c>
      <c r="L1046" s="18" t="s">
        <v>3006</v>
      </c>
      <c r="M1046" s="442"/>
      <c r="N1046" s="433"/>
      <c r="P1046" s="459"/>
      <c r="T1046" s="443"/>
      <c r="U1046" s="440"/>
      <c r="V1046" s="440"/>
      <c r="W1046" s="440"/>
      <c r="X1046" s="442"/>
    </row>
    <row r="1047" spans="1:24" x14ac:dyDescent="0.25">
      <c r="A1047" s="862">
        <v>1765</v>
      </c>
      <c r="B1047" s="863" t="s">
        <v>7689</v>
      </c>
      <c r="C1047" s="862">
        <v>1765</v>
      </c>
      <c r="D1047" s="165" t="s">
        <v>2149</v>
      </c>
      <c r="E1047" s="165" t="s">
        <v>7690</v>
      </c>
      <c r="F1047" s="163">
        <v>2</v>
      </c>
      <c r="G1047" s="864"/>
      <c r="H1047" s="864">
        <v>27255.433822020408</v>
      </c>
      <c r="I1047" s="864">
        <v>28295.274223035041</v>
      </c>
      <c r="J1047" s="864">
        <v>29450.717318828396</v>
      </c>
      <c r="K1047" s="864">
        <v>30606.111760288932</v>
      </c>
      <c r="L1047" s="18" t="s">
        <v>3007</v>
      </c>
      <c r="M1047" s="442"/>
      <c r="N1047" s="433"/>
      <c r="P1047" s="459"/>
      <c r="T1047" s="443"/>
      <c r="U1047" s="440"/>
      <c r="V1047" s="440"/>
      <c r="W1047" s="440"/>
      <c r="X1047" s="442"/>
    </row>
    <row r="1048" spans="1:24" x14ac:dyDescent="0.25">
      <c r="A1048" s="862">
        <v>1766</v>
      </c>
      <c r="B1048" s="863" t="s">
        <v>7691</v>
      </c>
      <c r="C1048" s="862">
        <v>1766</v>
      </c>
      <c r="D1048" s="165" t="s">
        <v>2149</v>
      </c>
      <c r="E1048" s="165" t="s">
        <v>7692</v>
      </c>
      <c r="F1048" s="163">
        <v>2</v>
      </c>
      <c r="G1048" s="864"/>
      <c r="H1048" s="864">
        <v>28799.653001033166</v>
      </c>
      <c r="I1048" s="864">
        <v>29908.631208984069</v>
      </c>
      <c r="J1048" s="864">
        <v>31140.899496299142</v>
      </c>
      <c r="K1048" s="864">
        <v>32373.119129281393</v>
      </c>
      <c r="L1048" s="18" t="s">
        <v>3008</v>
      </c>
      <c r="M1048" s="442"/>
      <c r="N1048" s="433"/>
      <c r="P1048" s="459"/>
      <c r="T1048" s="443"/>
      <c r="U1048" s="440"/>
      <c r="V1048" s="440"/>
      <c r="W1048" s="440"/>
      <c r="X1048" s="442"/>
    </row>
    <row r="1049" spans="1:24" x14ac:dyDescent="0.25">
      <c r="A1049" s="862">
        <v>1767</v>
      </c>
      <c r="B1049" s="863" t="s">
        <v>7693</v>
      </c>
      <c r="C1049" s="862">
        <v>1767</v>
      </c>
      <c r="D1049" s="165" t="s">
        <v>2149</v>
      </c>
      <c r="E1049" s="165" t="s">
        <v>7694</v>
      </c>
      <c r="F1049" s="163">
        <v>2</v>
      </c>
      <c r="G1049" s="864"/>
      <c r="H1049" s="864">
        <v>27748.956540766318</v>
      </c>
      <c r="I1049" s="864">
        <v>28869.952368923598</v>
      </c>
      <c r="J1049" s="864">
        <v>29990.899542748044</v>
      </c>
      <c r="K1049" s="864">
        <v>31170.864422282342</v>
      </c>
      <c r="L1049" s="18" t="s">
        <v>3009</v>
      </c>
      <c r="M1049" s="442"/>
      <c r="N1049" s="433"/>
      <c r="P1049" s="459"/>
      <c r="T1049" s="443"/>
      <c r="U1049" s="440"/>
      <c r="V1049" s="440"/>
      <c r="W1049" s="440"/>
      <c r="X1049" s="442"/>
    </row>
    <row r="1050" spans="1:24" x14ac:dyDescent="0.25">
      <c r="A1050" s="862">
        <v>1768</v>
      </c>
      <c r="B1050" s="863" t="s">
        <v>7695</v>
      </c>
      <c r="C1050" s="862">
        <v>1768</v>
      </c>
      <c r="D1050" s="165" t="s">
        <v>2149</v>
      </c>
      <c r="E1050" s="165" t="s">
        <v>7696</v>
      </c>
      <c r="F1050" s="163">
        <v>2</v>
      </c>
      <c r="G1050" s="864"/>
      <c r="H1050" s="864">
        <v>29293.175719779083</v>
      </c>
      <c r="I1050" s="864">
        <v>30487.153047165346</v>
      </c>
      <c r="J1050" s="864">
        <v>31681.081720218783</v>
      </c>
      <c r="K1050" s="864">
        <v>32937.871791274803</v>
      </c>
      <c r="L1050" s="18" t="s">
        <v>3010</v>
      </c>
      <c r="M1050" s="442"/>
      <c r="N1050" s="433"/>
      <c r="P1050" s="459"/>
      <c r="T1050" s="443"/>
      <c r="U1050" s="440"/>
      <c r="V1050" s="440"/>
      <c r="W1050" s="440"/>
      <c r="X1050" s="442"/>
    </row>
    <row r="1051" spans="1:24" x14ac:dyDescent="0.25">
      <c r="A1051" s="862">
        <v>1769</v>
      </c>
      <c r="B1051" s="863" t="s">
        <v>7697</v>
      </c>
      <c r="C1051" s="862">
        <v>1769</v>
      </c>
      <c r="D1051" s="165" t="s">
        <v>2149</v>
      </c>
      <c r="E1051" s="165" t="s">
        <v>7698</v>
      </c>
      <c r="F1051" s="163">
        <v>2</v>
      </c>
      <c r="G1051" s="864"/>
      <c r="H1051" s="864">
        <v>28429.040398070105</v>
      </c>
      <c r="I1051" s="864">
        <v>29521.427478529615</v>
      </c>
      <c r="J1051" s="864">
        <v>30735.255773706165</v>
      </c>
      <c r="K1051" s="864">
        <v>31949.035414549897</v>
      </c>
      <c r="L1051" s="18" t="s">
        <v>3011</v>
      </c>
      <c r="M1051" s="442"/>
      <c r="N1051" s="433"/>
      <c r="P1051" s="459"/>
      <c r="T1051" s="443"/>
      <c r="U1051" s="440"/>
      <c r="V1051" s="440"/>
      <c r="W1051" s="440"/>
      <c r="X1051" s="442"/>
    </row>
    <row r="1052" spans="1:24" x14ac:dyDescent="0.25">
      <c r="A1052" s="862">
        <v>1770</v>
      </c>
      <c r="B1052" s="863" t="s">
        <v>7699</v>
      </c>
      <c r="C1052" s="862">
        <v>1770</v>
      </c>
      <c r="D1052" s="165" t="s">
        <v>2149</v>
      </c>
      <c r="E1052" s="165" t="s">
        <v>7700</v>
      </c>
      <c r="F1052" s="163">
        <v>2</v>
      </c>
      <c r="G1052" s="864"/>
      <c r="H1052" s="864">
        <v>29973.259577082863</v>
      </c>
      <c r="I1052" s="864">
        <v>31134.784464478642</v>
      </c>
      <c r="J1052" s="864">
        <v>32425.437951176904</v>
      </c>
      <c r="K1052" s="864">
        <v>33716.042783542347</v>
      </c>
      <c r="L1052" s="18" t="s">
        <v>3012</v>
      </c>
      <c r="M1052" s="442"/>
      <c r="N1052" s="433"/>
      <c r="P1052" s="459"/>
      <c r="T1052" s="443"/>
      <c r="U1052" s="440"/>
      <c r="V1052" s="440"/>
      <c r="W1052" s="440"/>
      <c r="X1052" s="442"/>
    </row>
    <row r="1053" spans="1:24" x14ac:dyDescent="0.25">
      <c r="A1053" s="862">
        <v>1771</v>
      </c>
      <c r="B1053" s="863" t="s">
        <v>7701</v>
      </c>
      <c r="C1053" s="862">
        <v>1771</v>
      </c>
      <c r="D1053" s="165" t="s">
        <v>2150</v>
      </c>
      <c r="E1053" s="165" t="s">
        <v>7702</v>
      </c>
      <c r="F1053" s="163">
        <v>2</v>
      </c>
      <c r="G1053" s="864"/>
      <c r="H1053" s="864">
        <v>21304.989645339054</v>
      </c>
      <c r="I1053" s="864">
        <v>22073.129424023075</v>
      </c>
      <c r="J1053" s="864">
        <v>22881.688455745192</v>
      </c>
      <c r="K1053" s="864">
        <v>23732.812382345328</v>
      </c>
      <c r="L1053" s="18" t="s">
        <v>1787</v>
      </c>
      <c r="M1053" s="442"/>
      <c r="N1053" s="433"/>
      <c r="P1053" s="459"/>
      <c r="T1053" s="443"/>
      <c r="U1053" s="440"/>
      <c r="V1053" s="440"/>
      <c r="W1053" s="440"/>
      <c r="X1053" s="442"/>
    </row>
    <row r="1054" spans="1:24" x14ac:dyDescent="0.25">
      <c r="A1054" s="862">
        <v>1772</v>
      </c>
      <c r="B1054" s="863" t="s">
        <v>7703</v>
      </c>
      <c r="C1054" s="862">
        <v>1772</v>
      </c>
      <c r="D1054" s="165" t="s">
        <v>2150</v>
      </c>
      <c r="E1054" s="165" t="s">
        <v>7704</v>
      </c>
      <c r="F1054" s="163">
        <v>1</v>
      </c>
      <c r="G1054" s="864"/>
      <c r="H1054" s="864">
        <v>27607.980182965999</v>
      </c>
      <c r="I1054" s="864">
        <v>28508.869651302706</v>
      </c>
      <c r="J1054" s="864">
        <v>29457.208589641865</v>
      </c>
      <c r="K1054" s="864">
        <v>30455.461905516077</v>
      </c>
      <c r="L1054" s="18" t="s">
        <v>1788</v>
      </c>
      <c r="M1054" s="442"/>
      <c r="N1054" s="433"/>
      <c r="P1054" s="459"/>
      <c r="T1054" s="443"/>
      <c r="U1054" s="440"/>
      <c r="V1054" s="440"/>
      <c r="W1054" s="440"/>
      <c r="X1054" s="442"/>
    </row>
    <row r="1055" spans="1:24" x14ac:dyDescent="0.25">
      <c r="A1055" s="862">
        <v>1773</v>
      </c>
      <c r="B1055" s="863" t="s">
        <v>7705</v>
      </c>
      <c r="C1055" s="862">
        <v>1773</v>
      </c>
      <c r="D1055" s="165" t="s">
        <v>2150</v>
      </c>
      <c r="E1055" s="165" t="s">
        <v>7706</v>
      </c>
      <c r="F1055" s="163">
        <v>1</v>
      </c>
      <c r="G1055" s="864"/>
      <c r="H1055" s="864">
        <v>27127.685931616787</v>
      </c>
      <c r="I1055" s="864">
        <v>28011.49222135952</v>
      </c>
      <c r="J1055" s="864">
        <v>28941.823640779996</v>
      </c>
      <c r="K1055" s="864">
        <v>29921.145097410808</v>
      </c>
      <c r="L1055" s="18" t="s">
        <v>1789</v>
      </c>
      <c r="M1055" s="442"/>
      <c r="N1055" s="433"/>
      <c r="P1055" s="459"/>
      <c r="T1055" s="443"/>
      <c r="U1055" s="440"/>
      <c r="V1055" s="440"/>
      <c r="W1055" s="440"/>
      <c r="X1055" s="442"/>
    </row>
    <row r="1056" spans="1:24" x14ac:dyDescent="0.25">
      <c r="A1056" s="862">
        <v>1774</v>
      </c>
      <c r="B1056" s="863" t="s">
        <v>7707</v>
      </c>
      <c r="C1056" s="862">
        <v>1774</v>
      </c>
      <c r="D1056" s="165" t="s">
        <v>2150</v>
      </c>
      <c r="E1056" s="165" t="s">
        <v>7708</v>
      </c>
      <c r="F1056" s="163">
        <v>1</v>
      </c>
      <c r="G1056" s="864"/>
      <c r="H1056" s="864">
        <v>9793.8558924350018</v>
      </c>
      <c r="I1056" s="864">
        <v>9990.5265988883857</v>
      </c>
      <c r="J1056" s="864">
        <v>10197.553442005332</v>
      </c>
      <c r="K1056" s="864">
        <v>10415.479799326829</v>
      </c>
      <c r="L1056" s="18" t="s">
        <v>3013</v>
      </c>
      <c r="M1056" s="442"/>
      <c r="N1056" s="433"/>
      <c r="P1056" s="459"/>
      <c r="T1056" s="443"/>
      <c r="U1056" s="440"/>
      <c r="V1056" s="440"/>
      <c r="W1056" s="440"/>
      <c r="X1056" s="442"/>
    </row>
    <row r="1057" spans="1:24" x14ac:dyDescent="0.25">
      <c r="A1057" s="862">
        <v>1775</v>
      </c>
      <c r="B1057" s="863" t="s">
        <v>7709</v>
      </c>
      <c r="C1057" s="862">
        <v>1775</v>
      </c>
      <c r="D1057" s="165" t="s">
        <v>2150</v>
      </c>
      <c r="E1057" s="165" t="s">
        <v>7710</v>
      </c>
      <c r="F1057" s="163">
        <v>1</v>
      </c>
      <c r="G1057" s="864"/>
      <c r="H1057" s="864">
        <v>11053.688598842107</v>
      </c>
      <c r="I1057" s="864">
        <v>11283.345518372018</v>
      </c>
      <c r="J1057" s="864">
        <v>11525.116560727523</v>
      </c>
      <c r="K1057" s="864">
        <v>11779.609030219128</v>
      </c>
      <c r="L1057" s="18" t="s">
        <v>3014</v>
      </c>
      <c r="M1057" s="442"/>
      <c r="N1057" s="433"/>
      <c r="P1057" s="459"/>
      <c r="T1057" s="443"/>
      <c r="U1057" s="440"/>
      <c r="V1057" s="440"/>
      <c r="W1057" s="440"/>
      <c r="X1057" s="442"/>
    </row>
    <row r="1058" spans="1:24" x14ac:dyDescent="0.25">
      <c r="A1058" s="862">
        <v>1776</v>
      </c>
      <c r="B1058" s="863" t="s">
        <v>7711</v>
      </c>
      <c r="C1058" s="862">
        <v>1776</v>
      </c>
      <c r="D1058" s="165" t="s">
        <v>2150</v>
      </c>
      <c r="E1058" s="165" t="s">
        <v>7712</v>
      </c>
      <c r="F1058" s="163">
        <v>1</v>
      </c>
      <c r="G1058" s="864"/>
      <c r="H1058" s="864">
        <v>11694.464853219106</v>
      </c>
      <c r="I1058" s="864">
        <v>11966.569147715723</v>
      </c>
      <c r="J1058" s="864">
        <v>12253.025001971406</v>
      </c>
      <c r="K1058" s="864">
        <v>12554.567573835739</v>
      </c>
      <c r="L1058" s="18" t="s">
        <v>1790</v>
      </c>
      <c r="M1058" s="442"/>
      <c r="N1058" s="433"/>
      <c r="P1058" s="459"/>
      <c r="T1058" s="443"/>
      <c r="U1058" s="440"/>
      <c r="V1058" s="440"/>
      <c r="W1058" s="440"/>
      <c r="X1058" s="442"/>
    </row>
    <row r="1059" spans="1:24" x14ac:dyDescent="0.25">
      <c r="A1059" s="862">
        <v>1777</v>
      </c>
      <c r="B1059" s="863" t="s">
        <v>7713</v>
      </c>
      <c r="C1059" s="862">
        <v>1777</v>
      </c>
      <c r="D1059" s="165" t="s">
        <v>2150</v>
      </c>
      <c r="E1059" s="165" t="s">
        <v>7714</v>
      </c>
      <c r="F1059" s="163">
        <v>1</v>
      </c>
      <c r="G1059" s="864"/>
      <c r="H1059" s="864">
        <v>12151.707930114357</v>
      </c>
      <c r="I1059" s="864">
        <v>0</v>
      </c>
      <c r="J1059" s="864">
        <v>0</v>
      </c>
      <c r="K1059" s="864">
        <v>0</v>
      </c>
      <c r="L1059" s="18" t="s">
        <v>3015</v>
      </c>
      <c r="M1059" s="442"/>
      <c r="N1059" s="433"/>
      <c r="P1059" s="459"/>
      <c r="T1059" s="443"/>
      <c r="U1059" s="440"/>
      <c r="V1059" s="440"/>
      <c r="W1059" s="440"/>
      <c r="X1059" s="442"/>
    </row>
    <row r="1060" spans="1:24" x14ac:dyDescent="0.25">
      <c r="A1060" s="862">
        <v>1778</v>
      </c>
      <c r="B1060" s="863" t="s">
        <v>7715</v>
      </c>
      <c r="C1060" s="862">
        <v>1778</v>
      </c>
      <c r="D1060" s="165" t="s">
        <v>2150</v>
      </c>
      <c r="E1060" s="165" t="s">
        <v>7716</v>
      </c>
      <c r="F1060" s="163">
        <v>1</v>
      </c>
      <c r="G1060" s="864"/>
      <c r="H1060" s="864">
        <v>12382.869894592723</v>
      </c>
      <c r="I1060" s="864">
        <v>12647.366903515485</v>
      </c>
      <c r="J1060" s="864">
        <v>12925.799948195385</v>
      </c>
      <c r="K1060" s="864">
        <v>13218.872223097238</v>
      </c>
      <c r="L1060" s="18" t="s">
        <v>3016</v>
      </c>
      <c r="M1060" s="442"/>
      <c r="N1060" s="433"/>
      <c r="P1060" s="459"/>
      <c r="T1060" s="443"/>
      <c r="U1060" s="440"/>
      <c r="V1060" s="440"/>
      <c r="W1060" s="440"/>
      <c r="X1060" s="442"/>
    </row>
    <row r="1061" spans="1:24" x14ac:dyDescent="0.25">
      <c r="A1061" s="862">
        <v>1779</v>
      </c>
      <c r="B1061" s="863" t="s">
        <v>7717</v>
      </c>
      <c r="C1061" s="862">
        <v>1779</v>
      </c>
      <c r="D1061" s="165" t="s">
        <v>2150</v>
      </c>
      <c r="E1061" s="165" t="s">
        <v>7718</v>
      </c>
      <c r="F1061" s="163">
        <v>1</v>
      </c>
      <c r="G1061" s="864"/>
      <c r="H1061" s="864">
        <v>13134.146279147422</v>
      </c>
      <c r="I1061" s="864">
        <v>13418.332733084855</v>
      </c>
      <c r="J1061" s="864">
        <v>13717.478051091879</v>
      </c>
      <c r="K1061" s="864">
        <v>14032.381317787593</v>
      </c>
      <c r="L1061" s="18" t="s">
        <v>3017</v>
      </c>
      <c r="M1061" s="442"/>
      <c r="N1061" s="433"/>
      <c r="P1061" s="459"/>
      <c r="T1061" s="443"/>
      <c r="U1061" s="440"/>
      <c r="V1061" s="440"/>
      <c r="W1061" s="440"/>
      <c r="X1061" s="442"/>
    </row>
    <row r="1062" spans="1:24" x14ac:dyDescent="0.25">
      <c r="A1062" s="862">
        <v>1780</v>
      </c>
      <c r="B1062" s="863" t="s">
        <v>7719</v>
      </c>
      <c r="C1062" s="862">
        <v>1780</v>
      </c>
      <c r="D1062" s="165" t="s">
        <v>2150</v>
      </c>
      <c r="E1062" s="165" t="s">
        <v>7720</v>
      </c>
      <c r="F1062" s="163">
        <v>1</v>
      </c>
      <c r="G1062" s="864"/>
      <c r="H1062" s="864">
        <v>12113.317541697497</v>
      </c>
      <c r="I1062" s="864">
        <v>12397.535959019693</v>
      </c>
      <c r="J1062" s="864">
        <v>12696.74520379625</v>
      </c>
      <c r="K1062" s="864">
        <v>13011.712397261488</v>
      </c>
      <c r="L1062" s="18" t="s">
        <v>1791</v>
      </c>
      <c r="M1062" s="442"/>
      <c r="N1062" s="433"/>
      <c r="P1062" s="459"/>
      <c r="T1062" s="443"/>
      <c r="U1062" s="440"/>
      <c r="V1062" s="440"/>
      <c r="W1062" s="440"/>
      <c r="X1062" s="442"/>
    </row>
    <row r="1063" spans="1:24" x14ac:dyDescent="0.25">
      <c r="A1063" s="862">
        <v>1781</v>
      </c>
      <c r="B1063" s="863" t="s">
        <v>7721</v>
      </c>
      <c r="C1063" s="862">
        <v>1781</v>
      </c>
      <c r="D1063" s="165" t="s">
        <v>2150</v>
      </c>
      <c r="E1063" s="165" t="s">
        <v>7722</v>
      </c>
      <c r="F1063" s="163">
        <v>1</v>
      </c>
      <c r="G1063" s="864"/>
      <c r="H1063" s="864">
        <v>0</v>
      </c>
      <c r="I1063" s="864">
        <v>13226.387132663747</v>
      </c>
      <c r="J1063" s="864">
        <v>13550.112293554343</v>
      </c>
      <c r="K1063" s="864">
        <v>13890.873938524201</v>
      </c>
      <c r="L1063" s="18" t="s">
        <v>1792</v>
      </c>
      <c r="M1063" s="442"/>
      <c r="N1063" s="433"/>
      <c r="P1063" s="459"/>
      <c r="T1063" s="443"/>
      <c r="U1063" s="440"/>
      <c r="V1063" s="440"/>
      <c r="W1063" s="440"/>
      <c r="X1063" s="442"/>
    </row>
    <row r="1064" spans="1:24" x14ac:dyDescent="0.25">
      <c r="A1064" s="862">
        <v>1782</v>
      </c>
      <c r="B1064" s="863" t="s">
        <v>7723</v>
      </c>
      <c r="C1064" s="862">
        <v>1782</v>
      </c>
      <c r="D1064" s="165" t="s">
        <v>2150</v>
      </c>
      <c r="E1064" s="165" t="s">
        <v>7724</v>
      </c>
      <c r="F1064" s="163">
        <v>1</v>
      </c>
      <c r="G1064" s="864"/>
      <c r="H1064" s="864">
        <v>0</v>
      </c>
      <c r="I1064" s="864">
        <v>11908.987867412066</v>
      </c>
      <c r="J1064" s="864">
        <v>0</v>
      </c>
      <c r="K1064" s="864">
        <v>0</v>
      </c>
      <c r="L1064" s="18" t="s">
        <v>10921</v>
      </c>
      <c r="M1064" s="442"/>
      <c r="N1064" s="433"/>
      <c r="P1064" s="459"/>
      <c r="T1064" s="443"/>
      <c r="U1064" s="440"/>
      <c r="V1064" s="440"/>
      <c r="W1064" s="440"/>
      <c r="X1064" s="442"/>
    </row>
    <row r="1065" spans="1:24" x14ac:dyDescent="0.25">
      <c r="A1065" s="862">
        <v>1783</v>
      </c>
      <c r="B1065" s="863" t="s">
        <v>7725</v>
      </c>
      <c r="C1065" s="862">
        <v>1783</v>
      </c>
      <c r="D1065" s="165" t="s">
        <v>2150</v>
      </c>
      <c r="E1065" s="165" t="s">
        <v>7726</v>
      </c>
      <c r="F1065" s="163">
        <v>1</v>
      </c>
      <c r="G1065" s="864"/>
      <c r="H1065" s="864">
        <v>12093.917438994762</v>
      </c>
      <c r="I1065" s="864">
        <v>0</v>
      </c>
      <c r="J1065" s="864">
        <v>0</v>
      </c>
      <c r="K1065" s="864">
        <v>0</v>
      </c>
      <c r="L1065" s="18" t="s">
        <v>3018</v>
      </c>
      <c r="M1065" s="442"/>
      <c r="N1065" s="433"/>
      <c r="P1065" s="459"/>
      <c r="T1065" s="443"/>
      <c r="U1065" s="440"/>
      <c r="V1065" s="440"/>
      <c r="W1065" s="440"/>
      <c r="X1065" s="442"/>
    </row>
    <row r="1066" spans="1:24" x14ac:dyDescent="0.25">
      <c r="A1066" s="862">
        <v>1784</v>
      </c>
      <c r="B1066" s="863" t="s">
        <v>7727</v>
      </c>
      <c r="C1066" s="862">
        <v>1784</v>
      </c>
      <c r="D1066" s="165" t="s">
        <v>2150</v>
      </c>
      <c r="E1066" s="165" t="s">
        <v>7728</v>
      </c>
      <c r="F1066" s="163">
        <v>1</v>
      </c>
      <c r="G1066" s="864"/>
      <c r="H1066" s="864">
        <v>0</v>
      </c>
      <c r="I1066" s="864">
        <v>10290.725857557381</v>
      </c>
      <c r="J1066" s="864">
        <v>10506.127107482516</v>
      </c>
      <c r="K1066" s="864">
        <v>10732.843395614136</v>
      </c>
      <c r="L1066" s="18" t="s">
        <v>3919</v>
      </c>
      <c r="M1066" s="442"/>
      <c r="N1066" s="433"/>
      <c r="P1066" s="459"/>
      <c r="T1066" s="443"/>
      <c r="U1066" s="440"/>
      <c r="V1066" s="440"/>
      <c r="W1066" s="440"/>
      <c r="X1066" s="442"/>
    </row>
    <row r="1067" spans="1:24" x14ac:dyDescent="0.25">
      <c r="A1067" s="862">
        <v>1785</v>
      </c>
      <c r="B1067" s="863" t="s">
        <v>7729</v>
      </c>
      <c r="C1067" s="862">
        <v>1785</v>
      </c>
      <c r="D1067" s="165" t="s">
        <v>2150</v>
      </c>
      <c r="E1067" s="165" t="s">
        <v>7730</v>
      </c>
      <c r="F1067" s="163">
        <v>1</v>
      </c>
      <c r="G1067" s="864"/>
      <c r="H1067" s="864">
        <v>0</v>
      </c>
      <c r="I1067" s="864">
        <v>11838.574605175207</v>
      </c>
      <c r="J1067" s="864">
        <v>12082.359340770841</v>
      </c>
      <c r="K1067" s="864">
        <v>12338.993357041642</v>
      </c>
      <c r="L1067" s="18" t="s">
        <v>3920</v>
      </c>
      <c r="M1067" s="442"/>
      <c r="N1067" s="433"/>
      <c r="P1067" s="459"/>
      <c r="T1067" s="443"/>
      <c r="U1067" s="440"/>
      <c r="V1067" s="440"/>
      <c r="W1067" s="440"/>
      <c r="X1067" s="442"/>
    </row>
    <row r="1068" spans="1:24" x14ac:dyDescent="0.25">
      <c r="A1068" s="862">
        <v>1786</v>
      </c>
      <c r="B1068" s="863" t="s">
        <v>7731</v>
      </c>
      <c r="C1068" s="862">
        <v>1786</v>
      </c>
      <c r="D1068" s="165" t="s">
        <v>2150</v>
      </c>
      <c r="E1068" s="165" t="s">
        <v>7732</v>
      </c>
      <c r="F1068" s="163">
        <v>1</v>
      </c>
      <c r="G1068" s="864"/>
      <c r="H1068" s="864">
        <v>0</v>
      </c>
      <c r="I1068" s="864">
        <v>11184.6418517191</v>
      </c>
      <c r="J1068" s="864">
        <v>11417.769994834396</v>
      </c>
      <c r="K1068" s="864">
        <v>11663.152899668239</v>
      </c>
      <c r="L1068" s="18" t="s">
        <v>3921</v>
      </c>
      <c r="M1068" s="442"/>
      <c r="N1068" s="433"/>
      <c r="P1068" s="459"/>
      <c r="T1068" s="443"/>
      <c r="U1068" s="440"/>
      <c r="V1068" s="440"/>
      <c r="W1068" s="440"/>
      <c r="X1068" s="442"/>
    </row>
    <row r="1069" spans="1:24" x14ac:dyDescent="0.25">
      <c r="A1069" s="862">
        <v>1787</v>
      </c>
      <c r="B1069" s="863" t="s">
        <v>7733</v>
      </c>
      <c r="C1069" s="862">
        <v>1787</v>
      </c>
      <c r="D1069" s="165" t="s">
        <v>2150</v>
      </c>
      <c r="E1069" s="165" t="s">
        <v>7734</v>
      </c>
      <c r="F1069" s="163">
        <v>1</v>
      </c>
      <c r="G1069" s="864"/>
      <c r="H1069" s="864">
        <v>0</v>
      </c>
      <c r="I1069" s="864">
        <v>10082.808348032961</v>
      </c>
      <c r="J1069" s="864">
        <v>10287.054376675431</v>
      </c>
      <c r="K1069" s="864">
        <v>10502.040102598638</v>
      </c>
      <c r="L1069" s="18" t="s">
        <v>3924</v>
      </c>
      <c r="M1069" s="442"/>
      <c r="N1069" s="433"/>
      <c r="P1069" s="459"/>
      <c r="T1069" s="443"/>
      <c r="U1069" s="440"/>
      <c r="V1069" s="440"/>
      <c r="W1069" s="440"/>
      <c r="X1069" s="442"/>
    </row>
    <row r="1070" spans="1:24" x14ac:dyDescent="0.25">
      <c r="A1070" s="862">
        <v>1788</v>
      </c>
      <c r="B1070" s="863" t="s">
        <v>7735</v>
      </c>
      <c r="C1070" s="862">
        <v>1788</v>
      </c>
      <c r="D1070" s="165" t="s">
        <v>2150</v>
      </c>
      <c r="E1070" s="165" t="s">
        <v>7736</v>
      </c>
      <c r="F1070" s="163">
        <v>1</v>
      </c>
      <c r="G1070" s="864"/>
      <c r="H1070" s="864">
        <v>0</v>
      </c>
      <c r="I1070" s="864">
        <v>10718.503750348475</v>
      </c>
      <c r="J1070" s="864">
        <v>10939.40270245303</v>
      </c>
      <c r="K1070" s="864">
        <v>11171.936326611714</v>
      </c>
      <c r="L1070" s="18" t="s">
        <v>3923</v>
      </c>
      <c r="M1070" s="442"/>
      <c r="N1070" s="433"/>
      <c r="P1070" s="459"/>
      <c r="T1070" s="443"/>
      <c r="U1070" s="440"/>
      <c r="V1070" s="440"/>
      <c r="W1070" s="440"/>
      <c r="X1070" s="442"/>
    </row>
    <row r="1071" spans="1:24" x14ac:dyDescent="0.25">
      <c r="A1071" s="862">
        <v>1789</v>
      </c>
      <c r="B1071" s="863" t="s">
        <v>7737</v>
      </c>
      <c r="C1071" s="862">
        <v>1789</v>
      </c>
      <c r="D1071" s="165" t="s">
        <v>2150</v>
      </c>
      <c r="E1071" s="165" t="s">
        <v>7738</v>
      </c>
      <c r="F1071" s="163">
        <v>1</v>
      </c>
      <c r="G1071" s="864"/>
      <c r="H1071" s="864">
        <v>0</v>
      </c>
      <c r="I1071" s="864">
        <v>11816.52308162072</v>
      </c>
      <c r="J1071" s="864">
        <v>12066.189080012951</v>
      </c>
      <c r="K1071" s="864">
        <v>12328.992029543213</v>
      </c>
      <c r="L1071" s="18" t="s">
        <v>3922</v>
      </c>
      <c r="M1071" s="442"/>
      <c r="N1071" s="433"/>
      <c r="P1071" s="459"/>
      <c r="T1071" s="443"/>
      <c r="U1071" s="440"/>
      <c r="V1071" s="440"/>
      <c r="W1071" s="440"/>
      <c r="X1071" s="442"/>
    </row>
    <row r="1072" spans="1:24" x14ac:dyDescent="0.25">
      <c r="A1072" s="862">
        <v>1790</v>
      </c>
      <c r="B1072" s="863" t="s">
        <v>7739</v>
      </c>
      <c r="C1072" s="862">
        <v>1790</v>
      </c>
      <c r="D1072" s="165" t="s">
        <v>2150</v>
      </c>
      <c r="E1072" s="165" t="s">
        <v>7740</v>
      </c>
      <c r="F1072" s="163">
        <v>1</v>
      </c>
      <c r="G1072" s="864"/>
      <c r="H1072" s="864">
        <v>0</v>
      </c>
      <c r="I1072" s="864">
        <v>11868.534523628352</v>
      </c>
      <c r="J1072" s="864">
        <v>12119.574947565436</v>
      </c>
      <c r="K1072" s="864">
        <v>12383.816249410085</v>
      </c>
      <c r="L1072" s="18" t="s">
        <v>3925</v>
      </c>
      <c r="M1072" s="442"/>
      <c r="N1072" s="433"/>
      <c r="P1072" s="459"/>
      <c r="T1072" s="443"/>
      <c r="U1072" s="440"/>
      <c r="V1072" s="440"/>
      <c r="W1072" s="440"/>
      <c r="X1072" s="442"/>
    </row>
    <row r="1073" spans="1:24" x14ac:dyDescent="0.25">
      <c r="A1073" s="862">
        <v>1791</v>
      </c>
      <c r="B1073" s="863" t="s">
        <v>7741</v>
      </c>
      <c r="C1073" s="862">
        <v>1791</v>
      </c>
      <c r="D1073" s="165" t="s">
        <v>2150</v>
      </c>
      <c r="E1073" s="165" t="s">
        <v>7742</v>
      </c>
      <c r="F1073" s="163">
        <v>1</v>
      </c>
      <c r="G1073" s="864"/>
      <c r="H1073" s="864">
        <v>0</v>
      </c>
      <c r="I1073" s="864">
        <v>12625.589957295013</v>
      </c>
      <c r="J1073" s="864">
        <v>12896.447679785822</v>
      </c>
      <c r="K1073" s="864">
        <v>13181.561071881413</v>
      </c>
      <c r="L1073" s="18" t="s">
        <v>3926</v>
      </c>
      <c r="M1073" s="442"/>
      <c r="N1073" s="433"/>
      <c r="P1073" s="459"/>
      <c r="T1073" s="443"/>
      <c r="U1073" s="440"/>
      <c r="V1073" s="440"/>
      <c r="W1073" s="440"/>
      <c r="X1073" s="442"/>
    </row>
    <row r="1074" spans="1:24" x14ac:dyDescent="0.25">
      <c r="A1074" s="862">
        <v>1792</v>
      </c>
      <c r="B1074" s="863" t="s">
        <v>7743</v>
      </c>
      <c r="C1074" s="862">
        <v>1792</v>
      </c>
      <c r="D1074" s="165" t="s">
        <v>2150</v>
      </c>
      <c r="E1074" s="165" t="s">
        <v>7744</v>
      </c>
      <c r="F1074" s="163">
        <v>1</v>
      </c>
      <c r="G1074" s="864"/>
      <c r="H1074" s="864">
        <v>11410.298350255624</v>
      </c>
      <c r="I1074" s="864">
        <v>11643.151608261947</v>
      </c>
      <c r="J1074" s="864">
        <v>11888.278806017677</v>
      </c>
      <c r="K1074" s="864">
        <v>12146.319211218093</v>
      </c>
      <c r="L1074" s="18" t="s">
        <v>3927</v>
      </c>
      <c r="M1074" s="442"/>
      <c r="N1074" s="433"/>
      <c r="P1074" s="459"/>
      <c r="T1074" s="443"/>
      <c r="U1074" s="440"/>
      <c r="V1074" s="440"/>
      <c r="W1074" s="440"/>
      <c r="X1074" s="442"/>
    </row>
    <row r="1075" spans="1:24" x14ac:dyDescent="0.25">
      <c r="A1075" s="862">
        <v>1793</v>
      </c>
      <c r="B1075" s="863" t="s">
        <v>7745</v>
      </c>
      <c r="C1075" s="862">
        <v>1793</v>
      </c>
      <c r="D1075" s="165" t="s">
        <v>2150</v>
      </c>
      <c r="E1075" s="165" t="s">
        <v>7746</v>
      </c>
      <c r="F1075" s="163">
        <v>1</v>
      </c>
      <c r="G1075" s="864"/>
      <c r="H1075" s="864">
        <v>0</v>
      </c>
      <c r="I1075" s="864">
        <v>13902.759811037991</v>
      </c>
      <c r="J1075" s="864">
        <v>14207.0831973768</v>
      </c>
      <c r="K1075" s="864">
        <v>14527.42023948241</v>
      </c>
      <c r="L1075" s="18" t="s">
        <v>3928</v>
      </c>
      <c r="M1075" s="442"/>
      <c r="N1075" s="433"/>
      <c r="P1075" s="459"/>
      <c r="T1075" s="443"/>
      <c r="U1075" s="440"/>
      <c r="V1075" s="440"/>
      <c r="W1075" s="440"/>
      <c r="X1075" s="442"/>
    </row>
    <row r="1076" spans="1:24" x14ac:dyDescent="0.25">
      <c r="A1076" s="862">
        <v>1794</v>
      </c>
      <c r="B1076" s="863" t="s">
        <v>7747</v>
      </c>
      <c r="C1076" s="862">
        <v>1794</v>
      </c>
      <c r="D1076" s="165" t="s">
        <v>2150</v>
      </c>
      <c r="E1076" s="165" t="s">
        <v>7748</v>
      </c>
      <c r="F1076" s="163">
        <v>1</v>
      </c>
      <c r="G1076" s="864"/>
      <c r="H1076" s="864">
        <v>0</v>
      </c>
      <c r="I1076" s="864">
        <v>13093.692935363702</v>
      </c>
      <c r="J1076" s="864">
        <v>13376.824597603923</v>
      </c>
      <c r="K1076" s="864">
        <v>13674.851197144209</v>
      </c>
      <c r="L1076" s="18" t="s">
        <v>3929</v>
      </c>
      <c r="M1076" s="442"/>
      <c r="N1076" s="433"/>
      <c r="P1076" s="459"/>
      <c r="T1076" s="443"/>
      <c r="U1076" s="440"/>
      <c r="V1076" s="440"/>
      <c r="W1076" s="440"/>
      <c r="X1076" s="442"/>
    </row>
    <row r="1077" spans="1:24" x14ac:dyDescent="0.25">
      <c r="A1077" s="862">
        <v>1795</v>
      </c>
      <c r="B1077" s="863" t="s">
        <v>7749</v>
      </c>
      <c r="C1077" s="862">
        <v>1795</v>
      </c>
      <c r="D1077" s="165" t="s">
        <v>2150</v>
      </c>
      <c r="E1077" s="165" t="s">
        <v>7750</v>
      </c>
      <c r="F1077" s="163">
        <v>1</v>
      </c>
      <c r="G1077" s="864"/>
      <c r="H1077" s="864">
        <v>10792.288637727057</v>
      </c>
      <c r="I1077" s="864">
        <v>11038.31081025618</v>
      </c>
      <c r="J1077" s="864">
        <v>11297.278153614756</v>
      </c>
      <c r="K1077" s="864">
        <v>11569.702081959009</v>
      </c>
      <c r="L1077" s="18" t="s">
        <v>1793</v>
      </c>
      <c r="M1077" s="442"/>
      <c r="N1077" s="433"/>
      <c r="P1077" s="459"/>
      <c r="T1077" s="443"/>
      <c r="U1077" s="440"/>
      <c r="V1077" s="440"/>
      <c r="W1077" s="440"/>
      <c r="X1077" s="442"/>
    </row>
    <row r="1078" spans="1:24" x14ac:dyDescent="0.25">
      <c r="A1078" s="862">
        <v>1796</v>
      </c>
      <c r="B1078" s="863" t="s">
        <v>7751</v>
      </c>
      <c r="C1078" s="862">
        <v>1796</v>
      </c>
      <c r="D1078" s="165" t="s">
        <v>2150</v>
      </c>
      <c r="E1078" s="165" t="s">
        <v>7752</v>
      </c>
      <c r="F1078" s="163">
        <v>1</v>
      </c>
      <c r="G1078" s="864"/>
      <c r="H1078" s="864">
        <v>28422.246004307362</v>
      </c>
      <c r="I1078" s="864">
        <v>0</v>
      </c>
      <c r="J1078" s="864">
        <v>0</v>
      </c>
      <c r="K1078" s="864">
        <v>0</v>
      </c>
      <c r="L1078" s="18" t="s">
        <v>1794</v>
      </c>
      <c r="M1078" s="442"/>
      <c r="N1078" s="433"/>
      <c r="P1078" s="459"/>
      <c r="T1078" s="443"/>
      <c r="U1078" s="440"/>
      <c r="V1078" s="440"/>
      <c r="W1078" s="440"/>
      <c r="X1078" s="442"/>
    </row>
    <row r="1079" spans="1:24" x14ac:dyDescent="0.25">
      <c r="A1079" s="862">
        <v>1797</v>
      </c>
      <c r="B1079" s="863" t="s">
        <v>7753</v>
      </c>
      <c r="C1079" s="862">
        <v>1797</v>
      </c>
      <c r="D1079" s="165" t="s">
        <v>2150</v>
      </c>
      <c r="E1079" s="165" t="s">
        <v>7754</v>
      </c>
      <c r="F1079" s="163">
        <v>1</v>
      </c>
      <c r="G1079" s="864"/>
      <c r="H1079" s="864">
        <v>28733.40685319055</v>
      </c>
      <c r="I1079" s="864">
        <v>29379.320843598383</v>
      </c>
      <c r="J1079" s="864">
        <v>30059.229267568673</v>
      </c>
      <c r="K1079" s="864">
        <v>30774.929622750547</v>
      </c>
      <c r="L1079" s="18" t="s">
        <v>1795</v>
      </c>
      <c r="M1079" s="442"/>
      <c r="N1079" s="433"/>
      <c r="P1079" s="459"/>
      <c r="T1079" s="443"/>
      <c r="U1079" s="440"/>
      <c r="V1079" s="440"/>
      <c r="W1079" s="440"/>
      <c r="X1079" s="442"/>
    </row>
    <row r="1080" spans="1:24" x14ac:dyDescent="0.25">
      <c r="A1080" s="862">
        <v>1798</v>
      </c>
      <c r="B1080" s="863" t="s">
        <v>7755</v>
      </c>
      <c r="C1080" s="862">
        <v>1798</v>
      </c>
      <c r="D1080" s="165" t="s">
        <v>2150</v>
      </c>
      <c r="E1080" s="165" t="s">
        <v>7756</v>
      </c>
      <c r="F1080" s="163">
        <v>1</v>
      </c>
      <c r="G1080" s="864"/>
      <c r="H1080" s="864">
        <v>0</v>
      </c>
      <c r="I1080" s="864">
        <v>0</v>
      </c>
      <c r="J1080" s="864">
        <v>26375.121244575297</v>
      </c>
      <c r="K1080" s="864">
        <v>27359.713115705916</v>
      </c>
      <c r="L1080" s="18" t="s">
        <v>4651</v>
      </c>
      <c r="M1080" s="442"/>
      <c r="N1080" s="433"/>
      <c r="P1080" s="459"/>
      <c r="T1080" s="443"/>
      <c r="U1080" s="440"/>
      <c r="V1080" s="440"/>
      <c r="W1080" s="440"/>
      <c r="X1080" s="442"/>
    </row>
    <row r="1081" spans="1:24" x14ac:dyDescent="0.25">
      <c r="A1081" s="862">
        <v>1799</v>
      </c>
      <c r="B1081" s="863" t="s">
        <v>7757</v>
      </c>
      <c r="C1081" s="862">
        <v>1799</v>
      </c>
      <c r="D1081" s="165" t="s">
        <v>2150</v>
      </c>
      <c r="E1081" s="165" t="s">
        <v>7758</v>
      </c>
      <c r="F1081" s="163">
        <v>1</v>
      </c>
      <c r="G1081" s="864"/>
      <c r="H1081" s="864">
        <v>22633.463911358413</v>
      </c>
      <c r="I1081" s="864">
        <v>23094.374184946824</v>
      </c>
      <c r="J1081" s="864">
        <v>23579.558541621584</v>
      </c>
      <c r="K1081" s="864">
        <v>24090.276155721458</v>
      </c>
      <c r="L1081" s="18" t="s">
        <v>1796</v>
      </c>
      <c r="M1081" s="442"/>
      <c r="N1081" s="433"/>
      <c r="P1081" s="459"/>
      <c r="T1081" s="443"/>
      <c r="U1081" s="440"/>
      <c r="V1081" s="440"/>
      <c r="W1081" s="440"/>
      <c r="X1081" s="442"/>
    </row>
    <row r="1082" spans="1:24" x14ac:dyDescent="0.25">
      <c r="A1082" s="862">
        <v>1800</v>
      </c>
      <c r="B1082" s="863" t="s">
        <v>7759</v>
      </c>
      <c r="C1082" s="862">
        <v>1800</v>
      </c>
      <c r="D1082" s="165" t="s">
        <v>2150</v>
      </c>
      <c r="E1082" s="165" t="s">
        <v>7760</v>
      </c>
      <c r="F1082" s="163">
        <v>1</v>
      </c>
      <c r="G1082" s="864"/>
      <c r="H1082" s="864">
        <v>0</v>
      </c>
      <c r="I1082" s="864">
        <v>32398.689673826408</v>
      </c>
      <c r="J1082" s="864">
        <v>33629.442506878309</v>
      </c>
      <c r="K1082" s="864">
        <v>34925.010103341483</v>
      </c>
      <c r="L1082" s="18" t="s">
        <v>3930</v>
      </c>
      <c r="M1082" s="442"/>
      <c r="N1082" s="433"/>
      <c r="P1082" s="459"/>
      <c r="T1082" s="443"/>
      <c r="U1082" s="440"/>
      <c r="V1082" s="440"/>
      <c r="W1082" s="440"/>
      <c r="X1082" s="442"/>
    </row>
    <row r="1083" spans="1:24" x14ac:dyDescent="0.25">
      <c r="A1083" s="862">
        <v>1801</v>
      </c>
      <c r="B1083" s="863" t="s">
        <v>7761</v>
      </c>
      <c r="C1083" s="862">
        <v>1801</v>
      </c>
      <c r="D1083" s="165" t="s">
        <v>2150</v>
      </c>
      <c r="E1083" s="165" t="s">
        <v>7762</v>
      </c>
      <c r="F1083" s="163">
        <v>1</v>
      </c>
      <c r="G1083" s="864"/>
      <c r="H1083" s="864">
        <v>0</v>
      </c>
      <c r="I1083" s="864">
        <v>0</v>
      </c>
      <c r="J1083" s="864">
        <v>15780.567625236625</v>
      </c>
      <c r="K1083" s="864">
        <v>16086.249684506281</v>
      </c>
      <c r="L1083" s="18" t="s">
        <v>10922</v>
      </c>
      <c r="M1083" s="442"/>
      <c r="N1083" s="433"/>
      <c r="P1083" s="459"/>
      <c r="T1083" s="443"/>
      <c r="U1083" s="440"/>
      <c r="V1083" s="440"/>
      <c r="W1083" s="440"/>
      <c r="X1083" s="442"/>
    </row>
    <row r="1084" spans="1:24" x14ac:dyDescent="0.25">
      <c r="A1084" s="862">
        <v>1802</v>
      </c>
      <c r="B1084" s="863" t="s">
        <v>7763</v>
      </c>
      <c r="C1084" s="862">
        <v>1802</v>
      </c>
      <c r="D1084" s="165" t="s">
        <v>2150</v>
      </c>
      <c r="E1084" s="165" t="s">
        <v>7764</v>
      </c>
      <c r="F1084" s="163">
        <v>1</v>
      </c>
      <c r="G1084" s="864"/>
      <c r="H1084" s="864">
        <v>0</v>
      </c>
      <c r="I1084" s="864">
        <v>18373.258909580461</v>
      </c>
      <c r="J1084" s="864">
        <v>18737.667460927893</v>
      </c>
      <c r="K1084" s="864">
        <v>19121.260932409143</v>
      </c>
      <c r="L1084" s="18" t="s">
        <v>3931</v>
      </c>
      <c r="M1084" s="442"/>
      <c r="N1084" s="433"/>
      <c r="P1084" s="459"/>
      <c r="T1084" s="443"/>
      <c r="U1084" s="440"/>
      <c r="V1084" s="440"/>
      <c r="W1084" s="440"/>
      <c r="X1084" s="442"/>
    </row>
    <row r="1085" spans="1:24" x14ac:dyDescent="0.25">
      <c r="A1085" s="862">
        <v>1803</v>
      </c>
      <c r="B1085" s="863" t="s">
        <v>7765</v>
      </c>
      <c r="C1085" s="862">
        <v>1803</v>
      </c>
      <c r="D1085" s="165" t="s">
        <v>2150</v>
      </c>
      <c r="E1085" s="165" t="s">
        <v>7766</v>
      </c>
      <c r="F1085" s="163">
        <v>2</v>
      </c>
      <c r="G1085" s="864"/>
      <c r="H1085" s="864">
        <v>24530.694263137862</v>
      </c>
      <c r="I1085" s="864">
        <v>25473.152943733712</v>
      </c>
      <c r="J1085" s="864">
        <v>26465.251338247235</v>
      </c>
      <c r="K1085" s="864">
        <v>27509.541020758323</v>
      </c>
      <c r="L1085" s="18" t="s">
        <v>1797</v>
      </c>
      <c r="M1085" s="442"/>
      <c r="N1085" s="433"/>
      <c r="P1085" s="459"/>
      <c r="T1085" s="443"/>
      <c r="U1085" s="440"/>
      <c r="V1085" s="440"/>
      <c r="W1085" s="440"/>
      <c r="X1085" s="442"/>
    </row>
    <row r="1086" spans="1:24" x14ac:dyDescent="0.25">
      <c r="A1086" s="862">
        <v>1804</v>
      </c>
      <c r="B1086" s="863" t="s">
        <v>7767</v>
      </c>
      <c r="C1086" s="862">
        <v>1804</v>
      </c>
      <c r="D1086" s="165" t="s">
        <v>2150</v>
      </c>
      <c r="E1086" s="165" t="s">
        <v>7768</v>
      </c>
      <c r="F1086" s="163">
        <v>2</v>
      </c>
      <c r="G1086" s="864"/>
      <c r="H1086" s="864">
        <v>13396.010822282495</v>
      </c>
      <c r="I1086" s="864">
        <v>13687.305250955271</v>
      </c>
      <c r="J1086" s="864">
        <v>13993.920992389758</v>
      </c>
      <c r="K1086" s="864">
        <v>14316.670130301243</v>
      </c>
      <c r="L1086" s="18" t="s">
        <v>1798</v>
      </c>
      <c r="M1086" s="442"/>
      <c r="N1086" s="433"/>
      <c r="P1086" s="459"/>
      <c r="T1086" s="443"/>
      <c r="U1086" s="440"/>
      <c r="V1086" s="440"/>
      <c r="W1086" s="440"/>
      <c r="X1086" s="442"/>
    </row>
    <row r="1087" spans="1:24" x14ac:dyDescent="0.25">
      <c r="A1087" s="862">
        <v>1805</v>
      </c>
      <c r="B1087" s="863" t="s">
        <v>7769</v>
      </c>
      <c r="C1087" s="862">
        <v>1805</v>
      </c>
      <c r="D1087" s="165" t="s">
        <v>2150</v>
      </c>
      <c r="E1087" s="165" t="s">
        <v>7770</v>
      </c>
      <c r="F1087" s="163">
        <v>2</v>
      </c>
      <c r="G1087" s="864"/>
      <c r="H1087" s="864">
        <v>13396.010822282495</v>
      </c>
      <c r="I1087" s="864">
        <v>13687.305250955271</v>
      </c>
      <c r="J1087" s="864">
        <v>13993.920992389758</v>
      </c>
      <c r="K1087" s="864">
        <v>14316.670130301243</v>
      </c>
      <c r="L1087" s="18" t="s">
        <v>1799</v>
      </c>
      <c r="M1087" s="442"/>
      <c r="N1087" s="433"/>
      <c r="P1087" s="459"/>
      <c r="T1087" s="443"/>
      <c r="U1087" s="440"/>
      <c r="V1087" s="440"/>
      <c r="W1087" s="440"/>
      <c r="X1087" s="442"/>
    </row>
    <row r="1088" spans="1:24" x14ac:dyDescent="0.25">
      <c r="A1088" s="862">
        <v>1806</v>
      </c>
      <c r="B1088" s="863" t="s">
        <v>7771</v>
      </c>
      <c r="C1088" s="862">
        <v>1806</v>
      </c>
      <c r="D1088" s="165" t="s">
        <v>2150</v>
      </c>
      <c r="E1088" s="165" t="s">
        <v>7772</v>
      </c>
      <c r="F1088" s="163">
        <v>2</v>
      </c>
      <c r="G1088" s="864"/>
      <c r="H1088" s="864">
        <v>24530.694263137862</v>
      </c>
      <c r="I1088" s="864">
        <v>25473.152943733712</v>
      </c>
      <c r="J1088" s="864">
        <v>26465.251338247235</v>
      </c>
      <c r="K1088" s="864">
        <v>27509.541020758323</v>
      </c>
      <c r="L1088" s="18" t="s">
        <v>1800</v>
      </c>
      <c r="M1088" s="442"/>
      <c r="N1088" s="433"/>
      <c r="P1088" s="459"/>
      <c r="T1088" s="443"/>
      <c r="U1088" s="440"/>
      <c r="V1088" s="440"/>
      <c r="W1088" s="440"/>
      <c r="X1088" s="442"/>
    </row>
    <row r="1089" spans="1:24" x14ac:dyDescent="0.25">
      <c r="A1089" s="862">
        <v>1807</v>
      </c>
      <c r="B1089" s="863" t="s">
        <v>7773</v>
      </c>
      <c r="C1089" s="862">
        <v>1807</v>
      </c>
      <c r="D1089" s="165" t="s">
        <v>2150</v>
      </c>
      <c r="E1089" s="165" t="s">
        <v>7774</v>
      </c>
      <c r="F1089" s="163">
        <v>2</v>
      </c>
      <c r="G1089" s="864"/>
      <c r="H1089" s="864">
        <v>14375.385981315369</v>
      </c>
      <c r="I1089" s="864">
        <v>14674.47641365488</v>
      </c>
      <c r="J1089" s="864">
        <v>14989.321270070925</v>
      </c>
      <c r="K1089" s="864">
        <v>15320.732634278786</v>
      </c>
      <c r="L1089" s="18" t="s">
        <v>1801</v>
      </c>
      <c r="M1089" s="442"/>
      <c r="N1089" s="433"/>
      <c r="P1089" s="459"/>
      <c r="T1089" s="443"/>
      <c r="U1089" s="440"/>
      <c r="V1089" s="440"/>
      <c r="W1089" s="440"/>
      <c r="X1089" s="442"/>
    </row>
    <row r="1090" spans="1:24" x14ac:dyDescent="0.25">
      <c r="A1090" s="862">
        <v>1808</v>
      </c>
      <c r="B1090" s="863" t="s">
        <v>7775</v>
      </c>
      <c r="C1090" s="862">
        <v>1808</v>
      </c>
      <c r="D1090" s="165" t="s">
        <v>2150</v>
      </c>
      <c r="E1090" s="165" t="s">
        <v>7776</v>
      </c>
      <c r="F1090" s="163">
        <v>2</v>
      </c>
      <c r="G1090" s="864"/>
      <c r="H1090" s="864">
        <v>13396.010822282495</v>
      </c>
      <c r="I1090" s="864">
        <v>13687.305250955271</v>
      </c>
      <c r="J1090" s="864">
        <v>13993.920992389758</v>
      </c>
      <c r="K1090" s="864">
        <v>14316.670130301243</v>
      </c>
      <c r="L1090" s="18" t="s">
        <v>1802</v>
      </c>
      <c r="M1090" s="442"/>
      <c r="N1090" s="433"/>
      <c r="P1090" s="459"/>
      <c r="T1090" s="443"/>
      <c r="U1090" s="440"/>
      <c r="V1090" s="440"/>
      <c r="W1090" s="440"/>
      <c r="X1090" s="442"/>
    </row>
    <row r="1091" spans="1:24" x14ac:dyDescent="0.25">
      <c r="A1091" s="862">
        <v>1809</v>
      </c>
      <c r="B1091" s="863" t="s">
        <v>7777</v>
      </c>
      <c r="C1091" s="862">
        <v>1809</v>
      </c>
      <c r="D1091" s="165" t="s">
        <v>2150</v>
      </c>
      <c r="E1091" s="165" t="s">
        <v>7778</v>
      </c>
      <c r="F1091" s="163">
        <v>2</v>
      </c>
      <c r="G1091" s="864"/>
      <c r="H1091" s="864">
        <v>13396.010822282495</v>
      </c>
      <c r="I1091" s="864">
        <v>13687.305250955271</v>
      </c>
      <c r="J1091" s="864">
        <v>13993.920992389758</v>
      </c>
      <c r="K1091" s="864">
        <v>14316.670130301243</v>
      </c>
      <c r="L1091" s="18" t="s">
        <v>1803</v>
      </c>
      <c r="M1091" s="442"/>
      <c r="N1091" s="433"/>
      <c r="P1091" s="459"/>
      <c r="T1091" s="443"/>
      <c r="U1091" s="440"/>
      <c r="V1091" s="440"/>
      <c r="W1091" s="440"/>
      <c r="X1091" s="442"/>
    </row>
    <row r="1092" spans="1:24" x14ac:dyDescent="0.25">
      <c r="A1092" s="862">
        <v>1810</v>
      </c>
      <c r="B1092" s="863" t="s">
        <v>7779</v>
      </c>
      <c r="C1092" s="862">
        <v>1810</v>
      </c>
      <c r="D1092" s="165" t="s">
        <v>2150</v>
      </c>
      <c r="E1092" s="165" t="s">
        <v>7780</v>
      </c>
      <c r="F1092" s="163">
        <v>2</v>
      </c>
      <c r="G1092" s="864"/>
      <c r="H1092" s="864">
        <v>15191.085766080239</v>
      </c>
      <c r="I1092" s="864">
        <v>15536.058928333361</v>
      </c>
      <c r="J1092" s="864">
        <v>15899.195696351699</v>
      </c>
      <c r="K1092" s="864">
        <v>16281.443501136404</v>
      </c>
      <c r="L1092" s="18" t="s">
        <v>1804</v>
      </c>
      <c r="M1092" s="442"/>
      <c r="N1092" s="433"/>
      <c r="P1092" s="459"/>
      <c r="T1092" s="443"/>
      <c r="U1092" s="440"/>
      <c r="V1092" s="440"/>
      <c r="W1092" s="440"/>
      <c r="X1092" s="442"/>
    </row>
    <row r="1093" spans="1:24" x14ac:dyDescent="0.25">
      <c r="A1093" s="862">
        <v>1811</v>
      </c>
      <c r="B1093" s="863" t="s">
        <v>7781</v>
      </c>
      <c r="C1093" s="862">
        <v>1811</v>
      </c>
      <c r="D1093" s="165" t="s">
        <v>2150</v>
      </c>
      <c r="E1093" s="165" t="s">
        <v>7782</v>
      </c>
      <c r="F1093" s="163">
        <v>2</v>
      </c>
      <c r="G1093" s="864"/>
      <c r="H1093" s="864">
        <v>13396.010822282495</v>
      </c>
      <c r="I1093" s="864">
        <v>13687.305250955271</v>
      </c>
      <c r="J1093" s="864">
        <v>13993.920992389758</v>
      </c>
      <c r="K1093" s="864">
        <v>14316.670130301243</v>
      </c>
      <c r="L1093" s="18" t="s">
        <v>1805</v>
      </c>
      <c r="M1093" s="442"/>
      <c r="N1093" s="433"/>
      <c r="P1093" s="459"/>
      <c r="T1093" s="443"/>
      <c r="U1093" s="440"/>
      <c r="V1093" s="440"/>
      <c r="W1093" s="440"/>
      <c r="X1093" s="442"/>
    </row>
    <row r="1094" spans="1:24" x14ac:dyDescent="0.25">
      <c r="A1094" s="862">
        <v>1812</v>
      </c>
      <c r="B1094" s="863" t="s">
        <v>7783</v>
      </c>
      <c r="C1094" s="862">
        <v>1812</v>
      </c>
      <c r="D1094" s="165" t="s">
        <v>2150</v>
      </c>
      <c r="E1094" s="165" t="s">
        <v>7784</v>
      </c>
      <c r="F1094" s="163">
        <v>2</v>
      </c>
      <c r="G1094" s="864"/>
      <c r="H1094" s="864">
        <v>16292.813451196096</v>
      </c>
      <c r="I1094" s="864">
        <v>16670.730142832614</v>
      </c>
      <c r="J1094" s="864">
        <v>17068.542885493622</v>
      </c>
      <c r="K1094" s="864">
        <v>17487.280318551813</v>
      </c>
      <c r="L1094" s="18" t="s">
        <v>1806</v>
      </c>
      <c r="M1094" s="442"/>
      <c r="N1094" s="433"/>
      <c r="P1094" s="459"/>
      <c r="T1094" s="443"/>
      <c r="U1094" s="440"/>
      <c r="V1094" s="440"/>
      <c r="W1094" s="440"/>
      <c r="X1094" s="442"/>
    </row>
    <row r="1095" spans="1:24" x14ac:dyDescent="0.25">
      <c r="A1095" s="862">
        <v>1813</v>
      </c>
      <c r="B1095" s="863" t="s">
        <v>7785</v>
      </c>
      <c r="C1095" s="862">
        <v>1813</v>
      </c>
      <c r="D1095" s="165" t="s">
        <v>2150</v>
      </c>
      <c r="E1095" s="165" t="s">
        <v>7786</v>
      </c>
      <c r="F1095" s="163">
        <v>2</v>
      </c>
      <c r="G1095" s="864"/>
      <c r="H1095" s="864">
        <v>14497.711437941176</v>
      </c>
      <c r="I1095" s="864">
        <v>14821.922326540172</v>
      </c>
      <c r="J1095" s="864">
        <v>15163.214042617332</v>
      </c>
      <c r="K1095" s="864">
        <v>15522.479878259475</v>
      </c>
      <c r="L1095" s="18" t="s">
        <v>1807</v>
      </c>
      <c r="M1095" s="442"/>
      <c r="N1095" s="433"/>
      <c r="P1095" s="459"/>
      <c r="T1095" s="443"/>
      <c r="U1095" s="440"/>
      <c r="V1095" s="440"/>
      <c r="W1095" s="440"/>
      <c r="X1095" s="442"/>
    </row>
    <row r="1096" spans="1:24" x14ac:dyDescent="0.25">
      <c r="A1096" s="862">
        <v>1814</v>
      </c>
      <c r="B1096" s="863" t="s">
        <v>7787</v>
      </c>
      <c r="C1096" s="862">
        <v>1814</v>
      </c>
      <c r="D1096" s="165" t="s">
        <v>2150</v>
      </c>
      <c r="E1096" s="165" t="s">
        <v>7788</v>
      </c>
      <c r="F1096" s="163">
        <v>2</v>
      </c>
      <c r="G1096" s="864"/>
      <c r="H1096" s="864">
        <v>15864.802368778499</v>
      </c>
      <c r="I1096" s="864">
        <v>16205.444417883433</v>
      </c>
      <c r="J1096" s="864">
        <v>16564.033517096166</v>
      </c>
      <c r="K1096" s="864">
        <v>16941.490027960688</v>
      </c>
      <c r="L1096" s="18" t="s">
        <v>1808</v>
      </c>
      <c r="M1096" s="442"/>
      <c r="N1096" s="433"/>
      <c r="P1096" s="459"/>
      <c r="T1096" s="443"/>
      <c r="U1096" s="440"/>
      <c r="V1096" s="440"/>
      <c r="W1096" s="440"/>
      <c r="X1096" s="442"/>
    </row>
    <row r="1097" spans="1:24" x14ac:dyDescent="0.25">
      <c r="A1097" s="862">
        <v>1815</v>
      </c>
      <c r="B1097" s="863" t="s">
        <v>7789</v>
      </c>
      <c r="C1097" s="862">
        <v>1815</v>
      </c>
      <c r="D1097" s="165" t="s">
        <v>2150</v>
      </c>
      <c r="E1097" s="165" t="s">
        <v>7790</v>
      </c>
      <c r="F1097" s="163">
        <v>2</v>
      </c>
      <c r="G1097" s="864"/>
      <c r="H1097" s="864">
        <v>20505.885611333812</v>
      </c>
      <c r="I1097" s="864">
        <v>21009.810626125411</v>
      </c>
      <c r="J1097" s="864">
        <v>21540.236639492476</v>
      </c>
      <c r="K1097" s="864">
        <v>22098.598332665351</v>
      </c>
      <c r="L1097" s="18" t="s">
        <v>1809</v>
      </c>
      <c r="M1097" s="442"/>
      <c r="N1097" s="433"/>
      <c r="P1097" s="459"/>
      <c r="T1097" s="443"/>
      <c r="U1097" s="440"/>
      <c r="V1097" s="440"/>
      <c r="W1097" s="440"/>
      <c r="X1097" s="442"/>
    </row>
    <row r="1098" spans="1:24" x14ac:dyDescent="0.25">
      <c r="A1098" s="862">
        <v>1816</v>
      </c>
      <c r="B1098" s="863" t="s">
        <v>7791</v>
      </c>
      <c r="C1098" s="862">
        <v>1816</v>
      </c>
      <c r="D1098" s="165" t="s">
        <v>2150</v>
      </c>
      <c r="E1098" s="165" t="s">
        <v>7792</v>
      </c>
      <c r="F1098" s="163">
        <v>2</v>
      </c>
      <c r="G1098" s="864"/>
      <c r="H1098" s="864">
        <v>18146.178690392837</v>
      </c>
      <c r="I1098" s="864">
        <v>18584.812174475512</v>
      </c>
      <c r="J1098" s="864">
        <v>19046.535905529454</v>
      </c>
      <c r="K1098" s="864">
        <v>19532.540939670427</v>
      </c>
      <c r="L1098" s="18" t="s">
        <v>1810</v>
      </c>
      <c r="M1098" s="442"/>
      <c r="N1098" s="433"/>
      <c r="P1098" s="459"/>
      <c r="T1098" s="443"/>
      <c r="U1098" s="440"/>
      <c r="V1098" s="440"/>
      <c r="W1098" s="440"/>
      <c r="X1098" s="442"/>
    </row>
    <row r="1099" spans="1:24" x14ac:dyDescent="0.25">
      <c r="A1099" s="862">
        <v>1817</v>
      </c>
      <c r="B1099" s="863" t="s">
        <v>7793</v>
      </c>
      <c r="C1099" s="862">
        <v>1817</v>
      </c>
      <c r="D1099" s="165" t="s">
        <v>2150</v>
      </c>
      <c r="E1099" s="165" t="s">
        <v>7794</v>
      </c>
      <c r="F1099" s="163">
        <v>2</v>
      </c>
      <c r="G1099" s="864"/>
      <c r="H1099" s="864">
        <v>17594.988353376695</v>
      </c>
      <c r="I1099" s="864">
        <v>18019.329164070354</v>
      </c>
      <c r="J1099" s="864">
        <v>18466.002276934345</v>
      </c>
      <c r="K1099" s="864">
        <v>18936.198748084436</v>
      </c>
      <c r="L1099" s="18" t="s">
        <v>1811</v>
      </c>
      <c r="M1099" s="442"/>
      <c r="N1099" s="433"/>
      <c r="P1099" s="459"/>
      <c r="T1099" s="443"/>
      <c r="U1099" s="440"/>
      <c r="V1099" s="440"/>
      <c r="W1099" s="440"/>
      <c r="X1099" s="442"/>
    </row>
    <row r="1100" spans="1:24" x14ac:dyDescent="0.25">
      <c r="A1100" s="862">
        <v>1818</v>
      </c>
      <c r="B1100" s="863" t="s">
        <v>7795</v>
      </c>
      <c r="C1100" s="862">
        <v>1818</v>
      </c>
      <c r="D1100" s="165" t="s">
        <v>2150</v>
      </c>
      <c r="E1100" s="165" t="s">
        <v>7796</v>
      </c>
      <c r="F1100" s="163">
        <v>2</v>
      </c>
      <c r="G1100" s="864"/>
      <c r="H1100" s="864">
        <v>19585.759839950773</v>
      </c>
      <c r="I1100" s="864">
        <v>20051.571059038324</v>
      </c>
      <c r="J1100" s="864">
        <v>20541.907206327483</v>
      </c>
      <c r="K1100" s="864">
        <v>21058.040546305532</v>
      </c>
      <c r="L1100" s="18" t="s">
        <v>1812</v>
      </c>
      <c r="M1100" s="442"/>
      <c r="N1100" s="433"/>
      <c r="P1100" s="459"/>
      <c r="T1100" s="443"/>
      <c r="U1100" s="440"/>
      <c r="V1100" s="440"/>
      <c r="W1100" s="440"/>
      <c r="X1100" s="442"/>
    </row>
    <row r="1101" spans="1:24" x14ac:dyDescent="0.25">
      <c r="A1101" s="862">
        <v>1819</v>
      </c>
      <c r="B1101" s="863" t="s">
        <v>7797</v>
      </c>
      <c r="C1101" s="862">
        <v>1819</v>
      </c>
      <c r="D1101" s="165" t="s">
        <v>2150</v>
      </c>
      <c r="E1101" s="165" t="s">
        <v>7798</v>
      </c>
      <c r="F1101" s="163">
        <v>2</v>
      </c>
      <c r="G1101" s="864"/>
      <c r="H1101" s="864">
        <v>20051.571059038324</v>
      </c>
      <c r="I1101" s="864">
        <v>20541.907206327483</v>
      </c>
      <c r="J1101" s="864">
        <v>21058.040546305532</v>
      </c>
      <c r="K1101" s="864">
        <v>21601.351621288453</v>
      </c>
      <c r="L1101" s="18" t="s">
        <v>1813</v>
      </c>
      <c r="M1101" s="442"/>
      <c r="N1101" s="433"/>
      <c r="P1101" s="459"/>
      <c r="T1101" s="443"/>
      <c r="U1101" s="440"/>
      <c r="V1101" s="440"/>
      <c r="W1101" s="440"/>
      <c r="X1101" s="442"/>
    </row>
    <row r="1102" spans="1:24" x14ac:dyDescent="0.25">
      <c r="A1102" s="862">
        <v>1820</v>
      </c>
      <c r="B1102" s="863" t="s">
        <v>7799</v>
      </c>
      <c r="C1102" s="862">
        <v>1820</v>
      </c>
      <c r="D1102" s="165" t="s">
        <v>2150</v>
      </c>
      <c r="E1102" s="165" t="s">
        <v>7800</v>
      </c>
      <c r="F1102" s="163">
        <v>2</v>
      </c>
      <c r="G1102" s="864"/>
      <c r="H1102" s="864">
        <v>21801.34359894666</v>
      </c>
      <c r="I1102" s="864">
        <v>22343.977937500178</v>
      </c>
      <c r="J1102" s="864">
        <v>22915.197622831736</v>
      </c>
      <c r="K1102" s="864">
        <v>23516.491475086026</v>
      </c>
      <c r="L1102" s="18" t="s">
        <v>1814</v>
      </c>
      <c r="M1102" s="442"/>
      <c r="N1102" s="433"/>
      <c r="P1102" s="459"/>
      <c r="T1102" s="443"/>
      <c r="U1102" s="440"/>
      <c r="V1102" s="440"/>
      <c r="W1102" s="440"/>
      <c r="X1102" s="442"/>
    </row>
    <row r="1103" spans="1:24" x14ac:dyDescent="0.25">
      <c r="A1103" s="862">
        <v>1821</v>
      </c>
      <c r="B1103" s="863" t="s">
        <v>7801</v>
      </c>
      <c r="C1103" s="862">
        <v>1821</v>
      </c>
      <c r="D1103" s="165" t="s">
        <v>2150</v>
      </c>
      <c r="E1103" s="165" t="s">
        <v>7802</v>
      </c>
      <c r="F1103" s="163">
        <v>2</v>
      </c>
      <c r="G1103" s="864"/>
      <c r="H1103" s="864">
        <v>15469.945284746698</v>
      </c>
      <c r="I1103" s="864">
        <v>16115.984949713198</v>
      </c>
      <c r="J1103" s="864">
        <v>16511.090746656584</v>
      </c>
      <c r="K1103" s="864">
        <v>16926.985886711271</v>
      </c>
      <c r="L1103" s="18" t="s">
        <v>1815</v>
      </c>
      <c r="M1103" s="442"/>
      <c r="N1103" s="433"/>
      <c r="P1103" s="459"/>
      <c r="T1103" s="443"/>
      <c r="U1103" s="440"/>
      <c r="V1103" s="440"/>
      <c r="W1103" s="440"/>
      <c r="X1103" s="442"/>
    </row>
    <row r="1104" spans="1:24" x14ac:dyDescent="0.25">
      <c r="A1104" s="862">
        <v>1822</v>
      </c>
      <c r="B1104" s="863" t="s">
        <v>7803</v>
      </c>
      <c r="C1104" s="862">
        <v>1822</v>
      </c>
      <c r="D1104" s="165" t="s">
        <v>2150</v>
      </c>
      <c r="E1104" s="165" t="s">
        <v>7804</v>
      </c>
      <c r="F1104" s="163">
        <v>2</v>
      </c>
      <c r="G1104" s="864"/>
      <c r="H1104" s="864">
        <v>21561.334774793952</v>
      </c>
      <c r="I1104" s="864">
        <v>22094.332386592756</v>
      </c>
      <c r="J1104" s="864">
        <v>22655.373956026073</v>
      </c>
      <c r="K1104" s="864">
        <v>23245.948303238591</v>
      </c>
      <c r="L1104" s="18" t="s">
        <v>1816</v>
      </c>
      <c r="M1104" s="442"/>
      <c r="N1104" s="433"/>
      <c r="P1104" s="459"/>
      <c r="T1104" s="443"/>
      <c r="U1104" s="440"/>
      <c r="V1104" s="440"/>
      <c r="W1104" s="440"/>
      <c r="X1104" s="442"/>
    </row>
    <row r="1105" spans="1:24" x14ac:dyDescent="0.25">
      <c r="A1105" s="862">
        <v>1823</v>
      </c>
      <c r="B1105" s="863" t="s">
        <v>7805</v>
      </c>
      <c r="C1105" s="862">
        <v>1823</v>
      </c>
      <c r="D1105" s="165" t="s">
        <v>2150</v>
      </c>
      <c r="E1105" s="165" t="s">
        <v>7806</v>
      </c>
      <c r="F1105" s="163">
        <v>2</v>
      </c>
      <c r="G1105" s="864"/>
      <c r="H1105" s="864">
        <v>22856.873970778328</v>
      </c>
      <c r="I1105" s="864">
        <v>23428.607975796229</v>
      </c>
      <c r="J1105" s="864">
        <v>24030.443217194039</v>
      </c>
      <c r="K1105" s="864">
        <v>24663.949723487967</v>
      </c>
      <c r="L1105" s="18" t="s">
        <v>1817</v>
      </c>
      <c r="M1105" s="442"/>
      <c r="N1105" s="433"/>
      <c r="P1105" s="459"/>
      <c r="T1105" s="443"/>
      <c r="U1105" s="440"/>
      <c r="V1105" s="440"/>
      <c r="W1105" s="440"/>
      <c r="X1105" s="442"/>
    </row>
    <row r="1106" spans="1:24" x14ac:dyDescent="0.25">
      <c r="A1106" s="862">
        <v>1824</v>
      </c>
      <c r="B1106" s="863" t="s">
        <v>7807</v>
      </c>
      <c r="C1106" s="862">
        <v>1824</v>
      </c>
      <c r="D1106" s="165" t="s">
        <v>2150</v>
      </c>
      <c r="E1106" s="165" t="s">
        <v>7808</v>
      </c>
      <c r="F1106" s="163">
        <v>2</v>
      </c>
      <c r="G1106" s="864"/>
      <c r="H1106" s="864">
        <v>24412.203277846027</v>
      </c>
      <c r="I1106" s="864">
        <v>25030.44261029259</v>
      </c>
      <c r="J1106" s="864">
        <v>25681.219430264911</v>
      </c>
      <c r="K1106" s="864">
        <v>26366.266183022271</v>
      </c>
      <c r="L1106" s="18" t="s">
        <v>1818</v>
      </c>
      <c r="M1106" s="442"/>
      <c r="N1106" s="433"/>
      <c r="P1106" s="459"/>
      <c r="T1106" s="443"/>
      <c r="U1106" s="440"/>
      <c r="V1106" s="440"/>
      <c r="W1106" s="440"/>
      <c r="X1106" s="442"/>
    </row>
    <row r="1107" spans="1:24" x14ac:dyDescent="0.25">
      <c r="A1107" s="862">
        <v>1825</v>
      </c>
      <c r="B1107" s="863" t="s">
        <v>7809</v>
      </c>
      <c r="C1107" s="862">
        <v>1825</v>
      </c>
      <c r="D1107" s="165" t="s">
        <v>2150</v>
      </c>
      <c r="E1107" s="165" t="s">
        <v>7810</v>
      </c>
      <c r="F1107" s="163">
        <v>2</v>
      </c>
      <c r="G1107" s="864"/>
      <c r="H1107" s="864">
        <v>15903.926985514823</v>
      </c>
      <c r="I1107" s="864">
        <v>16270.203810565588</v>
      </c>
      <c r="J1107" s="864">
        <v>16655.781158582966</v>
      </c>
      <c r="K1107" s="864">
        <v>17061.633530025294</v>
      </c>
      <c r="L1107" s="18" t="s">
        <v>1819</v>
      </c>
      <c r="M1107" s="442"/>
      <c r="N1107" s="433"/>
      <c r="P1107" s="459"/>
      <c r="T1107" s="443"/>
      <c r="U1107" s="440"/>
      <c r="V1107" s="440"/>
      <c r="W1107" s="440"/>
      <c r="X1107" s="442"/>
    </row>
    <row r="1108" spans="1:24" x14ac:dyDescent="0.25">
      <c r="A1108" s="862">
        <v>1826</v>
      </c>
      <c r="B1108" s="863" t="s">
        <v>7811</v>
      </c>
      <c r="C1108" s="862">
        <v>1826</v>
      </c>
      <c r="D1108" s="165" t="s">
        <v>2150</v>
      </c>
      <c r="E1108" s="165" t="s">
        <v>7812</v>
      </c>
      <c r="F1108" s="163">
        <v>2</v>
      </c>
      <c r="G1108" s="864"/>
      <c r="H1108" s="864">
        <v>15536.058928333361</v>
      </c>
      <c r="I1108" s="864">
        <v>15899.195696351699</v>
      </c>
      <c r="J1108" s="864">
        <v>16281.443501136404</v>
      </c>
      <c r="K1108" s="864">
        <v>16683.803912603009</v>
      </c>
      <c r="L1108" s="18" t="s">
        <v>1820</v>
      </c>
      <c r="M1108" s="442"/>
      <c r="N1108" s="433"/>
      <c r="P1108" s="459"/>
      <c r="T1108" s="443"/>
      <c r="U1108" s="440"/>
      <c r="V1108" s="440"/>
      <c r="W1108" s="440"/>
      <c r="X1108" s="442"/>
    </row>
    <row r="1109" spans="1:24" x14ac:dyDescent="0.25">
      <c r="A1109" s="862">
        <v>1827</v>
      </c>
      <c r="B1109" s="863" t="s">
        <v>7813</v>
      </c>
      <c r="C1109" s="862">
        <v>1827</v>
      </c>
      <c r="D1109" s="165" t="s">
        <v>2150</v>
      </c>
      <c r="E1109" s="165" t="s">
        <v>7814</v>
      </c>
      <c r="F1109" s="163">
        <v>2</v>
      </c>
      <c r="G1109" s="864"/>
      <c r="H1109" s="864">
        <v>16228.675877983291</v>
      </c>
      <c r="I1109" s="864">
        <v>16604.670638160307</v>
      </c>
      <c r="J1109" s="864">
        <v>17000.4531715331</v>
      </c>
      <c r="K1109" s="864">
        <v>17417.079186931544</v>
      </c>
      <c r="L1109" s="18" t="s">
        <v>1821</v>
      </c>
      <c r="M1109" s="442"/>
      <c r="N1109" s="433"/>
      <c r="P1109" s="459"/>
      <c r="T1109" s="443"/>
      <c r="U1109" s="440"/>
      <c r="V1109" s="440"/>
      <c r="W1109" s="440"/>
      <c r="X1109" s="442"/>
    </row>
    <row r="1110" spans="1:24" x14ac:dyDescent="0.25">
      <c r="A1110" s="862">
        <v>1828</v>
      </c>
      <c r="B1110" s="863" t="s">
        <v>7815</v>
      </c>
      <c r="C1110" s="862">
        <v>1828</v>
      </c>
      <c r="D1110" s="165" t="s">
        <v>2150</v>
      </c>
      <c r="E1110" s="165" t="s">
        <v>7816</v>
      </c>
      <c r="F1110" s="163">
        <v>2</v>
      </c>
      <c r="G1110" s="864"/>
      <c r="H1110" s="864">
        <v>15803.672112540597</v>
      </c>
      <c r="I1110" s="864">
        <v>16174.983856626135</v>
      </c>
      <c r="J1110" s="864">
        <v>16565.839748792863</v>
      </c>
      <c r="K1110" s="864">
        <v>16977.268428413481</v>
      </c>
      <c r="L1110" s="18" t="s">
        <v>1822</v>
      </c>
      <c r="M1110" s="442"/>
      <c r="N1110" s="433"/>
      <c r="P1110" s="459"/>
      <c r="T1110" s="443"/>
      <c r="U1110" s="440"/>
      <c r="V1110" s="440"/>
      <c r="W1110" s="440"/>
      <c r="X1110" s="442"/>
    </row>
    <row r="1111" spans="1:24" x14ac:dyDescent="0.25">
      <c r="A1111" s="862">
        <v>1829</v>
      </c>
      <c r="B1111" s="863" t="s">
        <v>7817</v>
      </c>
      <c r="C1111" s="862">
        <v>1829</v>
      </c>
      <c r="D1111" s="165" t="s">
        <v>2150</v>
      </c>
      <c r="E1111" s="165" t="s">
        <v>7818</v>
      </c>
      <c r="F1111" s="163">
        <v>2</v>
      </c>
      <c r="G1111" s="864"/>
      <c r="H1111" s="864">
        <v>29962.819598428974</v>
      </c>
      <c r="I1111" s="864">
        <v>31133.644159174135</v>
      </c>
      <c r="J1111" s="864">
        <v>32366.112430076399</v>
      </c>
      <c r="K1111" s="864">
        <v>33663.413878735628</v>
      </c>
      <c r="L1111" s="18" t="s">
        <v>1823</v>
      </c>
      <c r="M1111" s="442"/>
      <c r="N1111" s="433"/>
      <c r="P1111" s="459"/>
      <c r="T1111" s="443"/>
      <c r="U1111" s="440"/>
      <c r="V1111" s="440"/>
      <c r="W1111" s="440"/>
      <c r="X1111" s="442"/>
    </row>
    <row r="1112" spans="1:24" x14ac:dyDescent="0.25">
      <c r="A1112" s="862">
        <v>1830</v>
      </c>
      <c r="B1112" s="863" t="s">
        <v>7819</v>
      </c>
      <c r="C1112" s="862">
        <v>1830</v>
      </c>
      <c r="D1112" s="165" t="s">
        <v>2150</v>
      </c>
      <c r="E1112" s="165" t="s">
        <v>7820</v>
      </c>
      <c r="F1112" s="163">
        <v>2</v>
      </c>
      <c r="G1112" s="864"/>
      <c r="H1112" s="864">
        <v>21962.881626621944</v>
      </c>
      <c r="I1112" s="864">
        <v>22772.542474424008</v>
      </c>
      <c r="J1112" s="864">
        <v>23624.826207424088</v>
      </c>
      <c r="K1112" s="864">
        <v>24521.936457782067</v>
      </c>
      <c r="L1112" s="18" t="s">
        <v>1824</v>
      </c>
      <c r="M1112" s="442"/>
      <c r="N1112" s="433"/>
      <c r="P1112" s="459"/>
      <c r="T1112" s="443"/>
      <c r="U1112" s="440"/>
      <c r="V1112" s="440"/>
      <c r="W1112" s="440"/>
      <c r="X1112" s="442"/>
    </row>
    <row r="1113" spans="1:24" x14ac:dyDescent="0.25">
      <c r="A1113" s="862">
        <v>1831</v>
      </c>
      <c r="B1113" s="863" t="s">
        <v>7821</v>
      </c>
      <c r="C1113" s="862">
        <v>1831</v>
      </c>
      <c r="D1113" s="165" t="s">
        <v>2150</v>
      </c>
      <c r="E1113" s="165" t="s">
        <v>7822</v>
      </c>
      <c r="F1113" s="163">
        <v>2</v>
      </c>
      <c r="G1113" s="864"/>
      <c r="H1113" s="864">
        <v>24905.662261873382</v>
      </c>
      <c r="I1113" s="864">
        <v>25848.178932789237</v>
      </c>
      <c r="J1113" s="864">
        <v>26840.277327302756</v>
      </c>
      <c r="K1113" s="864">
        <v>27884.625000133841</v>
      </c>
      <c r="L1113" s="18" t="s">
        <v>1825</v>
      </c>
      <c r="M1113" s="442"/>
      <c r="N1113" s="433"/>
      <c r="P1113" s="459"/>
      <c r="T1113" s="443"/>
      <c r="U1113" s="440"/>
      <c r="V1113" s="440"/>
      <c r="W1113" s="440"/>
      <c r="X1113" s="442"/>
    </row>
    <row r="1114" spans="1:24" x14ac:dyDescent="0.25">
      <c r="A1114" s="862">
        <v>1832</v>
      </c>
      <c r="B1114" s="863" t="s">
        <v>7823</v>
      </c>
      <c r="C1114" s="862">
        <v>1832</v>
      </c>
      <c r="D1114" s="165" t="s">
        <v>2150</v>
      </c>
      <c r="E1114" s="165" t="s">
        <v>7824</v>
      </c>
      <c r="F1114" s="163">
        <v>2</v>
      </c>
      <c r="G1114" s="864"/>
      <c r="H1114" s="864">
        <v>25131.430928595757</v>
      </c>
      <c r="I1114" s="864">
        <v>26019.494689034156</v>
      </c>
      <c r="J1114" s="864">
        <v>27006.315964427929</v>
      </c>
      <c r="K1114" s="864">
        <v>27993.137239821706</v>
      </c>
      <c r="L1114" s="18" t="s">
        <v>3019</v>
      </c>
      <c r="M1114" s="442"/>
      <c r="N1114" s="433"/>
      <c r="P1114" s="459"/>
      <c r="T1114" s="443"/>
      <c r="U1114" s="440"/>
      <c r="V1114" s="440"/>
      <c r="W1114" s="440"/>
      <c r="X1114" s="442"/>
    </row>
    <row r="1115" spans="1:24" x14ac:dyDescent="0.25">
      <c r="A1115" s="862">
        <v>1833</v>
      </c>
      <c r="B1115" s="863" t="s">
        <v>7825</v>
      </c>
      <c r="C1115" s="862">
        <v>1833</v>
      </c>
      <c r="D1115" s="165" t="s">
        <v>2150</v>
      </c>
      <c r="E1115" s="165" t="s">
        <v>7826</v>
      </c>
      <c r="F1115" s="163">
        <v>2</v>
      </c>
      <c r="G1115" s="864"/>
      <c r="H1115" s="864">
        <v>29142.038176623377</v>
      </c>
      <c r="I1115" s="864">
        <v>30210.219870973342</v>
      </c>
      <c r="J1115" s="864">
        <v>31334.594185400671</v>
      </c>
      <c r="K1115" s="864">
        <v>32518.176616545228</v>
      </c>
      <c r="L1115" s="18" t="s">
        <v>3020</v>
      </c>
      <c r="M1115" s="442"/>
      <c r="N1115" s="433"/>
      <c r="P1115" s="459"/>
      <c r="T1115" s="443"/>
      <c r="U1115" s="440"/>
      <c r="V1115" s="440"/>
      <c r="W1115" s="440"/>
      <c r="X1115" s="442"/>
    </row>
    <row r="1116" spans="1:24" x14ac:dyDescent="0.25">
      <c r="A1116" s="862">
        <v>1834</v>
      </c>
      <c r="B1116" s="863" t="s">
        <v>7827</v>
      </c>
      <c r="C1116" s="862">
        <v>1834</v>
      </c>
      <c r="D1116" s="165" t="s">
        <v>2150</v>
      </c>
      <c r="E1116" s="165" t="s">
        <v>7828</v>
      </c>
      <c r="F1116" s="163">
        <v>2</v>
      </c>
      <c r="G1116" s="864"/>
      <c r="H1116" s="864">
        <v>29980.14276027718</v>
      </c>
      <c r="I1116" s="864">
        <v>31160.129791581909</v>
      </c>
      <c r="J1116" s="864">
        <v>32402.224455603715</v>
      </c>
      <c r="K1116" s="864">
        <v>33709.732200582475</v>
      </c>
      <c r="L1116" s="18" t="s">
        <v>1826</v>
      </c>
      <c r="M1116" s="442"/>
      <c r="N1116" s="433"/>
      <c r="P1116" s="459"/>
      <c r="T1116" s="443"/>
      <c r="U1116" s="440"/>
      <c r="V1116" s="440"/>
      <c r="W1116" s="440"/>
      <c r="X1116" s="442"/>
    </row>
    <row r="1117" spans="1:24" x14ac:dyDescent="0.25">
      <c r="A1117" s="862">
        <v>1835</v>
      </c>
      <c r="B1117" s="863" t="s">
        <v>7829</v>
      </c>
      <c r="C1117" s="862">
        <v>1835</v>
      </c>
      <c r="D1117" s="165" t="s">
        <v>2150</v>
      </c>
      <c r="E1117" s="165" t="s">
        <v>7830</v>
      </c>
      <c r="F1117" s="163">
        <v>2</v>
      </c>
      <c r="G1117" s="864"/>
      <c r="H1117" s="864">
        <v>23348.234595619684</v>
      </c>
      <c r="I1117" s="864">
        <v>24226.671962938533</v>
      </c>
      <c r="J1117" s="864">
        <v>25151.32761529522</v>
      </c>
      <c r="K1117" s="864">
        <v>26124.637146129622</v>
      </c>
      <c r="L1117" s="18" t="s">
        <v>1827</v>
      </c>
      <c r="M1117" s="442"/>
      <c r="N1117" s="433"/>
      <c r="P1117" s="459"/>
      <c r="T1117" s="443"/>
      <c r="U1117" s="440"/>
      <c r="V1117" s="440"/>
      <c r="W1117" s="440"/>
      <c r="X1117" s="442"/>
    </row>
    <row r="1118" spans="1:24" x14ac:dyDescent="0.25">
      <c r="A1118" s="862">
        <v>1836</v>
      </c>
      <c r="B1118" s="863" t="s">
        <v>7831</v>
      </c>
      <c r="C1118" s="862">
        <v>1836</v>
      </c>
      <c r="D1118" s="165" t="s">
        <v>2150</v>
      </c>
      <c r="E1118" s="165" t="s">
        <v>7832</v>
      </c>
      <c r="F1118" s="163">
        <v>2</v>
      </c>
      <c r="G1118" s="864"/>
      <c r="H1118" s="864">
        <v>22772.542474424008</v>
      </c>
      <c r="I1118" s="864">
        <v>23624.826207424088</v>
      </c>
      <c r="J1118" s="864">
        <v>24521.936457782067</v>
      </c>
      <c r="K1118" s="864">
        <v>25466.250828617827</v>
      </c>
      <c r="L1118" s="18" t="s">
        <v>1828</v>
      </c>
      <c r="M1118" s="442"/>
      <c r="N1118" s="433"/>
      <c r="P1118" s="459"/>
      <c r="T1118" s="443"/>
      <c r="U1118" s="440"/>
      <c r="V1118" s="440"/>
      <c r="W1118" s="440"/>
      <c r="X1118" s="442"/>
    </row>
    <row r="1119" spans="1:24" x14ac:dyDescent="0.25">
      <c r="A1119" s="862">
        <v>1837</v>
      </c>
      <c r="B1119" s="863" t="s">
        <v>7833</v>
      </c>
      <c r="C1119" s="862">
        <v>1837</v>
      </c>
      <c r="D1119" s="165" t="s">
        <v>2150</v>
      </c>
      <c r="E1119" s="165" t="s">
        <v>7834</v>
      </c>
      <c r="F1119" s="163">
        <v>2</v>
      </c>
      <c r="G1119" s="864"/>
      <c r="H1119" s="864">
        <v>21135.246319327474</v>
      </c>
      <c r="I1119" s="864">
        <v>21907.5034107313</v>
      </c>
      <c r="J1119" s="864">
        <v>22720.411716453214</v>
      </c>
      <c r="K1119" s="864">
        <v>23576.116878333127</v>
      </c>
      <c r="L1119" s="18" t="s">
        <v>1829</v>
      </c>
      <c r="M1119" s="442"/>
      <c r="N1119" s="433"/>
      <c r="P1119" s="459"/>
      <c r="T1119" s="443"/>
      <c r="U1119" s="440"/>
      <c r="V1119" s="440"/>
      <c r="W1119" s="440"/>
      <c r="X1119" s="442"/>
    </row>
    <row r="1120" spans="1:24" x14ac:dyDescent="0.25">
      <c r="A1120" s="862">
        <v>1838</v>
      </c>
      <c r="B1120" s="863" t="s">
        <v>7835</v>
      </c>
      <c r="C1120" s="862">
        <v>1838</v>
      </c>
      <c r="D1120" s="165" t="s">
        <v>2150</v>
      </c>
      <c r="E1120" s="165" t="s">
        <v>7836</v>
      </c>
      <c r="F1120" s="163">
        <v>1</v>
      </c>
      <c r="G1120" s="864"/>
      <c r="H1120" s="864">
        <v>0</v>
      </c>
      <c r="I1120" s="864">
        <v>0</v>
      </c>
      <c r="J1120" s="864">
        <v>21914.928088750628</v>
      </c>
      <c r="K1120" s="864">
        <v>22438.841740785247</v>
      </c>
      <c r="L1120" s="18" t="s">
        <v>10923</v>
      </c>
      <c r="M1120" s="442"/>
      <c r="N1120" s="433"/>
      <c r="P1120" s="459"/>
      <c r="T1120" s="443"/>
      <c r="U1120" s="440"/>
      <c r="V1120" s="440"/>
      <c r="W1120" s="440"/>
      <c r="X1120" s="442"/>
    </row>
    <row r="1121" spans="1:24" x14ac:dyDescent="0.25">
      <c r="A1121" s="862">
        <v>1839</v>
      </c>
      <c r="B1121" s="863" t="s">
        <v>7837</v>
      </c>
      <c r="C1121" s="862">
        <v>1839</v>
      </c>
      <c r="D1121" s="165" t="s">
        <v>2150</v>
      </c>
      <c r="E1121" s="165" t="s">
        <v>7838</v>
      </c>
      <c r="F1121" s="163">
        <v>1</v>
      </c>
      <c r="G1121" s="864"/>
      <c r="H1121" s="864">
        <v>0</v>
      </c>
      <c r="I1121" s="864">
        <v>27284.079950586616</v>
      </c>
      <c r="J1121" s="864">
        <v>27968.166246407887</v>
      </c>
      <c r="K1121" s="864">
        <v>28688.26325371283</v>
      </c>
      <c r="L1121" s="18" t="s">
        <v>3932</v>
      </c>
      <c r="M1121" s="442"/>
      <c r="N1121" s="433"/>
      <c r="P1121" s="459"/>
      <c r="T1121" s="443"/>
      <c r="U1121" s="440"/>
      <c r="V1121" s="440"/>
      <c r="W1121" s="440"/>
      <c r="X1121" s="442"/>
    </row>
    <row r="1122" spans="1:24" x14ac:dyDescent="0.25">
      <c r="A1122" s="862">
        <v>1840</v>
      </c>
      <c r="B1122" s="863" t="s">
        <v>7839</v>
      </c>
      <c r="C1122" s="862">
        <v>1840</v>
      </c>
      <c r="D1122" s="165" t="s">
        <v>2150</v>
      </c>
      <c r="E1122" s="165" t="s">
        <v>7840</v>
      </c>
      <c r="F1122" s="163">
        <v>1</v>
      </c>
      <c r="G1122" s="864"/>
      <c r="H1122" s="864">
        <v>0</v>
      </c>
      <c r="I1122" s="864">
        <v>27284.079950586616</v>
      </c>
      <c r="J1122" s="864">
        <v>27968.166246407887</v>
      </c>
      <c r="K1122" s="864">
        <v>28688.26325371283</v>
      </c>
      <c r="L1122" s="18" t="s">
        <v>3933</v>
      </c>
      <c r="M1122" s="442"/>
      <c r="N1122" s="433"/>
      <c r="P1122" s="459"/>
      <c r="T1122" s="443"/>
      <c r="U1122" s="440"/>
      <c r="V1122" s="440"/>
      <c r="W1122" s="440"/>
      <c r="X1122" s="442"/>
    </row>
    <row r="1123" spans="1:24" x14ac:dyDescent="0.25">
      <c r="A1123" s="862">
        <v>1841</v>
      </c>
      <c r="B1123" s="863" t="s">
        <v>7841</v>
      </c>
      <c r="C1123" s="862">
        <v>1841</v>
      </c>
      <c r="D1123" s="165" t="s">
        <v>2150</v>
      </c>
      <c r="E1123" s="165" t="s">
        <v>7842</v>
      </c>
      <c r="F1123" s="163">
        <v>1</v>
      </c>
      <c r="G1123" s="864"/>
      <c r="H1123" s="864">
        <v>0</v>
      </c>
      <c r="I1123" s="864">
        <v>0</v>
      </c>
      <c r="J1123" s="864">
        <v>0</v>
      </c>
      <c r="K1123" s="864">
        <v>27403.387772152986</v>
      </c>
      <c r="L1123" s="18" t="s">
        <v>10924</v>
      </c>
      <c r="M1123" s="442"/>
      <c r="N1123" s="433"/>
      <c r="P1123" s="459"/>
      <c r="T1123" s="443"/>
      <c r="U1123" s="440"/>
      <c r="V1123" s="440"/>
      <c r="W1123" s="440"/>
      <c r="X1123" s="442"/>
    </row>
    <row r="1124" spans="1:24" x14ac:dyDescent="0.25">
      <c r="A1124" s="862">
        <v>1842</v>
      </c>
      <c r="B1124" s="863" t="s">
        <v>7843</v>
      </c>
      <c r="C1124" s="862">
        <v>1842</v>
      </c>
      <c r="D1124" s="165" t="s">
        <v>2150</v>
      </c>
      <c r="E1124" s="165" t="s">
        <v>7844</v>
      </c>
      <c r="F1124" s="163">
        <v>1</v>
      </c>
      <c r="G1124" s="864"/>
      <c r="H1124" s="864">
        <v>55568.259450013327</v>
      </c>
      <c r="I1124" s="864">
        <v>57026.36504247057</v>
      </c>
      <c r="J1124" s="864">
        <v>58561.227841566775</v>
      </c>
      <c r="K1124" s="864">
        <v>60176.880296764946</v>
      </c>
      <c r="L1124" s="18" t="s">
        <v>3021</v>
      </c>
      <c r="M1124" s="442"/>
      <c r="N1124" s="433"/>
      <c r="P1124" s="459"/>
      <c r="T1124" s="443"/>
      <c r="U1124" s="440"/>
      <c r="V1124" s="440"/>
      <c r="W1124" s="440"/>
      <c r="X1124" s="442"/>
    </row>
    <row r="1125" spans="1:24" x14ac:dyDescent="0.25">
      <c r="A1125" s="862">
        <v>1843</v>
      </c>
      <c r="B1125" s="863" t="s">
        <v>7845</v>
      </c>
      <c r="C1125" s="862">
        <v>1843</v>
      </c>
      <c r="D1125" s="165" t="s">
        <v>2150</v>
      </c>
      <c r="E1125" s="165" t="s">
        <v>7846</v>
      </c>
      <c r="F1125" s="163">
        <v>1</v>
      </c>
      <c r="G1125" s="864"/>
      <c r="H1125" s="864">
        <v>57637.833559727507</v>
      </c>
      <c r="I1125" s="864">
        <v>59152.581000455873</v>
      </c>
      <c r="J1125" s="864">
        <v>60747.063095973259</v>
      </c>
      <c r="K1125" s="864">
        <v>62425.476407057977</v>
      </c>
      <c r="L1125" s="18" t="s">
        <v>3022</v>
      </c>
      <c r="M1125" s="442"/>
      <c r="N1125" s="433"/>
      <c r="P1125" s="459"/>
      <c r="T1125" s="443"/>
      <c r="U1125" s="440"/>
      <c r="V1125" s="440"/>
      <c r="W1125" s="440"/>
      <c r="X1125" s="442"/>
    </row>
    <row r="1126" spans="1:24" x14ac:dyDescent="0.25">
      <c r="A1126" s="862">
        <v>1844</v>
      </c>
      <c r="B1126" s="863" t="s">
        <v>7847</v>
      </c>
      <c r="C1126" s="862">
        <v>1844</v>
      </c>
      <c r="D1126" s="165" t="s">
        <v>2150</v>
      </c>
      <c r="E1126" s="165" t="s">
        <v>7848</v>
      </c>
      <c r="F1126" s="163">
        <v>1</v>
      </c>
      <c r="G1126" s="864"/>
      <c r="H1126" s="864">
        <v>51469.691115089227</v>
      </c>
      <c r="I1126" s="864">
        <v>50471.190983521017</v>
      </c>
      <c r="J1126" s="864">
        <v>51764.599148782487</v>
      </c>
      <c r="K1126" s="864">
        <v>53126.090065442761</v>
      </c>
      <c r="L1126" s="18" t="s">
        <v>3023</v>
      </c>
      <c r="M1126" s="442"/>
      <c r="N1126" s="433"/>
      <c r="P1126" s="459"/>
      <c r="T1126" s="443"/>
      <c r="U1126" s="440"/>
      <c r="V1126" s="440"/>
      <c r="W1126" s="440"/>
      <c r="X1126" s="442"/>
    </row>
    <row r="1127" spans="1:24" x14ac:dyDescent="0.25">
      <c r="A1127" s="862">
        <v>1845</v>
      </c>
      <c r="B1127" s="863" t="s">
        <v>7849</v>
      </c>
      <c r="C1127" s="862">
        <v>1845</v>
      </c>
      <c r="D1127" s="165" t="s">
        <v>2150</v>
      </c>
      <c r="E1127" s="165" t="s">
        <v>7850</v>
      </c>
      <c r="F1127" s="163">
        <v>1</v>
      </c>
      <c r="G1127" s="864"/>
      <c r="H1127" s="864">
        <v>53518.975282551284</v>
      </c>
      <c r="I1127" s="864">
        <v>54921.001694104263</v>
      </c>
      <c r="J1127" s="864">
        <v>56396.831308619854</v>
      </c>
      <c r="K1127" s="864">
        <v>57950.332464245679</v>
      </c>
      <c r="L1127" s="18" t="s">
        <v>3024</v>
      </c>
      <c r="M1127" s="442"/>
      <c r="N1127" s="433"/>
      <c r="P1127" s="459"/>
      <c r="T1127" s="443"/>
      <c r="U1127" s="440"/>
      <c r="V1127" s="440"/>
      <c r="W1127" s="440"/>
      <c r="X1127" s="442"/>
    </row>
    <row r="1128" spans="1:24" x14ac:dyDescent="0.25">
      <c r="A1128" s="862">
        <v>1846</v>
      </c>
      <c r="B1128" s="863" t="s">
        <v>7851</v>
      </c>
      <c r="C1128" s="862">
        <v>1846</v>
      </c>
      <c r="D1128" s="165" t="s">
        <v>2150</v>
      </c>
      <c r="E1128" s="165" t="s">
        <v>7852</v>
      </c>
      <c r="F1128" s="163">
        <v>1</v>
      </c>
      <c r="G1128" s="864"/>
      <c r="H1128" s="864">
        <v>28826.115561746163</v>
      </c>
      <c r="I1128" s="864">
        <v>29552.37846561374</v>
      </c>
      <c r="J1128" s="864">
        <v>30316.879305959061</v>
      </c>
      <c r="K1128" s="864">
        <v>31121.634307513661</v>
      </c>
      <c r="L1128" s="18" t="s">
        <v>3025</v>
      </c>
      <c r="M1128" s="442"/>
      <c r="N1128" s="433"/>
      <c r="P1128" s="459"/>
      <c r="T1128" s="443"/>
      <c r="U1128" s="440"/>
      <c r="V1128" s="440"/>
      <c r="W1128" s="440"/>
      <c r="X1128" s="442"/>
    </row>
    <row r="1129" spans="1:24" x14ac:dyDescent="0.25">
      <c r="A1129" s="862">
        <v>1847</v>
      </c>
      <c r="B1129" s="863" t="s">
        <v>7853</v>
      </c>
      <c r="C1129" s="862">
        <v>1847</v>
      </c>
      <c r="D1129" s="165" t="s">
        <v>2150</v>
      </c>
      <c r="E1129" s="165" t="s">
        <v>7854</v>
      </c>
      <c r="F1129" s="163">
        <v>1</v>
      </c>
      <c r="G1129" s="864"/>
      <c r="H1129" s="864">
        <v>25011.606418351468</v>
      </c>
      <c r="I1129" s="864">
        <v>0</v>
      </c>
      <c r="J1129" s="864">
        <v>0</v>
      </c>
      <c r="K1129" s="864">
        <v>0</v>
      </c>
      <c r="L1129" s="18" t="s">
        <v>3026</v>
      </c>
      <c r="M1129" s="442"/>
      <c r="N1129" s="433"/>
      <c r="P1129" s="459"/>
      <c r="T1129" s="443"/>
      <c r="U1129" s="440"/>
      <c r="V1129" s="440"/>
      <c r="W1129" s="440"/>
      <c r="X1129" s="442"/>
    </row>
    <row r="1130" spans="1:24" x14ac:dyDescent="0.25">
      <c r="A1130" s="862">
        <v>1848</v>
      </c>
      <c r="B1130" s="863" t="s">
        <v>7855</v>
      </c>
      <c r="C1130" s="862">
        <v>1848</v>
      </c>
      <c r="D1130" s="165" t="s">
        <v>2150</v>
      </c>
      <c r="E1130" s="165" t="s">
        <v>7856</v>
      </c>
      <c r="F1130" s="163">
        <v>1</v>
      </c>
      <c r="G1130" s="864"/>
      <c r="H1130" s="864">
        <v>45705.32356461</v>
      </c>
      <c r="I1130" s="864">
        <v>47391.938998563732</v>
      </c>
      <c r="J1130" s="864">
        <v>49167.262970567972</v>
      </c>
      <c r="K1130" s="864">
        <v>51036.041387408368</v>
      </c>
      <c r="L1130" s="18" t="s">
        <v>1830</v>
      </c>
      <c r="M1130" s="442"/>
      <c r="N1130" s="433"/>
      <c r="P1130" s="459"/>
      <c r="T1130" s="443"/>
      <c r="U1130" s="440"/>
      <c r="V1130" s="440"/>
      <c r="W1130" s="440"/>
      <c r="X1130" s="442"/>
    </row>
    <row r="1131" spans="1:24" x14ac:dyDescent="0.25">
      <c r="A1131" s="862">
        <v>1849</v>
      </c>
      <c r="B1131" s="863" t="s">
        <v>7857</v>
      </c>
      <c r="C1131" s="862">
        <v>1849</v>
      </c>
      <c r="D1131" s="165" t="s">
        <v>2150</v>
      </c>
      <c r="E1131" s="165" t="s">
        <v>7858</v>
      </c>
      <c r="F1131" s="163">
        <v>1</v>
      </c>
      <c r="G1131" s="864"/>
      <c r="H1131" s="864">
        <v>0</v>
      </c>
      <c r="I1131" s="864">
        <v>47298.528907996595</v>
      </c>
      <c r="J1131" s="864">
        <v>49068.973910408036</v>
      </c>
      <c r="K1131" s="864">
        <v>50932.562877772492</v>
      </c>
      <c r="L1131" s="18" t="s">
        <v>3934</v>
      </c>
      <c r="M1131" s="442"/>
      <c r="N1131" s="433"/>
      <c r="P1131" s="459"/>
      <c r="T1131" s="443"/>
      <c r="U1131" s="440"/>
      <c r="V1131" s="440"/>
      <c r="W1131" s="440"/>
      <c r="X1131" s="442"/>
    </row>
    <row r="1132" spans="1:24" x14ac:dyDescent="0.25">
      <c r="A1132" s="862">
        <v>1850</v>
      </c>
      <c r="B1132" s="863" t="s">
        <v>7859</v>
      </c>
      <c r="C1132" s="862">
        <v>1850</v>
      </c>
      <c r="D1132" s="165" t="s">
        <v>2150</v>
      </c>
      <c r="E1132" s="165" t="s">
        <v>7860</v>
      </c>
      <c r="F1132" s="163">
        <v>1</v>
      </c>
      <c r="G1132" s="864"/>
      <c r="H1132" s="864">
        <v>0</v>
      </c>
      <c r="I1132" s="864">
        <v>0</v>
      </c>
      <c r="J1132" s="864">
        <v>0</v>
      </c>
      <c r="K1132" s="864">
        <v>67019.556064119301</v>
      </c>
      <c r="L1132" s="18" t="s">
        <v>10925</v>
      </c>
      <c r="M1132" s="442"/>
      <c r="N1132" s="433"/>
      <c r="P1132" s="459"/>
      <c r="T1132" s="443"/>
      <c r="U1132" s="440"/>
      <c r="V1132" s="440"/>
      <c r="W1132" s="440"/>
      <c r="X1132" s="442"/>
    </row>
    <row r="1133" spans="1:24" x14ac:dyDescent="0.25">
      <c r="A1133" s="862">
        <v>1851</v>
      </c>
      <c r="B1133" s="863" t="s">
        <v>7861</v>
      </c>
      <c r="C1133" s="862">
        <v>1851</v>
      </c>
      <c r="D1133" s="165" t="s">
        <v>2150</v>
      </c>
      <c r="E1133" s="165" t="s">
        <v>7862</v>
      </c>
      <c r="F1133" s="163">
        <v>1</v>
      </c>
      <c r="G1133" s="864"/>
      <c r="H1133" s="864">
        <v>0</v>
      </c>
      <c r="I1133" s="864">
        <v>0</v>
      </c>
      <c r="J1133" s="864">
        <v>0</v>
      </c>
      <c r="K1133" s="864">
        <v>76182.267594352161</v>
      </c>
      <c r="L1133" s="18" t="s">
        <v>10926</v>
      </c>
      <c r="M1133" s="442"/>
      <c r="N1133" s="433"/>
      <c r="P1133" s="459"/>
      <c r="T1133" s="443"/>
      <c r="U1133" s="440"/>
      <c r="V1133" s="440"/>
      <c r="W1133" s="440"/>
      <c r="X1133" s="442"/>
    </row>
    <row r="1134" spans="1:24" x14ac:dyDescent="0.25">
      <c r="A1134" s="862">
        <v>1852</v>
      </c>
      <c r="B1134" s="863" t="s">
        <v>7863</v>
      </c>
      <c r="C1134" s="862">
        <v>1852</v>
      </c>
      <c r="D1134" s="165" t="s">
        <v>2150</v>
      </c>
      <c r="E1134" s="165" t="s">
        <v>7864</v>
      </c>
      <c r="F1134" s="163">
        <v>1</v>
      </c>
      <c r="G1134" s="864"/>
      <c r="H1134" s="864">
        <v>0</v>
      </c>
      <c r="I1134" s="864">
        <v>0</v>
      </c>
      <c r="J1134" s="864">
        <v>0</v>
      </c>
      <c r="K1134" s="864">
        <v>74357.985950730043</v>
      </c>
      <c r="L1134" s="18" t="s">
        <v>10927</v>
      </c>
      <c r="M1134" s="442"/>
      <c r="N1134" s="433"/>
      <c r="P1134" s="459"/>
      <c r="T1134" s="443"/>
      <c r="U1134" s="440"/>
      <c r="V1134" s="440"/>
      <c r="W1134" s="440"/>
      <c r="X1134" s="442"/>
    </row>
    <row r="1135" spans="1:24" x14ac:dyDescent="0.25">
      <c r="A1135" s="862">
        <v>1853</v>
      </c>
      <c r="B1135" s="863" t="s">
        <v>7865</v>
      </c>
      <c r="C1135" s="862">
        <v>1853</v>
      </c>
      <c r="D1135" s="165" t="s">
        <v>2150</v>
      </c>
      <c r="E1135" s="165" t="s">
        <v>7866</v>
      </c>
      <c r="F1135" s="163">
        <v>1</v>
      </c>
      <c r="G1135" s="864"/>
      <c r="H1135" s="864">
        <v>59278.00034756989</v>
      </c>
      <c r="I1135" s="864">
        <v>61432.508965470908</v>
      </c>
      <c r="J1135" s="864">
        <v>63700.387095000406</v>
      </c>
      <c r="K1135" s="864">
        <v>66087.578208207808</v>
      </c>
      <c r="L1135" s="18" t="s">
        <v>1831</v>
      </c>
      <c r="M1135" s="442"/>
      <c r="N1135" s="433"/>
      <c r="P1135" s="459"/>
      <c r="T1135" s="443"/>
      <c r="U1135" s="440"/>
      <c r="V1135" s="440"/>
      <c r="W1135" s="440"/>
      <c r="X1135" s="442"/>
    </row>
    <row r="1136" spans="1:24" x14ac:dyDescent="0.25">
      <c r="A1136" s="862">
        <v>1854</v>
      </c>
      <c r="B1136" s="863" t="s">
        <v>7867</v>
      </c>
      <c r="C1136" s="862">
        <v>1854</v>
      </c>
      <c r="D1136" s="165" t="s">
        <v>2150</v>
      </c>
      <c r="E1136" s="165" t="s">
        <v>7868</v>
      </c>
      <c r="F1136" s="163">
        <v>1</v>
      </c>
      <c r="G1136" s="864"/>
      <c r="H1136" s="864">
        <v>47309.806115237887</v>
      </c>
      <c r="I1136" s="864">
        <v>49086.505069581894</v>
      </c>
      <c r="J1136" s="864">
        <v>50956.747177300145</v>
      </c>
      <c r="K1136" s="864">
        <v>52925.41140798539</v>
      </c>
      <c r="L1136" s="18" t="s">
        <v>1832</v>
      </c>
      <c r="M1136" s="442"/>
      <c r="N1136" s="433"/>
      <c r="P1136" s="459"/>
      <c r="T1136" s="443"/>
      <c r="U1136" s="440"/>
      <c r="V1136" s="440"/>
      <c r="W1136" s="440"/>
      <c r="X1136" s="442"/>
    </row>
    <row r="1137" spans="1:24" x14ac:dyDescent="0.25">
      <c r="A1137" s="862">
        <v>1855</v>
      </c>
      <c r="B1137" s="863" t="s">
        <v>7869</v>
      </c>
      <c r="C1137" s="862">
        <v>1855</v>
      </c>
      <c r="D1137" s="165" t="s">
        <v>2150</v>
      </c>
      <c r="E1137" s="165" t="s">
        <v>7870</v>
      </c>
      <c r="F1137" s="163">
        <v>1</v>
      </c>
      <c r="G1137" s="864"/>
      <c r="H1137" s="864">
        <v>0</v>
      </c>
      <c r="I1137" s="864">
        <v>0</v>
      </c>
      <c r="J1137" s="864">
        <v>0</v>
      </c>
      <c r="K1137" s="864">
        <v>67971.35548916705</v>
      </c>
      <c r="L1137" s="18" t="s">
        <v>10928</v>
      </c>
      <c r="M1137" s="442"/>
      <c r="N1137" s="433"/>
      <c r="P1137" s="459"/>
      <c r="T1137" s="443"/>
      <c r="U1137" s="440"/>
      <c r="V1137" s="440"/>
      <c r="W1137" s="440"/>
      <c r="X1137" s="442"/>
    </row>
    <row r="1138" spans="1:24" x14ac:dyDescent="0.25">
      <c r="A1138" s="862">
        <v>1856</v>
      </c>
      <c r="B1138" s="863" t="s">
        <v>7871</v>
      </c>
      <c r="C1138" s="862">
        <v>1856</v>
      </c>
      <c r="D1138" s="165" t="s">
        <v>2150</v>
      </c>
      <c r="E1138" s="165" t="s">
        <v>7872</v>
      </c>
      <c r="F1138" s="163">
        <v>1</v>
      </c>
      <c r="G1138" s="864"/>
      <c r="H1138" s="864">
        <v>31888.592954653122</v>
      </c>
      <c r="I1138" s="864">
        <v>33024.413895980993</v>
      </c>
      <c r="J1138" s="864">
        <v>34220.030761525355</v>
      </c>
      <c r="K1138" s="864">
        <v>35478.572846185307</v>
      </c>
      <c r="L1138" s="18" t="s">
        <v>1833</v>
      </c>
      <c r="M1138" s="442"/>
      <c r="N1138" s="433"/>
      <c r="P1138" s="459"/>
      <c r="T1138" s="443"/>
      <c r="U1138" s="440"/>
      <c r="V1138" s="440"/>
      <c r="W1138" s="440"/>
      <c r="X1138" s="442"/>
    </row>
    <row r="1139" spans="1:24" x14ac:dyDescent="0.25">
      <c r="A1139" s="862">
        <v>1857</v>
      </c>
      <c r="B1139" s="863" t="s">
        <v>7873</v>
      </c>
      <c r="C1139" s="862">
        <v>1857</v>
      </c>
      <c r="D1139" s="165" t="s">
        <v>2150</v>
      </c>
      <c r="E1139" s="165" t="s">
        <v>7874</v>
      </c>
      <c r="F1139" s="163">
        <v>1</v>
      </c>
      <c r="G1139" s="864"/>
      <c r="H1139" s="864">
        <v>0</v>
      </c>
      <c r="I1139" s="864">
        <v>0</v>
      </c>
      <c r="J1139" s="864">
        <v>33732.518700335255</v>
      </c>
      <c r="K1139" s="864">
        <v>34942.273946447836</v>
      </c>
      <c r="L1139" s="18" t="s">
        <v>4652</v>
      </c>
      <c r="M1139" s="442"/>
      <c r="N1139" s="433"/>
      <c r="P1139" s="459"/>
      <c r="T1139" s="443"/>
      <c r="U1139" s="440"/>
      <c r="V1139" s="440"/>
      <c r="W1139" s="440"/>
      <c r="X1139" s="442"/>
    </row>
    <row r="1140" spans="1:24" x14ac:dyDescent="0.25">
      <c r="A1140" s="862">
        <v>1858</v>
      </c>
      <c r="B1140" s="863" t="s">
        <v>7875</v>
      </c>
      <c r="C1140" s="862">
        <v>1858</v>
      </c>
      <c r="D1140" s="165" t="s">
        <v>2150</v>
      </c>
      <c r="E1140" s="165" t="s">
        <v>7876</v>
      </c>
      <c r="F1140" s="163">
        <v>1</v>
      </c>
      <c r="G1140" s="864"/>
      <c r="H1140" s="864">
        <v>33327.646801323324</v>
      </c>
      <c r="I1140" s="864">
        <v>34518.814789782213</v>
      </c>
      <c r="J1140" s="864">
        <v>35772.719485615802</v>
      </c>
      <c r="K1140" s="864">
        <v>37092.603290767693</v>
      </c>
      <c r="L1140" s="18" t="s">
        <v>1834</v>
      </c>
      <c r="M1140" s="442"/>
      <c r="N1140" s="433"/>
      <c r="P1140" s="459"/>
      <c r="T1140" s="443"/>
      <c r="U1140" s="440"/>
      <c r="V1140" s="440"/>
      <c r="W1140" s="440"/>
      <c r="X1140" s="442"/>
    </row>
    <row r="1141" spans="1:24" x14ac:dyDescent="0.25">
      <c r="A1141" s="862">
        <v>1859</v>
      </c>
      <c r="B1141" s="863" t="s">
        <v>7877</v>
      </c>
      <c r="C1141" s="862">
        <v>1859</v>
      </c>
      <c r="D1141" s="165" t="s">
        <v>2150</v>
      </c>
      <c r="E1141" s="165" t="s">
        <v>7878</v>
      </c>
      <c r="F1141" s="163">
        <v>1</v>
      </c>
      <c r="G1141" s="864"/>
      <c r="H1141" s="864">
        <v>33979.13506954749</v>
      </c>
      <c r="I1141" s="864">
        <v>35225.976674525577</v>
      </c>
      <c r="J1141" s="864">
        <v>36407.181910300111</v>
      </c>
      <c r="K1141" s="864">
        <v>37650.573345142722</v>
      </c>
      <c r="L1141" s="18" t="s">
        <v>3935</v>
      </c>
      <c r="M1141" s="442"/>
      <c r="N1141" s="433"/>
      <c r="P1141" s="459"/>
      <c r="T1141" s="443"/>
      <c r="U1141" s="440"/>
      <c r="V1141" s="440"/>
      <c r="W1141" s="440"/>
      <c r="X1141" s="442"/>
    </row>
    <row r="1142" spans="1:24" x14ac:dyDescent="0.25">
      <c r="A1142" s="862">
        <v>1860</v>
      </c>
      <c r="B1142" s="863" t="s">
        <v>7879</v>
      </c>
      <c r="C1142" s="862">
        <v>1860</v>
      </c>
      <c r="D1142" s="165" t="s">
        <v>2150</v>
      </c>
      <c r="E1142" s="165" t="s">
        <v>7880</v>
      </c>
      <c r="F1142" s="163">
        <v>1</v>
      </c>
      <c r="G1142" s="864"/>
      <c r="H1142" s="864">
        <v>32510.330517262093</v>
      </c>
      <c r="I1142" s="864">
        <v>0</v>
      </c>
      <c r="J1142" s="864">
        <v>0</v>
      </c>
      <c r="K1142" s="864">
        <v>0</v>
      </c>
      <c r="L1142" s="18" t="s">
        <v>10929</v>
      </c>
      <c r="M1142" s="442"/>
      <c r="N1142" s="433"/>
      <c r="P1142" s="459"/>
      <c r="T1142" s="443"/>
      <c r="U1142" s="440"/>
      <c r="V1142" s="440"/>
      <c r="W1142" s="440"/>
      <c r="X1142" s="442"/>
    </row>
    <row r="1143" spans="1:24" x14ac:dyDescent="0.25">
      <c r="A1143" s="862">
        <v>1861</v>
      </c>
      <c r="B1143" s="863" t="s">
        <v>7881</v>
      </c>
      <c r="C1143" s="862">
        <v>1861</v>
      </c>
      <c r="D1143" s="165" t="s">
        <v>2150</v>
      </c>
      <c r="E1143" s="165" t="s">
        <v>7882</v>
      </c>
      <c r="F1143" s="163">
        <v>1</v>
      </c>
      <c r="G1143" s="864"/>
      <c r="H1143" s="864">
        <v>0</v>
      </c>
      <c r="I1143" s="864">
        <v>47556.329570764443</v>
      </c>
      <c r="J1143" s="864">
        <v>49179.198152192985</v>
      </c>
      <c r="K1143" s="864">
        <v>50887.489620710374</v>
      </c>
      <c r="L1143" s="18" t="s">
        <v>3936</v>
      </c>
      <c r="M1143" s="442"/>
      <c r="N1143" s="433"/>
      <c r="P1143" s="459"/>
      <c r="T1143" s="443"/>
      <c r="U1143" s="440"/>
      <c r="V1143" s="440"/>
      <c r="W1143" s="440"/>
      <c r="X1143" s="442"/>
    </row>
    <row r="1144" spans="1:24" x14ac:dyDescent="0.25">
      <c r="A1144" s="862">
        <v>1862</v>
      </c>
      <c r="B1144" s="863" t="s">
        <v>7883</v>
      </c>
      <c r="C1144" s="862">
        <v>1862</v>
      </c>
      <c r="D1144" s="165" t="s">
        <v>2150</v>
      </c>
      <c r="E1144" s="165" t="s">
        <v>7884</v>
      </c>
      <c r="F1144" s="163">
        <v>1</v>
      </c>
      <c r="G1144" s="864"/>
      <c r="H1144" s="864">
        <v>0</v>
      </c>
      <c r="I1144" s="864">
        <v>47556.329570764443</v>
      </c>
      <c r="J1144" s="864">
        <v>49179.198152192985</v>
      </c>
      <c r="K1144" s="864">
        <v>50887.489620710374</v>
      </c>
      <c r="L1144" s="18" t="s">
        <v>3937</v>
      </c>
      <c r="M1144" s="442"/>
      <c r="N1144" s="433"/>
      <c r="P1144" s="459"/>
      <c r="T1144" s="443"/>
      <c r="U1144" s="440"/>
      <c r="V1144" s="440"/>
      <c r="W1144" s="440"/>
      <c r="X1144" s="442"/>
    </row>
    <row r="1145" spans="1:24" x14ac:dyDescent="0.25">
      <c r="A1145" s="862">
        <v>1863</v>
      </c>
      <c r="B1145" s="863" t="s">
        <v>7885</v>
      </c>
      <c r="C1145" s="862">
        <v>1863</v>
      </c>
      <c r="D1145" s="165" t="s">
        <v>2150</v>
      </c>
      <c r="E1145" s="165" t="s">
        <v>7886</v>
      </c>
      <c r="F1145" s="163">
        <v>1</v>
      </c>
      <c r="G1145" s="864"/>
      <c r="H1145" s="864">
        <v>42436.417558901463</v>
      </c>
      <c r="I1145" s="864">
        <v>44121.698365859527</v>
      </c>
      <c r="J1145" s="864">
        <v>45895.744791742691</v>
      </c>
      <c r="K1145" s="864">
        <v>47763.173840219897</v>
      </c>
      <c r="L1145" s="18" t="s">
        <v>1835</v>
      </c>
      <c r="M1145" s="442"/>
      <c r="N1145" s="433"/>
      <c r="P1145" s="459"/>
      <c r="T1145" s="443"/>
      <c r="U1145" s="440"/>
      <c r="V1145" s="440"/>
      <c r="W1145" s="440"/>
      <c r="X1145" s="442"/>
    </row>
    <row r="1146" spans="1:24" x14ac:dyDescent="0.25">
      <c r="A1146" s="862">
        <v>1864</v>
      </c>
      <c r="B1146" s="863" t="s">
        <v>7887</v>
      </c>
      <c r="C1146" s="862">
        <v>1864</v>
      </c>
      <c r="D1146" s="165" t="s">
        <v>2150</v>
      </c>
      <c r="E1146" s="165" t="s">
        <v>7888</v>
      </c>
      <c r="F1146" s="163">
        <v>1</v>
      </c>
      <c r="G1146" s="864"/>
      <c r="H1146" s="864">
        <v>0</v>
      </c>
      <c r="I1146" s="864">
        <v>0</v>
      </c>
      <c r="J1146" s="864">
        <v>34456.360354653334</v>
      </c>
      <c r="K1146" s="864">
        <v>35610.005797659061</v>
      </c>
      <c r="L1146" s="18" t="s">
        <v>4653</v>
      </c>
      <c r="M1146" s="442"/>
      <c r="N1146" s="433"/>
      <c r="P1146" s="459"/>
      <c r="T1146" s="443"/>
      <c r="U1146" s="440"/>
      <c r="V1146" s="440"/>
      <c r="W1146" s="440"/>
      <c r="X1146" s="442"/>
    </row>
    <row r="1147" spans="1:24" x14ac:dyDescent="0.25">
      <c r="A1147" s="862">
        <v>1865</v>
      </c>
      <c r="B1147" s="863" t="s">
        <v>7889</v>
      </c>
      <c r="C1147" s="862">
        <v>1865</v>
      </c>
      <c r="D1147" s="165" t="s">
        <v>2150</v>
      </c>
      <c r="E1147" s="165" t="s">
        <v>7890</v>
      </c>
      <c r="F1147" s="163">
        <v>1</v>
      </c>
      <c r="G1147" s="864"/>
      <c r="H1147" s="864">
        <v>32403.92450819951</v>
      </c>
      <c r="I1147" s="864">
        <v>33519.701216344925</v>
      </c>
      <c r="J1147" s="864">
        <v>34694.172385108075</v>
      </c>
      <c r="K1147" s="864">
        <v>35930.497206420237</v>
      </c>
      <c r="L1147" s="18" t="s">
        <v>1836</v>
      </c>
      <c r="M1147" s="442"/>
      <c r="N1147" s="433"/>
      <c r="P1147" s="459"/>
      <c r="T1147" s="443"/>
      <c r="U1147" s="440"/>
      <c r="V1147" s="440"/>
      <c r="W1147" s="440"/>
      <c r="X1147" s="442"/>
    </row>
    <row r="1148" spans="1:24" x14ac:dyDescent="0.25">
      <c r="A1148" s="862">
        <v>1866</v>
      </c>
      <c r="B1148" s="863" t="s">
        <v>7891</v>
      </c>
      <c r="C1148" s="862">
        <v>1866</v>
      </c>
      <c r="D1148" s="165" t="s">
        <v>2150</v>
      </c>
      <c r="E1148" s="165" t="s">
        <v>7892</v>
      </c>
      <c r="F1148" s="163">
        <v>1</v>
      </c>
      <c r="G1148" s="864"/>
      <c r="H1148" s="864">
        <v>31516.983121723057</v>
      </c>
      <c r="I1148" s="864">
        <v>32599.920861109254</v>
      </c>
      <c r="J1148" s="864">
        <v>33739.890328517788</v>
      </c>
      <c r="K1148" s="864">
        <v>34939.84287430549</v>
      </c>
      <c r="L1148" s="18" t="s">
        <v>1837</v>
      </c>
      <c r="M1148" s="442"/>
      <c r="N1148" s="433"/>
      <c r="P1148" s="456"/>
      <c r="T1148" s="443"/>
      <c r="U1148" s="440"/>
      <c r="V1148" s="440"/>
      <c r="W1148" s="440"/>
      <c r="X1148" s="442"/>
    </row>
    <row r="1149" spans="1:24" x14ac:dyDescent="0.25">
      <c r="A1149" s="862">
        <v>1867</v>
      </c>
      <c r="B1149" s="863" t="s">
        <v>7893</v>
      </c>
      <c r="C1149" s="862">
        <v>1867</v>
      </c>
      <c r="D1149" s="165" t="s">
        <v>2150</v>
      </c>
      <c r="E1149" s="165" t="s">
        <v>7894</v>
      </c>
      <c r="F1149" s="163">
        <v>1</v>
      </c>
      <c r="G1149" s="864"/>
      <c r="H1149" s="864">
        <v>0</v>
      </c>
      <c r="I1149" s="864">
        <v>35863.65876813401</v>
      </c>
      <c r="J1149" s="864">
        <v>0</v>
      </c>
      <c r="K1149" s="864">
        <v>0</v>
      </c>
      <c r="L1149" s="18" t="s">
        <v>4654</v>
      </c>
      <c r="M1149" s="442"/>
      <c r="N1149" s="433"/>
      <c r="P1149" s="456"/>
      <c r="T1149" s="443"/>
      <c r="U1149" s="440"/>
      <c r="V1149" s="440"/>
      <c r="W1149" s="440"/>
      <c r="X1149" s="442"/>
    </row>
    <row r="1150" spans="1:24" x14ac:dyDescent="0.25">
      <c r="A1150" s="862">
        <v>1868</v>
      </c>
      <c r="B1150" s="863" t="s">
        <v>7895</v>
      </c>
      <c r="C1150" s="862">
        <v>1868</v>
      </c>
      <c r="D1150" s="165" t="s">
        <v>2150</v>
      </c>
      <c r="E1150" s="165" t="s">
        <v>7896</v>
      </c>
      <c r="F1150" s="163">
        <v>1</v>
      </c>
      <c r="G1150" s="864"/>
      <c r="H1150" s="864">
        <v>16763.168235502122</v>
      </c>
      <c r="I1150" s="864">
        <v>17183.650548883579</v>
      </c>
      <c r="J1150" s="864">
        <v>17626.267945633637</v>
      </c>
      <c r="K1150" s="864">
        <v>18092.200214459768</v>
      </c>
      <c r="L1150" s="18" t="s">
        <v>1838</v>
      </c>
      <c r="M1150" s="442"/>
      <c r="N1150" s="433"/>
      <c r="P1150" s="456"/>
      <c r="T1150" s="443"/>
      <c r="U1150" s="440"/>
      <c r="V1150" s="440"/>
      <c r="W1150" s="440"/>
      <c r="X1150" s="442"/>
    </row>
    <row r="1151" spans="1:24" x14ac:dyDescent="0.25">
      <c r="A1151" s="862">
        <v>1869</v>
      </c>
      <c r="B1151" s="863" t="s">
        <v>7897</v>
      </c>
      <c r="C1151" s="862">
        <v>1869</v>
      </c>
      <c r="D1151" s="165" t="s">
        <v>2150</v>
      </c>
      <c r="E1151" s="165" t="s">
        <v>7898</v>
      </c>
      <c r="F1151" s="163">
        <v>1</v>
      </c>
      <c r="G1151" s="864"/>
      <c r="H1151" s="864">
        <v>18337.937314359453</v>
      </c>
      <c r="I1151" s="864">
        <v>18793.420026062337</v>
      </c>
      <c r="J1151" s="864">
        <v>19272.891774816973</v>
      </c>
      <c r="K1151" s="864">
        <v>19777.588529745477</v>
      </c>
      <c r="L1151" s="18" t="s">
        <v>1839</v>
      </c>
      <c r="M1151" s="442"/>
      <c r="N1151" s="433"/>
      <c r="P1151" s="456"/>
      <c r="T1151" s="443"/>
      <c r="U1151" s="440"/>
      <c r="V1151" s="440"/>
      <c r="W1151" s="440"/>
      <c r="X1151" s="442"/>
    </row>
    <row r="1152" spans="1:24" x14ac:dyDescent="0.25">
      <c r="A1152" s="862">
        <v>1870</v>
      </c>
      <c r="B1152" s="863" t="s">
        <v>7899</v>
      </c>
      <c r="C1152" s="862">
        <v>1870</v>
      </c>
      <c r="D1152" s="165" t="s">
        <v>2150</v>
      </c>
      <c r="E1152" s="165" t="s">
        <v>7900</v>
      </c>
      <c r="F1152" s="163">
        <v>1</v>
      </c>
      <c r="G1152" s="864"/>
      <c r="H1152" s="864">
        <v>18629.879846019809</v>
      </c>
      <c r="I1152" s="864">
        <v>19104.576259529957</v>
      </c>
      <c r="J1152" s="864">
        <v>19604.272957555404</v>
      </c>
      <c r="K1152" s="864">
        <v>20130.290179840205</v>
      </c>
      <c r="L1152" s="18" t="s">
        <v>1840</v>
      </c>
      <c r="M1152" s="442"/>
      <c r="N1152" s="433"/>
      <c r="P1152" s="456"/>
      <c r="T1152" s="443"/>
      <c r="U1152" s="440"/>
      <c r="V1152" s="440"/>
      <c r="W1152" s="440"/>
      <c r="X1152" s="442"/>
    </row>
    <row r="1153" spans="1:24" x14ac:dyDescent="0.25">
      <c r="A1153" s="862">
        <v>1871</v>
      </c>
      <c r="B1153" s="863" t="s">
        <v>7901</v>
      </c>
      <c r="C1153" s="862">
        <v>1871</v>
      </c>
      <c r="D1153" s="165" t="s">
        <v>2150</v>
      </c>
      <c r="E1153" s="165" t="s">
        <v>7902</v>
      </c>
      <c r="F1153" s="163">
        <v>1</v>
      </c>
      <c r="G1153" s="864"/>
      <c r="H1153" s="864">
        <v>19851.497842345005</v>
      </c>
      <c r="I1153" s="864">
        <v>20349.930481041018</v>
      </c>
      <c r="J1153" s="864">
        <v>20874.59937337444</v>
      </c>
      <c r="K1153" s="864">
        <v>21426.909029711289</v>
      </c>
      <c r="L1153" s="18" t="s">
        <v>1841</v>
      </c>
      <c r="M1153" s="442"/>
      <c r="N1153" s="433"/>
      <c r="P1153" s="456"/>
      <c r="T1153" s="443"/>
      <c r="U1153" s="440"/>
      <c r="V1153" s="440"/>
      <c r="W1153" s="440"/>
      <c r="X1153" s="442"/>
    </row>
    <row r="1154" spans="1:24" x14ac:dyDescent="0.25">
      <c r="A1154" s="862">
        <v>1872</v>
      </c>
      <c r="B1154" s="863" t="s">
        <v>7903</v>
      </c>
      <c r="C1154" s="862">
        <v>1872</v>
      </c>
      <c r="D1154" s="165" t="s">
        <v>2150</v>
      </c>
      <c r="E1154" s="165" t="s">
        <v>7904</v>
      </c>
      <c r="F1154" s="163">
        <v>1</v>
      </c>
      <c r="G1154" s="864"/>
      <c r="H1154" s="864">
        <v>0</v>
      </c>
      <c r="I1154" s="864">
        <v>23412.693841963381</v>
      </c>
      <c r="J1154" s="864">
        <v>23968.73949587387</v>
      </c>
      <c r="K1154" s="864">
        <v>24554.055145812381</v>
      </c>
      <c r="L1154" s="18" t="s">
        <v>3938</v>
      </c>
      <c r="M1154" s="442"/>
      <c r="N1154" s="433"/>
      <c r="P1154" s="456"/>
      <c r="T1154" s="443"/>
      <c r="U1154" s="440"/>
      <c r="V1154" s="440"/>
      <c r="W1154" s="440"/>
      <c r="X1154" s="442"/>
    </row>
    <row r="1155" spans="1:24" x14ac:dyDescent="0.25">
      <c r="A1155" s="862">
        <v>1873</v>
      </c>
      <c r="B1155" s="863" t="s">
        <v>7905</v>
      </c>
      <c r="C1155" s="862">
        <v>1873</v>
      </c>
      <c r="D1155" s="165" t="s">
        <v>2150</v>
      </c>
      <c r="E1155" s="165" t="s">
        <v>7906</v>
      </c>
      <c r="F1155" s="163">
        <v>1</v>
      </c>
      <c r="G1155" s="864"/>
      <c r="H1155" s="864">
        <v>21900.581982676835</v>
      </c>
      <c r="I1155" s="864">
        <v>22430.784645852404</v>
      </c>
      <c r="J1155" s="864">
        <v>22988.880884897291</v>
      </c>
      <c r="K1155" s="864">
        <v>23576.359480799481</v>
      </c>
      <c r="L1155" s="18" t="s">
        <v>3027</v>
      </c>
      <c r="M1155" s="442"/>
      <c r="N1155" s="433"/>
      <c r="P1155" s="456"/>
      <c r="T1155" s="443"/>
      <c r="U1155" s="440"/>
      <c r="V1155" s="440"/>
      <c r="W1155" s="440"/>
      <c r="X1155" s="442"/>
    </row>
    <row r="1156" spans="1:24" x14ac:dyDescent="0.25">
      <c r="A1156" s="862">
        <v>1874</v>
      </c>
      <c r="B1156" s="863" t="s">
        <v>7907</v>
      </c>
      <c r="C1156" s="862">
        <v>1874</v>
      </c>
      <c r="D1156" s="165" t="s">
        <v>2150</v>
      </c>
      <c r="E1156" s="165" t="s">
        <v>7908</v>
      </c>
      <c r="F1156" s="163">
        <v>2</v>
      </c>
      <c r="G1156" s="864"/>
      <c r="H1156" s="864">
        <v>29962.819598428974</v>
      </c>
      <c r="I1156" s="864">
        <v>31133.644159174135</v>
      </c>
      <c r="J1156" s="864">
        <v>32366.112430076399</v>
      </c>
      <c r="K1156" s="864">
        <v>33663.413878735628</v>
      </c>
      <c r="L1156" s="18" t="s">
        <v>1874</v>
      </c>
      <c r="M1156" s="442"/>
      <c r="N1156" s="433"/>
      <c r="P1156" s="456"/>
      <c r="T1156" s="443"/>
      <c r="U1156" s="440"/>
      <c r="V1156" s="440"/>
      <c r="W1156" s="440"/>
      <c r="X1156" s="442"/>
    </row>
    <row r="1157" spans="1:24" x14ac:dyDescent="0.25">
      <c r="A1157" s="862">
        <v>1875</v>
      </c>
      <c r="B1157" s="863" t="s">
        <v>7909</v>
      </c>
      <c r="C1157" s="862">
        <v>1875</v>
      </c>
      <c r="D1157" s="165" t="s">
        <v>2150</v>
      </c>
      <c r="E1157" s="165" t="s">
        <v>7910</v>
      </c>
      <c r="F1157" s="163">
        <v>2</v>
      </c>
      <c r="G1157" s="864"/>
      <c r="H1157" s="864">
        <v>21826.253767377169</v>
      </c>
      <c r="I1157" s="864">
        <v>22642.467521338935</v>
      </c>
      <c r="J1157" s="864">
        <v>23501.652102418688</v>
      </c>
      <c r="K1157" s="864">
        <v>24406.069133096324</v>
      </c>
      <c r="L1157" s="18" t="s">
        <v>1872</v>
      </c>
      <c r="M1157" s="442"/>
      <c r="N1157" s="433"/>
      <c r="P1157" s="447"/>
      <c r="T1157" s="443"/>
      <c r="U1157" s="440"/>
      <c r="V1157" s="440"/>
      <c r="W1157" s="440"/>
      <c r="X1157" s="442"/>
    </row>
    <row r="1158" spans="1:24" x14ac:dyDescent="0.25">
      <c r="A1158" s="862">
        <v>1876</v>
      </c>
      <c r="B1158" s="863" t="s">
        <v>7911</v>
      </c>
      <c r="C1158" s="862">
        <v>1876</v>
      </c>
      <c r="D1158" s="165" t="s">
        <v>2150</v>
      </c>
      <c r="E1158" s="165" t="s">
        <v>7912</v>
      </c>
      <c r="F1158" s="163">
        <v>2</v>
      </c>
      <c r="G1158" s="864"/>
      <c r="H1158" s="864">
        <v>25847.352315816413</v>
      </c>
      <c r="I1158" s="864">
        <v>26839.392720009946</v>
      </c>
      <c r="J1158" s="864">
        <v>27883.682402521023</v>
      </c>
      <c r="K1158" s="864">
        <v>28982.946908389527</v>
      </c>
      <c r="L1158" s="18" t="s">
        <v>1873</v>
      </c>
      <c r="M1158" s="442"/>
      <c r="N1158" s="433"/>
      <c r="P1158" s="447"/>
      <c r="T1158" s="443"/>
      <c r="U1158" s="440"/>
      <c r="V1158" s="440"/>
      <c r="W1158" s="440"/>
      <c r="X1158" s="442"/>
    </row>
    <row r="1159" spans="1:24" x14ac:dyDescent="0.25">
      <c r="A1159" s="862">
        <v>1877</v>
      </c>
      <c r="B1159" s="863" t="s">
        <v>7913</v>
      </c>
      <c r="C1159" s="862">
        <v>1877</v>
      </c>
      <c r="D1159" s="165" t="s">
        <v>2150</v>
      </c>
      <c r="E1159" s="165" t="s">
        <v>7914</v>
      </c>
      <c r="F1159" s="163">
        <v>1</v>
      </c>
      <c r="G1159" s="864"/>
      <c r="H1159" s="864">
        <v>8025.4090614749166</v>
      </c>
      <c r="I1159" s="864">
        <v>0</v>
      </c>
      <c r="J1159" s="864">
        <v>0</v>
      </c>
      <c r="K1159" s="864">
        <v>0</v>
      </c>
      <c r="L1159" s="18" t="s">
        <v>1842</v>
      </c>
      <c r="M1159" s="442"/>
      <c r="N1159" s="433"/>
      <c r="P1159" s="447"/>
      <c r="T1159" s="443"/>
      <c r="U1159" s="440"/>
      <c r="V1159" s="440"/>
      <c r="W1159" s="440"/>
      <c r="X1159" s="442"/>
    </row>
    <row r="1160" spans="1:24" x14ac:dyDescent="0.25">
      <c r="A1160" s="862">
        <v>1878</v>
      </c>
      <c r="B1160" s="863" t="s">
        <v>7915</v>
      </c>
      <c r="C1160" s="862">
        <v>1878</v>
      </c>
      <c r="D1160" s="165" t="s">
        <v>2150</v>
      </c>
      <c r="E1160" s="165" t="s">
        <v>7916</v>
      </c>
      <c r="F1160" s="163">
        <v>1</v>
      </c>
      <c r="G1160" s="864"/>
      <c r="H1160" s="864">
        <v>8830.9309788548817</v>
      </c>
      <c r="I1160" s="864">
        <v>0</v>
      </c>
      <c r="J1160" s="864">
        <v>0</v>
      </c>
      <c r="K1160" s="864">
        <v>0</v>
      </c>
      <c r="L1160" s="18" t="s">
        <v>1843</v>
      </c>
      <c r="M1160" s="442"/>
      <c r="N1160" s="433"/>
      <c r="P1160" s="447"/>
      <c r="T1160" s="443"/>
      <c r="U1160" s="440"/>
      <c r="V1160" s="440"/>
      <c r="W1160" s="440"/>
      <c r="X1160" s="442"/>
    </row>
    <row r="1161" spans="1:24" x14ac:dyDescent="0.25">
      <c r="A1161" s="862">
        <v>1879</v>
      </c>
      <c r="B1161" s="863" t="s">
        <v>7917</v>
      </c>
      <c r="C1161" s="862">
        <v>1879</v>
      </c>
      <c r="D1161" s="165" t="s">
        <v>2150</v>
      </c>
      <c r="E1161" s="165" t="s">
        <v>7918</v>
      </c>
      <c r="F1161" s="163">
        <v>1</v>
      </c>
      <c r="G1161" s="864"/>
      <c r="H1161" s="864">
        <v>8979.9195961852474</v>
      </c>
      <c r="I1161" s="864">
        <v>0</v>
      </c>
      <c r="J1161" s="864">
        <v>0</v>
      </c>
      <c r="K1161" s="864">
        <v>0</v>
      </c>
      <c r="L1161" s="18" t="s">
        <v>1844</v>
      </c>
      <c r="M1161" s="442"/>
      <c r="N1161" s="433"/>
      <c r="P1161" s="447"/>
      <c r="T1161" s="443"/>
      <c r="U1161" s="440"/>
      <c r="V1161" s="440"/>
      <c r="W1161" s="440"/>
      <c r="X1161" s="442"/>
    </row>
    <row r="1162" spans="1:24" x14ac:dyDescent="0.25">
      <c r="A1162" s="862">
        <v>1880</v>
      </c>
      <c r="B1162" s="863" t="s">
        <v>7919</v>
      </c>
      <c r="C1162" s="862">
        <v>1880</v>
      </c>
      <c r="D1162" s="165" t="s">
        <v>2150</v>
      </c>
      <c r="E1162" s="165" t="s">
        <v>7920</v>
      </c>
      <c r="F1162" s="163">
        <v>1</v>
      </c>
      <c r="G1162" s="864"/>
      <c r="H1162" s="864">
        <v>8322.5259381878659</v>
      </c>
      <c r="I1162" s="864">
        <v>0</v>
      </c>
      <c r="J1162" s="864">
        <v>0</v>
      </c>
      <c r="K1162" s="864">
        <v>0</v>
      </c>
      <c r="L1162" s="18" t="s">
        <v>1845</v>
      </c>
      <c r="M1162" s="442"/>
      <c r="N1162" s="433"/>
      <c r="P1162" s="447"/>
      <c r="T1162" s="443"/>
      <c r="U1162" s="440"/>
      <c r="V1162" s="440"/>
      <c r="W1162" s="440"/>
      <c r="X1162" s="442"/>
    </row>
    <row r="1163" spans="1:24" x14ac:dyDescent="0.25">
      <c r="A1163" s="862">
        <v>1881</v>
      </c>
      <c r="B1163" s="863" t="s">
        <v>7921</v>
      </c>
      <c r="C1163" s="862">
        <v>1881</v>
      </c>
      <c r="D1163" s="165" t="s">
        <v>2150</v>
      </c>
      <c r="E1163" s="165" t="s">
        <v>7922</v>
      </c>
      <c r="F1163" s="163">
        <v>1</v>
      </c>
      <c r="G1163" s="864"/>
      <c r="H1163" s="864">
        <v>8713.4654830306154</v>
      </c>
      <c r="I1163" s="864">
        <v>0</v>
      </c>
      <c r="J1163" s="864">
        <v>0</v>
      </c>
      <c r="K1163" s="864">
        <v>0</v>
      </c>
      <c r="L1163" s="18" t="s">
        <v>1846</v>
      </c>
      <c r="M1163" s="442"/>
      <c r="N1163" s="433"/>
      <c r="P1163" s="447"/>
      <c r="T1163" s="443"/>
      <c r="U1163" s="440"/>
      <c r="V1163" s="440"/>
      <c r="W1163" s="440"/>
      <c r="X1163" s="442"/>
    </row>
    <row r="1164" spans="1:24" x14ac:dyDescent="0.25">
      <c r="A1164" s="862">
        <v>1882</v>
      </c>
      <c r="B1164" s="863" t="s">
        <v>7923</v>
      </c>
      <c r="C1164" s="862">
        <v>1882</v>
      </c>
      <c r="D1164" s="165" t="s">
        <v>2150</v>
      </c>
      <c r="E1164" s="165" t="s">
        <v>7924</v>
      </c>
      <c r="F1164" s="163">
        <v>1</v>
      </c>
      <c r="G1164" s="864"/>
      <c r="H1164" s="864">
        <v>9468.6229291934033</v>
      </c>
      <c r="I1164" s="864">
        <v>0</v>
      </c>
      <c r="J1164" s="864">
        <v>0</v>
      </c>
      <c r="K1164" s="864">
        <v>0</v>
      </c>
      <c r="L1164" s="18" t="s">
        <v>1847</v>
      </c>
      <c r="M1164" s="442"/>
      <c r="N1164" s="433"/>
      <c r="P1164" s="447"/>
      <c r="T1164" s="443"/>
      <c r="U1164" s="440"/>
      <c r="V1164" s="440"/>
      <c r="W1164" s="440"/>
      <c r="X1164" s="442"/>
    </row>
    <row r="1165" spans="1:24" x14ac:dyDescent="0.25">
      <c r="A1165" s="862">
        <v>1883</v>
      </c>
      <c r="B1165" s="863" t="s">
        <v>7925</v>
      </c>
      <c r="C1165" s="862">
        <v>1883</v>
      </c>
      <c r="D1165" s="165" t="s">
        <v>2150</v>
      </c>
      <c r="E1165" s="165" t="s">
        <v>7926</v>
      </c>
      <c r="F1165" s="163">
        <v>1</v>
      </c>
      <c r="G1165" s="864"/>
      <c r="H1165" s="864">
        <v>10727.740576205422</v>
      </c>
      <c r="I1165" s="864">
        <v>0</v>
      </c>
      <c r="J1165" s="864">
        <v>0</v>
      </c>
      <c r="K1165" s="864">
        <v>0</v>
      </c>
      <c r="L1165" s="18" t="s">
        <v>1848</v>
      </c>
      <c r="M1165" s="442"/>
      <c r="N1165" s="433"/>
      <c r="P1165" s="447"/>
      <c r="T1165" s="443"/>
      <c r="U1165" s="440"/>
      <c r="V1165" s="440"/>
      <c r="W1165" s="440"/>
      <c r="X1165" s="442"/>
    </row>
    <row r="1166" spans="1:24" x14ac:dyDescent="0.25">
      <c r="A1166" s="862">
        <v>1884</v>
      </c>
      <c r="B1166" s="863" t="s">
        <v>7927</v>
      </c>
      <c r="C1166" s="862">
        <v>1884</v>
      </c>
      <c r="D1166" s="165" t="s">
        <v>2150</v>
      </c>
      <c r="E1166" s="165" t="s">
        <v>7928</v>
      </c>
      <c r="F1166" s="163">
        <v>1</v>
      </c>
      <c r="G1166" s="864"/>
      <c r="H1166" s="864">
        <v>11482.050982396675</v>
      </c>
      <c r="I1166" s="864">
        <v>0</v>
      </c>
      <c r="J1166" s="864">
        <v>0</v>
      </c>
      <c r="K1166" s="864">
        <v>0</v>
      </c>
      <c r="L1166" s="18" t="s">
        <v>1849</v>
      </c>
      <c r="M1166" s="442"/>
      <c r="N1166" s="433"/>
      <c r="P1166" s="447"/>
      <c r="T1166" s="443"/>
      <c r="U1166" s="440"/>
      <c r="V1166" s="440"/>
      <c r="W1166" s="440"/>
      <c r="X1166" s="442"/>
    </row>
    <row r="1167" spans="1:24" x14ac:dyDescent="0.25">
      <c r="A1167" s="862">
        <v>1885</v>
      </c>
      <c r="B1167" s="863" t="s">
        <v>7929</v>
      </c>
      <c r="C1167" s="862">
        <v>1885</v>
      </c>
      <c r="D1167" s="165" t="s">
        <v>2150</v>
      </c>
      <c r="E1167" s="165" t="s">
        <v>7930</v>
      </c>
      <c r="F1167" s="163">
        <v>1</v>
      </c>
      <c r="G1167" s="864"/>
      <c r="H1167" s="864">
        <v>9696.4326126578435</v>
      </c>
      <c r="I1167" s="864">
        <v>0</v>
      </c>
      <c r="J1167" s="864">
        <v>0</v>
      </c>
      <c r="K1167" s="864">
        <v>0</v>
      </c>
      <c r="L1167" s="18" t="s">
        <v>3028</v>
      </c>
      <c r="M1167" s="442"/>
      <c r="N1167" s="433"/>
      <c r="P1167" s="447"/>
      <c r="T1167" s="443"/>
      <c r="U1167" s="440"/>
      <c r="V1167" s="440"/>
      <c r="W1167" s="440"/>
      <c r="X1167" s="442"/>
    </row>
    <row r="1168" spans="1:24" x14ac:dyDescent="0.25">
      <c r="A1168" s="862">
        <v>1886</v>
      </c>
      <c r="B1168" s="863" t="s">
        <v>7931</v>
      </c>
      <c r="C1168" s="862">
        <v>1886</v>
      </c>
      <c r="D1168" s="165" t="s">
        <v>2150</v>
      </c>
      <c r="E1168" s="165" t="s">
        <v>7932</v>
      </c>
      <c r="F1168" s="163">
        <v>2</v>
      </c>
      <c r="G1168" s="864"/>
      <c r="H1168" s="864">
        <v>10288.962706549371</v>
      </c>
      <c r="I1168" s="864">
        <v>10492.985205286172</v>
      </c>
      <c r="J1168" s="864">
        <v>10707.727209064731</v>
      </c>
      <c r="K1168" s="864">
        <v>10933.784245942936</v>
      </c>
      <c r="L1168" s="18" t="s">
        <v>1850</v>
      </c>
      <c r="M1168" s="442"/>
      <c r="N1168" s="433"/>
      <c r="P1168" s="447"/>
      <c r="T1168" s="443"/>
      <c r="U1168" s="440"/>
      <c r="V1168" s="440"/>
      <c r="W1168" s="440"/>
      <c r="X1168" s="442"/>
    </row>
    <row r="1169" spans="1:24" x14ac:dyDescent="0.25">
      <c r="A1169" s="862">
        <v>1887</v>
      </c>
      <c r="B1169" s="863" t="s">
        <v>7933</v>
      </c>
      <c r="C1169" s="862">
        <v>1887</v>
      </c>
      <c r="D1169" s="165" t="s">
        <v>2150</v>
      </c>
      <c r="E1169" s="165" t="s">
        <v>7934</v>
      </c>
      <c r="F1169" s="163">
        <v>2</v>
      </c>
      <c r="G1169" s="864"/>
      <c r="H1169" s="864">
        <v>8798.974475211493</v>
      </c>
      <c r="I1169" s="864">
        <v>8954.028325916599</v>
      </c>
      <c r="J1169" s="864">
        <v>9117.2300832317324</v>
      </c>
      <c r="K1169" s="864">
        <v>9289.0399279288886</v>
      </c>
      <c r="L1169" s="18" t="s">
        <v>1851</v>
      </c>
      <c r="M1169" s="442"/>
      <c r="N1169" s="433"/>
      <c r="P1169" s="447"/>
      <c r="T1169" s="443"/>
      <c r="U1169" s="440"/>
      <c r="V1169" s="440"/>
      <c r="W1169" s="440"/>
      <c r="X1169" s="442"/>
    </row>
    <row r="1170" spans="1:24" x14ac:dyDescent="0.25">
      <c r="A1170" s="862">
        <v>1888</v>
      </c>
      <c r="B1170" s="863" t="s">
        <v>7935</v>
      </c>
      <c r="C1170" s="862">
        <v>1888</v>
      </c>
      <c r="D1170" s="165" t="s">
        <v>2150</v>
      </c>
      <c r="E1170" s="165" t="s">
        <v>7936</v>
      </c>
      <c r="F1170" s="163">
        <v>2</v>
      </c>
      <c r="G1170" s="864"/>
      <c r="H1170" s="864">
        <v>9641.4896323017892</v>
      </c>
      <c r="I1170" s="864">
        <v>9821.7451476379101</v>
      </c>
      <c r="J1170" s="864">
        <v>10011.474972985692</v>
      </c>
      <c r="K1170" s="864">
        <v>10211.193428031484</v>
      </c>
      <c r="L1170" s="18" t="s">
        <v>1852</v>
      </c>
      <c r="M1170" s="442"/>
      <c r="N1170" s="433"/>
      <c r="P1170" s="447"/>
      <c r="T1170" s="443"/>
      <c r="U1170" s="440"/>
      <c r="V1170" s="440"/>
      <c r="W1170" s="440"/>
      <c r="X1170" s="442"/>
    </row>
    <row r="1171" spans="1:24" x14ac:dyDescent="0.25">
      <c r="A1171" s="862">
        <v>1889</v>
      </c>
      <c r="B1171" s="863" t="s">
        <v>7937</v>
      </c>
      <c r="C1171" s="862">
        <v>1889</v>
      </c>
      <c r="D1171" s="165" t="s">
        <v>2150</v>
      </c>
      <c r="E1171" s="165" t="s">
        <v>7938</v>
      </c>
      <c r="F1171" s="163">
        <v>2</v>
      </c>
      <c r="G1171" s="864"/>
      <c r="H1171" s="864">
        <v>9317.4536701769575</v>
      </c>
      <c r="I1171" s="864">
        <v>9488.0183198440118</v>
      </c>
      <c r="J1171" s="864">
        <v>9667.5429598363789</v>
      </c>
      <c r="K1171" s="864">
        <v>9856.5148403832263</v>
      </c>
      <c r="L1171" s="18" t="s">
        <v>1853</v>
      </c>
      <c r="M1171" s="442"/>
      <c r="N1171" s="433"/>
      <c r="P1171" s="447"/>
      <c r="T1171" s="443"/>
      <c r="U1171" s="440"/>
      <c r="V1171" s="440"/>
      <c r="W1171" s="440"/>
      <c r="X1171" s="442"/>
    </row>
    <row r="1172" spans="1:24" x14ac:dyDescent="0.25">
      <c r="A1172" s="862">
        <v>1890</v>
      </c>
      <c r="B1172" s="863" t="s">
        <v>7939</v>
      </c>
      <c r="C1172" s="862">
        <v>1890</v>
      </c>
      <c r="D1172" s="165" t="s">
        <v>2150</v>
      </c>
      <c r="E1172" s="165" t="s">
        <v>7940</v>
      </c>
      <c r="F1172" s="163">
        <v>2</v>
      </c>
      <c r="G1172" s="864"/>
      <c r="H1172" s="864">
        <v>21273.858501870898</v>
      </c>
      <c r="I1172" s="864">
        <v>22018.052020956497</v>
      </c>
      <c r="J1172" s="864">
        <v>22801.419502411918</v>
      </c>
      <c r="K1172" s="864">
        <v>23626.028616148273</v>
      </c>
      <c r="L1172" s="18" t="s">
        <v>1854</v>
      </c>
      <c r="M1172" s="442"/>
      <c r="N1172" s="433"/>
      <c r="P1172" s="447"/>
      <c r="T1172" s="443"/>
      <c r="U1172" s="440"/>
      <c r="V1172" s="440"/>
      <c r="W1172" s="440"/>
      <c r="X1172" s="442"/>
    </row>
    <row r="1173" spans="1:24" x14ac:dyDescent="0.25">
      <c r="A1173" s="862">
        <v>1891</v>
      </c>
      <c r="B1173" s="863" t="s">
        <v>7941</v>
      </c>
      <c r="C1173" s="862">
        <v>1891</v>
      </c>
      <c r="D1173" s="165" t="s">
        <v>2150</v>
      </c>
      <c r="E1173" s="165" t="s">
        <v>7942</v>
      </c>
      <c r="F1173" s="163">
        <v>2</v>
      </c>
      <c r="G1173" s="864"/>
      <c r="H1173" s="864">
        <v>24429.99992703833</v>
      </c>
      <c r="I1173" s="864">
        <v>25021.1968717659</v>
      </c>
      <c r="J1173" s="864">
        <v>25643.523692246068</v>
      </c>
      <c r="K1173" s="864">
        <v>26298.604555909409</v>
      </c>
      <c r="L1173" s="18" t="s">
        <v>1855</v>
      </c>
      <c r="M1173" s="442"/>
      <c r="N1173" s="433"/>
      <c r="P1173" s="447"/>
      <c r="T1173" s="443"/>
      <c r="U1173" s="440"/>
      <c r="V1173" s="440"/>
      <c r="W1173" s="440"/>
      <c r="X1173" s="442"/>
    </row>
    <row r="1174" spans="1:24" x14ac:dyDescent="0.25">
      <c r="A1174" s="862">
        <v>1892</v>
      </c>
      <c r="B1174" s="863" t="s">
        <v>7943</v>
      </c>
      <c r="C1174" s="862">
        <v>1892</v>
      </c>
      <c r="D1174" s="165" t="s">
        <v>2150</v>
      </c>
      <c r="E1174" s="165" t="s">
        <v>7944</v>
      </c>
      <c r="F1174" s="163">
        <v>2</v>
      </c>
      <c r="G1174" s="864"/>
      <c r="H1174" s="864">
        <v>25409.462789927078</v>
      </c>
      <c r="I1174" s="864">
        <v>26028.649553374809</v>
      </c>
      <c r="J1174" s="864">
        <v>26680.42794326265</v>
      </c>
      <c r="K1174" s="864">
        <v>27366.503335392703</v>
      </c>
      <c r="L1174" s="18" t="s">
        <v>1856</v>
      </c>
      <c r="M1174" s="442"/>
      <c r="N1174" s="433"/>
      <c r="P1174" s="447"/>
      <c r="T1174" s="443"/>
      <c r="U1174" s="440"/>
      <c r="V1174" s="440"/>
      <c r="W1174" s="440"/>
      <c r="X1174" s="442"/>
    </row>
    <row r="1175" spans="1:24" x14ac:dyDescent="0.25">
      <c r="A1175" s="862">
        <v>1893</v>
      </c>
      <c r="B1175" s="863" t="s">
        <v>7945</v>
      </c>
      <c r="C1175" s="862">
        <v>1893</v>
      </c>
      <c r="D1175" s="165" t="s">
        <v>2150</v>
      </c>
      <c r="E1175" s="165" t="s">
        <v>7946</v>
      </c>
      <c r="F1175" s="163">
        <v>2</v>
      </c>
      <c r="G1175" s="864"/>
      <c r="H1175" s="864">
        <v>26511.34497594833</v>
      </c>
      <c r="I1175" s="864">
        <v>27162.01351809195</v>
      </c>
      <c r="J1175" s="864">
        <v>27846.924923563427</v>
      </c>
      <c r="K1175" s="864">
        <v>28567.892845993563</v>
      </c>
      <c r="L1175" s="18" t="s">
        <v>1857</v>
      </c>
      <c r="M1175" s="442"/>
      <c r="N1175" s="433"/>
      <c r="P1175" s="447"/>
      <c r="T1175" s="443"/>
      <c r="U1175" s="440"/>
      <c r="V1175" s="440"/>
      <c r="W1175" s="440"/>
      <c r="X1175" s="442"/>
    </row>
    <row r="1176" spans="1:24" x14ac:dyDescent="0.25">
      <c r="A1176" s="862">
        <v>1894</v>
      </c>
      <c r="B1176" s="863" t="s">
        <v>7947</v>
      </c>
      <c r="C1176" s="862">
        <v>1894</v>
      </c>
      <c r="D1176" s="165" t="s">
        <v>2150</v>
      </c>
      <c r="E1176" s="165" t="s">
        <v>7948</v>
      </c>
      <c r="F1176" s="163">
        <v>2</v>
      </c>
      <c r="G1176" s="864"/>
      <c r="H1176" s="864">
        <v>0</v>
      </c>
      <c r="I1176" s="864">
        <v>0</v>
      </c>
      <c r="J1176" s="864">
        <v>40584.806668255602</v>
      </c>
      <c r="K1176" s="864">
        <v>0</v>
      </c>
      <c r="L1176" s="18" t="s">
        <v>10930</v>
      </c>
      <c r="M1176" s="442"/>
      <c r="N1176" s="433"/>
      <c r="P1176" s="447"/>
      <c r="T1176" s="443"/>
      <c r="U1176" s="440"/>
      <c r="V1176" s="440"/>
      <c r="W1176" s="440"/>
      <c r="X1176" s="442"/>
    </row>
    <row r="1177" spans="1:24" x14ac:dyDescent="0.25">
      <c r="A1177" s="862">
        <v>1895</v>
      </c>
      <c r="B1177" s="863" t="s">
        <v>7949</v>
      </c>
      <c r="C1177" s="862">
        <v>1895</v>
      </c>
      <c r="D1177" s="165" t="s">
        <v>2150</v>
      </c>
      <c r="E1177" s="165" t="s">
        <v>7950</v>
      </c>
      <c r="F1177" s="163">
        <v>2</v>
      </c>
      <c r="G1177" s="864"/>
      <c r="H1177" s="864">
        <v>0</v>
      </c>
      <c r="I1177" s="864">
        <v>0</v>
      </c>
      <c r="J1177" s="864">
        <v>42181.443473070576</v>
      </c>
      <c r="K1177" s="864">
        <v>43097.338556626317</v>
      </c>
      <c r="L1177" s="18" t="s">
        <v>10931</v>
      </c>
      <c r="M1177" s="442"/>
      <c r="N1177" s="433"/>
      <c r="P1177" s="447"/>
      <c r="T1177" s="443"/>
      <c r="U1177" s="440"/>
      <c r="V1177" s="440"/>
      <c r="W1177" s="440"/>
      <c r="X1177" s="442"/>
    </row>
    <row r="1178" spans="1:24" x14ac:dyDescent="0.25">
      <c r="A1178" s="862">
        <v>1896</v>
      </c>
      <c r="B1178" s="863" t="s">
        <v>7951</v>
      </c>
      <c r="C1178" s="862">
        <v>1896</v>
      </c>
      <c r="D1178" s="165" t="s">
        <v>2150</v>
      </c>
      <c r="E1178" s="165" t="s">
        <v>7952</v>
      </c>
      <c r="F1178" s="163">
        <v>2</v>
      </c>
      <c r="G1178" s="864"/>
      <c r="H1178" s="864">
        <v>0</v>
      </c>
      <c r="I1178" s="864">
        <v>0</v>
      </c>
      <c r="J1178" s="864">
        <v>28388.558126789379</v>
      </c>
      <c r="K1178" s="864">
        <v>28992.369438561047</v>
      </c>
      <c r="L1178" s="18" t="s">
        <v>4655</v>
      </c>
      <c r="M1178" s="442"/>
      <c r="N1178" s="433"/>
      <c r="P1178" s="447"/>
      <c r="T1178" s="443"/>
      <c r="U1178" s="440"/>
      <c r="V1178" s="440"/>
      <c r="W1178" s="440"/>
      <c r="X1178" s="442"/>
    </row>
    <row r="1179" spans="1:24" x14ac:dyDescent="0.25">
      <c r="A1179" s="862">
        <v>1897</v>
      </c>
      <c r="B1179" s="863" t="s">
        <v>7953</v>
      </c>
      <c r="C1179" s="862">
        <v>1897</v>
      </c>
      <c r="D1179" s="165" t="s">
        <v>2150</v>
      </c>
      <c r="E1179" s="165" t="s">
        <v>7954</v>
      </c>
      <c r="F1179" s="163">
        <v>2</v>
      </c>
      <c r="G1179" s="864"/>
      <c r="H1179" s="864">
        <v>18218.390336000564</v>
      </c>
      <c r="I1179" s="864">
        <v>18632.092850023986</v>
      </c>
      <c r="J1179" s="864">
        <v>19067.586277074221</v>
      </c>
      <c r="K1179" s="864">
        <v>19525.980464895496</v>
      </c>
      <c r="L1179" s="18" t="s">
        <v>1858</v>
      </c>
      <c r="M1179" s="442"/>
      <c r="N1179" s="433"/>
      <c r="P1179" s="447"/>
      <c r="T1179" s="443"/>
      <c r="U1179" s="440"/>
      <c r="V1179" s="440"/>
      <c r="W1179" s="440"/>
      <c r="X1179" s="442"/>
    </row>
    <row r="1180" spans="1:24" x14ac:dyDescent="0.25">
      <c r="A1180" s="862">
        <v>1898</v>
      </c>
      <c r="B1180" s="863" t="s">
        <v>7955</v>
      </c>
      <c r="C1180" s="862">
        <v>1898</v>
      </c>
      <c r="D1180" s="165" t="s">
        <v>2150</v>
      </c>
      <c r="E1180" s="165" t="s">
        <v>7956</v>
      </c>
      <c r="F1180" s="163">
        <v>2</v>
      </c>
      <c r="G1180" s="864"/>
      <c r="H1180" s="864">
        <v>17941.099064586135</v>
      </c>
      <c r="I1180" s="864">
        <v>18346.897297114116</v>
      </c>
      <c r="J1180" s="864">
        <v>18774.053331354091</v>
      </c>
      <c r="K1180" s="864">
        <v>19223.677015050293</v>
      </c>
      <c r="L1180" s="18" t="s">
        <v>1859</v>
      </c>
      <c r="M1180" s="442"/>
      <c r="N1180" s="433"/>
      <c r="P1180" s="447"/>
      <c r="T1180" s="443"/>
      <c r="U1180" s="440"/>
      <c r="V1180" s="440"/>
      <c r="W1180" s="440"/>
      <c r="X1180" s="442"/>
    </row>
    <row r="1181" spans="1:24" x14ac:dyDescent="0.25">
      <c r="A1181" s="862">
        <v>1899</v>
      </c>
      <c r="B1181" s="863" t="s">
        <v>7957</v>
      </c>
      <c r="C1181" s="862">
        <v>1899</v>
      </c>
      <c r="D1181" s="165" t="s">
        <v>2150</v>
      </c>
      <c r="E1181" s="165" t="s">
        <v>7958</v>
      </c>
      <c r="F1181" s="163">
        <v>2</v>
      </c>
      <c r="G1181" s="864"/>
      <c r="H1181" s="864">
        <v>17996.307469448711</v>
      </c>
      <c r="I1181" s="864">
        <v>18422.678489430586</v>
      </c>
      <c r="J1181" s="864">
        <v>18871.490089411494</v>
      </c>
      <c r="K1181" s="864">
        <v>19343.933325507205</v>
      </c>
      <c r="L1181" s="18" t="s">
        <v>1860</v>
      </c>
      <c r="M1181" s="442"/>
      <c r="N1181" s="433"/>
      <c r="P1181" s="447"/>
      <c r="T1181" s="443"/>
      <c r="U1181" s="440"/>
      <c r="V1181" s="440"/>
      <c r="W1181" s="440"/>
      <c r="X1181" s="442"/>
    </row>
    <row r="1182" spans="1:24" x14ac:dyDescent="0.25">
      <c r="A1182" s="862">
        <v>1900</v>
      </c>
      <c r="B1182" s="863" t="s">
        <v>7959</v>
      </c>
      <c r="C1182" s="862">
        <v>1900</v>
      </c>
      <c r="D1182" s="165" t="s">
        <v>2150</v>
      </c>
      <c r="E1182" s="165" t="s">
        <v>7960</v>
      </c>
      <c r="F1182" s="163">
        <v>2</v>
      </c>
      <c r="G1182" s="864"/>
      <c r="H1182" s="864">
        <v>0</v>
      </c>
      <c r="I1182" s="864">
        <v>22853.58797436559</v>
      </c>
      <c r="J1182" s="864">
        <v>23350.041818976562</v>
      </c>
      <c r="K1182" s="864">
        <v>23844.330107013444</v>
      </c>
      <c r="L1182" s="18" t="s">
        <v>3939</v>
      </c>
      <c r="M1182" s="442"/>
      <c r="N1182" s="433"/>
      <c r="P1182" s="447"/>
      <c r="T1182" s="443"/>
      <c r="U1182" s="440"/>
      <c r="V1182" s="440"/>
      <c r="W1182" s="440"/>
      <c r="X1182" s="442"/>
    </row>
    <row r="1183" spans="1:24" x14ac:dyDescent="0.25">
      <c r="A1183" s="862">
        <v>1901</v>
      </c>
      <c r="B1183" s="863" t="s">
        <v>7961</v>
      </c>
      <c r="C1183" s="862">
        <v>1901</v>
      </c>
      <c r="D1183" s="165" t="s">
        <v>2150</v>
      </c>
      <c r="E1183" s="165" t="s">
        <v>7962</v>
      </c>
      <c r="F1183" s="163">
        <v>2</v>
      </c>
      <c r="G1183" s="864"/>
      <c r="H1183" s="864">
        <v>22095.90693863593</v>
      </c>
      <c r="I1183" s="864">
        <v>22649.802171374737</v>
      </c>
      <c r="J1183" s="864">
        <v>23232.851209492284</v>
      </c>
      <c r="K1183" s="864">
        <v>23846.597012047605</v>
      </c>
      <c r="L1183" s="18" t="s">
        <v>1861</v>
      </c>
      <c r="M1183" s="442"/>
      <c r="N1183" s="433"/>
      <c r="P1183" s="447"/>
      <c r="T1183" s="443"/>
      <c r="U1183" s="440"/>
      <c r="V1183" s="440"/>
      <c r="W1183" s="440"/>
      <c r="X1183" s="442"/>
    </row>
    <row r="1184" spans="1:24" x14ac:dyDescent="0.25">
      <c r="A1184" s="862">
        <v>1902</v>
      </c>
      <c r="B1184" s="863" t="s">
        <v>7963</v>
      </c>
      <c r="C1184" s="862">
        <v>1902</v>
      </c>
      <c r="D1184" s="165" t="s">
        <v>2150</v>
      </c>
      <c r="E1184" s="165" t="s">
        <v>7964</v>
      </c>
      <c r="F1184" s="163">
        <v>2</v>
      </c>
      <c r="G1184" s="864"/>
      <c r="H1184" s="864">
        <v>0</v>
      </c>
      <c r="I1184" s="864">
        <v>25127.501113341543</v>
      </c>
      <c r="J1184" s="864">
        <v>25680.530123450713</v>
      </c>
      <c r="K1184" s="864">
        <v>26233.559133559884</v>
      </c>
      <c r="L1184" s="18" t="s">
        <v>3940</v>
      </c>
      <c r="M1184" s="442"/>
      <c r="N1184" s="433"/>
      <c r="P1184" s="447"/>
      <c r="T1184" s="443"/>
      <c r="U1184" s="440"/>
      <c r="V1184" s="440"/>
      <c r="W1184" s="440"/>
      <c r="X1184" s="442"/>
    </row>
    <row r="1185" spans="1:24" x14ac:dyDescent="0.25">
      <c r="A1185" s="862">
        <v>1903</v>
      </c>
      <c r="B1185" s="863" t="s">
        <v>7965</v>
      </c>
      <c r="C1185" s="862">
        <v>1903</v>
      </c>
      <c r="D1185" s="165" t="s">
        <v>2150</v>
      </c>
      <c r="E1185" s="165" t="s">
        <v>7966</v>
      </c>
      <c r="F1185" s="163">
        <v>2</v>
      </c>
      <c r="G1185" s="864"/>
      <c r="H1185" s="864">
        <v>0</v>
      </c>
      <c r="I1185" s="864">
        <v>0</v>
      </c>
      <c r="J1185" s="864">
        <v>27802.300686169543</v>
      </c>
      <c r="K1185" s="864">
        <v>28391.738116180662</v>
      </c>
      <c r="L1185" s="18" t="s">
        <v>4656</v>
      </c>
      <c r="M1185" s="442"/>
      <c r="N1185" s="433"/>
      <c r="P1185" s="447"/>
      <c r="T1185" s="443"/>
      <c r="U1185" s="440"/>
      <c r="V1185" s="440"/>
      <c r="W1185" s="440"/>
      <c r="X1185" s="442"/>
    </row>
    <row r="1186" spans="1:24" x14ac:dyDescent="0.25">
      <c r="A1186" s="862">
        <v>1904</v>
      </c>
      <c r="B1186" s="863" t="s">
        <v>7967</v>
      </c>
      <c r="C1186" s="862">
        <v>1904</v>
      </c>
      <c r="D1186" s="165" t="s">
        <v>2150</v>
      </c>
      <c r="E1186" s="165" t="s">
        <v>7968</v>
      </c>
      <c r="F1186" s="163">
        <v>1</v>
      </c>
      <c r="G1186" s="864"/>
      <c r="H1186" s="864">
        <v>47135.612670556467</v>
      </c>
      <c r="I1186" s="864">
        <v>48901.533036090368</v>
      </c>
      <c r="J1186" s="864">
        <v>0</v>
      </c>
      <c r="K1186" s="864">
        <v>0</v>
      </c>
      <c r="L1186" s="18" t="s">
        <v>4657</v>
      </c>
      <c r="M1186" s="442"/>
      <c r="N1186" s="433"/>
      <c r="P1186" s="447"/>
      <c r="T1186" s="443"/>
      <c r="U1186" s="440"/>
      <c r="V1186" s="440"/>
      <c r="W1186" s="440"/>
      <c r="X1186" s="442"/>
    </row>
    <row r="1187" spans="1:24" x14ac:dyDescent="0.25">
      <c r="A1187" s="862">
        <v>1905</v>
      </c>
      <c r="B1187" s="863" t="s">
        <v>7969</v>
      </c>
      <c r="C1187" s="862">
        <v>1905</v>
      </c>
      <c r="D1187" s="165" t="s">
        <v>2150</v>
      </c>
      <c r="E1187" s="165" t="s">
        <v>7970</v>
      </c>
      <c r="F1187" s="163">
        <v>1</v>
      </c>
      <c r="G1187" s="864"/>
      <c r="H1187" s="864">
        <v>44829.684323963833</v>
      </c>
      <c r="I1187" s="864">
        <v>46505.060357573602</v>
      </c>
      <c r="J1187" s="864">
        <v>0</v>
      </c>
      <c r="K1187" s="864">
        <v>0</v>
      </c>
      <c r="L1187" s="18" t="s">
        <v>4658</v>
      </c>
      <c r="M1187" s="442"/>
      <c r="N1187" s="433"/>
      <c r="P1187" s="447"/>
      <c r="T1187" s="443"/>
      <c r="U1187" s="440"/>
      <c r="V1187" s="440"/>
      <c r="W1187" s="440"/>
      <c r="X1187" s="442"/>
    </row>
    <row r="1188" spans="1:24" x14ac:dyDescent="0.25">
      <c r="A1188" s="862">
        <v>1906</v>
      </c>
      <c r="B1188" s="863" t="s">
        <v>7971</v>
      </c>
      <c r="C1188" s="862">
        <v>1906</v>
      </c>
      <c r="D1188" s="165" t="s">
        <v>2150</v>
      </c>
      <c r="E1188" s="165" t="s">
        <v>7972</v>
      </c>
      <c r="F1188" s="163">
        <v>1</v>
      </c>
      <c r="G1188" s="864"/>
      <c r="H1188" s="864">
        <v>44829.684323963833</v>
      </c>
      <c r="I1188" s="864">
        <v>0</v>
      </c>
      <c r="J1188" s="864">
        <v>0</v>
      </c>
      <c r="K1188" s="864">
        <v>0</v>
      </c>
      <c r="L1188" s="18" t="s">
        <v>4659</v>
      </c>
      <c r="M1188" s="442"/>
      <c r="N1188" s="433"/>
      <c r="P1188" s="447"/>
      <c r="T1188" s="443"/>
      <c r="U1188" s="440"/>
      <c r="V1188" s="440"/>
      <c r="W1188" s="440"/>
      <c r="X1188" s="442"/>
    </row>
    <row r="1189" spans="1:24" x14ac:dyDescent="0.25">
      <c r="A1189" s="862">
        <v>1907</v>
      </c>
      <c r="B1189" s="863" t="s">
        <v>7973</v>
      </c>
      <c r="C1189" s="862">
        <v>1907</v>
      </c>
      <c r="D1189" s="165" t="s">
        <v>2150</v>
      </c>
      <c r="E1189" s="165" t="s">
        <v>7974</v>
      </c>
      <c r="F1189" s="163">
        <v>1</v>
      </c>
      <c r="G1189" s="864"/>
      <c r="H1189" s="864">
        <v>0</v>
      </c>
      <c r="I1189" s="864">
        <v>0</v>
      </c>
      <c r="J1189" s="864">
        <v>0</v>
      </c>
      <c r="K1189" s="864">
        <v>75498.53133364598</v>
      </c>
      <c r="L1189" s="18" t="s">
        <v>10932</v>
      </c>
      <c r="M1189" s="442"/>
      <c r="N1189" s="433"/>
      <c r="P1189" s="447"/>
      <c r="T1189" s="443"/>
      <c r="U1189" s="440"/>
      <c r="V1189" s="440"/>
      <c r="W1189" s="440"/>
      <c r="X1189" s="442"/>
    </row>
    <row r="1190" spans="1:24" x14ac:dyDescent="0.25">
      <c r="A1190" s="862">
        <v>1908</v>
      </c>
      <c r="B1190" s="863" t="s">
        <v>7975</v>
      </c>
      <c r="C1190" s="862">
        <v>1908</v>
      </c>
      <c r="D1190" s="165" t="s">
        <v>2150</v>
      </c>
      <c r="E1190" s="165" t="s">
        <v>7976</v>
      </c>
      <c r="F1190" s="163">
        <v>1</v>
      </c>
      <c r="G1190" s="864"/>
      <c r="H1190" s="864">
        <v>0</v>
      </c>
      <c r="I1190" s="864">
        <v>0</v>
      </c>
      <c r="J1190" s="864">
        <v>51562.995096014332</v>
      </c>
      <c r="K1190" s="864">
        <v>53502.815639584973</v>
      </c>
      <c r="L1190" s="18" t="s">
        <v>4660</v>
      </c>
      <c r="M1190" s="442"/>
      <c r="N1190" s="433"/>
      <c r="P1190" s="447"/>
      <c r="T1190" s="443"/>
      <c r="U1190" s="440"/>
      <c r="V1190" s="440"/>
      <c r="W1190" s="440"/>
      <c r="X1190" s="442"/>
    </row>
    <row r="1191" spans="1:24" x14ac:dyDescent="0.25">
      <c r="A1191" s="862">
        <v>1909</v>
      </c>
      <c r="B1191" s="863" t="s">
        <v>7977</v>
      </c>
      <c r="C1191" s="862">
        <v>1909</v>
      </c>
      <c r="D1191" s="165" t="s">
        <v>2150</v>
      </c>
      <c r="E1191" s="165" t="s">
        <v>7978</v>
      </c>
      <c r="F1191" s="163">
        <v>1</v>
      </c>
      <c r="G1191" s="864"/>
      <c r="H1191" s="864">
        <v>0</v>
      </c>
      <c r="I1191" s="864">
        <v>0</v>
      </c>
      <c r="J1191" s="864">
        <v>51055.690859763956</v>
      </c>
      <c r="K1191" s="864">
        <v>52975.590120846216</v>
      </c>
      <c r="L1191" s="18" t="s">
        <v>4661</v>
      </c>
      <c r="M1191" s="442"/>
      <c r="N1191" s="433"/>
      <c r="P1191" s="447"/>
      <c r="T1191" s="443"/>
      <c r="U1191" s="440"/>
      <c r="V1191" s="440"/>
      <c r="W1191" s="440"/>
      <c r="X1191" s="442"/>
    </row>
    <row r="1192" spans="1:24" x14ac:dyDescent="0.25">
      <c r="A1192" s="862">
        <v>1910</v>
      </c>
      <c r="B1192" s="863" t="s">
        <v>7979</v>
      </c>
      <c r="C1192" s="862">
        <v>1910</v>
      </c>
      <c r="D1192" s="165" t="s">
        <v>2150</v>
      </c>
      <c r="E1192" s="165" t="s">
        <v>7980</v>
      </c>
      <c r="F1192" s="163">
        <v>1</v>
      </c>
      <c r="G1192" s="864"/>
      <c r="H1192" s="864">
        <v>71861.992691914027</v>
      </c>
      <c r="I1192" s="864">
        <v>77481.62971171565</v>
      </c>
      <c r="J1192" s="864">
        <v>80439.347493526337</v>
      </c>
      <c r="K1192" s="864">
        <v>0</v>
      </c>
      <c r="L1192" s="18" t="s">
        <v>3941</v>
      </c>
      <c r="M1192" s="442"/>
      <c r="N1192" s="433"/>
      <c r="P1192" s="447"/>
      <c r="T1192" s="443"/>
      <c r="U1192" s="440"/>
      <c r="V1192" s="440"/>
      <c r="W1192" s="440"/>
      <c r="X1192" s="442"/>
    </row>
    <row r="1193" spans="1:24" x14ac:dyDescent="0.25">
      <c r="A1193" s="862">
        <v>1911</v>
      </c>
      <c r="B1193" s="863" t="s">
        <v>7981</v>
      </c>
      <c r="C1193" s="862">
        <v>1911</v>
      </c>
      <c r="D1193" s="165" t="s">
        <v>2150</v>
      </c>
      <c r="E1193" s="165" t="s">
        <v>7982</v>
      </c>
      <c r="F1193" s="163">
        <v>1</v>
      </c>
      <c r="G1193" s="864"/>
      <c r="H1193" s="864">
        <v>11998.520607106677</v>
      </c>
      <c r="I1193" s="864">
        <v>12223.84185263936</v>
      </c>
      <c r="J1193" s="864">
        <v>12461.011630305655</v>
      </c>
      <c r="K1193" s="864">
        <v>12710.687085585259</v>
      </c>
      <c r="L1193" s="18" t="s">
        <v>1862</v>
      </c>
      <c r="M1193" s="442"/>
      <c r="N1193" s="433"/>
      <c r="P1193" s="447"/>
      <c r="T1193" s="443"/>
      <c r="U1193" s="440"/>
      <c r="V1193" s="440"/>
      <c r="W1193" s="440"/>
      <c r="X1193" s="442"/>
    </row>
    <row r="1194" spans="1:24" x14ac:dyDescent="0.25">
      <c r="A1194" s="862">
        <v>1912</v>
      </c>
      <c r="B1194" s="863" t="s">
        <v>7983</v>
      </c>
      <c r="C1194" s="862">
        <v>1912</v>
      </c>
      <c r="D1194" s="165" t="s">
        <v>2150</v>
      </c>
      <c r="E1194" s="165" t="s">
        <v>7984</v>
      </c>
      <c r="F1194" s="163">
        <v>1</v>
      </c>
      <c r="G1194" s="864"/>
      <c r="H1194" s="864">
        <v>0</v>
      </c>
      <c r="I1194" s="864">
        <v>0</v>
      </c>
      <c r="J1194" s="864">
        <v>0</v>
      </c>
      <c r="K1194" s="864">
        <v>12982.857792261144</v>
      </c>
      <c r="L1194" s="18" t="s">
        <v>10933</v>
      </c>
      <c r="M1194" s="442"/>
      <c r="N1194" s="433"/>
      <c r="P1194" s="447"/>
      <c r="T1194" s="443"/>
      <c r="U1194" s="440"/>
      <c r="V1194" s="440"/>
      <c r="W1194" s="440"/>
      <c r="X1194" s="442"/>
    </row>
    <row r="1195" spans="1:24" x14ac:dyDescent="0.25">
      <c r="A1195" s="862">
        <v>1913</v>
      </c>
      <c r="B1195" s="863" t="s">
        <v>7985</v>
      </c>
      <c r="C1195" s="862">
        <v>1913</v>
      </c>
      <c r="D1195" s="165" t="s">
        <v>2150</v>
      </c>
      <c r="E1195" s="165" t="s">
        <v>7986</v>
      </c>
      <c r="F1195" s="163">
        <v>1</v>
      </c>
      <c r="G1195" s="864"/>
      <c r="H1195" s="864">
        <v>12870.351090219194</v>
      </c>
      <c r="I1195" s="864">
        <v>13115.904451126258</v>
      </c>
      <c r="J1195" s="864">
        <v>13374.381673133694</v>
      </c>
      <c r="K1195" s="864">
        <v>13646.459815220565</v>
      </c>
      <c r="L1195" s="18" t="s">
        <v>1863</v>
      </c>
      <c r="M1195" s="442"/>
      <c r="N1195" s="433"/>
      <c r="P1195" s="447"/>
      <c r="T1195" s="443"/>
      <c r="U1195" s="440"/>
      <c r="V1195" s="440"/>
      <c r="W1195" s="440"/>
      <c r="X1195" s="442"/>
    </row>
    <row r="1196" spans="1:24" x14ac:dyDescent="0.25">
      <c r="A1196" s="862">
        <v>1914</v>
      </c>
      <c r="B1196" s="863" t="s">
        <v>7987</v>
      </c>
      <c r="C1196" s="862">
        <v>1914</v>
      </c>
      <c r="D1196" s="165" t="s">
        <v>2150</v>
      </c>
      <c r="E1196" s="165" t="s">
        <v>7988</v>
      </c>
      <c r="F1196" s="163">
        <v>1</v>
      </c>
      <c r="G1196" s="864"/>
      <c r="H1196" s="864">
        <v>0</v>
      </c>
      <c r="I1196" s="864">
        <v>0</v>
      </c>
      <c r="J1196" s="864">
        <v>0</v>
      </c>
      <c r="K1196" s="864">
        <v>13608.985394585674</v>
      </c>
      <c r="L1196" s="18" t="s">
        <v>10934</v>
      </c>
      <c r="M1196" s="442"/>
      <c r="N1196" s="433"/>
      <c r="P1196" s="447"/>
      <c r="T1196" s="443"/>
      <c r="U1196" s="440"/>
      <c r="V1196" s="440"/>
      <c r="W1196" s="440"/>
      <c r="X1196" s="442"/>
    </row>
    <row r="1197" spans="1:24" x14ac:dyDescent="0.25">
      <c r="A1197" s="862">
        <v>1915</v>
      </c>
      <c r="B1197" s="863" t="s">
        <v>7989</v>
      </c>
      <c r="C1197" s="862">
        <v>1915</v>
      </c>
      <c r="D1197" s="165" t="s">
        <v>2150</v>
      </c>
      <c r="E1197" s="165" t="s">
        <v>7990</v>
      </c>
      <c r="F1197" s="163">
        <v>1</v>
      </c>
      <c r="G1197" s="864"/>
      <c r="H1197" s="864">
        <v>0</v>
      </c>
      <c r="I1197" s="864">
        <v>0</v>
      </c>
      <c r="J1197" s="864">
        <v>0</v>
      </c>
      <c r="K1197" s="864">
        <v>14623.743922490952</v>
      </c>
      <c r="L1197" s="18" t="s">
        <v>10935</v>
      </c>
      <c r="M1197" s="442"/>
      <c r="N1197" s="433"/>
      <c r="P1197" s="447"/>
      <c r="T1197" s="443"/>
      <c r="U1197" s="440"/>
      <c r="V1197" s="440"/>
      <c r="W1197" s="440"/>
      <c r="X1197" s="442"/>
    </row>
    <row r="1198" spans="1:24" x14ac:dyDescent="0.25">
      <c r="A1198" s="862">
        <v>1916</v>
      </c>
      <c r="B1198" s="863" t="s">
        <v>7991</v>
      </c>
      <c r="C1198" s="862">
        <v>1916</v>
      </c>
      <c r="D1198" s="165" t="s">
        <v>2150</v>
      </c>
      <c r="E1198" s="165" t="s">
        <v>7992</v>
      </c>
      <c r="F1198" s="163">
        <v>1</v>
      </c>
      <c r="G1198" s="864"/>
      <c r="H1198" s="864">
        <v>13768.381660388974</v>
      </c>
      <c r="I1198" s="864">
        <v>14034.764541651952</v>
      </c>
      <c r="J1198" s="864">
        <v>14315.166526481436</v>
      </c>
      <c r="K1198" s="864">
        <v>14610.344327854025</v>
      </c>
      <c r="L1198" s="18" t="s">
        <v>1864</v>
      </c>
      <c r="M1198" s="442"/>
      <c r="N1198" s="433"/>
      <c r="P1198" s="447"/>
      <c r="T1198" s="443"/>
      <c r="U1198" s="440"/>
      <c r="V1198" s="440"/>
      <c r="W1198" s="440"/>
      <c r="X1198" s="442"/>
    </row>
    <row r="1199" spans="1:24" x14ac:dyDescent="0.25">
      <c r="A1199" s="862">
        <v>1917</v>
      </c>
      <c r="B1199" s="863" t="s">
        <v>7993</v>
      </c>
      <c r="C1199" s="862">
        <v>1917</v>
      </c>
      <c r="D1199" s="165" t="s">
        <v>2150</v>
      </c>
      <c r="E1199" s="165" t="s">
        <v>7994</v>
      </c>
      <c r="F1199" s="163">
        <v>1</v>
      </c>
      <c r="G1199" s="864"/>
      <c r="H1199" s="864">
        <v>0</v>
      </c>
      <c r="I1199" s="864">
        <v>0</v>
      </c>
      <c r="J1199" s="864">
        <v>17598.929563881313</v>
      </c>
      <c r="K1199" s="864">
        <v>17933.416613038393</v>
      </c>
      <c r="L1199" s="18" t="s">
        <v>4662</v>
      </c>
      <c r="M1199" s="442"/>
      <c r="N1199" s="433"/>
      <c r="P1199" s="447"/>
      <c r="T1199" s="443"/>
      <c r="U1199" s="440"/>
      <c r="V1199" s="440"/>
      <c r="W1199" s="440"/>
      <c r="X1199" s="442"/>
    </row>
    <row r="1200" spans="1:24" x14ac:dyDescent="0.25">
      <c r="A1200" s="862">
        <v>1918</v>
      </c>
      <c r="B1200" s="863" t="s">
        <v>7995</v>
      </c>
      <c r="C1200" s="862">
        <v>1918</v>
      </c>
      <c r="D1200" s="165" t="s">
        <v>2150</v>
      </c>
      <c r="E1200" s="165" t="s">
        <v>7996</v>
      </c>
      <c r="F1200" s="163">
        <v>1</v>
      </c>
      <c r="G1200" s="864"/>
      <c r="H1200" s="864">
        <v>0</v>
      </c>
      <c r="I1200" s="864">
        <v>0</v>
      </c>
      <c r="J1200" s="864">
        <v>0</v>
      </c>
      <c r="K1200" s="864">
        <v>14040.797534119834</v>
      </c>
      <c r="L1200" s="18" t="s">
        <v>10936</v>
      </c>
      <c r="M1200" s="442"/>
      <c r="N1200" s="433"/>
      <c r="P1200" s="447"/>
      <c r="T1200" s="443"/>
      <c r="U1200" s="440"/>
      <c r="V1200" s="440"/>
      <c r="W1200" s="440"/>
      <c r="X1200" s="442"/>
    </row>
    <row r="1201" spans="1:24" x14ac:dyDescent="0.25">
      <c r="A1201" s="862">
        <v>1919</v>
      </c>
      <c r="B1201" s="863" t="s">
        <v>7997</v>
      </c>
      <c r="C1201" s="862">
        <v>1919</v>
      </c>
      <c r="D1201" s="165" t="s">
        <v>2150</v>
      </c>
      <c r="E1201" s="165" t="s">
        <v>7998</v>
      </c>
      <c r="F1201" s="163">
        <v>1</v>
      </c>
      <c r="G1201" s="864"/>
      <c r="H1201" s="864">
        <v>0</v>
      </c>
      <c r="I1201" s="864">
        <v>0</v>
      </c>
      <c r="J1201" s="864">
        <v>0</v>
      </c>
      <c r="K1201" s="864">
        <v>15988.270283418897</v>
      </c>
      <c r="L1201" s="18" t="s">
        <v>10937</v>
      </c>
      <c r="M1201" s="442"/>
      <c r="N1201" s="433"/>
      <c r="P1201" s="447"/>
      <c r="T1201" s="443"/>
      <c r="U1201" s="440"/>
      <c r="V1201" s="440"/>
      <c r="W1201" s="440"/>
      <c r="X1201" s="442"/>
    </row>
    <row r="1202" spans="1:24" x14ac:dyDescent="0.25">
      <c r="A1202" s="862">
        <v>1920</v>
      </c>
      <c r="B1202" s="863" t="s">
        <v>7999</v>
      </c>
      <c r="C1202" s="862">
        <v>1920</v>
      </c>
      <c r="D1202" s="165" t="s">
        <v>2150</v>
      </c>
      <c r="E1202" s="165" t="s">
        <v>8000</v>
      </c>
      <c r="F1202" s="163">
        <v>1</v>
      </c>
      <c r="G1202" s="864"/>
      <c r="H1202" s="864">
        <v>11411.72900215168</v>
      </c>
      <c r="I1202" s="864">
        <v>11623.429414105536</v>
      </c>
      <c r="J1202" s="864">
        <v>11846.281385714567</v>
      </c>
      <c r="K1202" s="864">
        <v>12080.862408460911</v>
      </c>
      <c r="L1202" s="18" t="s">
        <v>1865</v>
      </c>
      <c r="M1202" s="442"/>
      <c r="N1202" s="433"/>
      <c r="P1202" s="447"/>
      <c r="T1202" s="443"/>
      <c r="U1202" s="440"/>
      <c r="V1202" s="440"/>
      <c r="W1202" s="440"/>
      <c r="X1202" s="442"/>
    </row>
    <row r="1203" spans="1:24" x14ac:dyDescent="0.25">
      <c r="A1203" s="862">
        <v>1921</v>
      </c>
      <c r="B1203" s="863" t="s">
        <v>8001</v>
      </c>
      <c r="C1203" s="862">
        <v>1921</v>
      </c>
      <c r="D1203" s="165" t="s">
        <v>2150</v>
      </c>
      <c r="E1203" s="165" t="s">
        <v>8002</v>
      </c>
      <c r="F1203" s="163">
        <v>1</v>
      </c>
      <c r="G1203" s="864"/>
      <c r="H1203" s="864">
        <v>0</v>
      </c>
      <c r="I1203" s="864">
        <v>0</v>
      </c>
      <c r="J1203" s="864">
        <v>0</v>
      </c>
      <c r="K1203" s="864">
        <v>29446.987794660417</v>
      </c>
      <c r="L1203" s="18" t="s">
        <v>10938</v>
      </c>
      <c r="M1203" s="442"/>
      <c r="N1203" s="433"/>
      <c r="P1203" s="447"/>
      <c r="T1203" s="443"/>
      <c r="U1203" s="440"/>
      <c r="V1203" s="440"/>
      <c r="W1203" s="440"/>
      <c r="X1203" s="442"/>
    </row>
    <row r="1204" spans="1:24" x14ac:dyDescent="0.25">
      <c r="A1204" s="862">
        <v>1922</v>
      </c>
      <c r="B1204" s="863" t="s">
        <v>8003</v>
      </c>
      <c r="C1204" s="862">
        <v>1922</v>
      </c>
      <c r="D1204" s="165" t="s">
        <v>2150</v>
      </c>
      <c r="E1204" s="165" t="s">
        <v>8004</v>
      </c>
      <c r="F1204" s="163">
        <v>1</v>
      </c>
      <c r="G1204" s="864"/>
      <c r="H1204" s="864">
        <v>0</v>
      </c>
      <c r="I1204" s="864">
        <v>26273.640826432056</v>
      </c>
      <c r="J1204" s="864">
        <v>26930.06264337918</v>
      </c>
      <c r="K1204" s="864">
        <v>27621.041614445374</v>
      </c>
      <c r="L1204" s="18" t="s">
        <v>3942</v>
      </c>
      <c r="M1204" s="442"/>
      <c r="N1204" s="433"/>
      <c r="P1204" s="447"/>
      <c r="T1204" s="443"/>
      <c r="U1204" s="440"/>
      <c r="V1204" s="440"/>
      <c r="W1204" s="440"/>
      <c r="X1204" s="442"/>
    </row>
    <row r="1205" spans="1:24" x14ac:dyDescent="0.25">
      <c r="A1205" s="862">
        <v>1923</v>
      </c>
      <c r="B1205" s="863" t="s">
        <v>8005</v>
      </c>
      <c r="C1205" s="862">
        <v>1923</v>
      </c>
      <c r="D1205" s="165" t="s">
        <v>2150</v>
      </c>
      <c r="E1205" s="165" t="s">
        <v>8006</v>
      </c>
      <c r="F1205" s="163">
        <v>1</v>
      </c>
      <c r="G1205" s="864"/>
      <c r="H1205" s="864">
        <v>0</v>
      </c>
      <c r="I1205" s="864">
        <v>30924.095590613248</v>
      </c>
      <c r="J1205" s="864">
        <v>31707.797454855139</v>
      </c>
      <c r="K1205" s="864">
        <v>32532.738148198423</v>
      </c>
      <c r="L1205" s="18" t="s">
        <v>3943</v>
      </c>
      <c r="M1205" s="442"/>
      <c r="N1205" s="433"/>
      <c r="P1205" s="447"/>
      <c r="T1205" s="443"/>
      <c r="U1205" s="440"/>
      <c r="V1205" s="440"/>
      <c r="W1205" s="440"/>
      <c r="X1205" s="442"/>
    </row>
    <row r="1206" spans="1:24" x14ac:dyDescent="0.25">
      <c r="A1206" s="862">
        <v>1924</v>
      </c>
      <c r="B1206" s="863" t="s">
        <v>8007</v>
      </c>
      <c r="C1206" s="862">
        <v>1924</v>
      </c>
      <c r="D1206" s="165" t="s">
        <v>2150</v>
      </c>
      <c r="E1206" s="165" t="s">
        <v>8008</v>
      </c>
      <c r="F1206" s="163">
        <v>2</v>
      </c>
      <c r="G1206" s="864"/>
      <c r="H1206" s="864">
        <v>29693.368288983074</v>
      </c>
      <c r="I1206" s="864">
        <v>30786.775772531852</v>
      </c>
      <c r="J1206" s="864">
        <v>31937.709653517937</v>
      </c>
      <c r="K1206" s="864">
        <v>33149.243418901184</v>
      </c>
      <c r="L1206" s="18" t="s">
        <v>1866</v>
      </c>
      <c r="M1206" s="442"/>
      <c r="N1206" s="433"/>
      <c r="P1206" s="447"/>
      <c r="T1206" s="443"/>
      <c r="U1206" s="440"/>
      <c r="V1206" s="440"/>
      <c r="W1206" s="440"/>
      <c r="X1206" s="442"/>
    </row>
    <row r="1207" spans="1:24" x14ac:dyDescent="0.25">
      <c r="A1207" s="862">
        <v>1925</v>
      </c>
      <c r="B1207" s="863" t="s">
        <v>8009</v>
      </c>
      <c r="C1207" s="862">
        <v>1925</v>
      </c>
      <c r="D1207" s="165" t="s">
        <v>2150</v>
      </c>
      <c r="E1207" s="165" t="s">
        <v>8010</v>
      </c>
      <c r="F1207" s="163">
        <v>2</v>
      </c>
      <c r="G1207" s="864"/>
      <c r="H1207" s="864">
        <v>30647.665930941188</v>
      </c>
      <c r="I1207" s="864">
        <v>31781.666638488066</v>
      </c>
      <c r="J1207" s="864">
        <v>32975.339385312152</v>
      </c>
      <c r="K1207" s="864">
        <v>34231.873639013284</v>
      </c>
      <c r="L1207" s="18" t="s">
        <v>1867</v>
      </c>
      <c r="M1207" s="442"/>
      <c r="N1207" s="433"/>
      <c r="P1207" s="447"/>
      <c r="T1207" s="443"/>
      <c r="U1207" s="440"/>
      <c r="V1207" s="440"/>
      <c r="W1207" s="440"/>
      <c r="X1207" s="442"/>
    </row>
    <row r="1208" spans="1:24" x14ac:dyDescent="0.25">
      <c r="A1208" s="862">
        <v>1926</v>
      </c>
      <c r="B1208" s="863" t="s">
        <v>8011</v>
      </c>
      <c r="C1208" s="862">
        <v>1926</v>
      </c>
      <c r="D1208" s="165" t="s">
        <v>2150</v>
      </c>
      <c r="E1208" s="165" t="s">
        <v>8012</v>
      </c>
      <c r="F1208" s="163">
        <v>2</v>
      </c>
      <c r="G1208" s="864"/>
      <c r="H1208" s="864">
        <v>30443.173579093014</v>
      </c>
      <c r="I1208" s="864">
        <v>31568.475738640303</v>
      </c>
      <c r="J1208" s="864">
        <v>32752.986014904811</v>
      </c>
      <c r="K1208" s="864">
        <v>33999.835885166409</v>
      </c>
      <c r="L1208" s="18" t="s">
        <v>1868</v>
      </c>
      <c r="M1208" s="442"/>
      <c r="N1208" s="433"/>
      <c r="P1208" s="447"/>
      <c r="T1208" s="443"/>
      <c r="U1208" s="440"/>
      <c r="V1208" s="440"/>
      <c r="W1208" s="440"/>
      <c r="X1208" s="442"/>
    </row>
    <row r="1209" spans="1:24" x14ac:dyDescent="0.25">
      <c r="A1209" s="862">
        <v>1927</v>
      </c>
      <c r="B1209" s="863" t="s">
        <v>8013</v>
      </c>
      <c r="C1209" s="862">
        <v>1927</v>
      </c>
      <c r="D1209" s="165" t="s">
        <v>2150</v>
      </c>
      <c r="E1209" s="165" t="s">
        <v>8014</v>
      </c>
      <c r="F1209" s="163">
        <v>1</v>
      </c>
      <c r="G1209" s="864"/>
      <c r="H1209" s="864">
        <v>20860.193742646989</v>
      </c>
      <c r="I1209" s="864">
        <v>21635.988349000385</v>
      </c>
      <c r="J1209" s="864">
        <v>22452.634924498452</v>
      </c>
      <c r="K1209" s="864">
        <v>23312.261175867494</v>
      </c>
      <c r="L1209" s="18" t="s">
        <v>1869</v>
      </c>
      <c r="M1209" s="442"/>
      <c r="N1209" s="433"/>
      <c r="P1209" s="447"/>
      <c r="T1209" s="443"/>
      <c r="U1209" s="440"/>
      <c r="V1209" s="440"/>
      <c r="W1209" s="440"/>
      <c r="X1209" s="442"/>
    </row>
    <row r="1210" spans="1:24" x14ac:dyDescent="0.25">
      <c r="A1210" s="862">
        <v>1928</v>
      </c>
      <c r="B1210" s="863" t="s">
        <v>8015</v>
      </c>
      <c r="C1210" s="862">
        <v>1928</v>
      </c>
      <c r="D1210" s="165" t="s">
        <v>2150</v>
      </c>
      <c r="E1210" s="165" t="s">
        <v>8016</v>
      </c>
      <c r="F1210" s="163">
        <v>1</v>
      </c>
      <c r="G1210" s="864"/>
      <c r="H1210" s="864">
        <v>15965.052881146845</v>
      </c>
      <c r="I1210" s="864">
        <v>16554.525846176883</v>
      </c>
      <c r="J1210" s="864">
        <v>17175.030595461052</v>
      </c>
      <c r="K1210" s="864">
        <v>17828.203826481113</v>
      </c>
      <c r="L1210" s="18" t="s">
        <v>1870</v>
      </c>
      <c r="M1210" s="442"/>
      <c r="N1210" s="433"/>
      <c r="P1210" s="447"/>
      <c r="T1210" s="443"/>
      <c r="U1210" s="440"/>
      <c r="V1210" s="440"/>
      <c r="W1210" s="440"/>
      <c r="X1210" s="442"/>
    </row>
    <row r="1211" spans="1:24" x14ac:dyDescent="0.25">
      <c r="A1211" s="862">
        <v>1929</v>
      </c>
      <c r="B1211" s="863" t="s">
        <v>8017</v>
      </c>
      <c r="C1211" s="862">
        <v>1929</v>
      </c>
      <c r="D1211" s="165" t="s">
        <v>2150</v>
      </c>
      <c r="E1211" s="165" t="s">
        <v>8018</v>
      </c>
      <c r="F1211" s="163">
        <v>1</v>
      </c>
      <c r="G1211" s="864"/>
      <c r="H1211" s="864">
        <v>17879.623333684092</v>
      </c>
      <c r="I1211" s="864">
        <v>18552.305998686716</v>
      </c>
      <c r="J1211" s="864">
        <v>19260.406797194584</v>
      </c>
      <c r="K1211" s="864">
        <v>20005.791564336902</v>
      </c>
      <c r="L1211" s="18" t="s">
        <v>1871</v>
      </c>
      <c r="M1211" s="442"/>
      <c r="N1211" s="433"/>
      <c r="P1211" s="447"/>
      <c r="T1211" s="443"/>
      <c r="U1211" s="440"/>
      <c r="V1211" s="440"/>
      <c r="W1211" s="440"/>
      <c r="X1211" s="442"/>
    </row>
    <row r="1212" spans="1:24" x14ac:dyDescent="0.25">
      <c r="A1212" s="862">
        <v>1930</v>
      </c>
      <c r="B1212" s="863" t="s">
        <v>8019</v>
      </c>
      <c r="C1212" s="862">
        <v>1930</v>
      </c>
      <c r="D1212" s="165" t="s">
        <v>2150</v>
      </c>
      <c r="E1212" s="165" t="s">
        <v>8020</v>
      </c>
      <c r="F1212" s="163">
        <v>2</v>
      </c>
      <c r="G1212" s="864"/>
      <c r="H1212" s="864">
        <v>11044.100483986022</v>
      </c>
      <c r="I1212" s="864">
        <v>11265.041393457932</v>
      </c>
      <c r="J1212" s="864">
        <v>11497.622169515593</v>
      </c>
      <c r="K1212" s="864">
        <v>11742.438340216879</v>
      </c>
      <c r="L1212" s="18" t="s">
        <v>1875</v>
      </c>
      <c r="M1212" s="442"/>
      <c r="N1212" s="433"/>
      <c r="P1212" s="447"/>
      <c r="T1212" s="443"/>
      <c r="U1212" s="440"/>
      <c r="V1212" s="440"/>
      <c r="W1212" s="440"/>
      <c r="X1212" s="442"/>
    </row>
    <row r="1213" spans="1:24" x14ac:dyDescent="0.25">
      <c r="A1213" s="862">
        <v>1931</v>
      </c>
      <c r="B1213" s="863" t="s">
        <v>8021</v>
      </c>
      <c r="C1213" s="862">
        <v>1931</v>
      </c>
      <c r="D1213" s="165" t="s">
        <v>2150</v>
      </c>
      <c r="E1213" s="165" t="s">
        <v>8022</v>
      </c>
      <c r="F1213" s="163">
        <v>2</v>
      </c>
      <c r="G1213" s="864"/>
      <c r="H1213" s="864">
        <v>12695.865688353668</v>
      </c>
      <c r="I1213" s="864">
        <v>12963.717967111883</v>
      </c>
      <c r="J1213" s="864">
        <v>13245.673433058877</v>
      </c>
      <c r="K1213" s="864">
        <v>13542.462961538413</v>
      </c>
      <c r="L1213" s="18" t="s">
        <v>1876</v>
      </c>
      <c r="M1213" s="442"/>
      <c r="N1213" s="433"/>
      <c r="P1213" s="447"/>
      <c r="T1213" s="443"/>
      <c r="U1213" s="440"/>
      <c r="V1213" s="440"/>
      <c r="W1213" s="440"/>
      <c r="X1213" s="442"/>
    </row>
    <row r="1214" spans="1:24" x14ac:dyDescent="0.25">
      <c r="A1214" s="862">
        <v>1932</v>
      </c>
      <c r="B1214" s="863" t="s">
        <v>8023</v>
      </c>
      <c r="C1214" s="862">
        <v>1932</v>
      </c>
      <c r="D1214" s="165" t="s">
        <v>2150</v>
      </c>
      <c r="E1214" s="165" t="s">
        <v>8024</v>
      </c>
      <c r="F1214" s="163">
        <v>2</v>
      </c>
      <c r="G1214" s="864"/>
      <c r="H1214" s="864">
        <v>13538.326706529613</v>
      </c>
      <c r="I1214" s="864">
        <v>13831.380649918839</v>
      </c>
      <c r="J1214" s="864">
        <v>14139.864183898484</v>
      </c>
      <c r="K1214" s="864">
        <v>14464.562322726651</v>
      </c>
      <c r="L1214" s="18" t="s">
        <v>1877</v>
      </c>
      <c r="M1214" s="442"/>
      <c r="N1214" s="433"/>
      <c r="P1214" s="447"/>
      <c r="T1214" s="443"/>
      <c r="U1214" s="440"/>
      <c r="V1214" s="440"/>
      <c r="W1214" s="440"/>
      <c r="X1214" s="442"/>
    </row>
    <row r="1215" spans="1:24" x14ac:dyDescent="0.25">
      <c r="A1215" s="862">
        <v>1933</v>
      </c>
      <c r="B1215" s="863" t="s">
        <v>8025</v>
      </c>
      <c r="C1215" s="862">
        <v>1933</v>
      </c>
      <c r="D1215" s="165" t="s">
        <v>2150</v>
      </c>
      <c r="E1215" s="165" t="s">
        <v>8026</v>
      </c>
      <c r="F1215" s="163">
        <v>1</v>
      </c>
      <c r="G1215" s="864"/>
      <c r="H1215" s="864">
        <v>18614.483156956572</v>
      </c>
      <c r="I1215" s="864">
        <v>19276.033009970219</v>
      </c>
      <c r="J1215" s="864">
        <v>19972.431426463449</v>
      </c>
      <c r="K1215" s="864">
        <v>20705.444703489324</v>
      </c>
      <c r="L1215" s="18" t="s">
        <v>1878</v>
      </c>
      <c r="M1215" s="442"/>
      <c r="N1215" s="433"/>
      <c r="P1215" s="447"/>
      <c r="T1215" s="443"/>
      <c r="U1215" s="440"/>
      <c r="V1215" s="440"/>
      <c r="W1215" s="440"/>
      <c r="X1215" s="442"/>
    </row>
    <row r="1216" spans="1:24" x14ac:dyDescent="0.25">
      <c r="A1216" s="862">
        <v>1934</v>
      </c>
      <c r="B1216" s="863" t="s">
        <v>8027</v>
      </c>
      <c r="C1216" s="862">
        <v>1934</v>
      </c>
      <c r="D1216" s="165" t="s">
        <v>2150</v>
      </c>
      <c r="E1216" s="165" t="s">
        <v>8028</v>
      </c>
      <c r="F1216" s="163">
        <v>1</v>
      </c>
      <c r="G1216" s="864"/>
      <c r="H1216" s="864">
        <v>20504.178942244529</v>
      </c>
      <c r="I1216" s="864">
        <v>21242.300159396866</v>
      </c>
      <c r="J1216" s="864">
        <v>22019.279911716836</v>
      </c>
      <c r="K1216" s="864">
        <v>22837.123185048473</v>
      </c>
      <c r="L1216" s="18" t="s">
        <v>1879</v>
      </c>
      <c r="M1216" s="442"/>
      <c r="N1216" s="433"/>
      <c r="P1216" s="447"/>
      <c r="T1216" s="443"/>
      <c r="U1216" s="440"/>
      <c r="V1216" s="440"/>
      <c r="W1216" s="440"/>
      <c r="X1216" s="442"/>
    </row>
    <row r="1217" spans="1:24" x14ac:dyDescent="0.25">
      <c r="A1217" s="862">
        <v>1935</v>
      </c>
      <c r="B1217" s="863" t="s">
        <v>8029</v>
      </c>
      <c r="C1217" s="862">
        <v>1935</v>
      </c>
      <c r="D1217" s="165" t="s">
        <v>2150</v>
      </c>
      <c r="E1217" s="165" t="s">
        <v>8030</v>
      </c>
      <c r="F1217" s="163">
        <v>1</v>
      </c>
      <c r="G1217" s="864"/>
      <c r="H1217" s="864">
        <v>22429.777909842742</v>
      </c>
      <c r="I1217" s="864">
        <v>22429.777909842742</v>
      </c>
      <c r="J1217" s="864">
        <v>23245.902623879498</v>
      </c>
      <c r="K1217" s="864">
        <v>24104.991320288325</v>
      </c>
      <c r="L1217" s="18" t="s">
        <v>1880</v>
      </c>
      <c r="M1217" s="442"/>
      <c r="N1217" s="433"/>
      <c r="P1217" s="447"/>
      <c r="T1217" s="443"/>
      <c r="U1217" s="440"/>
      <c r="V1217" s="440"/>
      <c r="W1217" s="440"/>
      <c r="X1217" s="442"/>
    </row>
    <row r="1218" spans="1:24" x14ac:dyDescent="0.25">
      <c r="A1218" s="862">
        <v>1936</v>
      </c>
      <c r="B1218" s="863" t="s">
        <v>8031</v>
      </c>
      <c r="C1218" s="862">
        <v>1936</v>
      </c>
      <c r="D1218" s="165" t="s">
        <v>2150</v>
      </c>
      <c r="E1218" s="165" t="s">
        <v>8032</v>
      </c>
      <c r="F1218" s="163">
        <v>1</v>
      </c>
      <c r="G1218" s="864"/>
      <c r="H1218" s="864">
        <v>0</v>
      </c>
      <c r="I1218" s="864">
        <v>26061.80992345521</v>
      </c>
      <c r="J1218" s="864">
        <v>26988.92492528649</v>
      </c>
      <c r="K1218" s="864">
        <v>27964.82791598919</v>
      </c>
      <c r="L1218" s="18" t="s">
        <v>3944</v>
      </c>
      <c r="M1218" s="442"/>
      <c r="N1218" s="433"/>
      <c r="P1218" s="447"/>
      <c r="T1218" s="443"/>
      <c r="U1218" s="440"/>
      <c r="V1218" s="440"/>
      <c r="W1218" s="440"/>
      <c r="X1218" s="442"/>
    </row>
    <row r="1219" spans="1:24" x14ac:dyDescent="0.25">
      <c r="A1219" s="862">
        <v>1937</v>
      </c>
      <c r="B1219" s="863" t="s">
        <v>8033</v>
      </c>
      <c r="C1219" s="862">
        <v>1937</v>
      </c>
      <c r="D1219" s="165" t="s">
        <v>2150</v>
      </c>
      <c r="E1219" s="165" t="s">
        <v>8034</v>
      </c>
      <c r="F1219" s="163">
        <v>1</v>
      </c>
      <c r="G1219" s="864"/>
      <c r="H1219" s="864">
        <v>0</v>
      </c>
      <c r="I1219" s="864">
        <v>0</v>
      </c>
      <c r="J1219" s="864">
        <v>21532.974015103377</v>
      </c>
      <c r="K1219" s="864">
        <v>22283.507049385422</v>
      </c>
      <c r="L1219" s="18" t="s">
        <v>4663</v>
      </c>
      <c r="M1219" s="442"/>
      <c r="N1219" s="433"/>
      <c r="P1219" s="447"/>
      <c r="T1219" s="443"/>
      <c r="U1219" s="440"/>
      <c r="V1219" s="440"/>
      <c r="W1219" s="440"/>
      <c r="X1219" s="442"/>
    </row>
    <row r="1220" spans="1:24" x14ac:dyDescent="0.25">
      <c r="A1220" s="862">
        <v>1938</v>
      </c>
      <c r="B1220" s="863" t="s">
        <v>8035</v>
      </c>
      <c r="C1220" s="862">
        <v>1938</v>
      </c>
      <c r="D1220" s="165" t="s">
        <v>2150</v>
      </c>
      <c r="E1220" s="165" t="s">
        <v>8036</v>
      </c>
      <c r="F1220" s="163">
        <v>1</v>
      </c>
      <c r="G1220" s="864"/>
      <c r="H1220" s="864">
        <v>0</v>
      </c>
      <c r="I1220" s="864">
        <v>0</v>
      </c>
      <c r="J1220" s="864">
        <v>24809.276560838054</v>
      </c>
      <c r="K1220" s="864">
        <v>25687.555836039748</v>
      </c>
      <c r="L1220" s="18" t="s">
        <v>4664</v>
      </c>
      <c r="M1220" s="442"/>
      <c r="N1220" s="433"/>
      <c r="P1220" s="447"/>
      <c r="T1220" s="443"/>
      <c r="U1220" s="440"/>
      <c r="V1220" s="440"/>
      <c r="W1220" s="440"/>
      <c r="X1220" s="442"/>
    </row>
    <row r="1221" spans="1:24" x14ac:dyDescent="0.25">
      <c r="A1221" s="862">
        <v>1939</v>
      </c>
      <c r="B1221" s="863" t="s">
        <v>8037</v>
      </c>
      <c r="C1221" s="862">
        <v>1939</v>
      </c>
      <c r="D1221" s="165" t="s">
        <v>2150</v>
      </c>
      <c r="E1221" s="165" t="s">
        <v>8038</v>
      </c>
      <c r="F1221" s="163">
        <v>2</v>
      </c>
      <c r="G1221" s="864"/>
      <c r="H1221" s="864">
        <v>24905.662261873382</v>
      </c>
      <c r="I1221" s="864">
        <v>25848.178932789237</v>
      </c>
      <c r="J1221" s="864">
        <v>26840.277327302756</v>
      </c>
      <c r="K1221" s="864">
        <v>27884.625000133841</v>
      </c>
      <c r="L1221" s="18" t="s">
        <v>1881</v>
      </c>
      <c r="M1221" s="442"/>
      <c r="N1221" s="433"/>
      <c r="P1221" s="446"/>
      <c r="T1221" s="443"/>
      <c r="U1221" s="440"/>
      <c r="V1221" s="440"/>
      <c r="W1221" s="440"/>
      <c r="X1221" s="442"/>
    </row>
    <row r="1222" spans="1:24" x14ac:dyDescent="0.25">
      <c r="A1222" s="862">
        <v>1940</v>
      </c>
      <c r="B1222" s="863" t="s">
        <v>8039</v>
      </c>
      <c r="C1222" s="862">
        <v>1940</v>
      </c>
      <c r="D1222" s="165" t="s">
        <v>2150</v>
      </c>
      <c r="E1222" s="165" t="s">
        <v>8040</v>
      </c>
      <c r="F1222" s="163">
        <v>1</v>
      </c>
      <c r="G1222" s="864"/>
      <c r="H1222" s="864">
        <v>7498.261472008041</v>
      </c>
      <c r="I1222" s="864">
        <v>7654.1735783235054</v>
      </c>
      <c r="J1222" s="864">
        <v>7818.333713477532</v>
      </c>
      <c r="K1222" s="864">
        <v>7991.124697374019</v>
      </c>
      <c r="L1222" s="18" t="s">
        <v>1882</v>
      </c>
      <c r="M1222" s="442"/>
      <c r="N1222" s="433"/>
      <c r="P1222" s="446"/>
      <c r="T1222" s="443"/>
      <c r="U1222" s="440"/>
      <c r="V1222" s="440"/>
      <c r="W1222" s="440"/>
      <c r="X1222" s="442"/>
    </row>
    <row r="1223" spans="1:24" x14ac:dyDescent="0.25">
      <c r="A1223" s="862">
        <v>1941</v>
      </c>
      <c r="B1223" s="863" t="s">
        <v>8041</v>
      </c>
      <c r="C1223" s="862">
        <v>1941</v>
      </c>
      <c r="D1223" s="165" t="s">
        <v>2150</v>
      </c>
      <c r="E1223" s="165" t="s">
        <v>8042</v>
      </c>
      <c r="F1223" s="163">
        <v>1</v>
      </c>
      <c r="G1223" s="864"/>
      <c r="H1223" s="864">
        <v>7877.6873753251612</v>
      </c>
      <c r="I1223" s="864">
        <v>8037.4972842985126</v>
      </c>
      <c r="J1223" s="864">
        <v>8205.729231157653</v>
      </c>
      <c r="K1223" s="864">
        <v>8382.8356394253751</v>
      </c>
      <c r="L1223" s="18" t="s">
        <v>1883</v>
      </c>
      <c r="M1223" s="442"/>
      <c r="N1223" s="433"/>
      <c r="P1223" s="446"/>
      <c r="T1223" s="443"/>
      <c r="U1223" s="440"/>
      <c r="V1223" s="440"/>
      <c r="W1223" s="440"/>
      <c r="X1223" s="442"/>
    </row>
    <row r="1224" spans="1:24" x14ac:dyDescent="0.25">
      <c r="A1224" s="862">
        <v>1942</v>
      </c>
      <c r="B1224" s="863" t="s">
        <v>8043</v>
      </c>
      <c r="C1224" s="862">
        <v>1942</v>
      </c>
      <c r="D1224" s="165" t="s">
        <v>2150</v>
      </c>
      <c r="E1224" s="165" t="s">
        <v>8044</v>
      </c>
      <c r="F1224" s="163">
        <v>2</v>
      </c>
      <c r="G1224" s="864"/>
      <c r="H1224" s="864">
        <v>18813.51445408598</v>
      </c>
      <c r="I1224" s="864">
        <v>19232.928623573567</v>
      </c>
      <c r="J1224" s="864">
        <v>19674.431470116913</v>
      </c>
      <c r="K1224" s="864">
        <v>20139.186980374594</v>
      </c>
      <c r="L1224" s="18" t="s">
        <v>1884</v>
      </c>
      <c r="M1224" s="442"/>
      <c r="N1224" s="433"/>
      <c r="P1224" s="446"/>
      <c r="T1224" s="443"/>
      <c r="U1224" s="440"/>
      <c r="V1224" s="440"/>
      <c r="W1224" s="440"/>
      <c r="X1224" s="442"/>
    </row>
    <row r="1225" spans="1:24" x14ac:dyDescent="0.25">
      <c r="A1225" s="862">
        <v>1943</v>
      </c>
      <c r="B1225" s="863" t="s">
        <v>8045</v>
      </c>
      <c r="C1225" s="862">
        <v>1943</v>
      </c>
      <c r="D1225" s="165" t="s">
        <v>2150</v>
      </c>
      <c r="E1225" s="165" t="s">
        <v>8046</v>
      </c>
      <c r="F1225" s="163">
        <v>2</v>
      </c>
      <c r="G1225" s="864"/>
      <c r="H1225" s="864">
        <v>18439.119714141438</v>
      </c>
      <c r="I1225" s="864">
        <v>18821.692352412265</v>
      </c>
      <c r="J1225" s="864">
        <v>19224.404666822153</v>
      </c>
      <c r="K1225" s="864">
        <v>19648.312366200993</v>
      </c>
      <c r="L1225" s="18" t="s">
        <v>1885</v>
      </c>
      <c r="M1225" s="442"/>
      <c r="N1225" s="433"/>
      <c r="P1225" s="434"/>
      <c r="T1225" s="443"/>
      <c r="U1225" s="440"/>
      <c r="V1225" s="440"/>
      <c r="W1225" s="440"/>
      <c r="X1225" s="442"/>
    </row>
    <row r="1226" spans="1:24" x14ac:dyDescent="0.25">
      <c r="A1226" s="862">
        <v>1944</v>
      </c>
      <c r="B1226" s="863" t="s">
        <v>8047</v>
      </c>
      <c r="C1226" s="862">
        <v>1944</v>
      </c>
      <c r="D1226" s="165" t="s">
        <v>2150</v>
      </c>
      <c r="E1226" s="165" t="s">
        <v>8048</v>
      </c>
      <c r="F1226" s="163">
        <v>2</v>
      </c>
      <c r="G1226" s="864"/>
      <c r="H1226" s="864">
        <v>19841.277854835862</v>
      </c>
      <c r="I1226" s="864">
        <v>20260.123565722755</v>
      </c>
      <c r="J1226" s="864">
        <v>20701.030884208227</v>
      </c>
      <c r="K1226" s="864">
        <v>21165.136727493675</v>
      </c>
      <c r="L1226" s="18" t="s">
        <v>1886</v>
      </c>
      <c r="M1226" s="442"/>
      <c r="N1226" s="433"/>
      <c r="P1226" s="434"/>
      <c r="T1226" s="443"/>
      <c r="U1226" s="440"/>
      <c r="V1226" s="440"/>
      <c r="W1226" s="440"/>
      <c r="X1226" s="442"/>
    </row>
    <row r="1227" spans="1:24" x14ac:dyDescent="0.25">
      <c r="A1227" s="862">
        <v>1945</v>
      </c>
      <c r="B1227" s="863" t="s">
        <v>8049</v>
      </c>
      <c r="C1227" s="862">
        <v>1945</v>
      </c>
      <c r="D1227" s="165" t="s">
        <v>2150</v>
      </c>
      <c r="E1227" s="165" t="s">
        <v>8050</v>
      </c>
      <c r="F1227" s="163">
        <v>2</v>
      </c>
      <c r="G1227" s="864"/>
      <c r="H1227" s="864">
        <v>21077.260156304827</v>
      </c>
      <c r="I1227" s="864">
        <v>21501.573897541304</v>
      </c>
      <c r="J1227" s="864">
        <v>21948.219940948125</v>
      </c>
      <c r="K1227" s="864">
        <v>22418.362273183859</v>
      </c>
      <c r="L1227" s="18" t="s">
        <v>3029</v>
      </c>
      <c r="M1227" s="442"/>
      <c r="N1227" s="433"/>
      <c r="P1227" s="434"/>
      <c r="T1227" s="443"/>
      <c r="U1227" s="440"/>
      <c r="V1227" s="440"/>
      <c r="W1227" s="440"/>
      <c r="X1227" s="442"/>
    </row>
    <row r="1228" spans="1:24" x14ac:dyDescent="0.25">
      <c r="A1228" s="862">
        <v>1946</v>
      </c>
      <c r="B1228" s="863" t="s">
        <v>8051</v>
      </c>
      <c r="C1228" s="862">
        <v>1946</v>
      </c>
      <c r="D1228" s="165" t="s">
        <v>2150</v>
      </c>
      <c r="E1228" s="165" t="s">
        <v>8052</v>
      </c>
      <c r="F1228" s="163">
        <v>2</v>
      </c>
      <c r="G1228" s="864"/>
      <c r="H1228" s="864">
        <v>0</v>
      </c>
      <c r="I1228" s="864">
        <v>26975.081116108002</v>
      </c>
      <c r="J1228" s="864">
        <v>27574.804939846068</v>
      </c>
      <c r="K1228" s="864">
        <v>28174.528763584138</v>
      </c>
      <c r="L1228" s="18" t="s">
        <v>3945</v>
      </c>
      <c r="M1228" s="442"/>
      <c r="N1228" s="433"/>
      <c r="P1228" s="434"/>
      <c r="T1228" s="443"/>
      <c r="U1228" s="440"/>
      <c r="V1228" s="440"/>
      <c r="W1228" s="440"/>
      <c r="X1228" s="442"/>
    </row>
    <row r="1229" spans="1:24" x14ac:dyDescent="0.25">
      <c r="A1229" s="862">
        <v>1947</v>
      </c>
      <c r="B1229" s="863" t="s">
        <v>8053</v>
      </c>
      <c r="C1229" s="862">
        <v>1947</v>
      </c>
      <c r="D1229" s="165" t="s">
        <v>2150</v>
      </c>
      <c r="E1229" s="165" t="s">
        <v>8054</v>
      </c>
      <c r="F1229" s="163">
        <v>2</v>
      </c>
      <c r="G1229" s="864"/>
      <c r="H1229" s="864">
        <v>21304.989645339054</v>
      </c>
      <c r="I1229" s="864">
        <v>22073.129424023075</v>
      </c>
      <c r="J1229" s="864">
        <v>22881.688455745192</v>
      </c>
      <c r="K1229" s="864">
        <v>23732.812382345328</v>
      </c>
      <c r="L1229" s="18" t="s">
        <v>1887</v>
      </c>
      <c r="M1229" s="442"/>
      <c r="N1229" s="433"/>
      <c r="P1229" s="434"/>
      <c r="T1229" s="443"/>
      <c r="U1229" s="440"/>
      <c r="V1229" s="440"/>
      <c r="W1229" s="440"/>
      <c r="X1229" s="442"/>
    </row>
    <row r="1230" spans="1:24" x14ac:dyDescent="0.25">
      <c r="A1230" s="862">
        <v>1948</v>
      </c>
      <c r="B1230" s="863" t="s">
        <v>8055</v>
      </c>
      <c r="C1230" s="862">
        <v>1948</v>
      </c>
      <c r="D1230" s="165" t="s">
        <v>2150</v>
      </c>
      <c r="E1230" s="165" t="s">
        <v>8056</v>
      </c>
      <c r="F1230" s="163">
        <v>2</v>
      </c>
      <c r="G1230" s="864"/>
      <c r="H1230" s="864">
        <v>0</v>
      </c>
      <c r="I1230" s="864">
        <v>0</v>
      </c>
      <c r="J1230" s="864">
        <v>0</v>
      </c>
      <c r="K1230" s="864">
        <v>31506.774509751762</v>
      </c>
      <c r="L1230" s="18" t="s">
        <v>10939</v>
      </c>
      <c r="M1230" s="442"/>
      <c r="N1230" s="433"/>
      <c r="P1230" s="434"/>
      <c r="T1230" s="443"/>
      <c r="U1230" s="440"/>
      <c r="V1230" s="440"/>
      <c r="W1230" s="440"/>
      <c r="X1230" s="442"/>
    </row>
    <row r="1231" spans="1:24" x14ac:dyDescent="0.25">
      <c r="A1231" s="862">
        <v>1949</v>
      </c>
      <c r="B1231" s="863" t="s">
        <v>8057</v>
      </c>
      <c r="C1231" s="862">
        <v>1949</v>
      </c>
      <c r="D1231" s="165" t="s">
        <v>2150</v>
      </c>
      <c r="E1231" s="165" t="s">
        <v>8058</v>
      </c>
      <c r="F1231" s="163">
        <v>2</v>
      </c>
      <c r="G1231" s="864"/>
      <c r="H1231" s="864">
        <v>28467.975088866326</v>
      </c>
      <c r="I1231" s="864">
        <v>29554.597704975422</v>
      </c>
      <c r="J1231" s="864">
        <v>30698.456766921845</v>
      </c>
      <c r="K1231" s="864">
        <v>31902.509781025437</v>
      </c>
      <c r="L1231" s="18" t="s">
        <v>1888</v>
      </c>
      <c r="M1231" s="442"/>
      <c r="N1231" s="433"/>
      <c r="P1231" s="434"/>
      <c r="T1231" s="443"/>
      <c r="U1231" s="440"/>
      <c r="V1231" s="440"/>
      <c r="W1231" s="440"/>
      <c r="X1231" s="442"/>
    </row>
    <row r="1232" spans="1:24" x14ac:dyDescent="0.25">
      <c r="A1232" s="862">
        <v>1950</v>
      </c>
      <c r="B1232" s="863" t="s">
        <v>8059</v>
      </c>
      <c r="C1232" s="862">
        <v>1950</v>
      </c>
      <c r="D1232" s="165" t="s">
        <v>2150</v>
      </c>
      <c r="E1232" s="165" t="s">
        <v>8060</v>
      </c>
      <c r="F1232" s="163">
        <v>1</v>
      </c>
      <c r="G1232" s="864"/>
      <c r="H1232" s="864">
        <v>12105.475537218683</v>
      </c>
      <c r="I1232" s="864">
        <v>12362.684894415233</v>
      </c>
      <c r="J1232" s="864">
        <v>12633.446726751758</v>
      </c>
      <c r="K1232" s="864">
        <v>12918.464228693052</v>
      </c>
      <c r="L1232" s="18" t="s">
        <v>3030</v>
      </c>
      <c r="M1232" s="442"/>
      <c r="N1232" s="433"/>
      <c r="P1232" s="434"/>
      <c r="T1232" s="443"/>
      <c r="U1232" s="440"/>
      <c r="V1232" s="440"/>
      <c r="W1232" s="440"/>
      <c r="X1232" s="442"/>
    </row>
    <row r="1233" spans="1:24" x14ac:dyDescent="0.25">
      <c r="A1233" s="862">
        <v>1951</v>
      </c>
      <c r="B1233" s="863" t="s">
        <v>8061</v>
      </c>
      <c r="C1233" s="862">
        <v>1951</v>
      </c>
      <c r="D1233" s="165" t="s">
        <v>2150</v>
      </c>
      <c r="E1233" s="165" t="s">
        <v>8062</v>
      </c>
      <c r="F1233" s="163">
        <v>1</v>
      </c>
      <c r="G1233" s="864"/>
      <c r="H1233" s="864">
        <v>13723.609288567259</v>
      </c>
      <c r="I1233" s="864">
        <v>0</v>
      </c>
      <c r="J1233" s="864">
        <v>0</v>
      </c>
      <c r="K1233" s="864">
        <v>0</v>
      </c>
      <c r="L1233" s="18" t="s">
        <v>3031</v>
      </c>
      <c r="M1233" s="442"/>
      <c r="N1233" s="433"/>
      <c r="P1233" s="434"/>
      <c r="T1233" s="443"/>
      <c r="U1233" s="440"/>
      <c r="V1233" s="440"/>
      <c r="W1233" s="440"/>
      <c r="X1233" s="442"/>
    </row>
    <row r="1234" spans="1:24" x14ac:dyDescent="0.25">
      <c r="A1234" s="862">
        <v>1952</v>
      </c>
      <c r="B1234" s="863" t="s">
        <v>8063</v>
      </c>
      <c r="C1234" s="862">
        <v>1952</v>
      </c>
      <c r="D1234" s="165" t="s">
        <v>2150</v>
      </c>
      <c r="E1234" s="165" t="s">
        <v>8064</v>
      </c>
      <c r="F1234" s="163">
        <v>1</v>
      </c>
      <c r="G1234" s="864"/>
      <c r="H1234" s="864">
        <v>14706.047637600321</v>
      </c>
      <c r="I1234" s="864">
        <v>0</v>
      </c>
      <c r="J1234" s="864">
        <v>0</v>
      </c>
      <c r="K1234" s="864">
        <v>0</v>
      </c>
      <c r="L1234" s="18" t="s">
        <v>3032</v>
      </c>
      <c r="M1234" s="442"/>
      <c r="N1234" s="433"/>
      <c r="P1234" s="434"/>
      <c r="T1234" s="443"/>
      <c r="U1234" s="440"/>
      <c r="V1234" s="440"/>
      <c r="W1234" s="440"/>
      <c r="X1234" s="442"/>
    </row>
    <row r="1235" spans="1:24" x14ac:dyDescent="0.25">
      <c r="A1235" s="862">
        <v>1953</v>
      </c>
      <c r="B1235" s="863" t="s">
        <v>8065</v>
      </c>
      <c r="C1235" s="862">
        <v>1953</v>
      </c>
      <c r="D1235" s="165" t="s">
        <v>2150</v>
      </c>
      <c r="E1235" s="165" t="s">
        <v>8066</v>
      </c>
      <c r="F1235" s="163">
        <v>1</v>
      </c>
      <c r="G1235" s="864"/>
      <c r="H1235" s="864">
        <v>14444.694159450022</v>
      </c>
      <c r="I1235" s="864">
        <v>14788.204655509588</v>
      </c>
      <c r="J1235" s="864">
        <v>15149.838390730391</v>
      </c>
      <c r="K1235" s="864">
        <v>15530.490339885813</v>
      </c>
      <c r="L1235" s="18" t="s">
        <v>3033</v>
      </c>
      <c r="M1235" s="442"/>
      <c r="N1235" s="433"/>
      <c r="P1235" s="434"/>
      <c r="T1235" s="443"/>
      <c r="U1235" s="440"/>
      <c r="V1235" s="440"/>
      <c r="W1235" s="440"/>
      <c r="X1235" s="442"/>
    </row>
    <row r="1236" spans="1:24" x14ac:dyDescent="0.25">
      <c r="A1236" s="862">
        <v>1954</v>
      </c>
      <c r="B1236" s="863" t="s">
        <v>8067</v>
      </c>
      <c r="C1236" s="862">
        <v>1954</v>
      </c>
      <c r="D1236" s="165" t="s">
        <v>2150</v>
      </c>
      <c r="E1236" s="165" t="s">
        <v>8068</v>
      </c>
      <c r="F1236" s="163">
        <v>1</v>
      </c>
      <c r="G1236" s="864"/>
      <c r="H1236" s="864">
        <v>15397.264677120484</v>
      </c>
      <c r="I1236" s="864">
        <v>15767.720306536172</v>
      </c>
      <c r="J1236" s="864">
        <v>16157.67360065795</v>
      </c>
      <c r="K1236" s="864">
        <v>16568.147387798268</v>
      </c>
      <c r="L1236" s="18" t="s">
        <v>3034</v>
      </c>
      <c r="M1236" s="442"/>
      <c r="N1236" s="433"/>
      <c r="P1236" s="433"/>
      <c r="T1236" s="443"/>
      <c r="U1236" s="440"/>
      <c r="V1236" s="440"/>
      <c r="W1236" s="440"/>
      <c r="X1236" s="442"/>
    </row>
    <row r="1237" spans="1:24" x14ac:dyDescent="0.25">
      <c r="A1237" s="862">
        <v>1955</v>
      </c>
      <c r="B1237" s="863" t="s">
        <v>8069</v>
      </c>
      <c r="C1237" s="862">
        <v>1955</v>
      </c>
      <c r="D1237" s="165" t="s">
        <v>2150</v>
      </c>
      <c r="E1237" s="165" t="s">
        <v>8070</v>
      </c>
      <c r="F1237" s="163">
        <v>1</v>
      </c>
      <c r="G1237" s="864"/>
      <c r="H1237" s="864">
        <v>16732.083138451057</v>
      </c>
      <c r="I1237" s="864">
        <v>17140.25556188836</v>
      </c>
      <c r="J1237" s="864">
        <v>17569.907379887121</v>
      </c>
      <c r="K1237" s="864">
        <v>18022.189274298857</v>
      </c>
      <c r="L1237" s="18" t="s">
        <v>3035</v>
      </c>
      <c r="M1237" s="442"/>
      <c r="N1237" s="433"/>
      <c r="P1237" s="433"/>
      <c r="T1237" s="443"/>
      <c r="U1237" s="440"/>
      <c r="V1237" s="440"/>
      <c r="W1237" s="440"/>
      <c r="X1237" s="442"/>
    </row>
    <row r="1238" spans="1:24" x14ac:dyDescent="0.25">
      <c r="A1238" s="862">
        <v>1956</v>
      </c>
      <c r="B1238" s="863" t="s">
        <v>8071</v>
      </c>
      <c r="C1238" s="862">
        <v>1956</v>
      </c>
      <c r="D1238" s="165" t="s">
        <v>2150</v>
      </c>
      <c r="E1238" s="165" t="s">
        <v>8072</v>
      </c>
      <c r="F1238" s="163">
        <v>1</v>
      </c>
      <c r="G1238" s="864"/>
      <c r="H1238" s="864">
        <v>0</v>
      </c>
      <c r="I1238" s="864">
        <v>0</v>
      </c>
      <c r="J1238" s="864">
        <v>15763.613625088856</v>
      </c>
      <c r="K1238" s="864">
        <v>0</v>
      </c>
      <c r="L1238" s="18" t="s">
        <v>4665</v>
      </c>
      <c r="M1238" s="442"/>
      <c r="N1238" s="433"/>
      <c r="P1238" s="433"/>
      <c r="T1238" s="443"/>
      <c r="U1238" s="440"/>
      <c r="V1238" s="440"/>
      <c r="W1238" s="440"/>
      <c r="X1238" s="442"/>
    </row>
    <row r="1239" spans="1:24" x14ac:dyDescent="0.25">
      <c r="A1239" s="862">
        <v>1957</v>
      </c>
      <c r="B1239" s="863" t="s">
        <v>8073</v>
      </c>
      <c r="C1239" s="862">
        <v>1957</v>
      </c>
      <c r="D1239" s="165" t="s">
        <v>2150</v>
      </c>
      <c r="E1239" s="165" t="s">
        <v>8074</v>
      </c>
      <c r="F1239" s="163">
        <v>1</v>
      </c>
      <c r="G1239" s="864"/>
      <c r="H1239" s="864">
        <v>0</v>
      </c>
      <c r="I1239" s="864">
        <v>0</v>
      </c>
      <c r="J1239" s="864">
        <v>17896.082747401801</v>
      </c>
      <c r="K1239" s="864">
        <v>18305.022292073441</v>
      </c>
      <c r="L1239" s="18" t="s">
        <v>4666</v>
      </c>
      <c r="M1239" s="442"/>
      <c r="N1239" s="433"/>
      <c r="P1239" s="433"/>
      <c r="T1239" s="443"/>
      <c r="U1239" s="440"/>
      <c r="V1239" s="440"/>
      <c r="W1239" s="440"/>
      <c r="X1239" s="442"/>
    </row>
    <row r="1240" spans="1:24" x14ac:dyDescent="0.25">
      <c r="A1240" s="862">
        <v>1958</v>
      </c>
      <c r="B1240" s="863" t="s">
        <v>8075</v>
      </c>
      <c r="C1240" s="862">
        <v>1958</v>
      </c>
      <c r="D1240" s="165" t="s">
        <v>2150</v>
      </c>
      <c r="E1240" s="165" t="s">
        <v>8076</v>
      </c>
      <c r="F1240" s="163">
        <v>1</v>
      </c>
      <c r="G1240" s="864"/>
      <c r="H1240" s="864">
        <v>8820.6754921895536</v>
      </c>
      <c r="I1240" s="864">
        <v>9042.7735156093404</v>
      </c>
      <c r="J1240" s="864">
        <v>9276.5550148829825</v>
      </c>
      <c r="K1240" s="864">
        <v>9522.6545557916652</v>
      </c>
      <c r="L1240" s="18" t="s">
        <v>1889</v>
      </c>
      <c r="M1240" s="442"/>
      <c r="N1240" s="433"/>
      <c r="P1240" s="433"/>
      <c r="T1240" s="443"/>
      <c r="U1240" s="440"/>
      <c r="V1240" s="440"/>
      <c r="W1240" s="440"/>
      <c r="X1240" s="442"/>
    </row>
    <row r="1241" spans="1:24" x14ac:dyDescent="0.25">
      <c r="A1241" s="862">
        <v>1959</v>
      </c>
      <c r="B1241" s="863" t="s">
        <v>8077</v>
      </c>
      <c r="C1241" s="862">
        <v>1959</v>
      </c>
      <c r="D1241" s="165" t="s">
        <v>2150</v>
      </c>
      <c r="E1241" s="165" t="s">
        <v>8078</v>
      </c>
      <c r="F1241" s="163">
        <v>1</v>
      </c>
      <c r="G1241" s="864"/>
      <c r="H1241" s="864">
        <v>9693.679608991346</v>
      </c>
      <c r="I1241" s="864">
        <v>9945.4529145319357</v>
      </c>
      <c r="J1241" s="864">
        <v>10210.477446679917</v>
      </c>
      <c r="K1241" s="864">
        <v>10489.462426014288</v>
      </c>
      <c r="L1241" s="18" t="s">
        <v>1890</v>
      </c>
      <c r="M1241" s="442"/>
      <c r="N1241" s="433"/>
      <c r="P1241" s="32"/>
      <c r="T1241" s="443"/>
      <c r="U1241" s="440"/>
      <c r="V1241" s="440"/>
      <c r="W1241" s="440"/>
      <c r="X1241" s="442"/>
    </row>
    <row r="1242" spans="1:24" x14ac:dyDescent="0.25">
      <c r="A1242" s="862">
        <v>1960</v>
      </c>
      <c r="B1242" s="863" t="s">
        <v>8079</v>
      </c>
      <c r="C1242" s="862">
        <v>1960</v>
      </c>
      <c r="D1242" s="165" t="s">
        <v>2150</v>
      </c>
      <c r="E1242" s="165" t="s">
        <v>8080</v>
      </c>
      <c r="F1242" s="163">
        <v>1</v>
      </c>
      <c r="G1242" s="864"/>
      <c r="H1242" s="864">
        <v>10572.174317722716</v>
      </c>
      <c r="I1242" s="864">
        <v>10853.809542378571</v>
      </c>
      <c r="J1242" s="864">
        <v>11150.26374439537</v>
      </c>
      <c r="K1242" s="864">
        <v>11462.320799149897</v>
      </c>
      <c r="L1242" s="18" t="s">
        <v>1891</v>
      </c>
      <c r="M1242" s="442"/>
      <c r="N1242" s="433"/>
      <c r="P1242" s="433"/>
      <c r="T1242" s="443"/>
      <c r="U1242" s="440"/>
      <c r="V1242" s="440"/>
      <c r="W1242" s="440"/>
      <c r="X1242" s="442"/>
    </row>
    <row r="1243" spans="1:24" x14ac:dyDescent="0.25">
      <c r="A1243" s="862">
        <v>1961</v>
      </c>
      <c r="B1243" s="863" t="s">
        <v>8081</v>
      </c>
      <c r="C1243" s="862">
        <v>1961</v>
      </c>
      <c r="D1243" s="165" t="s">
        <v>2150</v>
      </c>
      <c r="E1243" s="165" t="s">
        <v>8082</v>
      </c>
      <c r="F1243" s="163">
        <v>1</v>
      </c>
      <c r="G1243" s="864"/>
      <c r="H1243" s="864">
        <v>0</v>
      </c>
      <c r="I1243" s="864">
        <v>0</v>
      </c>
      <c r="J1243" s="864">
        <v>8513.7141898081554</v>
      </c>
      <c r="K1243" s="864">
        <v>8721.2918550581435</v>
      </c>
      <c r="L1243" s="18" t="s">
        <v>4667</v>
      </c>
      <c r="M1243" s="442"/>
      <c r="N1243" s="433"/>
      <c r="P1243" s="433"/>
      <c r="T1243" s="443"/>
      <c r="U1243" s="440"/>
      <c r="V1243" s="440"/>
      <c r="W1243" s="440"/>
      <c r="X1243" s="442"/>
    </row>
    <row r="1244" spans="1:24" x14ac:dyDescent="0.25">
      <c r="A1244" s="862">
        <v>1962</v>
      </c>
      <c r="B1244" s="863" t="s">
        <v>8083</v>
      </c>
      <c r="C1244" s="862">
        <v>1962</v>
      </c>
      <c r="D1244" s="165" t="s">
        <v>2150</v>
      </c>
      <c r="E1244" s="165" t="s">
        <v>8084</v>
      </c>
      <c r="F1244" s="163">
        <v>1</v>
      </c>
      <c r="G1244" s="864"/>
      <c r="H1244" s="864">
        <v>0</v>
      </c>
      <c r="I1244" s="864">
        <v>0</v>
      </c>
      <c r="J1244" s="864">
        <v>8884.9910352652005</v>
      </c>
      <c r="K1244" s="864">
        <v>9104.9613969480233</v>
      </c>
      <c r="L1244" s="18" t="s">
        <v>4668</v>
      </c>
      <c r="M1244" s="442"/>
      <c r="N1244" s="433"/>
      <c r="P1244" s="433"/>
      <c r="T1244" s="443"/>
      <c r="U1244" s="440"/>
      <c r="V1244" s="440"/>
      <c r="W1244" s="440"/>
      <c r="X1244" s="442"/>
    </row>
    <row r="1245" spans="1:24" x14ac:dyDescent="0.25">
      <c r="A1245" s="862">
        <v>1963</v>
      </c>
      <c r="B1245" s="863" t="s">
        <v>8085</v>
      </c>
      <c r="C1245" s="862">
        <v>1963</v>
      </c>
      <c r="D1245" s="165" t="s">
        <v>2150</v>
      </c>
      <c r="E1245" s="165" t="s">
        <v>8086</v>
      </c>
      <c r="F1245" s="163">
        <v>1</v>
      </c>
      <c r="G1245" s="864"/>
      <c r="H1245" s="864">
        <v>0</v>
      </c>
      <c r="I1245" s="864">
        <v>0</v>
      </c>
      <c r="J1245" s="864">
        <v>0</v>
      </c>
      <c r="K1245" s="864">
        <v>28801.341816568089</v>
      </c>
      <c r="L1245" s="18" t="s">
        <v>10940</v>
      </c>
      <c r="M1245" s="442"/>
      <c r="N1245" s="433"/>
      <c r="P1245" s="433"/>
      <c r="T1245" s="443"/>
      <c r="U1245" s="440"/>
      <c r="V1245" s="440"/>
      <c r="W1245" s="440"/>
      <c r="X1245" s="442"/>
    </row>
    <row r="1246" spans="1:24" x14ac:dyDescent="0.25">
      <c r="A1246" s="862">
        <v>1964</v>
      </c>
      <c r="B1246" s="863" t="s">
        <v>8087</v>
      </c>
      <c r="C1246" s="862">
        <v>1964</v>
      </c>
      <c r="D1246" s="165" t="s">
        <v>2150</v>
      </c>
      <c r="E1246" s="165" t="s">
        <v>8088</v>
      </c>
      <c r="F1246" s="163">
        <v>1</v>
      </c>
      <c r="G1246" s="864"/>
      <c r="H1246" s="864">
        <v>0</v>
      </c>
      <c r="I1246" s="864">
        <v>0</v>
      </c>
      <c r="J1246" s="864">
        <v>11574.096187361223</v>
      </c>
      <c r="K1246" s="864">
        <v>11883.689633788741</v>
      </c>
      <c r="L1246" s="18" t="s">
        <v>4669</v>
      </c>
      <c r="M1246" s="442"/>
      <c r="N1246" s="433"/>
      <c r="P1246" s="433"/>
      <c r="T1246" s="443"/>
      <c r="U1246" s="440"/>
      <c r="V1246" s="440"/>
      <c r="W1246" s="440"/>
      <c r="X1246" s="442"/>
    </row>
    <row r="1247" spans="1:24" x14ac:dyDescent="0.25">
      <c r="A1247" s="862">
        <v>1965</v>
      </c>
      <c r="B1247" s="863" t="s">
        <v>8089</v>
      </c>
      <c r="C1247" s="862">
        <v>1965</v>
      </c>
      <c r="D1247" s="165" t="s">
        <v>2150</v>
      </c>
      <c r="E1247" s="165" t="s">
        <v>8090</v>
      </c>
      <c r="F1247" s="163">
        <v>1</v>
      </c>
      <c r="G1247" s="864"/>
      <c r="H1247" s="864">
        <v>0</v>
      </c>
      <c r="I1247" s="864">
        <v>0</v>
      </c>
      <c r="J1247" s="864">
        <v>11648.35155645263</v>
      </c>
      <c r="K1247" s="864">
        <v>11960.445938606053</v>
      </c>
      <c r="L1247" s="18" t="s">
        <v>4670</v>
      </c>
      <c r="M1247" s="442"/>
      <c r="N1247" s="433"/>
      <c r="P1247" s="433"/>
      <c r="T1247" s="443"/>
      <c r="U1247" s="440"/>
      <c r="V1247" s="440"/>
      <c r="W1247" s="440"/>
      <c r="X1247" s="442"/>
    </row>
    <row r="1248" spans="1:24" x14ac:dyDescent="0.25">
      <c r="A1248" s="862">
        <v>1966</v>
      </c>
      <c r="B1248" s="863" t="s">
        <v>8091</v>
      </c>
      <c r="C1248" s="862">
        <v>1966</v>
      </c>
      <c r="D1248" s="165" t="s">
        <v>2150</v>
      </c>
      <c r="E1248" s="165" t="s">
        <v>8092</v>
      </c>
      <c r="F1248" s="163">
        <v>1</v>
      </c>
      <c r="G1248" s="864"/>
      <c r="H1248" s="864">
        <v>0</v>
      </c>
      <c r="I1248" s="864">
        <v>0</v>
      </c>
      <c r="J1248" s="864">
        <v>10942.925550084245</v>
      </c>
      <c r="K1248" s="864">
        <v>11231.503670934395</v>
      </c>
      <c r="L1248" s="18" t="s">
        <v>4671</v>
      </c>
      <c r="M1248" s="442"/>
      <c r="N1248" s="433"/>
      <c r="P1248" s="433"/>
      <c r="T1248" s="443"/>
      <c r="U1248" s="440"/>
      <c r="V1248" s="440"/>
      <c r="W1248" s="440"/>
      <c r="X1248" s="442"/>
    </row>
    <row r="1249" spans="1:24" x14ac:dyDescent="0.25">
      <c r="A1249" s="862">
        <v>1967</v>
      </c>
      <c r="B1249" s="863" t="s">
        <v>8093</v>
      </c>
      <c r="C1249" s="862">
        <v>1967</v>
      </c>
      <c r="D1249" s="165" t="s">
        <v>2150</v>
      </c>
      <c r="E1249" s="165" t="s">
        <v>8094</v>
      </c>
      <c r="F1249" s="163">
        <v>1</v>
      </c>
      <c r="G1249" s="864"/>
      <c r="H1249" s="864">
        <v>19878.487918252373</v>
      </c>
      <c r="I1249" s="864">
        <v>20631.028412380456</v>
      </c>
      <c r="J1249" s="864">
        <v>21423.188750219502</v>
      </c>
      <c r="K1249" s="864">
        <v>22257.018913732682</v>
      </c>
      <c r="L1249" s="18" t="s">
        <v>1892</v>
      </c>
      <c r="M1249" s="442"/>
      <c r="N1249" s="433"/>
      <c r="P1249" s="433"/>
      <c r="T1249" s="443"/>
      <c r="U1249" s="440"/>
      <c r="V1249" s="440"/>
      <c r="W1249" s="440"/>
      <c r="X1249" s="442"/>
    </row>
    <row r="1250" spans="1:24" x14ac:dyDescent="0.25">
      <c r="A1250" s="862">
        <v>1968</v>
      </c>
      <c r="B1250" s="863" t="s">
        <v>8095</v>
      </c>
      <c r="C1250" s="862">
        <v>1968</v>
      </c>
      <c r="D1250" s="165" t="s">
        <v>2150</v>
      </c>
      <c r="E1250" s="165" t="s">
        <v>8096</v>
      </c>
      <c r="F1250" s="163">
        <v>1</v>
      </c>
      <c r="G1250" s="864"/>
      <c r="H1250" s="864">
        <v>0</v>
      </c>
      <c r="I1250" s="864">
        <v>0</v>
      </c>
      <c r="J1250" s="864">
        <v>0</v>
      </c>
      <c r="K1250" s="864">
        <v>32607.804477013997</v>
      </c>
      <c r="L1250" s="18" t="s">
        <v>10941</v>
      </c>
      <c r="M1250" s="442"/>
      <c r="N1250" s="433"/>
      <c r="P1250" s="433"/>
      <c r="T1250" s="443"/>
      <c r="U1250" s="440"/>
      <c r="V1250" s="440"/>
      <c r="W1250" s="440"/>
      <c r="X1250" s="442"/>
    </row>
    <row r="1251" spans="1:24" x14ac:dyDescent="0.25">
      <c r="A1251" s="862">
        <v>1969</v>
      </c>
      <c r="B1251" s="863" t="s">
        <v>8097</v>
      </c>
      <c r="C1251" s="862">
        <v>1969</v>
      </c>
      <c r="D1251" s="165" t="s">
        <v>2150</v>
      </c>
      <c r="E1251" s="165" t="s">
        <v>8098</v>
      </c>
      <c r="F1251" s="163">
        <v>1</v>
      </c>
      <c r="G1251" s="864"/>
      <c r="H1251" s="864">
        <v>20092.94904810685</v>
      </c>
      <c r="I1251" s="864">
        <v>20868.670107510607</v>
      </c>
      <c r="J1251" s="864">
        <v>21685.272537987268</v>
      </c>
      <c r="K1251" s="864">
        <v>22663.074511682004</v>
      </c>
      <c r="L1251" s="18" t="s">
        <v>1893</v>
      </c>
      <c r="M1251" s="442"/>
      <c r="N1251" s="433"/>
      <c r="P1251" s="433"/>
      <c r="T1251" s="443"/>
      <c r="U1251" s="440"/>
      <c r="V1251" s="440"/>
      <c r="W1251" s="440"/>
      <c r="X1251" s="442"/>
    </row>
    <row r="1252" spans="1:24" x14ac:dyDescent="0.25">
      <c r="A1252" s="862">
        <v>1970</v>
      </c>
      <c r="B1252" s="863" t="s">
        <v>8099</v>
      </c>
      <c r="C1252" s="862">
        <v>1970</v>
      </c>
      <c r="D1252" s="165" t="s">
        <v>2150</v>
      </c>
      <c r="E1252" s="165" t="s">
        <v>8100</v>
      </c>
      <c r="F1252" s="163">
        <v>1</v>
      </c>
      <c r="G1252" s="864"/>
      <c r="H1252" s="864">
        <v>22734.049907573841</v>
      </c>
      <c r="I1252" s="864">
        <v>23609.825855871561</v>
      </c>
      <c r="J1252" s="864">
        <v>24531.72639834027</v>
      </c>
      <c r="K1252" s="864">
        <v>25502.116898783599</v>
      </c>
      <c r="L1252" s="18" t="s">
        <v>1894</v>
      </c>
      <c r="M1252" s="442"/>
      <c r="N1252" s="433"/>
      <c r="P1252" s="433"/>
      <c r="T1252" s="443"/>
      <c r="U1252" s="440"/>
      <c r="V1252" s="440"/>
      <c r="W1252" s="440"/>
      <c r="X1252" s="442"/>
    </row>
    <row r="1253" spans="1:24" x14ac:dyDescent="0.25">
      <c r="A1253" s="862">
        <v>1971</v>
      </c>
      <c r="B1253" s="863" t="s">
        <v>8101</v>
      </c>
      <c r="C1253" s="862">
        <v>1971</v>
      </c>
      <c r="D1253" s="165" t="s">
        <v>2150</v>
      </c>
      <c r="E1253" s="165" t="s">
        <v>8102</v>
      </c>
      <c r="F1253" s="163">
        <v>1</v>
      </c>
      <c r="G1253" s="864"/>
      <c r="H1253" s="864">
        <v>26565.687802330274</v>
      </c>
      <c r="I1253" s="864">
        <v>27625.922704581855</v>
      </c>
      <c r="J1253" s="864">
        <v>28741.940769869292</v>
      </c>
      <c r="K1253" s="864">
        <v>29916.73812567717</v>
      </c>
      <c r="L1253" s="18" t="s">
        <v>1895</v>
      </c>
      <c r="M1253" s="442"/>
      <c r="N1253" s="433"/>
      <c r="P1253" s="433"/>
      <c r="T1253" s="443"/>
      <c r="U1253" s="440"/>
      <c r="V1253" s="440"/>
      <c r="W1253" s="440"/>
      <c r="X1253" s="442"/>
    </row>
    <row r="1254" spans="1:24" x14ac:dyDescent="0.25">
      <c r="A1254" s="862">
        <v>1972</v>
      </c>
      <c r="B1254" s="863" t="s">
        <v>8103</v>
      </c>
      <c r="C1254" s="862">
        <v>1972</v>
      </c>
      <c r="D1254" s="165" t="s">
        <v>2150</v>
      </c>
      <c r="E1254" s="165" t="s">
        <v>8104</v>
      </c>
      <c r="F1254" s="163">
        <v>1</v>
      </c>
      <c r="G1254" s="864"/>
      <c r="H1254" s="864">
        <v>0</v>
      </c>
      <c r="I1254" s="864">
        <v>0</v>
      </c>
      <c r="J1254" s="864">
        <v>0</v>
      </c>
      <c r="K1254" s="864">
        <v>38314.601846582198</v>
      </c>
      <c r="L1254" s="18" t="s">
        <v>10942</v>
      </c>
      <c r="M1254" s="442"/>
      <c r="N1254" s="433"/>
      <c r="P1254" s="433"/>
      <c r="T1254" s="443"/>
      <c r="U1254" s="440"/>
      <c r="V1254" s="440"/>
      <c r="W1254" s="440"/>
      <c r="X1254" s="442"/>
    </row>
    <row r="1255" spans="1:24" x14ac:dyDescent="0.25">
      <c r="A1255" s="862">
        <v>1973</v>
      </c>
      <c r="B1255" s="863" t="s">
        <v>8105</v>
      </c>
      <c r="C1255" s="862">
        <v>1973</v>
      </c>
      <c r="D1255" s="165" t="s">
        <v>2150</v>
      </c>
      <c r="E1255" s="165" t="s">
        <v>8106</v>
      </c>
      <c r="F1255" s="163">
        <v>1</v>
      </c>
      <c r="G1255" s="864"/>
      <c r="H1255" s="864">
        <v>38473.133343212015</v>
      </c>
      <c r="I1255" s="864">
        <v>40046.494499933251</v>
      </c>
      <c r="J1255" s="864">
        <v>41702.682812511935</v>
      </c>
      <c r="K1255" s="864">
        <v>43446.034781254777</v>
      </c>
      <c r="L1255" s="18" t="s">
        <v>1896</v>
      </c>
      <c r="M1255" s="442"/>
      <c r="N1255" s="433"/>
      <c r="P1255" s="433"/>
      <c r="T1255" s="443"/>
      <c r="U1255" s="440"/>
      <c r="V1255" s="440"/>
      <c r="W1255" s="440"/>
      <c r="X1255" s="442"/>
    </row>
    <row r="1256" spans="1:24" x14ac:dyDescent="0.25">
      <c r="A1256" s="862">
        <v>1974</v>
      </c>
      <c r="B1256" s="863" t="s">
        <v>8107</v>
      </c>
      <c r="C1256" s="862">
        <v>1974</v>
      </c>
      <c r="D1256" s="165" t="s">
        <v>2150</v>
      </c>
      <c r="E1256" s="165" t="s">
        <v>8108</v>
      </c>
      <c r="F1256" s="163">
        <v>1</v>
      </c>
      <c r="G1256" s="864"/>
      <c r="H1256" s="864">
        <v>24424.32568610266</v>
      </c>
      <c r="I1256" s="864">
        <v>25086.418671259351</v>
      </c>
      <c r="J1256" s="864">
        <v>25783.368962348577</v>
      </c>
      <c r="K1256" s="864">
        <v>26516.994958154934</v>
      </c>
      <c r="L1256" s="18" t="s">
        <v>1897</v>
      </c>
      <c r="M1256" s="442"/>
      <c r="N1256" s="433"/>
      <c r="P1256" s="433"/>
      <c r="T1256" s="443"/>
      <c r="U1256" s="440"/>
      <c r="V1256" s="440"/>
      <c r="W1256" s="440"/>
      <c r="X1256" s="442"/>
    </row>
    <row r="1257" spans="1:24" x14ac:dyDescent="0.25">
      <c r="A1257" s="862">
        <v>1975</v>
      </c>
      <c r="B1257" s="863" t="s">
        <v>8109</v>
      </c>
      <c r="C1257" s="862">
        <v>1975</v>
      </c>
      <c r="D1257" s="165" t="s">
        <v>2150</v>
      </c>
      <c r="E1257" s="165" t="s">
        <v>8110</v>
      </c>
      <c r="F1257" s="163">
        <v>1</v>
      </c>
      <c r="G1257" s="864"/>
      <c r="H1257" s="864">
        <v>26076.720772106502</v>
      </c>
      <c r="I1257" s="864">
        <v>26788.41408103396</v>
      </c>
      <c r="J1257" s="864">
        <v>27537.56640492423</v>
      </c>
      <c r="K1257" s="864">
        <v>28326.136019391502</v>
      </c>
      <c r="L1257" s="18" t="s">
        <v>1898</v>
      </c>
      <c r="M1257" s="442"/>
      <c r="N1257" s="433"/>
      <c r="P1257" s="433"/>
      <c r="T1257" s="443"/>
      <c r="U1257" s="440"/>
      <c r="V1257" s="440"/>
      <c r="W1257" s="440"/>
      <c r="X1257" s="442"/>
    </row>
    <row r="1258" spans="1:24" x14ac:dyDescent="0.25">
      <c r="A1258" s="862">
        <v>1976</v>
      </c>
      <c r="B1258" s="863" t="s">
        <v>8111</v>
      </c>
      <c r="C1258" s="862">
        <v>1976</v>
      </c>
      <c r="D1258" s="165" t="s">
        <v>2150</v>
      </c>
      <c r="E1258" s="165" t="s">
        <v>8112</v>
      </c>
      <c r="F1258" s="163">
        <v>1</v>
      </c>
      <c r="G1258" s="864"/>
      <c r="H1258" s="864">
        <v>27109.481688541855</v>
      </c>
      <c r="I1258" s="864">
        <v>27852.171702905314</v>
      </c>
      <c r="J1258" s="864">
        <v>28633.971278820667</v>
      </c>
      <c r="K1258" s="864">
        <v>29456.894642633961</v>
      </c>
      <c r="L1258" s="18" t="s">
        <v>1899</v>
      </c>
      <c r="M1258" s="442"/>
      <c r="N1258" s="433"/>
      <c r="P1258" s="433"/>
      <c r="T1258" s="443"/>
      <c r="U1258" s="440"/>
      <c r="V1258" s="440"/>
      <c r="W1258" s="440"/>
      <c r="X1258" s="442"/>
    </row>
    <row r="1259" spans="1:24" x14ac:dyDescent="0.25">
      <c r="A1259" s="862">
        <v>1977</v>
      </c>
      <c r="B1259" s="863" t="s">
        <v>8113</v>
      </c>
      <c r="C1259" s="862">
        <v>1977</v>
      </c>
      <c r="D1259" s="165" t="s">
        <v>2150</v>
      </c>
      <c r="E1259" s="165" t="s">
        <v>8114</v>
      </c>
      <c r="F1259" s="163">
        <v>1</v>
      </c>
      <c r="G1259" s="864"/>
      <c r="H1259" s="864">
        <v>30628.043594368708</v>
      </c>
      <c r="I1259" s="864">
        <v>31494.972208769384</v>
      </c>
      <c r="J1259" s="864">
        <v>32407.528644980612</v>
      </c>
      <c r="K1259" s="864">
        <v>33368.118784471277</v>
      </c>
      <c r="L1259" s="18" t="s">
        <v>1900</v>
      </c>
      <c r="M1259" s="442"/>
      <c r="N1259" s="433"/>
      <c r="P1259" s="433"/>
      <c r="T1259" s="443"/>
      <c r="U1259" s="440"/>
      <c r="V1259" s="440"/>
      <c r="W1259" s="440"/>
      <c r="X1259" s="442"/>
    </row>
    <row r="1260" spans="1:24" x14ac:dyDescent="0.25">
      <c r="A1260" s="862">
        <v>1978</v>
      </c>
      <c r="B1260" s="863" t="s">
        <v>8115</v>
      </c>
      <c r="C1260" s="862">
        <v>1978</v>
      </c>
      <c r="D1260" s="165" t="s">
        <v>2150</v>
      </c>
      <c r="E1260" s="165" t="s">
        <v>8116</v>
      </c>
      <c r="F1260" s="163">
        <v>1</v>
      </c>
      <c r="G1260" s="864"/>
      <c r="H1260" s="864">
        <v>0</v>
      </c>
      <c r="I1260" s="864">
        <v>0</v>
      </c>
      <c r="J1260" s="864">
        <v>0</v>
      </c>
      <c r="K1260" s="864">
        <v>39534.139148552669</v>
      </c>
      <c r="L1260" s="18" t="s">
        <v>10943</v>
      </c>
      <c r="M1260" s="442"/>
      <c r="N1260" s="433"/>
      <c r="P1260" s="433"/>
      <c r="T1260" s="443"/>
      <c r="U1260" s="440"/>
      <c r="V1260" s="440"/>
      <c r="W1260" s="440"/>
      <c r="X1260" s="442"/>
    </row>
    <row r="1261" spans="1:24" x14ac:dyDescent="0.25">
      <c r="A1261" s="862">
        <v>1979</v>
      </c>
      <c r="B1261" s="863" t="s">
        <v>8117</v>
      </c>
      <c r="C1261" s="862">
        <v>1979</v>
      </c>
      <c r="D1261" s="165" t="s">
        <v>2150</v>
      </c>
      <c r="E1261" s="165" t="s">
        <v>8118</v>
      </c>
      <c r="F1261" s="163">
        <v>2</v>
      </c>
      <c r="G1261" s="864"/>
      <c r="H1261" s="864">
        <v>12340.386959563864</v>
      </c>
      <c r="I1261" s="864">
        <v>12560.326299120255</v>
      </c>
      <c r="J1261" s="864">
        <v>12791.851366348043</v>
      </c>
      <c r="K1261" s="864">
        <v>13035.557689305109</v>
      </c>
      <c r="L1261" s="18" t="s">
        <v>1901</v>
      </c>
      <c r="M1261" s="442"/>
      <c r="N1261" s="433"/>
      <c r="P1261" s="433"/>
      <c r="T1261" s="443"/>
      <c r="U1261" s="440"/>
      <c r="V1261" s="440"/>
      <c r="W1261" s="440"/>
      <c r="X1261" s="442"/>
    </row>
    <row r="1262" spans="1:24" x14ac:dyDescent="0.25">
      <c r="A1262" s="862">
        <v>1980</v>
      </c>
      <c r="B1262" s="863" t="s">
        <v>8119</v>
      </c>
      <c r="C1262" s="862">
        <v>1980</v>
      </c>
      <c r="D1262" s="165" t="s">
        <v>2150</v>
      </c>
      <c r="E1262" s="165" t="s">
        <v>8120</v>
      </c>
      <c r="F1262" s="163">
        <v>2</v>
      </c>
      <c r="G1262" s="864"/>
      <c r="H1262" s="864">
        <v>10062.06134996047</v>
      </c>
      <c r="I1262" s="864">
        <v>10254.877093426336</v>
      </c>
      <c r="J1262" s="864">
        <v>10457.843883333266</v>
      </c>
      <c r="K1262" s="864">
        <v>10671.50310882478</v>
      </c>
      <c r="L1262" s="18" t="s">
        <v>1902</v>
      </c>
      <c r="M1262" s="442"/>
      <c r="N1262" s="433"/>
      <c r="P1262" s="433"/>
      <c r="T1262" s="443"/>
      <c r="U1262" s="440"/>
      <c r="V1262" s="440"/>
      <c r="W1262" s="440"/>
      <c r="X1262" s="442"/>
    </row>
    <row r="1263" spans="1:24" x14ac:dyDescent="0.25">
      <c r="A1263" s="862">
        <v>1981</v>
      </c>
      <c r="B1263" s="863" t="s">
        <v>8121</v>
      </c>
      <c r="C1263" s="862">
        <v>1981</v>
      </c>
      <c r="D1263" s="165" t="s">
        <v>2150</v>
      </c>
      <c r="E1263" s="165" t="s">
        <v>8122</v>
      </c>
      <c r="F1263" s="163">
        <v>2</v>
      </c>
      <c r="G1263" s="864"/>
      <c r="H1263" s="864">
        <v>11811.88802878316</v>
      </c>
      <c r="I1263" s="864">
        <v>12057.029032970562</v>
      </c>
      <c r="J1263" s="864">
        <v>12315.082168231</v>
      </c>
      <c r="K1263" s="864">
        <v>12586.724170993873</v>
      </c>
      <c r="L1263" s="18" t="s">
        <v>1903</v>
      </c>
      <c r="M1263" s="442"/>
      <c r="N1263" s="433"/>
      <c r="P1263" s="433"/>
      <c r="T1263" s="443"/>
      <c r="U1263" s="440"/>
      <c r="V1263" s="440"/>
      <c r="W1263" s="440"/>
      <c r="X1263" s="442"/>
    </row>
    <row r="1264" spans="1:24" x14ac:dyDescent="0.25">
      <c r="A1264" s="862">
        <v>1982</v>
      </c>
      <c r="B1264" s="863" t="s">
        <v>8123</v>
      </c>
      <c r="C1264" s="862">
        <v>1982</v>
      </c>
      <c r="D1264" s="165" t="s">
        <v>2150</v>
      </c>
      <c r="E1264" s="165" t="s">
        <v>8124</v>
      </c>
      <c r="F1264" s="163">
        <v>2</v>
      </c>
      <c r="G1264" s="864"/>
      <c r="H1264" s="864">
        <v>12200.666216635731</v>
      </c>
      <c r="I1264" s="864">
        <v>12457.447087408887</v>
      </c>
      <c r="J1264" s="864">
        <v>12727.735617312954</v>
      </c>
      <c r="K1264" s="864">
        <v>13012.262681691685</v>
      </c>
      <c r="L1264" s="18" t="s">
        <v>1904</v>
      </c>
      <c r="M1264" s="442"/>
      <c r="N1264" s="433"/>
      <c r="P1264" s="433"/>
      <c r="T1264" s="443"/>
      <c r="U1264" s="440"/>
      <c r="V1264" s="440"/>
      <c r="W1264" s="440"/>
      <c r="X1264" s="442"/>
    </row>
    <row r="1265" spans="1:24" x14ac:dyDescent="0.25">
      <c r="A1265" s="862">
        <v>1983</v>
      </c>
      <c r="B1265" s="863" t="s">
        <v>8125</v>
      </c>
      <c r="C1265" s="862">
        <v>1983</v>
      </c>
      <c r="D1265" s="165" t="s">
        <v>2150</v>
      </c>
      <c r="E1265" s="165" t="s">
        <v>8126</v>
      </c>
      <c r="F1265" s="163">
        <v>2</v>
      </c>
      <c r="G1265" s="864"/>
      <c r="H1265" s="864">
        <v>10807.354890630446</v>
      </c>
      <c r="I1265" s="864">
        <v>11022.475866809478</v>
      </c>
      <c r="J1265" s="864">
        <v>11248.911876088147</v>
      </c>
      <c r="K1265" s="864">
        <v>11487.258446524331</v>
      </c>
      <c r="L1265" s="18" t="s">
        <v>1905</v>
      </c>
      <c r="M1265" s="442"/>
      <c r="N1265" s="433"/>
      <c r="P1265" s="433"/>
      <c r="T1265" s="443"/>
      <c r="U1265" s="440"/>
      <c r="V1265" s="440"/>
      <c r="W1265" s="440"/>
      <c r="X1265" s="442"/>
    </row>
    <row r="1266" spans="1:24" x14ac:dyDescent="0.25">
      <c r="A1266" s="862">
        <v>1984</v>
      </c>
      <c r="B1266" s="863" t="s">
        <v>8127</v>
      </c>
      <c r="C1266" s="862">
        <v>1984</v>
      </c>
      <c r="D1266" s="165" t="s">
        <v>2150</v>
      </c>
      <c r="E1266" s="165" t="s">
        <v>8128</v>
      </c>
      <c r="F1266" s="163">
        <v>1</v>
      </c>
      <c r="G1266" s="864"/>
      <c r="H1266" s="864">
        <v>29440.522394947075</v>
      </c>
      <c r="I1266" s="864">
        <v>30162.964611194056</v>
      </c>
      <c r="J1266" s="864">
        <v>30923.424385054408</v>
      </c>
      <c r="K1266" s="864">
        <v>31723.911216001969</v>
      </c>
      <c r="L1266" s="18" t="s">
        <v>1906</v>
      </c>
      <c r="M1266" s="442"/>
      <c r="N1266" s="433"/>
      <c r="P1266" s="433"/>
      <c r="T1266" s="443"/>
      <c r="U1266" s="440"/>
      <c r="V1266" s="440"/>
      <c r="W1266" s="440"/>
      <c r="X1266" s="442"/>
    </row>
    <row r="1267" spans="1:24" x14ac:dyDescent="0.25">
      <c r="A1267" s="862">
        <v>1985</v>
      </c>
      <c r="B1267" s="863" t="s">
        <v>8129</v>
      </c>
      <c r="C1267" s="862">
        <v>1985</v>
      </c>
      <c r="D1267" s="165" t="s">
        <v>2150</v>
      </c>
      <c r="E1267" s="165" t="s">
        <v>8130</v>
      </c>
      <c r="F1267" s="163">
        <v>1</v>
      </c>
      <c r="G1267" s="864"/>
      <c r="H1267" s="864">
        <v>27412.67955799132</v>
      </c>
      <c r="I1267" s="864">
        <v>28063.078502560984</v>
      </c>
      <c r="J1267" s="864">
        <v>28747.720404380983</v>
      </c>
      <c r="K1267" s="864">
        <v>29468.397519738781</v>
      </c>
      <c r="L1267" s="18" t="s">
        <v>1907</v>
      </c>
      <c r="M1267" s="442"/>
      <c r="N1267" s="433"/>
      <c r="P1267" s="433"/>
      <c r="T1267" s="443"/>
      <c r="U1267" s="440"/>
      <c r="V1267" s="440"/>
      <c r="W1267" s="440"/>
      <c r="X1267" s="442"/>
    </row>
    <row r="1268" spans="1:24" x14ac:dyDescent="0.25">
      <c r="A1268" s="862">
        <v>1986</v>
      </c>
      <c r="B1268" s="863" t="s">
        <v>8131</v>
      </c>
      <c r="C1268" s="862">
        <v>1986</v>
      </c>
      <c r="D1268" s="165" t="s">
        <v>2150</v>
      </c>
      <c r="E1268" s="165" t="s">
        <v>8132</v>
      </c>
      <c r="F1268" s="163">
        <v>1</v>
      </c>
      <c r="G1268" s="864"/>
      <c r="H1268" s="864">
        <v>0</v>
      </c>
      <c r="I1268" s="864">
        <v>15688.296341166053</v>
      </c>
      <c r="J1268" s="864">
        <v>16041.025074490326</v>
      </c>
      <c r="K1268" s="864">
        <v>16412.321434853486</v>
      </c>
      <c r="L1268" s="18" t="s">
        <v>3946</v>
      </c>
      <c r="M1268" s="442"/>
      <c r="N1268" s="433"/>
      <c r="P1268" s="433"/>
      <c r="T1268" s="443"/>
      <c r="U1268" s="440"/>
      <c r="V1268" s="440"/>
      <c r="W1268" s="440"/>
      <c r="X1268" s="442"/>
    </row>
    <row r="1269" spans="1:24" x14ac:dyDescent="0.25">
      <c r="A1269" s="862">
        <v>1987</v>
      </c>
      <c r="B1269" s="863" t="s">
        <v>8133</v>
      </c>
      <c r="C1269" s="862">
        <v>1987</v>
      </c>
      <c r="D1269" s="165" t="s">
        <v>2150</v>
      </c>
      <c r="E1269" s="165" t="s">
        <v>8134</v>
      </c>
      <c r="F1269" s="163">
        <v>1</v>
      </c>
      <c r="G1269" s="864"/>
      <c r="H1269" s="864">
        <v>0</v>
      </c>
      <c r="I1269" s="864">
        <v>17786.218437259566</v>
      </c>
      <c r="J1269" s="864">
        <v>18194.172518176059</v>
      </c>
      <c r="K1269" s="864">
        <v>18623.615607692784</v>
      </c>
      <c r="L1269" s="18" t="s">
        <v>3947</v>
      </c>
      <c r="M1269" s="442"/>
      <c r="N1269" s="433"/>
      <c r="P1269" s="433"/>
      <c r="T1269" s="443"/>
      <c r="U1269" s="440"/>
      <c r="V1269" s="440"/>
      <c r="W1269" s="440"/>
      <c r="X1269" s="442"/>
    </row>
    <row r="1270" spans="1:24" x14ac:dyDescent="0.25">
      <c r="A1270" s="862">
        <v>1988</v>
      </c>
      <c r="B1270" s="863" t="s">
        <v>8135</v>
      </c>
      <c r="C1270" s="862">
        <v>1988</v>
      </c>
      <c r="D1270" s="165" t="s">
        <v>2150</v>
      </c>
      <c r="E1270" s="165" t="s">
        <v>8136</v>
      </c>
      <c r="F1270" s="163">
        <v>1</v>
      </c>
      <c r="G1270" s="864"/>
      <c r="H1270" s="864">
        <v>0</v>
      </c>
      <c r="I1270" s="864">
        <v>19267.401989441256</v>
      </c>
      <c r="J1270" s="864">
        <v>19714.34527811869</v>
      </c>
      <c r="K1270" s="864">
        <v>20184.800070323428</v>
      </c>
      <c r="L1270" s="18" t="s">
        <v>3948</v>
      </c>
      <c r="M1270" s="442"/>
      <c r="N1270" s="433"/>
      <c r="P1270" s="433"/>
      <c r="T1270" s="443"/>
      <c r="U1270" s="440"/>
      <c r="V1270" s="440"/>
      <c r="W1270" s="440"/>
      <c r="X1270" s="442"/>
    </row>
    <row r="1271" spans="1:24" x14ac:dyDescent="0.25">
      <c r="A1271" s="862">
        <v>1989</v>
      </c>
      <c r="B1271" s="863" t="s">
        <v>8137</v>
      </c>
      <c r="C1271" s="862">
        <v>1989</v>
      </c>
      <c r="D1271" s="165" t="s">
        <v>2150</v>
      </c>
      <c r="E1271" s="165" t="s">
        <v>8138</v>
      </c>
      <c r="F1271" s="163">
        <v>1</v>
      </c>
      <c r="G1271" s="864"/>
      <c r="H1271" s="864">
        <v>0</v>
      </c>
      <c r="I1271" s="864">
        <v>0</v>
      </c>
      <c r="J1271" s="864">
        <v>19843.698661621162</v>
      </c>
      <c r="K1271" s="864">
        <v>20305.810662251697</v>
      </c>
      <c r="L1271" s="18" t="s">
        <v>4672</v>
      </c>
      <c r="M1271" s="442"/>
      <c r="N1271" s="433"/>
      <c r="P1271" s="433"/>
      <c r="T1271" s="443"/>
      <c r="U1271" s="440"/>
      <c r="V1271" s="440"/>
      <c r="W1271" s="440"/>
      <c r="X1271" s="442"/>
    </row>
    <row r="1272" spans="1:24" x14ac:dyDescent="0.25">
      <c r="A1272" s="862">
        <v>1990</v>
      </c>
      <c r="B1272" s="863" t="s">
        <v>8139</v>
      </c>
      <c r="C1272" s="862">
        <v>1990</v>
      </c>
      <c r="D1272" s="165" t="s">
        <v>2151</v>
      </c>
      <c r="E1272" s="165" t="s">
        <v>8140</v>
      </c>
      <c r="F1272" s="163">
        <v>2</v>
      </c>
      <c r="G1272" s="864"/>
      <c r="H1272" s="864">
        <v>19276.449533894815</v>
      </c>
      <c r="I1272" s="864">
        <v>19998.9663762618</v>
      </c>
      <c r="J1272" s="864">
        <v>20721.483218628793</v>
      </c>
      <c r="K1272" s="864">
        <v>21482.047749260502</v>
      </c>
      <c r="L1272" s="18" t="s">
        <v>3036</v>
      </c>
      <c r="M1272" s="442"/>
      <c r="N1272" s="433"/>
      <c r="P1272" s="433"/>
      <c r="T1272" s="443"/>
      <c r="U1272" s="440"/>
      <c r="V1272" s="440"/>
      <c r="W1272" s="440"/>
      <c r="X1272" s="442"/>
    </row>
    <row r="1273" spans="1:24" x14ac:dyDescent="0.25">
      <c r="A1273" s="862">
        <v>1991</v>
      </c>
      <c r="B1273" s="863" t="s">
        <v>8141</v>
      </c>
      <c r="C1273" s="862">
        <v>1991</v>
      </c>
      <c r="D1273" s="165" t="s">
        <v>2151</v>
      </c>
      <c r="E1273" s="165" t="s">
        <v>7032</v>
      </c>
      <c r="F1273" s="163">
        <v>2</v>
      </c>
      <c r="G1273" s="864"/>
      <c r="H1273" s="864">
        <v>20132.252831964746</v>
      </c>
      <c r="I1273" s="864">
        <v>20878.658951746031</v>
      </c>
      <c r="J1273" s="864">
        <v>21664.329118112513</v>
      </c>
      <c r="K1273" s="864">
        <v>22491.355467375412</v>
      </c>
      <c r="L1273" s="18" t="s">
        <v>1908</v>
      </c>
      <c r="M1273" s="442"/>
      <c r="N1273" s="433"/>
      <c r="P1273" s="433"/>
      <c r="T1273" s="443"/>
      <c r="U1273" s="440"/>
      <c r="V1273" s="440"/>
      <c r="W1273" s="440"/>
      <c r="X1273" s="442"/>
    </row>
    <row r="1274" spans="1:24" x14ac:dyDescent="0.25">
      <c r="A1274" s="862">
        <v>1992</v>
      </c>
      <c r="B1274" s="863" t="s">
        <v>8142</v>
      </c>
      <c r="C1274" s="862">
        <v>1992</v>
      </c>
      <c r="D1274" s="165" t="s">
        <v>2151</v>
      </c>
      <c r="E1274" s="165" t="s">
        <v>8143</v>
      </c>
      <c r="F1274" s="163">
        <v>2</v>
      </c>
      <c r="G1274" s="864"/>
      <c r="H1274" s="864">
        <v>26643.593072035666</v>
      </c>
      <c r="I1274" s="864">
        <v>27687.179856677387</v>
      </c>
      <c r="J1274" s="864">
        <v>28785.69738307214</v>
      </c>
      <c r="K1274" s="864">
        <v>29942.016256856237</v>
      </c>
      <c r="L1274" s="18" t="s">
        <v>1909</v>
      </c>
      <c r="M1274" s="442"/>
      <c r="N1274" s="433"/>
      <c r="P1274" s="433"/>
      <c r="T1274" s="443"/>
      <c r="U1274" s="440"/>
      <c r="V1274" s="440"/>
      <c r="W1274" s="440"/>
      <c r="X1274" s="442"/>
    </row>
    <row r="1275" spans="1:24" x14ac:dyDescent="0.25">
      <c r="A1275" s="862">
        <v>1993</v>
      </c>
      <c r="B1275" s="863" t="s">
        <v>8144</v>
      </c>
      <c r="C1275" s="862">
        <v>1993</v>
      </c>
      <c r="D1275" s="165" t="s">
        <v>2151</v>
      </c>
      <c r="E1275" s="165" t="s">
        <v>7034</v>
      </c>
      <c r="F1275" s="163">
        <v>1</v>
      </c>
      <c r="G1275" s="864"/>
      <c r="H1275" s="864">
        <v>0</v>
      </c>
      <c r="I1275" s="864">
        <v>12473.264926783104</v>
      </c>
      <c r="J1275" s="864">
        <v>12817.948479426168</v>
      </c>
      <c r="K1275" s="864">
        <v>0</v>
      </c>
      <c r="L1275" s="18" t="s">
        <v>10944</v>
      </c>
      <c r="M1275" s="442"/>
      <c r="N1275" s="433"/>
      <c r="P1275" s="433"/>
      <c r="T1275" s="443"/>
      <c r="U1275" s="440"/>
      <c r="V1275" s="440"/>
      <c r="W1275" s="440"/>
      <c r="X1275" s="442"/>
    </row>
    <row r="1276" spans="1:24" x14ac:dyDescent="0.25">
      <c r="A1276" s="862">
        <v>1994</v>
      </c>
      <c r="B1276" s="863" t="s">
        <v>8145</v>
      </c>
      <c r="C1276" s="862">
        <v>1994</v>
      </c>
      <c r="D1276" s="165" t="s">
        <v>2151</v>
      </c>
      <c r="E1276" s="165" t="s">
        <v>7036</v>
      </c>
      <c r="F1276" s="163">
        <v>1</v>
      </c>
      <c r="G1276" s="864"/>
      <c r="H1276" s="864">
        <v>10828.389334519554</v>
      </c>
      <c r="I1276" s="864">
        <v>11121.079696476156</v>
      </c>
      <c r="J1276" s="864">
        <v>11429.17695387465</v>
      </c>
      <c r="K1276" s="864">
        <v>11753.494135498237</v>
      </c>
      <c r="L1276" s="18" t="s">
        <v>1910</v>
      </c>
      <c r="M1276" s="442"/>
      <c r="N1276" s="433"/>
      <c r="P1276" s="433"/>
      <c r="T1276" s="443"/>
      <c r="U1276" s="440"/>
      <c r="V1276" s="440"/>
      <c r="W1276" s="440"/>
      <c r="X1276" s="442"/>
    </row>
    <row r="1277" spans="1:24" x14ac:dyDescent="0.25">
      <c r="A1277" s="862">
        <v>1995</v>
      </c>
      <c r="B1277" s="863" t="s">
        <v>8146</v>
      </c>
      <c r="C1277" s="862">
        <v>1995</v>
      </c>
      <c r="D1277" s="165" t="s">
        <v>2151</v>
      </c>
      <c r="E1277" s="165" t="s">
        <v>7038</v>
      </c>
      <c r="F1277" s="163">
        <v>2</v>
      </c>
      <c r="G1277" s="864"/>
      <c r="H1277" s="864">
        <v>10051.373297687702</v>
      </c>
      <c r="I1277" s="864">
        <v>10349.770320868629</v>
      </c>
      <c r="J1277" s="864">
        <v>10663.83403921738</v>
      </c>
      <c r="K1277" s="864">
        <v>10994.4402307247</v>
      </c>
      <c r="L1277" s="18" t="s">
        <v>1911</v>
      </c>
      <c r="M1277" s="442"/>
      <c r="N1277" s="433"/>
      <c r="P1277" s="433"/>
      <c r="T1277" s="443"/>
      <c r="U1277" s="440"/>
      <c r="V1277" s="440"/>
      <c r="W1277" s="440"/>
      <c r="X1277" s="442"/>
    </row>
    <row r="1278" spans="1:24" x14ac:dyDescent="0.25">
      <c r="A1278" s="862">
        <v>1996</v>
      </c>
      <c r="B1278" s="863" t="s">
        <v>8147</v>
      </c>
      <c r="C1278" s="862">
        <v>1996</v>
      </c>
      <c r="D1278" s="165" t="s">
        <v>2151</v>
      </c>
      <c r="E1278" s="165" t="s">
        <v>8148</v>
      </c>
      <c r="F1278" s="163">
        <v>2</v>
      </c>
      <c r="G1278" s="864"/>
      <c r="H1278" s="864">
        <v>13202.882999815509</v>
      </c>
      <c r="I1278" s="864">
        <v>13603.849449363313</v>
      </c>
      <c r="J1278" s="864">
        <v>14025.901302374048</v>
      </c>
      <c r="K1278" s="864">
        <v>14470.18450468809</v>
      </c>
      <c r="L1278" s="18" t="s">
        <v>1912</v>
      </c>
      <c r="M1278" s="442"/>
      <c r="N1278" s="433"/>
      <c r="P1278" s="433"/>
      <c r="T1278" s="443"/>
      <c r="U1278" s="440"/>
      <c r="V1278" s="440"/>
      <c r="W1278" s="440"/>
      <c r="X1278" s="442"/>
    </row>
    <row r="1279" spans="1:24" x14ac:dyDescent="0.25">
      <c r="A1279" s="862">
        <v>1997</v>
      </c>
      <c r="B1279" s="863" t="s">
        <v>8149</v>
      </c>
      <c r="C1279" s="862">
        <v>1997</v>
      </c>
      <c r="D1279" s="165" t="s">
        <v>2151</v>
      </c>
      <c r="E1279" s="165" t="s">
        <v>8150</v>
      </c>
      <c r="F1279" s="163">
        <v>2</v>
      </c>
      <c r="G1279" s="864"/>
      <c r="H1279" s="864">
        <v>17607.516991091405</v>
      </c>
      <c r="I1279" s="864">
        <v>18260.020248531386</v>
      </c>
      <c r="J1279" s="864">
        <v>18946.873464941815</v>
      </c>
      <c r="K1279" s="864">
        <v>19669.876850636996</v>
      </c>
      <c r="L1279" s="18" t="s">
        <v>1913</v>
      </c>
      <c r="M1279" s="442"/>
      <c r="N1279" s="433"/>
      <c r="P1279" s="433"/>
      <c r="T1279" s="443"/>
      <c r="U1279" s="440"/>
      <c r="V1279" s="440"/>
      <c r="W1279" s="440"/>
      <c r="X1279" s="442"/>
    </row>
    <row r="1280" spans="1:24" x14ac:dyDescent="0.25">
      <c r="A1280" s="862">
        <v>1998</v>
      </c>
      <c r="B1280" s="863" t="s">
        <v>8151</v>
      </c>
      <c r="C1280" s="862">
        <v>1998</v>
      </c>
      <c r="D1280" s="165" t="s">
        <v>2151</v>
      </c>
      <c r="E1280" s="165" t="s">
        <v>8152</v>
      </c>
      <c r="F1280" s="163">
        <v>2</v>
      </c>
      <c r="G1280" s="864"/>
      <c r="H1280" s="864">
        <v>16173.117233392615</v>
      </c>
      <c r="I1280" s="864">
        <v>16758.769437538846</v>
      </c>
      <c r="J1280" s="864">
        <v>17375.219834359705</v>
      </c>
      <c r="K1280" s="864">
        <v>18024.122671171059</v>
      </c>
      <c r="L1280" s="18" t="s">
        <v>1914</v>
      </c>
      <c r="M1280" s="442"/>
      <c r="N1280" s="433"/>
      <c r="P1280" s="433"/>
      <c r="T1280" s="443"/>
      <c r="U1280" s="440"/>
      <c r="V1280" s="440"/>
      <c r="W1280" s="440"/>
      <c r="X1280" s="442"/>
    </row>
    <row r="1281" spans="1:24" x14ac:dyDescent="0.25">
      <c r="A1281" s="862">
        <v>1999</v>
      </c>
      <c r="B1281" s="863" t="s">
        <v>8153</v>
      </c>
      <c r="C1281" s="862">
        <v>1999</v>
      </c>
      <c r="D1281" s="165" t="s">
        <v>2151</v>
      </c>
      <c r="E1281" s="165" t="s">
        <v>8154</v>
      </c>
      <c r="F1281" s="163">
        <v>2</v>
      </c>
      <c r="G1281" s="864"/>
      <c r="H1281" s="864">
        <v>12853.834640276638</v>
      </c>
      <c r="I1281" s="864">
        <v>13279.462743780103</v>
      </c>
      <c r="J1281" s="864">
        <v>13727.47184038046</v>
      </c>
      <c r="K1281" s="864">
        <v>14199.078288398185</v>
      </c>
      <c r="L1281" s="18" t="s">
        <v>1915</v>
      </c>
      <c r="M1281" s="442"/>
      <c r="N1281" s="433"/>
      <c r="P1281" s="433"/>
      <c r="T1281" s="443"/>
      <c r="U1281" s="440"/>
      <c r="V1281" s="440"/>
      <c r="W1281" s="440"/>
      <c r="X1281" s="442"/>
    </row>
    <row r="1282" spans="1:24" x14ac:dyDescent="0.25">
      <c r="A1282" s="862">
        <v>2000</v>
      </c>
      <c r="B1282" s="863" t="s">
        <v>8155</v>
      </c>
      <c r="C1282" s="862">
        <v>2000</v>
      </c>
      <c r="D1282" s="165" t="s">
        <v>2151</v>
      </c>
      <c r="E1282" s="165" t="s">
        <v>8156</v>
      </c>
      <c r="F1282" s="163">
        <v>2</v>
      </c>
      <c r="G1282" s="864"/>
      <c r="H1282" s="864">
        <v>15075.904882497522</v>
      </c>
      <c r="I1282" s="864">
        <v>15586.629414101988</v>
      </c>
      <c r="J1282" s="864">
        <v>16124.259791755543</v>
      </c>
      <c r="K1282" s="864">
        <v>16690.158336777124</v>
      </c>
      <c r="L1282" s="18" t="s">
        <v>1916</v>
      </c>
      <c r="M1282" s="442"/>
      <c r="N1282" s="433"/>
      <c r="P1282" s="433"/>
      <c r="T1282" s="443"/>
      <c r="U1282" s="440"/>
      <c r="V1282" s="440"/>
      <c r="W1282" s="440"/>
      <c r="X1282" s="442"/>
    </row>
    <row r="1283" spans="1:24" x14ac:dyDescent="0.25">
      <c r="A1283" s="862">
        <v>2001</v>
      </c>
      <c r="B1283" s="863" t="s">
        <v>8157</v>
      </c>
      <c r="C1283" s="862">
        <v>2001</v>
      </c>
      <c r="D1283" s="165" t="s">
        <v>2151</v>
      </c>
      <c r="E1283" s="165" t="s">
        <v>8158</v>
      </c>
      <c r="F1283" s="163">
        <v>2</v>
      </c>
      <c r="G1283" s="864"/>
      <c r="H1283" s="864">
        <v>15075.904882497522</v>
      </c>
      <c r="I1283" s="864">
        <v>15586.629414101988</v>
      </c>
      <c r="J1283" s="864">
        <v>16124.259791755543</v>
      </c>
      <c r="K1283" s="864">
        <v>16690.158336777124</v>
      </c>
      <c r="L1283" s="18" t="s">
        <v>1917</v>
      </c>
      <c r="M1283" s="442"/>
      <c r="N1283" s="433"/>
      <c r="P1283" s="433"/>
      <c r="T1283" s="443"/>
      <c r="U1283" s="440"/>
      <c r="V1283" s="440"/>
      <c r="W1283" s="440"/>
      <c r="X1283" s="442"/>
    </row>
    <row r="1284" spans="1:24" x14ac:dyDescent="0.25">
      <c r="A1284" s="862">
        <v>2002</v>
      </c>
      <c r="B1284" s="863" t="s">
        <v>8159</v>
      </c>
      <c r="C1284" s="862">
        <v>2002</v>
      </c>
      <c r="D1284" s="165" t="s">
        <v>2152</v>
      </c>
      <c r="E1284" s="165" t="s">
        <v>8160</v>
      </c>
      <c r="F1284" s="163">
        <v>1</v>
      </c>
      <c r="G1284" s="864"/>
      <c r="H1284" s="864">
        <v>27644.515146844587</v>
      </c>
      <c r="I1284" s="864">
        <v>28349.734390353831</v>
      </c>
      <c r="J1284" s="864">
        <v>29092.084227555828</v>
      </c>
      <c r="K1284" s="864">
        <v>29873.503729680808</v>
      </c>
      <c r="L1284" s="18" t="s">
        <v>1918</v>
      </c>
      <c r="M1284" s="442"/>
      <c r="N1284" s="433"/>
      <c r="P1284" s="433"/>
      <c r="T1284" s="443"/>
      <c r="U1284" s="440"/>
      <c r="V1284" s="440"/>
      <c r="W1284" s="440"/>
      <c r="X1284" s="442"/>
    </row>
    <row r="1285" spans="1:24" x14ac:dyDescent="0.25">
      <c r="A1285" s="862">
        <v>2003</v>
      </c>
      <c r="B1285" s="863" t="s">
        <v>8161</v>
      </c>
      <c r="C1285" s="862">
        <v>2003</v>
      </c>
      <c r="D1285" s="165" t="s">
        <v>2152</v>
      </c>
      <c r="E1285" s="165" t="s">
        <v>8162</v>
      </c>
      <c r="F1285" s="163">
        <v>1</v>
      </c>
      <c r="G1285" s="864"/>
      <c r="H1285" s="864">
        <v>30484.115955492714</v>
      </c>
      <c r="I1285" s="864">
        <v>31269.780451392024</v>
      </c>
      <c r="J1285" s="864">
        <v>32096.794331093115</v>
      </c>
      <c r="K1285" s="864">
        <v>32967.332498813725</v>
      </c>
      <c r="L1285" s="18" t="s">
        <v>1919</v>
      </c>
      <c r="M1285" s="442"/>
      <c r="N1285" s="433"/>
      <c r="P1285" s="433"/>
      <c r="T1285" s="443"/>
      <c r="U1285" s="440"/>
      <c r="V1285" s="440"/>
      <c r="W1285" s="440"/>
      <c r="X1285" s="442"/>
    </row>
    <row r="1286" spans="1:24" x14ac:dyDescent="0.25">
      <c r="A1286" s="862">
        <v>2004</v>
      </c>
      <c r="B1286" s="863" t="s">
        <v>8163</v>
      </c>
      <c r="C1286" s="862">
        <v>2004</v>
      </c>
      <c r="D1286" s="165" t="s">
        <v>2152</v>
      </c>
      <c r="E1286" s="165" t="s">
        <v>8164</v>
      </c>
      <c r="F1286" s="163">
        <v>1</v>
      </c>
      <c r="G1286" s="864"/>
      <c r="H1286" s="864">
        <v>30523.069683492718</v>
      </c>
      <c r="I1286" s="864">
        <v>31308.734179392028</v>
      </c>
      <c r="J1286" s="864">
        <v>32135.748059093119</v>
      </c>
      <c r="K1286" s="864">
        <v>33006.286226813732</v>
      </c>
      <c r="L1286" s="18" t="s">
        <v>1920</v>
      </c>
      <c r="M1286" s="442"/>
      <c r="N1286" s="433"/>
      <c r="P1286" s="433"/>
      <c r="T1286" s="443"/>
      <c r="U1286" s="440"/>
      <c r="V1286" s="440"/>
      <c r="W1286" s="440"/>
      <c r="X1286" s="442"/>
    </row>
    <row r="1287" spans="1:24" x14ac:dyDescent="0.25">
      <c r="A1287" s="862">
        <v>2005</v>
      </c>
      <c r="B1287" s="863" t="s">
        <v>8165</v>
      </c>
      <c r="C1287" s="862">
        <v>2005</v>
      </c>
      <c r="D1287" s="165" t="s">
        <v>2152</v>
      </c>
      <c r="E1287" s="165" t="s">
        <v>8166</v>
      </c>
      <c r="F1287" s="163">
        <v>1</v>
      </c>
      <c r="G1287" s="864"/>
      <c r="H1287" s="864">
        <v>32770.259504857706</v>
      </c>
      <c r="I1287" s="864">
        <v>33516.225447867451</v>
      </c>
      <c r="J1287" s="864">
        <v>34301.470685122382</v>
      </c>
      <c r="K1287" s="864">
        <v>35128.039102513831</v>
      </c>
      <c r="L1287" s="18" t="s">
        <v>3037</v>
      </c>
      <c r="M1287" s="442"/>
      <c r="N1287" s="433"/>
      <c r="P1287" s="433"/>
      <c r="T1287" s="443"/>
      <c r="U1287" s="440"/>
      <c r="V1287" s="440"/>
      <c r="W1287" s="440"/>
      <c r="X1287" s="442"/>
    </row>
    <row r="1288" spans="1:24" x14ac:dyDescent="0.25">
      <c r="A1288" s="862">
        <v>2006</v>
      </c>
      <c r="B1288" s="863" t="s">
        <v>8167</v>
      </c>
      <c r="C1288" s="862">
        <v>2006</v>
      </c>
      <c r="D1288" s="165" t="s">
        <v>2152</v>
      </c>
      <c r="E1288" s="165" t="s">
        <v>8168</v>
      </c>
      <c r="F1288" s="163">
        <v>2</v>
      </c>
      <c r="G1288" s="864"/>
      <c r="H1288" s="864">
        <v>21903.056627713719</v>
      </c>
      <c r="I1288" s="864">
        <v>22409.851004965989</v>
      </c>
      <c r="J1288" s="864">
        <v>22943.335866993966</v>
      </c>
      <c r="K1288" s="864">
        <v>23504.891756113633</v>
      </c>
      <c r="L1288" s="18" t="s">
        <v>1921</v>
      </c>
      <c r="M1288" s="442"/>
      <c r="N1288" s="433"/>
      <c r="P1288" s="433"/>
      <c r="T1288" s="443"/>
      <c r="U1288" s="440"/>
      <c r="V1288" s="440"/>
      <c r="W1288" s="440"/>
      <c r="X1288" s="442"/>
    </row>
    <row r="1289" spans="1:24" x14ac:dyDescent="0.25">
      <c r="A1289" s="862">
        <v>2007</v>
      </c>
      <c r="B1289" s="863" t="s">
        <v>8169</v>
      </c>
      <c r="C1289" s="862">
        <v>2007</v>
      </c>
      <c r="D1289" s="165" t="s">
        <v>2152</v>
      </c>
      <c r="E1289" s="165" t="s">
        <v>8170</v>
      </c>
      <c r="F1289" s="163">
        <v>2</v>
      </c>
      <c r="G1289" s="864"/>
      <c r="H1289" s="864">
        <v>23623.901043695874</v>
      </c>
      <c r="I1289" s="864">
        <v>24125.092043312681</v>
      </c>
      <c r="J1289" s="864">
        <v>24652.648694219071</v>
      </c>
      <c r="K1289" s="864">
        <v>25207.978608188219</v>
      </c>
      <c r="L1289" s="18" t="s">
        <v>1922</v>
      </c>
      <c r="M1289" s="442"/>
      <c r="N1289" s="433"/>
      <c r="P1289" s="433"/>
      <c r="T1289" s="443"/>
      <c r="U1289" s="440"/>
      <c r="V1289" s="440"/>
      <c r="W1289" s="440"/>
      <c r="X1289" s="442"/>
    </row>
    <row r="1290" spans="1:24" x14ac:dyDescent="0.25">
      <c r="A1290" s="862">
        <v>2008</v>
      </c>
      <c r="B1290" s="863" t="s">
        <v>8171</v>
      </c>
      <c r="C1290" s="862">
        <v>2008</v>
      </c>
      <c r="D1290" s="165" t="s">
        <v>2152</v>
      </c>
      <c r="E1290" s="165" t="s">
        <v>8172</v>
      </c>
      <c r="F1290" s="163">
        <v>2</v>
      </c>
      <c r="G1290" s="864"/>
      <c r="H1290" s="864">
        <v>29287.81403761933</v>
      </c>
      <c r="I1290" s="864">
        <v>30000.661122896618</v>
      </c>
      <c r="J1290" s="864">
        <v>30751.026475820068</v>
      </c>
      <c r="K1290" s="864">
        <v>31540.886166763557</v>
      </c>
      <c r="L1290" s="18" t="s">
        <v>1923</v>
      </c>
      <c r="M1290" s="442"/>
      <c r="N1290" s="433"/>
      <c r="P1290" s="433"/>
      <c r="T1290" s="443"/>
      <c r="U1290" s="440"/>
      <c r="V1290" s="440"/>
      <c r="W1290" s="440"/>
      <c r="X1290" s="442"/>
    </row>
    <row r="1291" spans="1:24" x14ac:dyDescent="0.25">
      <c r="A1291" s="862">
        <v>2009</v>
      </c>
      <c r="B1291" s="863" t="s">
        <v>8173</v>
      </c>
      <c r="C1291" s="862">
        <v>2009</v>
      </c>
      <c r="D1291" s="165" t="s">
        <v>2152</v>
      </c>
      <c r="E1291" s="165" t="s">
        <v>8174</v>
      </c>
      <c r="F1291" s="163">
        <v>2</v>
      </c>
      <c r="G1291" s="864"/>
      <c r="H1291" s="864">
        <v>0</v>
      </c>
      <c r="I1291" s="864">
        <v>0</v>
      </c>
      <c r="J1291" s="864">
        <v>40328.319037984416</v>
      </c>
      <c r="K1291" s="864">
        <v>41224.615834544617</v>
      </c>
      <c r="L1291" s="18" t="s">
        <v>4673</v>
      </c>
      <c r="M1291" s="442"/>
      <c r="N1291" s="433"/>
      <c r="P1291" s="433"/>
      <c r="T1291" s="443"/>
      <c r="U1291" s="440"/>
      <c r="V1291" s="440"/>
      <c r="W1291" s="440"/>
      <c r="X1291" s="442"/>
    </row>
    <row r="1292" spans="1:24" x14ac:dyDescent="0.25">
      <c r="A1292" s="862">
        <v>2010</v>
      </c>
      <c r="B1292" s="863" t="s">
        <v>8175</v>
      </c>
      <c r="C1292" s="862">
        <v>2010</v>
      </c>
      <c r="D1292" s="165" t="s">
        <v>2152</v>
      </c>
      <c r="E1292" s="165" t="s">
        <v>8176</v>
      </c>
      <c r="F1292" s="163">
        <v>2</v>
      </c>
      <c r="G1292" s="864"/>
      <c r="H1292" s="864">
        <v>30705.809040491164</v>
      </c>
      <c r="I1292" s="864">
        <v>31458.231672160011</v>
      </c>
      <c r="J1292" s="864">
        <v>32250.256919677591</v>
      </c>
      <c r="K1292" s="864">
        <v>33083.969131246478</v>
      </c>
      <c r="L1292" s="18" t="s">
        <v>1924</v>
      </c>
      <c r="M1292" s="442"/>
      <c r="N1292" s="433"/>
      <c r="P1292" s="433"/>
      <c r="T1292" s="443"/>
      <c r="U1292" s="440"/>
      <c r="V1292" s="440"/>
      <c r="W1292" s="440"/>
      <c r="X1292" s="442"/>
    </row>
    <row r="1293" spans="1:24" x14ac:dyDescent="0.25">
      <c r="A1293" s="862">
        <v>2011</v>
      </c>
      <c r="B1293" s="863" t="s">
        <v>8177</v>
      </c>
      <c r="C1293" s="862">
        <v>2011</v>
      </c>
      <c r="D1293" s="165" t="s">
        <v>2152</v>
      </c>
      <c r="E1293" s="165" t="s">
        <v>8178</v>
      </c>
      <c r="F1293" s="163">
        <v>2</v>
      </c>
      <c r="G1293" s="864"/>
      <c r="H1293" s="864">
        <v>31463.569020821753</v>
      </c>
      <c r="I1293" s="864">
        <v>32218.454973093627</v>
      </c>
      <c r="J1293" s="864">
        <v>33013.078888500124</v>
      </c>
      <c r="K1293" s="864">
        <v>33849.525115243807</v>
      </c>
      <c r="L1293" s="18" t="s">
        <v>1925</v>
      </c>
      <c r="M1293" s="442"/>
      <c r="N1293" s="433"/>
      <c r="P1293" s="433"/>
      <c r="T1293" s="443"/>
      <c r="U1293" s="440"/>
      <c r="V1293" s="440"/>
      <c r="W1293" s="440"/>
      <c r="X1293" s="442"/>
    </row>
    <row r="1294" spans="1:24" x14ac:dyDescent="0.25">
      <c r="A1294" s="862">
        <v>2012</v>
      </c>
      <c r="B1294" s="863" t="s">
        <v>8179</v>
      </c>
      <c r="C1294" s="862">
        <v>2012</v>
      </c>
      <c r="D1294" s="165" t="s">
        <v>2152</v>
      </c>
      <c r="E1294" s="165" t="s">
        <v>8180</v>
      </c>
      <c r="F1294" s="163">
        <v>2</v>
      </c>
      <c r="G1294" s="864"/>
      <c r="H1294" s="864">
        <v>26138.959924025941</v>
      </c>
      <c r="I1294" s="864">
        <v>26705.631940551906</v>
      </c>
      <c r="J1294" s="864">
        <v>27302.134498886004</v>
      </c>
      <c r="K1294" s="864">
        <v>27930.037627544465</v>
      </c>
      <c r="L1294" s="18" t="s">
        <v>1926</v>
      </c>
      <c r="M1294" s="442"/>
      <c r="N1294" s="433"/>
      <c r="P1294" s="433"/>
      <c r="T1294" s="443"/>
      <c r="U1294" s="440"/>
      <c r="V1294" s="440"/>
      <c r="W1294" s="440"/>
      <c r="X1294" s="442"/>
    </row>
    <row r="1295" spans="1:24" x14ac:dyDescent="0.25">
      <c r="A1295" s="862">
        <v>2013</v>
      </c>
      <c r="B1295" s="863" t="s">
        <v>8181</v>
      </c>
      <c r="C1295" s="862">
        <v>2013</v>
      </c>
      <c r="D1295" s="165" t="s">
        <v>2152</v>
      </c>
      <c r="E1295" s="165" t="s">
        <v>8182</v>
      </c>
      <c r="F1295" s="163">
        <v>2</v>
      </c>
      <c r="G1295" s="864"/>
      <c r="H1295" s="864">
        <v>25351.918996709112</v>
      </c>
      <c r="I1295" s="864">
        <v>25913.393677457247</v>
      </c>
      <c r="J1295" s="864">
        <v>26504.428205441764</v>
      </c>
      <c r="K1295" s="864">
        <v>27126.565539721701</v>
      </c>
      <c r="L1295" s="18" t="s">
        <v>1927</v>
      </c>
      <c r="M1295" s="442"/>
      <c r="N1295" s="433"/>
      <c r="P1295" s="433"/>
      <c r="T1295" s="443"/>
      <c r="U1295" s="440"/>
      <c r="V1295" s="440"/>
      <c r="W1295" s="440"/>
      <c r="X1295" s="442"/>
    </row>
    <row r="1296" spans="1:24" x14ac:dyDescent="0.25">
      <c r="A1296" s="862">
        <v>2014</v>
      </c>
      <c r="B1296" s="863" t="s">
        <v>8183</v>
      </c>
      <c r="C1296" s="862">
        <v>2014</v>
      </c>
      <c r="D1296" s="165" t="s">
        <v>2152</v>
      </c>
      <c r="E1296" s="165" t="s">
        <v>8184</v>
      </c>
      <c r="F1296" s="163">
        <v>2</v>
      </c>
      <c r="G1296" s="864"/>
      <c r="H1296" s="864">
        <v>0</v>
      </c>
      <c r="I1296" s="864">
        <v>0</v>
      </c>
      <c r="J1296" s="864">
        <v>42212.717954262465</v>
      </c>
      <c r="K1296" s="864">
        <v>43155.168175308034</v>
      </c>
      <c r="L1296" s="18" t="s">
        <v>4674</v>
      </c>
      <c r="M1296" s="442"/>
      <c r="N1296" s="433"/>
      <c r="P1296" s="433"/>
      <c r="T1296" s="443"/>
      <c r="U1296" s="440"/>
      <c r="V1296" s="440"/>
      <c r="W1296" s="440"/>
      <c r="X1296" s="442"/>
    </row>
    <row r="1297" spans="1:24" x14ac:dyDescent="0.25">
      <c r="A1297" s="862">
        <v>2015</v>
      </c>
      <c r="B1297" s="863" t="s">
        <v>8185</v>
      </c>
      <c r="C1297" s="862">
        <v>2015</v>
      </c>
      <c r="D1297" s="165" t="s">
        <v>2152</v>
      </c>
      <c r="E1297" s="165" t="s">
        <v>8186</v>
      </c>
      <c r="F1297" s="163">
        <v>2</v>
      </c>
      <c r="G1297" s="864"/>
      <c r="H1297" s="864">
        <v>0</v>
      </c>
      <c r="I1297" s="864">
        <v>0</v>
      </c>
      <c r="J1297" s="864">
        <v>42840.850926355139</v>
      </c>
      <c r="K1297" s="864">
        <v>43798.676599076774</v>
      </c>
      <c r="L1297" s="18" t="s">
        <v>10945</v>
      </c>
      <c r="M1297" s="442"/>
      <c r="N1297" s="433"/>
      <c r="P1297" s="433"/>
      <c r="T1297" s="443"/>
      <c r="U1297" s="440"/>
      <c r="V1297" s="440"/>
      <c r="W1297" s="440"/>
      <c r="X1297" s="442"/>
    </row>
    <row r="1298" spans="1:24" x14ac:dyDescent="0.25">
      <c r="A1298" s="862">
        <v>2016</v>
      </c>
      <c r="B1298" s="863" t="s">
        <v>8187</v>
      </c>
      <c r="C1298" s="862">
        <v>2016</v>
      </c>
      <c r="D1298" s="165" t="s">
        <v>2152</v>
      </c>
      <c r="E1298" s="165" t="s">
        <v>8188</v>
      </c>
      <c r="F1298" s="163">
        <v>1</v>
      </c>
      <c r="G1298" s="864"/>
      <c r="H1298" s="864">
        <v>27226.159110847355</v>
      </c>
      <c r="I1298" s="864">
        <v>27900.324086540793</v>
      </c>
      <c r="J1298" s="864">
        <v>28609.966994080107</v>
      </c>
      <c r="K1298" s="864">
        <v>29356.96987735575</v>
      </c>
      <c r="L1298" s="18" t="s">
        <v>1928</v>
      </c>
      <c r="M1298" s="442"/>
      <c r="N1298" s="433"/>
      <c r="P1298" s="433"/>
      <c r="T1298" s="443"/>
      <c r="U1298" s="440"/>
      <c r="V1298" s="440"/>
      <c r="W1298" s="440"/>
      <c r="X1298" s="442"/>
    </row>
    <row r="1299" spans="1:24" x14ac:dyDescent="0.25">
      <c r="A1299" s="862">
        <v>2017</v>
      </c>
      <c r="B1299" s="863" t="s">
        <v>8189</v>
      </c>
      <c r="C1299" s="862">
        <v>2017</v>
      </c>
      <c r="D1299" s="165" t="s">
        <v>2152</v>
      </c>
      <c r="E1299" s="165" t="s">
        <v>8190</v>
      </c>
      <c r="F1299" s="163">
        <v>1</v>
      </c>
      <c r="G1299" s="864"/>
      <c r="H1299" s="864">
        <v>0</v>
      </c>
      <c r="I1299" s="864">
        <v>28968.39597113632</v>
      </c>
      <c r="J1299" s="864">
        <v>29670.679244357641</v>
      </c>
      <c r="K1299" s="864">
        <v>30409.929230412818</v>
      </c>
      <c r="L1299" s="18" t="s">
        <v>3949</v>
      </c>
      <c r="M1299" s="442"/>
      <c r="N1299" s="433"/>
      <c r="P1299" s="433"/>
      <c r="T1299" s="443"/>
      <c r="U1299" s="440"/>
      <c r="V1299" s="440"/>
      <c r="W1299" s="440"/>
      <c r="X1299" s="442"/>
    </row>
    <row r="1300" spans="1:24" x14ac:dyDescent="0.25">
      <c r="A1300" s="862">
        <v>2018</v>
      </c>
      <c r="B1300" s="863" t="s">
        <v>8191</v>
      </c>
      <c r="C1300" s="862">
        <v>2018</v>
      </c>
      <c r="D1300" s="165" t="s">
        <v>2152</v>
      </c>
      <c r="E1300" s="165" t="s">
        <v>8192</v>
      </c>
      <c r="F1300" s="163">
        <v>1</v>
      </c>
      <c r="G1300" s="864"/>
      <c r="H1300" s="864">
        <v>0</v>
      </c>
      <c r="I1300" s="864">
        <v>26804.755833478437</v>
      </c>
      <c r="J1300" s="864">
        <v>27450.100256460988</v>
      </c>
      <c r="K1300" s="864">
        <v>28129.405740094087</v>
      </c>
      <c r="L1300" s="18" t="s">
        <v>3950</v>
      </c>
      <c r="M1300" s="442"/>
      <c r="N1300" s="433"/>
      <c r="P1300" s="433"/>
      <c r="T1300" s="443"/>
      <c r="U1300" s="440"/>
      <c r="V1300" s="440"/>
      <c r="W1300" s="440"/>
      <c r="X1300" s="442"/>
    </row>
    <row r="1301" spans="1:24" x14ac:dyDescent="0.25">
      <c r="A1301" s="862">
        <v>2019</v>
      </c>
      <c r="B1301" s="863" t="s">
        <v>8193</v>
      </c>
      <c r="C1301" s="862">
        <v>2019</v>
      </c>
      <c r="D1301" s="165" t="s">
        <v>2152</v>
      </c>
      <c r="E1301" s="165" t="s">
        <v>8194</v>
      </c>
      <c r="F1301" s="163">
        <v>1</v>
      </c>
      <c r="G1301" s="864"/>
      <c r="H1301" s="864">
        <v>35873.985861206689</v>
      </c>
      <c r="I1301" s="864">
        <v>36831.681304651633</v>
      </c>
      <c r="J1301" s="864">
        <v>37839.763323261803</v>
      </c>
      <c r="K1301" s="864">
        <v>38900.889991437238</v>
      </c>
      <c r="L1301" s="18" t="s">
        <v>1929</v>
      </c>
      <c r="M1301" s="442"/>
      <c r="N1301" s="433"/>
      <c r="P1301" s="433"/>
      <c r="T1301" s="443"/>
      <c r="U1301" s="440"/>
      <c r="V1301" s="440"/>
      <c r="W1301" s="440"/>
      <c r="X1301" s="442"/>
    </row>
    <row r="1302" spans="1:24" x14ac:dyDescent="0.25">
      <c r="A1302" s="862">
        <v>2020</v>
      </c>
      <c r="B1302" s="863" t="s">
        <v>8195</v>
      </c>
      <c r="C1302" s="862">
        <v>2020</v>
      </c>
      <c r="D1302" s="165" t="s">
        <v>2152</v>
      </c>
      <c r="E1302" s="165" t="s">
        <v>8196</v>
      </c>
      <c r="F1302" s="163">
        <v>1</v>
      </c>
      <c r="G1302" s="864"/>
      <c r="H1302" s="864">
        <v>0</v>
      </c>
      <c r="I1302" s="864">
        <v>0</v>
      </c>
      <c r="J1302" s="864">
        <v>0</v>
      </c>
      <c r="K1302" s="864">
        <v>49046.547467740049</v>
      </c>
      <c r="L1302" s="18" t="s">
        <v>10946</v>
      </c>
      <c r="M1302" s="442"/>
      <c r="N1302" s="433"/>
      <c r="P1302" s="433"/>
      <c r="T1302" s="443"/>
      <c r="U1302" s="440"/>
      <c r="V1302" s="440"/>
      <c r="W1302" s="440"/>
      <c r="X1302" s="442"/>
    </row>
    <row r="1303" spans="1:24" x14ac:dyDescent="0.25">
      <c r="A1303" s="862">
        <v>2021</v>
      </c>
      <c r="B1303" s="863" t="s">
        <v>8197</v>
      </c>
      <c r="C1303" s="862">
        <v>2021</v>
      </c>
      <c r="D1303" s="165" t="s">
        <v>2153</v>
      </c>
      <c r="E1303" s="165" t="s">
        <v>8198</v>
      </c>
      <c r="F1303" s="163">
        <v>2</v>
      </c>
      <c r="G1303" s="864"/>
      <c r="H1303" s="864">
        <v>26210.001332735206</v>
      </c>
      <c r="I1303" s="864">
        <v>27260.253760973184</v>
      </c>
      <c r="J1303" s="864">
        <v>28310.457534878336</v>
      </c>
      <c r="K1303" s="864">
        <v>29415.932630866242</v>
      </c>
      <c r="L1303" s="18" t="s">
        <v>3038</v>
      </c>
      <c r="M1303" s="442"/>
      <c r="N1303" s="433"/>
      <c r="P1303" s="433"/>
      <c r="T1303" s="443"/>
      <c r="U1303" s="440"/>
      <c r="V1303" s="440"/>
      <c r="W1303" s="440"/>
      <c r="X1303" s="442"/>
    </row>
    <row r="1304" spans="1:24" x14ac:dyDescent="0.25">
      <c r="A1304" s="862">
        <v>2022</v>
      </c>
      <c r="B1304" s="863" t="s">
        <v>8199</v>
      </c>
      <c r="C1304" s="862">
        <v>2022</v>
      </c>
      <c r="D1304" s="165" t="s">
        <v>2153</v>
      </c>
      <c r="E1304" s="165" t="s">
        <v>8200</v>
      </c>
      <c r="F1304" s="163">
        <v>2</v>
      </c>
      <c r="G1304" s="864"/>
      <c r="H1304" s="864">
        <v>29189.775200572851</v>
      </c>
      <c r="I1304" s="864">
        <v>30327.070230224599</v>
      </c>
      <c r="J1304" s="864">
        <v>31524.210089244123</v>
      </c>
      <c r="K1304" s="864">
        <v>32784.357309264655</v>
      </c>
      <c r="L1304" s="18" t="s">
        <v>3039</v>
      </c>
      <c r="M1304" s="442"/>
      <c r="N1304" s="433"/>
      <c r="P1304" s="433"/>
      <c r="T1304" s="443"/>
      <c r="U1304" s="440"/>
      <c r="V1304" s="440"/>
      <c r="W1304" s="440"/>
      <c r="X1304" s="442"/>
    </row>
    <row r="1305" spans="1:24" x14ac:dyDescent="0.25">
      <c r="A1305" s="862">
        <v>2023</v>
      </c>
      <c r="B1305" s="863" t="s">
        <v>8201</v>
      </c>
      <c r="C1305" s="862">
        <v>2023</v>
      </c>
      <c r="D1305" s="165" t="s">
        <v>2153</v>
      </c>
      <c r="E1305" s="165" t="s">
        <v>8202</v>
      </c>
      <c r="F1305" s="163">
        <v>2</v>
      </c>
      <c r="G1305" s="864"/>
      <c r="H1305" s="864">
        <v>27803.138432838612</v>
      </c>
      <c r="I1305" s="864">
        <v>28907.0565901763</v>
      </c>
      <c r="J1305" s="864">
        <v>30069.068020900271</v>
      </c>
      <c r="K1305" s="864">
        <v>31292.237947978127</v>
      </c>
      <c r="L1305" s="18" t="s">
        <v>1930</v>
      </c>
      <c r="M1305" s="442"/>
      <c r="N1305" s="433"/>
      <c r="P1305" s="433"/>
      <c r="T1305" s="443"/>
      <c r="U1305" s="440"/>
      <c r="V1305" s="440"/>
      <c r="W1305" s="440"/>
      <c r="X1305" s="442"/>
    </row>
    <row r="1306" spans="1:24" x14ac:dyDescent="0.25">
      <c r="A1306" s="862">
        <v>2024</v>
      </c>
      <c r="B1306" s="863" t="s">
        <v>8203</v>
      </c>
      <c r="C1306" s="862">
        <v>2024</v>
      </c>
      <c r="D1306" s="165" t="s">
        <v>2153</v>
      </c>
      <c r="E1306" s="165" t="s">
        <v>8204</v>
      </c>
      <c r="F1306" s="163">
        <v>2</v>
      </c>
      <c r="G1306" s="864"/>
      <c r="H1306" s="864">
        <v>28795.417684623371</v>
      </c>
      <c r="I1306" s="864">
        <v>29945.265532142505</v>
      </c>
      <c r="J1306" s="864">
        <v>31155.688024021703</v>
      </c>
      <c r="K1306" s="864">
        <v>32429.799037561388</v>
      </c>
      <c r="L1306" s="18" t="s">
        <v>1931</v>
      </c>
      <c r="M1306" s="442"/>
      <c r="N1306" s="433"/>
      <c r="P1306" s="433"/>
      <c r="T1306" s="443"/>
      <c r="U1306" s="440"/>
      <c r="V1306" s="440"/>
      <c r="W1306" s="440"/>
      <c r="X1306" s="442"/>
    </row>
    <row r="1307" spans="1:24" x14ac:dyDescent="0.25">
      <c r="A1307" s="862">
        <v>2025</v>
      </c>
      <c r="B1307" s="863" t="s">
        <v>8205</v>
      </c>
      <c r="C1307" s="862">
        <v>2025</v>
      </c>
      <c r="D1307" s="165" t="s">
        <v>2153</v>
      </c>
      <c r="E1307" s="165" t="s">
        <v>8206</v>
      </c>
      <c r="F1307" s="163">
        <v>2</v>
      </c>
      <c r="G1307" s="864"/>
      <c r="H1307" s="864">
        <v>29929.451115234529</v>
      </c>
      <c r="I1307" s="864">
        <v>31131.894296531354</v>
      </c>
      <c r="J1307" s="864">
        <v>32397.636764826122</v>
      </c>
      <c r="K1307" s="864">
        <v>33729.98701475055</v>
      </c>
      <c r="L1307" s="18" t="s">
        <v>1932</v>
      </c>
      <c r="M1307" s="442"/>
      <c r="N1307" s="433"/>
      <c r="P1307" s="433"/>
      <c r="T1307" s="443"/>
      <c r="U1307" s="440"/>
      <c r="V1307" s="440"/>
      <c r="W1307" s="440"/>
      <c r="X1307" s="442"/>
    </row>
    <row r="1308" spans="1:24" x14ac:dyDescent="0.25">
      <c r="A1308" s="862">
        <v>2026</v>
      </c>
      <c r="B1308" s="863" t="s">
        <v>8207</v>
      </c>
      <c r="C1308" s="862">
        <v>2026</v>
      </c>
      <c r="D1308" s="165" t="s">
        <v>2153</v>
      </c>
      <c r="E1308" s="165" t="s">
        <v>8208</v>
      </c>
      <c r="F1308" s="163">
        <v>2</v>
      </c>
      <c r="G1308" s="864"/>
      <c r="H1308" s="864">
        <v>30921.730367019296</v>
      </c>
      <c r="I1308" s="864">
        <v>32170.2005471632</v>
      </c>
      <c r="J1308" s="864">
        <v>33484.354076613192</v>
      </c>
      <c r="K1308" s="864">
        <v>34867.694067332268</v>
      </c>
      <c r="L1308" s="18" t="s">
        <v>1933</v>
      </c>
      <c r="M1308" s="442"/>
      <c r="N1308" s="433"/>
      <c r="P1308" s="433"/>
      <c r="T1308" s="443"/>
      <c r="U1308" s="440"/>
      <c r="V1308" s="440"/>
      <c r="W1308" s="440"/>
      <c r="X1308" s="442"/>
    </row>
    <row r="1309" spans="1:24" x14ac:dyDescent="0.25">
      <c r="A1309" s="862">
        <v>2027</v>
      </c>
      <c r="B1309" s="863" t="s">
        <v>8209</v>
      </c>
      <c r="C1309" s="862">
        <v>2027</v>
      </c>
      <c r="D1309" s="165" t="s">
        <v>2154</v>
      </c>
      <c r="E1309" s="165" t="s">
        <v>8210</v>
      </c>
      <c r="F1309" s="163">
        <v>1</v>
      </c>
      <c r="G1309" s="864"/>
      <c r="H1309" s="864">
        <v>25512.029636341755</v>
      </c>
      <c r="I1309" s="864">
        <v>26367.008024933144</v>
      </c>
      <c r="J1309" s="864">
        <v>27267.007199120042</v>
      </c>
      <c r="K1309" s="864">
        <v>28214.387539334588</v>
      </c>
      <c r="L1309" s="18" t="s">
        <v>1934</v>
      </c>
      <c r="M1309" s="442"/>
      <c r="N1309" s="433"/>
      <c r="P1309" s="433"/>
      <c r="T1309" s="443"/>
      <c r="U1309" s="440"/>
      <c r="V1309" s="440"/>
      <c r="W1309" s="440"/>
      <c r="X1309" s="442"/>
    </row>
    <row r="1310" spans="1:24" x14ac:dyDescent="0.25">
      <c r="A1310" s="862">
        <v>2028</v>
      </c>
      <c r="B1310" s="863" t="s">
        <v>8211</v>
      </c>
      <c r="C1310" s="862">
        <v>2028</v>
      </c>
      <c r="D1310" s="165" t="s">
        <v>2154</v>
      </c>
      <c r="E1310" s="165" t="s">
        <v>8212</v>
      </c>
      <c r="F1310" s="163">
        <v>1</v>
      </c>
      <c r="G1310" s="864"/>
      <c r="H1310" s="864">
        <v>16519.29005679283</v>
      </c>
      <c r="I1310" s="864">
        <v>0</v>
      </c>
      <c r="J1310" s="864">
        <v>0</v>
      </c>
      <c r="K1310" s="864">
        <v>0</v>
      </c>
      <c r="L1310" s="18" t="s">
        <v>1935</v>
      </c>
      <c r="M1310" s="442"/>
      <c r="N1310" s="433"/>
      <c r="P1310" s="433"/>
      <c r="T1310" s="443"/>
      <c r="U1310" s="440"/>
      <c r="V1310" s="440"/>
      <c r="W1310" s="440"/>
      <c r="X1310" s="442"/>
    </row>
    <row r="1311" spans="1:24" x14ac:dyDescent="0.25">
      <c r="A1311" s="862">
        <v>2029</v>
      </c>
      <c r="B1311" s="863" t="s">
        <v>8213</v>
      </c>
      <c r="C1311" s="862">
        <v>2029</v>
      </c>
      <c r="D1311" s="165" t="s">
        <v>2154</v>
      </c>
      <c r="E1311" s="165" t="s">
        <v>8214</v>
      </c>
      <c r="F1311" s="163">
        <v>1</v>
      </c>
      <c r="G1311" s="864"/>
      <c r="H1311" s="864">
        <v>19377.975983168537</v>
      </c>
      <c r="I1311" s="864">
        <v>20035.307222044554</v>
      </c>
      <c r="J1311" s="864">
        <v>20727.280514910017</v>
      </c>
      <c r="K1311" s="864">
        <v>21455.666147089043</v>
      </c>
      <c r="L1311" s="18" t="s">
        <v>1936</v>
      </c>
      <c r="M1311" s="442"/>
      <c r="N1311" s="433"/>
      <c r="P1311" s="433"/>
      <c r="T1311" s="443"/>
      <c r="U1311" s="440"/>
      <c r="V1311" s="440"/>
      <c r="W1311" s="440"/>
      <c r="X1311" s="442"/>
    </row>
    <row r="1312" spans="1:24" x14ac:dyDescent="0.25">
      <c r="A1312" s="862">
        <v>2030</v>
      </c>
      <c r="B1312" s="863" t="s">
        <v>8215</v>
      </c>
      <c r="C1312" s="862">
        <v>2030</v>
      </c>
      <c r="D1312" s="165" t="s">
        <v>2154</v>
      </c>
      <c r="E1312" s="165" t="s">
        <v>8216</v>
      </c>
      <c r="F1312" s="163">
        <v>1</v>
      </c>
      <c r="G1312" s="864"/>
      <c r="H1312" s="864">
        <v>18575.062153487095</v>
      </c>
      <c r="I1312" s="864">
        <v>19155.299202071958</v>
      </c>
      <c r="J1312" s="864">
        <v>19766.082350366956</v>
      </c>
      <c r="K1312" s="864">
        <v>20409.008326311479</v>
      </c>
      <c r="L1312" s="18" t="s">
        <v>3040</v>
      </c>
      <c r="M1312" s="442"/>
      <c r="N1312" s="433"/>
      <c r="P1312" s="433"/>
      <c r="T1312" s="443"/>
      <c r="U1312" s="440"/>
      <c r="V1312" s="440"/>
      <c r="W1312" s="440"/>
      <c r="X1312" s="442"/>
    </row>
    <row r="1313" spans="1:24" x14ac:dyDescent="0.25">
      <c r="A1313" s="862">
        <v>2031</v>
      </c>
      <c r="B1313" s="863" t="s">
        <v>8217</v>
      </c>
      <c r="C1313" s="862">
        <v>2031</v>
      </c>
      <c r="D1313" s="165" t="s">
        <v>2154</v>
      </c>
      <c r="E1313" s="165" t="s">
        <v>8218</v>
      </c>
      <c r="F1313" s="163">
        <v>1</v>
      </c>
      <c r="G1313" s="864"/>
      <c r="H1313" s="864">
        <v>0</v>
      </c>
      <c r="I1313" s="864">
        <v>19798.176528730535</v>
      </c>
      <c r="J1313" s="864">
        <v>20422.011192356225</v>
      </c>
      <c r="K1313" s="864">
        <v>21078.648201693373</v>
      </c>
      <c r="L1313" s="18" t="s">
        <v>3951</v>
      </c>
      <c r="M1313" s="442"/>
      <c r="N1313" s="433"/>
      <c r="P1313" s="433"/>
      <c r="T1313" s="443"/>
      <c r="U1313" s="440"/>
      <c r="V1313" s="440"/>
      <c r="W1313" s="440"/>
      <c r="X1313" s="442"/>
    </row>
    <row r="1314" spans="1:24" x14ac:dyDescent="0.25">
      <c r="A1314" s="862">
        <v>2032</v>
      </c>
      <c r="B1314" s="863" t="s">
        <v>8219</v>
      </c>
      <c r="C1314" s="862">
        <v>2032</v>
      </c>
      <c r="D1314" s="165" t="s">
        <v>2154</v>
      </c>
      <c r="E1314" s="165" t="s">
        <v>8220</v>
      </c>
      <c r="F1314" s="163">
        <v>1</v>
      </c>
      <c r="G1314" s="864"/>
      <c r="H1314" s="864">
        <v>0</v>
      </c>
      <c r="I1314" s="864">
        <v>22129.017130609529</v>
      </c>
      <c r="J1314" s="864">
        <v>22835.881647083686</v>
      </c>
      <c r="K1314" s="864">
        <v>23579.922155364166</v>
      </c>
      <c r="L1314" s="18" t="s">
        <v>3952</v>
      </c>
      <c r="M1314" s="442"/>
      <c r="N1314" s="433"/>
      <c r="P1314" s="433"/>
      <c r="T1314" s="443"/>
      <c r="U1314" s="440"/>
      <c r="V1314" s="440"/>
      <c r="W1314" s="440"/>
      <c r="X1314" s="442"/>
    </row>
    <row r="1315" spans="1:24" x14ac:dyDescent="0.25">
      <c r="A1315" s="862">
        <v>2033</v>
      </c>
      <c r="B1315" s="863" t="s">
        <v>8221</v>
      </c>
      <c r="C1315" s="862">
        <v>2033</v>
      </c>
      <c r="D1315" s="165" t="s">
        <v>2154</v>
      </c>
      <c r="E1315" s="165" t="s">
        <v>8222</v>
      </c>
      <c r="F1315" s="163">
        <v>1</v>
      </c>
      <c r="G1315" s="864"/>
      <c r="H1315" s="864">
        <v>0</v>
      </c>
      <c r="I1315" s="864">
        <v>22221.327649495826</v>
      </c>
      <c r="J1315" s="864">
        <v>22931.455044802657</v>
      </c>
      <c r="K1315" s="864">
        <v>23678.966700777466</v>
      </c>
      <c r="L1315" s="18" t="s">
        <v>3953</v>
      </c>
      <c r="M1315" s="442"/>
      <c r="N1315" s="433"/>
      <c r="P1315" s="433"/>
      <c r="T1315" s="443"/>
      <c r="U1315" s="440"/>
      <c r="V1315" s="440"/>
      <c r="W1315" s="440"/>
      <c r="X1315" s="442"/>
    </row>
    <row r="1316" spans="1:24" x14ac:dyDescent="0.25">
      <c r="A1316" s="862">
        <v>2034</v>
      </c>
      <c r="B1316" s="863" t="s">
        <v>8223</v>
      </c>
      <c r="C1316" s="862">
        <v>2034</v>
      </c>
      <c r="D1316" s="165" t="s">
        <v>2154</v>
      </c>
      <c r="E1316" s="165" t="s">
        <v>8224</v>
      </c>
      <c r="F1316" s="163">
        <v>1</v>
      </c>
      <c r="G1316" s="864"/>
      <c r="H1316" s="864">
        <v>20605.893568985637</v>
      </c>
      <c r="I1316" s="864">
        <v>21258.469335520404</v>
      </c>
      <c r="J1316" s="864">
        <v>21945.409464229091</v>
      </c>
      <c r="K1316" s="864">
        <v>22668.518951912731</v>
      </c>
      <c r="L1316" s="18" t="s">
        <v>3041</v>
      </c>
      <c r="M1316" s="442"/>
      <c r="N1316" s="433"/>
      <c r="P1316" s="433"/>
      <c r="T1316" s="443"/>
      <c r="U1316" s="440"/>
      <c r="V1316" s="440"/>
      <c r="W1316" s="440"/>
      <c r="X1316" s="442"/>
    </row>
    <row r="1317" spans="1:24" x14ac:dyDescent="0.25">
      <c r="A1317" s="862">
        <v>2035</v>
      </c>
      <c r="B1317" s="863" t="s">
        <v>8225</v>
      </c>
      <c r="C1317" s="862">
        <v>2035</v>
      </c>
      <c r="D1317" s="165" t="s">
        <v>2154</v>
      </c>
      <c r="E1317" s="165" t="s">
        <v>8226</v>
      </c>
      <c r="F1317" s="163">
        <v>1</v>
      </c>
      <c r="G1317" s="864"/>
      <c r="H1317" s="864">
        <v>14146.877579466282</v>
      </c>
      <c r="I1317" s="864">
        <v>14590.143140032718</v>
      </c>
      <c r="J1317" s="864">
        <v>15056.734813105084</v>
      </c>
      <c r="K1317" s="864">
        <v>15547.902211853334</v>
      </c>
      <c r="L1317" s="18" t="s">
        <v>1937</v>
      </c>
      <c r="M1317" s="442"/>
      <c r="N1317" s="433"/>
      <c r="P1317" s="433"/>
      <c r="T1317" s="443"/>
      <c r="U1317" s="440"/>
      <c r="V1317" s="440"/>
      <c r="W1317" s="440"/>
      <c r="X1317" s="442"/>
    </row>
    <row r="1318" spans="1:24" x14ac:dyDescent="0.25">
      <c r="A1318" s="862">
        <v>2036</v>
      </c>
      <c r="B1318" s="863" t="s">
        <v>8227</v>
      </c>
      <c r="C1318" s="862">
        <v>2036</v>
      </c>
      <c r="D1318" s="165" t="s">
        <v>2154</v>
      </c>
      <c r="E1318" s="165" t="s">
        <v>8228</v>
      </c>
      <c r="F1318" s="163">
        <v>1</v>
      </c>
      <c r="G1318" s="864"/>
      <c r="H1318" s="864">
        <v>0</v>
      </c>
      <c r="I1318" s="864">
        <v>0</v>
      </c>
      <c r="J1318" s="864">
        <v>0</v>
      </c>
      <c r="K1318" s="864">
        <v>18759.683191259694</v>
      </c>
      <c r="L1318" s="18" t="s">
        <v>10947</v>
      </c>
      <c r="M1318" s="442"/>
      <c r="N1318" s="433"/>
      <c r="P1318" s="433"/>
      <c r="T1318" s="443"/>
      <c r="U1318" s="440"/>
      <c r="V1318" s="440"/>
      <c r="W1318" s="440"/>
      <c r="X1318" s="442"/>
    </row>
    <row r="1319" spans="1:24" x14ac:dyDescent="0.25">
      <c r="A1319" s="862">
        <v>2037</v>
      </c>
      <c r="B1319" s="863" t="s">
        <v>8229</v>
      </c>
      <c r="C1319" s="862">
        <v>2037</v>
      </c>
      <c r="D1319" s="165" t="s">
        <v>2154</v>
      </c>
      <c r="E1319" s="165" t="s">
        <v>8230</v>
      </c>
      <c r="F1319" s="163">
        <v>1</v>
      </c>
      <c r="G1319" s="864"/>
      <c r="H1319" s="864">
        <v>13407.544457890404</v>
      </c>
      <c r="I1319" s="864">
        <v>13654.330916884481</v>
      </c>
      <c r="J1319" s="864">
        <v>13914.126885697735</v>
      </c>
      <c r="K1319" s="864">
        <v>14187.596326553794</v>
      </c>
      <c r="L1319" s="18" t="s">
        <v>1938</v>
      </c>
      <c r="M1319" s="442"/>
      <c r="N1319" s="433"/>
      <c r="P1319" s="433"/>
      <c r="T1319" s="443"/>
      <c r="U1319" s="440"/>
      <c r="V1319" s="440"/>
      <c r="W1319" s="440"/>
      <c r="X1319" s="442"/>
    </row>
    <row r="1320" spans="1:24" x14ac:dyDescent="0.25">
      <c r="A1320" s="862">
        <v>2038</v>
      </c>
      <c r="B1320" s="863" t="s">
        <v>8231</v>
      </c>
      <c r="C1320" s="862">
        <v>2038</v>
      </c>
      <c r="D1320" s="165" t="s">
        <v>2154</v>
      </c>
      <c r="E1320" s="165" t="s">
        <v>8232</v>
      </c>
      <c r="F1320" s="163">
        <v>1</v>
      </c>
      <c r="G1320" s="864"/>
      <c r="H1320" s="864">
        <v>12620.240149084002</v>
      </c>
      <c r="I1320" s="864">
        <v>12849.556102068915</v>
      </c>
      <c r="J1320" s="864">
        <v>13090.94786799603</v>
      </c>
      <c r="K1320" s="864">
        <v>13345.058660269484</v>
      </c>
      <c r="L1320" s="18" t="s">
        <v>1939</v>
      </c>
      <c r="M1320" s="442"/>
      <c r="N1320" s="433"/>
      <c r="P1320" s="433"/>
      <c r="T1320" s="443"/>
      <c r="U1320" s="440"/>
      <c r="V1320" s="440"/>
      <c r="W1320" s="440"/>
      <c r="X1320" s="442"/>
    </row>
    <row r="1321" spans="1:24" x14ac:dyDescent="0.25">
      <c r="A1321" s="862">
        <v>2039</v>
      </c>
      <c r="B1321" s="863" t="s">
        <v>8233</v>
      </c>
      <c r="C1321" s="862">
        <v>2039</v>
      </c>
      <c r="D1321" s="165" t="s">
        <v>2154</v>
      </c>
      <c r="E1321" s="165" t="s">
        <v>8234</v>
      </c>
      <c r="F1321" s="163">
        <v>1</v>
      </c>
      <c r="G1321" s="864"/>
      <c r="H1321" s="864">
        <v>12767.859706985198</v>
      </c>
      <c r="I1321" s="864">
        <v>13000.45397344927</v>
      </c>
      <c r="J1321" s="864">
        <v>13245.310792230934</v>
      </c>
      <c r="K1321" s="864">
        <v>13503.052627914843</v>
      </c>
      <c r="L1321" s="18" t="s">
        <v>1940</v>
      </c>
      <c r="M1321" s="442"/>
      <c r="N1321" s="433"/>
      <c r="P1321" s="433"/>
      <c r="T1321" s="443"/>
      <c r="U1321" s="440"/>
      <c r="V1321" s="440"/>
      <c r="W1321" s="440"/>
      <c r="X1321" s="442"/>
    </row>
    <row r="1322" spans="1:24" x14ac:dyDescent="0.25">
      <c r="A1322" s="862">
        <v>2040</v>
      </c>
      <c r="B1322" s="863" t="s">
        <v>8235</v>
      </c>
      <c r="C1322" s="862">
        <v>2040</v>
      </c>
      <c r="D1322" s="165" t="s">
        <v>2154</v>
      </c>
      <c r="E1322" s="165" t="s">
        <v>8236</v>
      </c>
      <c r="F1322" s="163">
        <v>1</v>
      </c>
      <c r="G1322" s="864"/>
      <c r="H1322" s="864">
        <v>11980.555398178805</v>
      </c>
      <c r="I1322" s="864">
        <v>12195.679158633704</v>
      </c>
      <c r="J1322" s="864">
        <v>12422.131774529231</v>
      </c>
      <c r="K1322" s="864">
        <v>12660.514961630541</v>
      </c>
      <c r="L1322" s="18" t="s">
        <v>1941</v>
      </c>
      <c r="M1322" s="442"/>
      <c r="N1322" s="433"/>
      <c r="P1322" s="433"/>
      <c r="T1322" s="443"/>
      <c r="U1322" s="440"/>
      <c r="V1322" s="440"/>
      <c r="W1322" s="440"/>
      <c r="X1322" s="442"/>
    </row>
    <row r="1323" spans="1:24" x14ac:dyDescent="0.25">
      <c r="A1323" s="862">
        <v>2041</v>
      </c>
      <c r="B1323" s="863" t="s">
        <v>8237</v>
      </c>
      <c r="C1323" s="862">
        <v>2041</v>
      </c>
      <c r="D1323" s="165" t="s">
        <v>2154</v>
      </c>
      <c r="E1323" s="165" t="s">
        <v>8238</v>
      </c>
      <c r="F1323" s="163">
        <v>1</v>
      </c>
      <c r="G1323" s="864"/>
      <c r="H1323" s="864">
        <v>18752.978746970675</v>
      </c>
      <c r="I1323" s="864">
        <v>19282.252211485589</v>
      </c>
      <c r="J1323" s="864">
        <v>19839.386351772057</v>
      </c>
      <c r="K1323" s="864">
        <v>20425.809920433749</v>
      </c>
      <c r="L1323" s="18" t="s">
        <v>1942</v>
      </c>
      <c r="M1323" s="442"/>
      <c r="N1323" s="433"/>
      <c r="P1323" s="433"/>
      <c r="T1323" s="443"/>
      <c r="U1323" s="440"/>
      <c r="V1323" s="440"/>
      <c r="W1323" s="440"/>
      <c r="X1323" s="442"/>
    </row>
    <row r="1324" spans="1:24" x14ac:dyDescent="0.25">
      <c r="A1324" s="862">
        <v>2042</v>
      </c>
      <c r="B1324" s="863" t="s">
        <v>8239</v>
      </c>
      <c r="C1324" s="862">
        <v>2042</v>
      </c>
      <c r="D1324" s="165" t="s">
        <v>2154</v>
      </c>
      <c r="E1324" s="165" t="s">
        <v>8240</v>
      </c>
      <c r="F1324" s="163">
        <v>1</v>
      </c>
      <c r="G1324" s="864"/>
      <c r="H1324" s="864">
        <v>17892.158155012061</v>
      </c>
      <c r="I1324" s="864">
        <v>18393.729694044716</v>
      </c>
      <c r="J1324" s="864">
        <v>18921.73315624526</v>
      </c>
      <c r="K1324" s="864">
        <v>19477.517919072707</v>
      </c>
      <c r="L1324" s="18" t="s">
        <v>1943</v>
      </c>
      <c r="M1324" s="442"/>
      <c r="N1324" s="433"/>
      <c r="P1324" s="433"/>
      <c r="T1324" s="443"/>
      <c r="U1324" s="440"/>
      <c r="V1324" s="440"/>
      <c r="W1324" s="440"/>
      <c r="X1324" s="442"/>
    </row>
    <row r="1325" spans="1:24" x14ac:dyDescent="0.25">
      <c r="A1325" s="862">
        <v>2043</v>
      </c>
      <c r="B1325" s="863" t="s">
        <v>8241</v>
      </c>
      <c r="C1325" s="862">
        <v>2043</v>
      </c>
      <c r="D1325" s="165" t="s">
        <v>2154</v>
      </c>
      <c r="E1325" s="165" t="s">
        <v>8242</v>
      </c>
      <c r="F1325" s="163">
        <v>1</v>
      </c>
      <c r="G1325" s="864"/>
      <c r="H1325" s="864">
        <v>22056.458454577758</v>
      </c>
      <c r="I1325" s="864">
        <v>22704.477135486537</v>
      </c>
      <c r="J1325" s="864">
        <v>23386.627128594093</v>
      </c>
      <c r="K1325" s="864">
        <v>24104.694374655006</v>
      </c>
      <c r="L1325" s="18" t="s">
        <v>1944</v>
      </c>
      <c r="M1325" s="442"/>
      <c r="N1325" s="433"/>
      <c r="P1325" s="433"/>
      <c r="T1325" s="443"/>
      <c r="U1325" s="440"/>
      <c r="V1325" s="440"/>
      <c r="W1325" s="440"/>
      <c r="X1325" s="442"/>
    </row>
    <row r="1326" spans="1:24" x14ac:dyDescent="0.25">
      <c r="A1326" s="862">
        <v>2044</v>
      </c>
      <c r="B1326" s="863" t="s">
        <v>8243</v>
      </c>
      <c r="C1326" s="862">
        <v>2044</v>
      </c>
      <c r="D1326" s="165" t="s">
        <v>2154</v>
      </c>
      <c r="E1326" s="165" t="s">
        <v>8244</v>
      </c>
      <c r="F1326" s="163">
        <v>1</v>
      </c>
      <c r="G1326" s="864"/>
      <c r="H1326" s="864">
        <v>17346.350600756861</v>
      </c>
      <c r="I1326" s="864">
        <v>0</v>
      </c>
      <c r="J1326" s="864">
        <v>0</v>
      </c>
      <c r="K1326" s="864">
        <v>0</v>
      </c>
      <c r="L1326" s="18" t="s">
        <v>3954</v>
      </c>
      <c r="M1326" s="442"/>
      <c r="N1326" s="433"/>
      <c r="P1326" s="433"/>
      <c r="T1326" s="443"/>
      <c r="U1326" s="440"/>
      <c r="V1326" s="440"/>
      <c r="W1326" s="440"/>
      <c r="X1326" s="442"/>
    </row>
    <row r="1327" spans="1:24" x14ac:dyDescent="0.25">
      <c r="A1327" s="862">
        <v>2045</v>
      </c>
      <c r="B1327" s="863" t="s">
        <v>8245</v>
      </c>
      <c r="C1327" s="862">
        <v>2045</v>
      </c>
      <c r="D1327" s="165" t="s">
        <v>2154</v>
      </c>
      <c r="E1327" s="165" t="s">
        <v>8246</v>
      </c>
      <c r="F1327" s="163">
        <v>1</v>
      </c>
      <c r="G1327" s="864"/>
      <c r="H1327" s="864">
        <v>16528.182527761222</v>
      </c>
      <c r="I1327" s="864">
        <v>16986.335862671251</v>
      </c>
      <c r="J1327" s="864">
        <v>17468.619241554366</v>
      </c>
      <c r="K1327" s="864">
        <v>17976.302666724932</v>
      </c>
      <c r="L1327" s="18" t="s">
        <v>3955</v>
      </c>
      <c r="M1327" s="442"/>
      <c r="N1327" s="433"/>
      <c r="P1327" s="433"/>
      <c r="T1327" s="443"/>
      <c r="U1327" s="440"/>
      <c r="V1327" s="440"/>
      <c r="W1327" s="440"/>
      <c r="X1327" s="442"/>
    </row>
    <row r="1328" spans="1:24" x14ac:dyDescent="0.25">
      <c r="A1328" s="862">
        <v>2046</v>
      </c>
      <c r="B1328" s="863" t="s">
        <v>8247</v>
      </c>
      <c r="C1328" s="862">
        <v>2046</v>
      </c>
      <c r="D1328" s="165" t="s">
        <v>2154</v>
      </c>
      <c r="E1328" s="165" t="s">
        <v>8248</v>
      </c>
      <c r="F1328" s="163">
        <v>1</v>
      </c>
      <c r="G1328" s="864"/>
      <c r="H1328" s="864">
        <v>18009.53195730488</v>
      </c>
      <c r="I1328" s="864">
        <v>18514.873815708324</v>
      </c>
      <c r="J1328" s="864">
        <v>19046.84603514128</v>
      </c>
      <c r="K1328" s="864">
        <v>19606.797993062766</v>
      </c>
      <c r="L1328" s="18" t="s">
        <v>1945</v>
      </c>
      <c r="M1328" s="442"/>
      <c r="N1328" s="433"/>
      <c r="P1328" s="433"/>
      <c r="T1328" s="443"/>
      <c r="U1328" s="440"/>
      <c r="V1328" s="440"/>
      <c r="W1328" s="440"/>
      <c r="X1328" s="442"/>
    </row>
    <row r="1329" spans="1:24" x14ac:dyDescent="0.25">
      <c r="A1329" s="862">
        <v>2047</v>
      </c>
      <c r="B1329" s="863" t="s">
        <v>8249</v>
      </c>
      <c r="C1329" s="862">
        <v>2047</v>
      </c>
      <c r="D1329" s="165" t="s">
        <v>2154</v>
      </c>
      <c r="E1329" s="165" t="s">
        <v>8250</v>
      </c>
      <c r="F1329" s="163">
        <v>1</v>
      </c>
      <c r="G1329" s="864"/>
      <c r="H1329" s="864">
        <v>17191.363884309234</v>
      </c>
      <c r="I1329" s="864">
        <v>17670.392882261767</v>
      </c>
      <c r="J1329" s="864">
        <v>18174.663176212463</v>
      </c>
      <c r="K1329" s="864">
        <v>18705.48445604802</v>
      </c>
      <c r="L1329" s="18" t="s">
        <v>1946</v>
      </c>
      <c r="M1329" s="442"/>
      <c r="N1329" s="433"/>
      <c r="P1329" s="433"/>
      <c r="T1329" s="443"/>
      <c r="U1329" s="440"/>
      <c r="V1329" s="440"/>
      <c r="W1329" s="440"/>
      <c r="X1329" s="442"/>
    </row>
    <row r="1330" spans="1:24" x14ac:dyDescent="0.25">
      <c r="A1330" s="862">
        <v>2048</v>
      </c>
      <c r="B1330" s="863" t="s">
        <v>8251</v>
      </c>
      <c r="C1330" s="862">
        <v>2048</v>
      </c>
      <c r="D1330" s="165" t="s">
        <v>2154</v>
      </c>
      <c r="E1330" s="165" t="s">
        <v>8252</v>
      </c>
      <c r="F1330" s="163">
        <v>1</v>
      </c>
      <c r="G1330" s="864"/>
      <c r="H1330" s="864">
        <v>0</v>
      </c>
      <c r="I1330" s="864">
        <v>0</v>
      </c>
      <c r="J1330" s="864">
        <v>22357.136010166112</v>
      </c>
      <c r="K1330" s="864">
        <v>22962.292112964813</v>
      </c>
      <c r="L1330" s="18" t="s">
        <v>10948</v>
      </c>
      <c r="M1330" s="442"/>
      <c r="N1330" s="433"/>
      <c r="P1330" s="433"/>
      <c r="T1330" s="443"/>
      <c r="U1330" s="440"/>
      <c r="V1330" s="440"/>
      <c r="W1330" s="440"/>
      <c r="X1330" s="442"/>
    </row>
    <row r="1331" spans="1:24" x14ac:dyDescent="0.25">
      <c r="A1331" s="862">
        <v>2049</v>
      </c>
      <c r="B1331" s="863" t="s">
        <v>8253</v>
      </c>
      <c r="C1331" s="862">
        <v>2049</v>
      </c>
      <c r="D1331" s="165" t="s">
        <v>2154</v>
      </c>
      <c r="E1331" s="165" t="s">
        <v>8254</v>
      </c>
      <c r="F1331" s="163">
        <v>1</v>
      </c>
      <c r="G1331" s="864"/>
      <c r="H1331" s="864">
        <v>19338.189306144075</v>
      </c>
      <c r="I1331" s="864">
        <v>19897.109387185123</v>
      </c>
      <c r="J1331" s="864">
        <v>20485.4776468907</v>
      </c>
      <c r="K1331" s="864">
        <v>21104.802213009119</v>
      </c>
      <c r="L1331" s="18" t="s">
        <v>1947</v>
      </c>
      <c r="M1331" s="442"/>
      <c r="N1331" s="433"/>
      <c r="P1331" s="433"/>
      <c r="T1331" s="443"/>
      <c r="U1331" s="440"/>
      <c r="V1331" s="440"/>
      <c r="W1331" s="440"/>
      <c r="X1331" s="442"/>
    </row>
    <row r="1332" spans="1:24" x14ac:dyDescent="0.25">
      <c r="A1332" s="862">
        <v>2050</v>
      </c>
      <c r="B1332" s="863" t="s">
        <v>8255</v>
      </c>
      <c r="C1332" s="862">
        <v>2050</v>
      </c>
      <c r="D1332" s="165" t="s">
        <v>2154</v>
      </c>
      <c r="E1332" s="165" t="s">
        <v>8256</v>
      </c>
      <c r="F1332" s="163">
        <v>1</v>
      </c>
      <c r="G1332" s="864"/>
      <c r="H1332" s="864">
        <v>18526.1594061426</v>
      </c>
      <c r="I1332" s="864">
        <v>19058.488813726475</v>
      </c>
      <c r="J1332" s="864">
        <v>19618.837647371205</v>
      </c>
      <c r="K1332" s="864">
        <v>20208.674347252774</v>
      </c>
      <c r="L1332" s="18" t="s">
        <v>1948</v>
      </c>
      <c r="M1332" s="442"/>
      <c r="N1332" s="433"/>
      <c r="P1332" s="433"/>
      <c r="T1332" s="443"/>
      <c r="U1332" s="440"/>
      <c r="V1332" s="440"/>
      <c r="W1332" s="440"/>
      <c r="X1332" s="442"/>
    </row>
    <row r="1333" spans="1:24" x14ac:dyDescent="0.25">
      <c r="A1333" s="862">
        <v>2051</v>
      </c>
      <c r="B1333" s="863" t="s">
        <v>8257</v>
      </c>
      <c r="C1333" s="862">
        <v>2051</v>
      </c>
      <c r="D1333" s="165" t="s">
        <v>2154</v>
      </c>
      <c r="E1333" s="165" t="s">
        <v>8258</v>
      </c>
      <c r="F1333" s="163">
        <v>1</v>
      </c>
      <c r="G1333" s="864"/>
      <c r="H1333" s="864">
        <v>17056.19174073364</v>
      </c>
      <c r="I1333" s="864">
        <v>19619.731099867688</v>
      </c>
      <c r="J1333" s="864">
        <v>20229.371898339014</v>
      </c>
      <c r="K1333" s="864">
        <v>20871.119942820573</v>
      </c>
      <c r="L1333" s="18" t="s">
        <v>1949</v>
      </c>
      <c r="M1333" s="442"/>
      <c r="N1333" s="433"/>
      <c r="P1333" s="433"/>
      <c r="T1333" s="443"/>
      <c r="U1333" s="440"/>
      <c r="V1333" s="440"/>
      <c r="W1333" s="440"/>
      <c r="X1333" s="442"/>
    </row>
    <row r="1334" spans="1:24" x14ac:dyDescent="0.25">
      <c r="A1334" s="862">
        <v>2052</v>
      </c>
      <c r="B1334" s="863" t="s">
        <v>8259</v>
      </c>
      <c r="C1334" s="862">
        <v>2052</v>
      </c>
      <c r="D1334" s="165" t="s">
        <v>2154</v>
      </c>
      <c r="E1334" s="165" t="s">
        <v>8260</v>
      </c>
      <c r="F1334" s="163">
        <v>1</v>
      </c>
      <c r="G1334" s="864"/>
      <c r="H1334" s="864">
        <v>16230.928143768268</v>
      </c>
      <c r="I1334" s="864">
        <v>17784.339412107969</v>
      </c>
      <c r="J1334" s="864">
        <v>18314.287565352392</v>
      </c>
      <c r="K1334" s="864">
        <v>18872.136081940691</v>
      </c>
      <c r="L1334" s="18" t="s">
        <v>1950</v>
      </c>
      <c r="M1334" s="442"/>
      <c r="N1334" s="433"/>
      <c r="P1334" s="433"/>
      <c r="T1334" s="443"/>
      <c r="U1334" s="440"/>
      <c r="V1334" s="440"/>
      <c r="W1334" s="440"/>
      <c r="X1334" s="442"/>
    </row>
    <row r="1335" spans="1:24" x14ac:dyDescent="0.25">
      <c r="A1335" s="862">
        <v>2053</v>
      </c>
      <c r="B1335" s="863" t="s">
        <v>8261</v>
      </c>
      <c r="C1335" s="862">
        <v>2053</v>
      </c>
      <c r="D1335" s="165" t="s">
        <v>2154</v>
      </c>
      <c r="E1335" s="165" t="s">
        <v>8262</v>
      </c>
      <c r="F1335" s="163">
        <v>1</v>
      </c>
      <c r="G1335" s="864"/>
      <c r="H1335" s="864">
        <v>20239.177086331951</v>
      </c>
      <c r="I1335" s="864">
        <v>20826.218328218962</v>
      </c>
      <c r="J1335" s="864">
        <v>21444.168241422078</v>
      </c>
      <c r="K1335" s="864">
        <v>22094.655278665592</v>
      </c>
      <c r="L1335" s="18" t="s">
        <v>1951</v>
      </c>
      <c r="M1335" s="442"/>
      <c r="N1335" s="433"/>
      <c r="P1335" s="433"/>
      <c r="T1335" s="443"/>
      <c r="U1335" s="440"/>
      <c r="V1335" s="440"/>
      <c r="W1335" s="440"/>
      <c r="X1335" s="442"/>
    </row>
    <row r="1336" spans="1:24" x14ac:dyDescent="0.25">
      <c r="A1336" s="862">
        <v>2054</v>
      </c>
      <c r="B1336" s="863" t="s">
        <v>8263</v>
      </c>
      <c r="C1336" s="862">
        <v>2054</v>
      </c>
      <c r="D1336" s="165" t="s">
        <v>2154</v>
      </c>
      <c r="E1336" s="165" t="s">
        <v>8264</v>
      </c>
      <c r="F1336" s="163">
        <v>1</v>
      </c>
      <c r="G1336" s="864"/>
      <c r="H1336" s="864">
        <v>18806.213133696878</v>
      </c>
      <c r="I1336" s="864">
        <v>19416.848838296941</v>
      </c>
      <c r="J1336" s="864">
        <v>20059.632877928296</v>
      </c>
      <c r="K1336" s="864">
        <v>20736.245733740303</v>
      </c>
      <c r="L1336" s="18" t="s">
        <v>1952</v>
      </c>
      <c r="M1336" s="442"/>
      <c r="N1336" s="433"/>
      <c r="P1336" s="433"/>
      <c r="T1336" s="443"/>
      <c r="U1336" s="440"/>
      <c r="V1336" s="440"/>
      <c r="W1336" s="440"/>
      <c r="X1336" s="442"/>
    </row>
    <row r="1337" spans="1:24" x14ac:dyDescent="0.25">
      <c r="A1337" s="862">
        <v>2055</v>
      </c>
      <c r="B1337" s="863" t="s">
        <v>8265</v>
      </c>
      <c r="C1337" s="862">
        <v>2055</v>
      </c>
      <c r="D1337" s="165" t="s">
        <v>2154</v>
      </c>
      <c r="E1337" s="165" t="s">
        <v>8266</v>
      </c>
      <c r="F1337" s="163">
        <v>1</v>
      </c>
      <c r="G1337" s="864"/>
      <c r="H1337" s="864">
        <v>0</v>
      </c>
      <c r="I1337" s="864">
        <v>0</v>
      </c>
      <c r="J1337" s="864">
        <v>20618.554989739863</v>
      </c>
      <c r="K1337" s="864">
        <v>21241.35591657335</v>
      </c>
      <c r="L1337" s="18" t="s">
        <v>4675</v>
      </c>
      <c r="M1337" s="442"/>
      <c r="N1337" s="433"/>
      <c r="P1337" s="433"/>
      <c r="T1337" s="443"/>
      <c r="U1337" s="440"/>
      <c r="V1337" s="440"/>
      <c r="W1337" s="440"/>
      <c r="X1337" s="442"/>
    </row>
    <row r="1338" spans="1:24" x14ac:dyDescent="0.25">
      <c r="A1338" s="862">
        <v>2056</v>
      </c>
      <c r="B1338" s="863" t="s">
        <v>8267</v>
      </c>
      <c r="C1338" s="862">
        <v>2056</v>
      </c>
      <c r="D1338" s="165" t="s">
        <v>2154</v>
      </c>
      <c r="E1338" s="165" t="s">
        <v>8268</v>
      </c>
      <c r="F1338" s="163">
        <v>1</v>
      </c>
      <c r="G1338" s="864"/>
      <c r="H1338" s="864">
        <v>20183.28596481133</v>
      </c>
      <c r="I1338" s="864">
        <v>22274.242901005713</v>
      </c>
      <c r="J1338" s="864">
        <v>23045.876006154529</v>
      </c>
      <c r="K1338" s="864">
        <v>23858.096384280354</v>
      </c>
      <c r="L1338" s="18" t="s">
        <v>1953</v>
      </c>
      <c r="M1338" s="442"/>
      <c r="N1338" s="433"/>
      <c r="P1338" s="433"/>
      <c r="T1338" s="443"/>
      <c r="U1338" s="440"/>
      <c r="V1338" s="440"/>
      <c r="W1338" s="440"/>
      <c r="X1338" s="442"/>
    </row>
    <row r="1339" spans="1:24" x14ac:dyDescent="0.25">
      <c r="A1339" s="862">
        <v>2057</v>
      </c>
      <c r="B1339" s="863" t="s">
        <v>8269</v>
      </c>
      <c r="C1339" s="862">
        <v>2057</v>
      </c>
      <c r="D1339" s="165" t="s">
        <v>2154</v>
      </c>
      <c r="E1339" s="165" t="s">
        <v>8270</v>
      </c>
      <c r="F1339" s="163">
        <v>1</v>
      </c>
      <c r="G1339" s="864"/>
      <c r="H1339" s="864">
        <v>0</v>
      </c>
      <c r="I1339" s="864">
        <v>0</v>
      </c>
      <c r="J1339" s="864">
        <v>21688.200340583251</v>
      </c>
      <c r="K1339" s="864">
        <v>22347.350805321446</v>
      </c>
      <c r="L1339" s="18" t="s">
        <v>4676</v>
      </c>
      <c r="M1339" s="442"/>
      <c r="N1339" s="433"/>
      <c r="P1339" s="433"/>
      <c r="T1339" s="443"/>
      <c r="U1339" s="440"/>
      <c r="V1339" s="440"/>
      <c r="W1339" s="440"/>
      <c r="X1339" s="442"/>
    </row>
    <row r="1340" spans="1:24" x14ac:dyDescent="0.25">
      <c r="A1340" s="862">
        <v>2058</v>
      </c>
      <c r="B1340" s="863" t="s">
        <v>8271</v>
      </c>
      <c r="C1340" s="862">
        <v>2058</v>
      </c>
      <c r="D1340" s="165" t="s">
        <v>2154</v>
      </c>
      <c r="E1340" s="165" t="s">
        <v>8272</v>
      </c>
      <c r="F1340" s="163">
        <v>1</v>
      </c>
      <c r="G1340" s="864"/>
      <c r="H1340" s="864">
        <v>22044.748790864382</v>
      </c>
      <c r="I1340" s="864">
        <v>22715.991413438209</v>
      </c>
      <c r="J1340" s="864">
        <v>23422.560672347558</v>
      </c>
      <c r="K1340" s="864">
        <v>24166.319709736286</v>
      </c>
      <c r="L1340" s="18" t="s">
        <v>3042</v>
      </c>
      <c r="M1340" s="442"/>
      <c r="N1340" s="433"/>
      <c r="P1340" s="433"/>
      <c r="T1340" s="443"/>
      <c r="U1340" s="440"/>
      <c r="V1340" s="440"/>
      <c r="W1340" s="440"/>
      <c r="X1340" s="442"/>
    </row>
    <row r="1341" spans="1:24" x14ac:dyDescent="0.25">
      <c r="A1341" s="862">
        <v>2059</v>
      </c>
      <c r="B1341" s="863" t="s">
        <v>8273</v>
      </c>
      <c r="C1341" s="862">
        <v>2059</v>
      </c>
      <c r="D1341" s="165" t="s">
        <v>2154</v>
      </c>
      <c r="E1341" s="165" t="s">
        <v>8274</v>
      </c>
      <c r="F1341" s="163">
        <v>1</v>
      </c>
      <c r="G1341" s="864"/>
      <c r="H1341" s="864">
        <v>0</v>
      </c>
      <c r="I1341" s="864">
        <v>0</v>
      </c>
      <c r="J1341" s="864">
        <v>0</v>
      </c>
      <c r="K1341" s="864">
        <v>20465.748511047943</v>
      </c>
      <c r="L1341" s="18" t="s">
        <v>10949</v>
      </c>
      <c r="M1341" s="442"/>
      <c r="N1341" s="433"/>
      <c r="P1341" s="433"/>
      <c r="T1341" s="443"/>
      <c r="U1341" s="440"/>
      <c r="V1341" s="440"/>
      <c r="W1341" s="440"/>
      <c r="X1341" s="442"/>
    </row>
    <row r="1342" spans="1:24" x14ac:dyDescent="0.25">
      <c r="A1342" s="862">
        <v>2060</v>
      </c>
      <c r="B1342" s="863" t="s">
        <v>8275</v>
      </c>
      <c r="C1342" s="862">
        <v>2060</v>
      </c>
      <c r="D1342" s="165" t="s">
        <v>2154</v>
      </c>
      <c r="E1342" s="165" t="s">
        <v>8276</v>
      </c>
      <c r="F1342" s="163">
        <v>1</v>
      </c>
      <c r="G1342" s="864"/>
      <c r="H1342" s="864">
        <v>16846.673673785266</v>
      </c>
      <c r="I1342" s="864">
        <v>17384.866027968223</v>
      </c>
      <c r="J1342" s="864">
        <v>17951.407368496952</v>
      </c>
      <c r="K1342" s="864">
        <v>18547.758983327425</v>
      </c>
      <c r="L1342" s="18" t="s">
        <v>1954</v>
      </c>
      <c r="M1342" s="442"/>
      <c r="N1342" s="433"/>
      <c r="P1342" s="433"/>
      <c r="T1342" s="443"/>
      <c r="U1342" s="440"/>
      <c r="V1342" s="440"/>
      <c r="W1342" s="440"/>
      <c r="X1342" s="442"/>
    </row>
    <row r="1343" spans="1:24" x14ac:dyDescent="0.25">
      <c r="A1343" s="862">
        <v>2061</v>
      </c>
      <c r="B1343" s="863" t="s">
        <v>8277</v>
      </c>
      <c r="C1343" s="862">
        <v>2061</v>
      </c>
      <c r="D1343" s="165" t="s">
        <v>2154</v>
      </c>
      <c r="E1343" s="165" t="s">
        <v>8278</v>
      </c>
      <c r="F1343" s="163">
        <v>1</v>
      </c>
      <c r="G1343" s="864"/>
      <c r="H1343" s="864">
        <v>0</v>
      </c>
      <c r="I1343" s="864">
        <v>17762.95065033315</v>
      </c>
      <c r="J1343" s="864">
        <v>18269.578497589213</v>
      </c>
      <c r="K1343" s="864">
        <v>18802.857719705593</v>
      </c>
      <c r="L1343" s="18" t="s">
        <v>3956</v>
      </c>
      <c r="M1343" s="442"/>
      <c r="N1343" s="433"/>
      <c r="P1343" s="433"/>
      <c r="T1343" s="443"/>
      <c r="U1343" s="440"/>
      <c r="V1343" s="440"/>
      <c r="W1343" s="440"/>
      <c r="X1343" s="442"/>
    </row>
    <row r="1344" spans="1:24" x14ac:dyDescent="0.25">
      <c r="A1344" s="862">
        <v>2062</v>
      </c>
      <c r="B1344" s="863" t="s">
        <v>8279</v>
      </c>
      <c r="C1344" s="862">
        <v>2062</v>
      </c>
      <c r="D1344" s="165" t="s">
        <v>2154</v>
      </c>
      <c r="E1344" s="165" t="s">
        <v>8280</v>
      </c>
      <c r="F1344" s="163">
        <v>1</v>
      </c>
      <c r="G1344" s="864"/>
      <c r="H1344" s="864">
        <v>0</v>
      </c>
      <c r="I1344" s="864">
        <v>0</v>
      </c>
      <c r="J1344" s="864">
        <v>0</v>
      </c>
      <c r="K1344" s="864">
        <v>12011.926875883933</v>
      </c>
      <c r="L1344" s="18" t="s">
        <v>10950</v>
      </c>
      <c r="M1344" s="442"/>
      <c r="N1344" s="433"/>
      <c r="P1344" s="433"/>
      <c r="T1344" s="443"/>
      <c r="U1344" s="440"/>
      <c r="V1344" s="440"/>
      <c r="W1344" s="440"/>
      <c r="X1344" s="442"/>
    </row>
    <row r="1345" spans="1:24" x14ac:dyDescent="0.25">
      <c r="A1345" s="862">
        <v>2063</v>
      </c>
      <c r="B1345" s="863" t="s">
        <v>8281</v>
      </c>
      <c r="C1345" s="862">
        <v>2063</v>
      </c>
      <c r="D1345" s="165" t="s">
        <v>2154</v>
      </c>
      <c r="E1345" s="165" t="s">
        <v>8282</v>
      </c>
      <c r="F1345" s="163">
        <v>1</v>
      </c>
      <c r="G1345" s="864"/>
      <c r="H1345" s="864">
        <v>11586.241843609503</v>
      </c>
      <c r="I1345" s="864">
        <v>0</v>
      </c>
      <c r="J1345" s="864">
        <v>0</v>
      </c>
      <c r="K1345" s="864">
        <v>0</v>
      </c>
      <c r="L1345" s="18" t="s">
        <v>1955</v>
      </c>
      <c r="M1345" s="442"/>
      <c r="N1345" s="433"/>
      <c r="P1345" s="433"/>
      <c r="T1345" s="443"/>
      <c r="U1345" s="440"/>
      <c r="V1345" s="440"/>
      <c r="W1345" s="440"/>
      <c r="X1345" s="442"/>
    </row>
    <row r="1346" spans="1:24" x14ac:dyDescent="0.25">
      <c r="A1346" s="862">
        <v>2064</v>
      </c>
      <c r="B1346" s="863" t="s">
        <v>8283</v>
      </c>
      <c r="C1346" s="862">
        <v>2064</v>
      </c>
      <c r="D1346" s="165" t="s">
        <v>2154</v>
      </c>
      <c r="E1346" s="165" t="s">
        <v>8284</v>
      </c>
      <c r="F1346" s="163">
        <v>1</v>
      </c>
      <c r="G1346" s="864"/>
      <c r="H1346" s="864">
        <v>12471.913921665477</v>
      </c>
      <c r="I1346" s="864">
        <v>12812.222654219107</v>
      </c>
      <c r="J1346" s="864">
        <v>13170.461959220636</v>
      </c>
      <c r="K1346" s="864">
        <v>13547.579112195617</v>
      </c>
      <c r="L1346" s="18" t="s">
        <v>1956</v>
      </c>
      <c r="M1346" s="442"/>
      <c r="N1346" s="433"/>
      <c r="P1346" s="433"/>
      <c r="T1346" s="443"/>
      <c r="U1346" s="440"/>
      <c r="V1346" s="440"/>
      <c r="W1346" s="440"/>
      <c r="X1346" s="442"/>
    </row>
    <row r="1347" spans="1:24" x14ac:dyDescent="0.25">
      <c r="A1347" s="862">
        <v>2065</v>
      </c>
      <c r="B1347" s="863" t="s">
        <v>8285</v>
      </c>
      <c r="C1347" s="862">
        <v>2065</v>
      </c>
      <c r="D1347" s="165" t="s">
        <v>2154</v>
      </c>
      <c r="E1347" s="165" t="s">
        <v>8286</v>
      </c>
      <c r="F1347" s="163">
        <v>1</v>
      </c>
      <c r="G1347" s="864"/>
      <c r="H1347" s="864">
        <v>0</v>
      </c>
      <c r="I1347" s="864">
        <v>0</v>
      </c>
      <c r="J1347" s="864">
        <v>0</v>
      </c>
      <c r="K1347" s="864">
        <v>13046.839228930405</v>
      </c>
      <c r="L1347" s="18" t="s">
        <v>10951</v>
      </c>
      <c r="M1347" s="442"/>
      <c r="N1347" s="433"/>
      <c r="P1347" s="433"/>
      <c r="T1347" s="443"/>
      <c r="U1347" s="440"/>
      <c r="V1347" s="440"/>
      <c r="W1347" s="440"/>
      <c r="X1347" s="442"/>
    </row>
    <row r="1348" spans="1:24" x14ac:dyDescent="0.25">
      <c r="A1348" s="862">
        <v>2066</v>
      </c>
      <c r="B1348" s="863" t="s">
        <v>8287</v>
      </c>
      <c r="C1348" s="862">
        <v>2066</v>
      </c>
      <c r="D1348" s="165" t="s">
        <v>2154</v>
      </c>
      <c r="E1348" s="165" t="s">
        <v>8288</v>
      </c>
      <c r="F1348" s="163">
        <v>1</v>
      </c>
      <c r="G1348" s="864"/>
      <c r="H1348" s="864">
        <v>0</v>
      </c>
      <c r="I1348" s="864">
        <v>0</v>
      </c>
      <c r="J1348" s="864">
        <v>0</v>
      </c>
      <c r="K1348" s="864">
        <v>13878.929563038122</v>
      </c>
      <c r="L1348" s="18" t="s">
        <v>10952</v>
      </c>
      <c r="M1348" s="442"/>
      <c r="N1348" s="433"/>
      <c r="P1348" s="433"/>
      <c r="T1348" s="443"/>
      <c r="U1348" s="440"/>
      <c r="V1348" s="440"/>
      <c r="W1348" s="440"/>
      <c r="X1348" s="442"/>
    </row>
    <row r="1349" spans="1:24" x14ac:dyDescent="0.25">
      <c r="A1349" s="862">
        <v>2067</v>
      </c>
      <c r="B1349" s="863" t="s">
        <v>8289</v>
      </c>
      <c r="C1349" s="862">
        <v>2067</v>
      </c>
      <c r="D1349" s="165" t="s">
        <v>2154</v>
      </c>
      <c r="E1349" s="165" t="s">
        <v>8290</v>
      </c>
      <c r="F1349" s="163">
        <v>1</v>
      </c>
      <c r="G1349" s="864"/>
      <c r="H1349" s="864">
        <v>0</v>
      </c>
      <c r="I1349" s="864">
        <v>0</v>
      </c>
      <c r="J1349" s="864">
        <v>0</v>
      </c>
      <c r="K1349" s="864">
        <v>14763.025543027572</v>
      </c>
      <c r="L1349" s="18" t="s">
        <v>10953</v>
      </c>
      <c r="M1349" s="442"/>
      <c r="N1349" s="433"/>
      <c r="P1349" s="433"/>
      <c r="T1349" s="443"/>
      <c r="U1349" s="440"/>
      <c r="V1349" s="440"/>
      <c r="W1349" s="440"/>
      <c r="X1349" s="442"/>
    </row>
    <row r="1350" spans="1:24" x14ac:dyDescent="0.25">
      <c r="A1350" s="862">
        <v>2068</v>
      </c>
      <c r="B1350" s="863" t="s">
        <v>8291</v>
      </c>
      <c r="C1350" s="862">
        <v>2068</v>
      </c>
      <c r="D1350" s="165" t="s">
        <v>2154</v>
      </c>
      <c r="E1350" s="165" t="s">
        <v>8292</v>
      </c>
      <c r="F1350" s="163">
        <v>1</v>
      </c>
      <c r="G1350" s="864"/>
      <c r="H1350" s="864">
        <v>10433.505729886132</v>
      </c>
      <c r="I1350" s="864">
        <v>10700.56976555353</v>
      </c>
      <c r="J1350" s="864">
        <v>10981.707609029087</v>
      </c>
      <c r="K1350" s="864">
        <v>11277.663548225744</v>
      </c>
      <c r="L1350" s="18" t="s">
        <v>1957</v>
      </c>
      <c r="M1350" s="442"/>
      <c r="N1350" s="433"/>
      <c r="P1350" s="433"/>
      <c r="T1350" s="443"/>
      <c r="U1350" s="440"/>
      <c r="V1350" s="440"/>
      <c r="W1350" s="440"/>
      <c r="X1350" s="442"/>
    </row>
    <row r="1351" spans="1:24" x14ac:dyDescent="0.25">
      <c r="A1351" s="862">
        <v>2069</v>
      </c>
      <c r="B1351" s="863" t="s">
        <v>8293</v>
      </c>
      <c r="C1351" s="862">
        <v>2069</v>
      </c>
      <c r="D1351" s="165" t="s">
        <v>2154</v>
      </c>
      <c r="E1351" s="165" t="s">
        <v>8294</v>
      </c>
      <c r="F1351" s="163">
        <v>1</v>
      </c>
      <c r="G1351" s="864"/>
      <c r="H1351" s="864">
        <v>11586.241843609503</v>
      </c>
      <c r="I1351" s="864">
        <v>11896.982047258489</v>
      </c>
      <c r="J1351" s="864">
        <v>12224.062753723192</v>
      </c>
      <c r="K1351" s="864">
        <v>12568.363575991636</v>
      </c>
      <c r="L1351" s="18" t="s">
        <v>1958</v>
      </c>
      <c r="M1351" s="442"/>
      <c r="N1351" s="433"/>
      <c r="P1351" s="433"/>
      <c r="T1351" s="443"/>
      <c r="U1351" s="440"/>
      <c r="V1351" s="440"/>
      <c r="W1351" s="440"/>
      <c r="X1351" s="442"/>
    </row>
    <row r="1352" spans="1:24" x14ac:dyDescent="0.25">
      <c r="A1352" s="862">
        <v>2070</v>
      </c>
      <c r="B1352" s="863" t="s">
        <v>8295</v>
      </c>
      <c r="C1352" s="862">
        <v>2070</v>
      </c>
      <c r="D1352" s="165" t="s">
        <v>2154</v>
      </c>
      <c r="E1352" s="165" t="s">
        <v>8296</v>
      </c>
      <c r="F1352" s="163">
        <v>1</v>
      </c>
      <c r="G1352" s="864"/>
      <c r="H1352" s="864">
        <v>0</v>
      </c>
      <c r="I1352" s="864">
        <v>0</v>
      </c>
      <c r="J1352" s="864">
        <v>22942.135429530077</v>
      </c>
      <c r="K1352" s="864">
        <v>23661.738519673272</v>
      </c>
      <c r="L1352" s="18" t="s">
        <v>4677</v>
      </c>
      <c r="M1352" s="442"/>
      <c r="N1352" s="433"/>
      <c r="P1352" s="433"/>
      <c r="T1352" s="443"/>
      <c r="U1352" s="440"/>
      <c r="V1352" s="440"/>
      <c r="W1352" s="440"/>
      <c r="X1352" s="442"/>
    </row>
    <row r="1353" spans="1:24" x14ac:dyDescent="0.25">
      <c r="A1353" s="862">
        <v>2071</v>
      </c>
      <c r="B1353" s="863" t="s">
        <v>8297</v>
      </c>
      <c r="C1353" s="862">
        <v>2071</v>
      </c>
      <c r="D1353" s="165" t="s">
        <v>2154</v>
      </c>
      <c r="E1353" s="165" t="s">
        <v>8298</v>
      </c>
      <c r="F1353" s="163">
        <v>1</v>
      </c>
      <c r="G1353" s="864"/>
      <c r="H1353" s="864">
        <v>21299.690612294857</v>
      </c>
      <c r="I1353" s="864">
        <v>21995.447508508885</v>
      </c>
      <c r="J1353" s="864">
        <v>22727.857462231725</v>
      </c>
      <c r="K1353" s="864">
        <v>23498.812044113136</v>
      </c>
      <c r="L1353" s="18" t="s">
        <v>1959</v>
      </c>
      <c r="M1353" s="442"/>
      <c r="N1353" s="433"/>
      <c r="P1353" s="433"/>
      <c r="T1353" s="443"/>
      <c r="U1353" s="440"/>
      <c r="V1353" s="440"/>
      <c r="W1353" s="440"/>
      <c r="X1353" s="442"/>
    </row>
    <row r="1354" spans="1:24" x14ac:dyDescent="0.25">
      <c r="A1354" s="862">
        <v>2072</v>
      </c>
      <c r="B1354" s="863" t="s">
        <v>8299</v>
      </c>
      <c r="C1354" s="862">
        <v>2072</v>
      </c>
      <c r="D1354" s="165" t="s">
        <v>2154</v>
      </c>
      <c r="E1354" s="165" t="s">
        <v>8300</v>
      </c>
      <c r="F1354" s="163">
        <v>1</v>
      </c>
      <c r="G1354" s="864"/>
      <c r="H1354" s="864">
        <v>18423.371481270369</v>
      </c>
      <c r="I1354" s="864">
        <v>19032.48823985361</v>
      </c>
      <c r="J1354" s="864">
        <v>19673.699680773243</v>
      </c>
      <c r="K1354" s="864">
        <v>20348.64929983973</v>
      </c>
      <c r="L1354" s="18" t="s">
        <v>1960</v>
      </c>
      <c r="M1354" s="442"/>
      <c r="N1354" s="433"/>
      <c r="P1354" s="433"/>
      <c r="T1354" s="443"/>
      <c r="U1354" s="440"/>
      <c r="V1354" s="440"/>
      <c r="W1354" s="440"/>
      <c r="X1354" s="442"/>
    </row>
    <row r="1355" spans="1:24" x14ac:dyDescent="0.25">
      <c r="A1355" s="862">
        <v>2073</v>
      </c>
      <c r="B1355" s="863" t="s">
        <v>8301</v>
      </c>
      <c r="C1355" s="862">
        <v>2073</v>
      </c>
      <c r="D1355" s="165" t="s">
        <v>2154</v>
      </c>
      <c r="E1355" s="165" t="s">
        <v>8302</v>
      </c>
      <c r="F1355" s="163">
        <v>1</v>
      </c>
      <c r="G1355" s="864"/>
      <c r="H1355" s="864">
        <v>24947.146756558555</v>
      </c>
      <c r="I1355" s="864">
        <v>25803.749176713503</v>
      </c>
      <c r="J1355" s="864">
        <v>26705.439198913966</v>
      </c>
      <c r="K1355" s="864">
        <v>27654.573534133429</v>
      </c>
      <c r="L1355" s="18" t="s">
        <v>1961</v>
      </c>
      <c r="M1355" s="442"/>
      <c r="N1355" s="433"/>
      <c r="P1355" s="433"/>
      <c r="T1355" s="443"/>
      <c r="U1355" s="440"/>
      <c r="V1355" s="440"/>
      <c r="W1355" s="440"/>
      <c r="X1355" s="442"/>
    </row>
    <row r="1356" spans="1:24" x14ac:dyDescent="0.25">
      <c r="A1356" s="862">
        <v>2074</v>
      </c>
      <c r="B1356" s="863" t="s">
        <v>8303</v>
      </c>
      <c r="C1356" s="862">
        <v>2074</v>
      </c>
      <c r="D1356" s="165" t="s">
        <v>2154</v>
      </c>
      <c r="E1356" s="165" t="s">
        <v>8304</v>
      </c>
      <c r="F1356" s="163">
        <v>1</v>
      </c>
      <c r="G1356" s="864"/>
      <c r="H1356" s="864">
        <v>21307.466198791881</v>
      </c>
      <c r="I1356" s="864">
        <v>21978.903996990615</v>
      </c>
      <c r="J1356" s="864">
        <v>22685.670874443291</v>
      </c>
      <c r="K1356" s="864">
        <v>23429.619754887015</v>
      </c>
      <c r="L1356" s="18" t="s">
        <v>3043</v>
      </c>
      <c r="M1356" s="442"/>
      <c r="N1356" s="433"/>
      <c r="P1356" s="433"/>
      <c r="T1356" s="443"/>
      <c r="U1356" s="440"/>
      <c r="V1356" s="440"/>
      <c r="W1356" s="440"/>
      <c r="X1356" s="442"/>
    </row>
    <row r="1357" spans="1:24" x14ac:dyDescent="0.25">
      <c r="A1357" s="862">
        <v>2075</v>
      </c>
      <c r="B1357" s="863" t="s">
        <v>8305</v>
      </c>
      <c r="C1357" s="862">
        <v>2075</v>
      </c>
      <c r="D1357" s="165" t="s">
        <v>2154</v>
      </c>
      <c r="E1357" s="165" t="s">
        <v>8306</v>
      </c>
      <c r="F1357" s="163">
        <v>1</v>
      </c>
      <c r="G1357" s="864"/>
      <c r="H1357" s="864">
        <v>22661.865259663646</v>
      </c>
      <c r="I1357" s="864">
        <v>0</v>
      </c>
      <c r="J1357" s="864">
        <v>0</v>
      </c>
      <c r="K1357" s="864">
        <v>0</v>
      </c>
      <c r="L1357" s="18" t="s">
        <v>1962</v>
      </c>
      <c r="M1357" s="442"/>
      <c r="N1357" s="433"/>
      <c r="P1357" s="433"/>
      <c r="T1357" s="443"/>
      <c r="U1357" s="440"/>
      <c r="V1357" s="440"/>
      <c r="W1357" s="440"/>
      <c r="X1357" s="442"/>
    </row>
    <row r="1358" spans="1:24" x14ac:dyDescent="0.25">
      <c r="A1358" s="862">
        <v>2076</v>
      </c>
      <c r="B1358" s="863" t="s">
        <v>8307</v>
      </c>
      <c r="C1358" s="862">
        <v>2076</v>
      </c>
      <c r="D1358" s="165" t="s">
        <v>2154</v>
      </c>
      <c r="E1358" s="165" t="s">
        <v>8308</v>
      </c>
      <c r="F1358" s="163">
        <v>1</v>
      </c>
      <c r="G1358" s="864"/>
      <c r="H1358" s="864">
        <v>20092.549211664184</v>
      </c>
      <c r="I1358" s="864">
        <v>0</v>
      </c>
      <c r="J1358" s="864">
        <v>0</v>
      </c>
      <c r="K1358" s="864">
        <v>0</v>
      </c>
      <c r="L1358" s="18" t="s">
        <v>1963</v>
      </c>
      <c r="M1358" s="442"/>
      <c r="N1358" s="433"/>
      <c r="P1358" s="433"/>
      <c r="T1358" s="443"/>
      <c r="U1358" s="440"/>
      <c r="V1358" s="440"/>
      <c r="W1358" s="440"/>
      <c r="X1358" s="442"/>
    </row>
    <row r="1359" spans="1:24" x14ac:dyDescent="0.25">
      <c r="A1359" s="862">
        <v>2077</v>
      </c>
      <c r="B1359" s="863" t="s">
        <v>8309</v>
      </c>
      <c r="C1359" s="862">
        <v>2077</v>
      </c>
      <c r="D1359" s="165" t="s">
        <v>2154</v>
      </c>
      <c r="E1359" s="165" t="s">
        <v>8310</v>
      </c>
      <c r="F1359" s="163">
        <v>1</v>
      </c>
      <c r="G1359" s="864"/>
      <c r="H1359" s="864">
        <v>24190.388582921361</v>
      </c>
      <c r="I1359" s="864">
        <v>24964.200417594599</v>
      </c>
      <c r="J1359" s="864">
        <v>25778.776574483934</v>
      </c>
      <c r="K1359" s="864">
        <v>26636.217033824734</v>
      </c>
      <c r="L1359" s="18" t="s">
        <v>3044</v>
      </c>
      <c r="M1359" s="442"/>
      <c r="N1359" s="433"/>
      <c r="P1359" s="433"/>
      <c r="T1359" s="443"/>
      <c r="U1359" s="440"/>
      <c r="V1359" s="440"/>
      <c r="W1359" s="440"/>
      <c r="X1359" s="442"/>
    </row>
    <row r="1360" spans="1:24" x14ac:dyDescent="0.25">
      <c r="A1360" s="862">
        <v>2078</v>
      </c>
      <c r="B1360" s="863" t="s">
        <v>8311</v>
      </c>
      <c r="C1360" s="862">
        <v>2078</v>
      </c>
      <c r="D1360" s="165" t="s">
        <v>2154</v>
      </c>
      <c r="E1360" s="165" t="s">
        <v>8312</v>
      </c>
      <c r="F1360" s="163">
        <v>1</v>
      </c>
      <c r="G1360" s="864"/>
      <c r="H1360" s="864">
        <v>0</v>
      </c>
      <c r="I1360" s="864">
        <v>0</v>
      </c>
      <c r="J1360" s="864">
        <v>0</v>
      </c>
      <c r="K1360" s="864">
        <v>24515.746966273116</v>
      </c>
      <c r="L1360" s="18" t="s">
        <v>10954</v>
      </c>
      <c r="M1360" s="442"/>
      <c r="N1360" s="433"/>
      <c r="P1360" s="433"/>
      <c r="T1360" s="443"/>
      <c r="U1360" s="440"/>
      <c r="V1360" s="440"/>
      <c r="W1360" s="440"/>
      <c r="X1360" s="442"/>
    </row>
    <row r="1361" spans="1:24" x14ac:dyDescent="0.25">
      <c r="A1361" s="862">
        <v>2079</v>
      </c>
      <c r="B1361" s="863" t="s">
        <v>8313</v>
      </c>
      <c r="C1361" s="862">
        <v>2079</v>
      </c>
      <c r="D1361" s="165" t="s">
        <v>2154</v>
      </c>
      <c r="E1361" s="165" t="s">
        <v>8314</v>
      </c>
      <c r="F1361" s="163">
        <v>1</v>
      </c>
      <c r="G1361" s="864"/>
      <c r="H1361" s="864">
        <v>29235.380443289541</v>
      </c>
      <c r="I1361" s="864">
        <v>29931.219378575737</v>
      </c>
      <c r="J1361" s="864">
        <v>30663.711464210941</v>
      </c>
      <c r="K1361" s="864">
        <v>31434.740740633653</v>
      </c>
      <c r="L1361" s="18" t="s">
        <v>1964</v>
      </c>
      <c r="M1361" s="442"/>
      <c r="N1361" s="433"/>
      <c r="P1361" s="433"/>
      <c r="T1361" s="443"/>
      <c r="U1361" s="440"/>
      <c r="V1361" s="440"/>
      <c r="W1361" s="440"/>
      <c r="X1361" s="442"/>
    </row>
    <row r="1362" spans="1:24" x14ac:dyDescent="0.25">
      <c r="A1362" s="862">
        <v>2080</v>
      </c>
      <c r="B1362" s="863" t="s">
        <v>8315</v>
      </c>
      <c r="C1362" s="862">
        <v>2080</v>
      </c>
      <c r="D1362" s="165" t="s">
        <v>4465</v>
      </c>
      <c r="E1362" s="165" t="s">
        <v>8316</v>
      </c>
      <c r="F1362" s="163">
        <v>1</v>
      </c>
      <c r="G1362" s="864"/>
      <c r="H1362" s="864">
        <v>0</v>
      </c>
      <c r="I1362" s="864">
        <v>0</v>
      </c>
      <c r="J1362" s="864">
        <v>0</v>
      </c>
      <c r="K1362" s="864">
        <v>15521.057381352757</v>
      </c>
      <c r="L1362" s="18" t="s">
        <v>10955</v>
      </c>
      <c r="M1362" s="442"/>
      <c r="N1362" s="433"/>
      <c r="P1362" s="433"/>
      <c r="T1362" s="443"/>
      <c r="U1362" s="440"/>
      <c r="V1362" s="440"/>
      <c r="W1362" s="440"/>
      <c r="X1362" s="442"/>
    </row>
    <row r="1363" spans="1:24" x14ac:dyDescent="0.25">
      <c r="A1363" s="862">
        <v>2081</v>
      </c>
      <c r="B1363" s="863" t="s">
        <v>8317</v>
      </c>
      <c r="C1363" s="862">
        <v>2081</v>
      </c>
      <c r="D1363" s="165" t="s">
        <v>4465</v>
      </c>
      <c r="E1363" s="165" t="s">
        <v>8318</v>
      </c>
      <c r="F1363" s="163">
        <v>1</v>
      </c>
      <c r="G1363" s="864"/>
      <c r="H1363" s="864">
        <v>0</v>
      </c>
      <c r="I1363" s="864">
        <v>0</v>
      </c>
      <c r="J1363" s="864">
        <v>0</v>
      </c>
      <c r="K1363" s="864">
        <v>16085.415005461618</v>
      </c>
      <c r="L1363" s="18" t="s">
        <v>10956</v>
      </c>
      <c r="M1363" s="442"/>
      <c r="N1363" s="433"/>
      <c r="P1363" s="433"/>
      <c r="T1363" s="443"/>
      <c r="U1363" s="440"/>
      <c r="V1363" s="440"/>
      <c r="W1363" s="440"/>
      <c r="X1363" s="442"/>
    </row>
    <row r="1364" spans="1:24" x14ac:dyDescent="0.25">
      <c r="A1364" s="862">
        <v>2082</v>
      </c>
      <c r="B1364" s="863" t="s">
        <v>8319</v>
      </c>
      <c r="C1364" s="862">
        <v>2082</v>
      </c>
      <c r="D1364" s="165" t="s">
        <v>4465</v>
      </c>
      <c r="E1364" s="165" t="s">
        <v>8320</v>
      </c>
      <c r="F1364" s="163">
        <v>1</v>
      </c>
      <c r="G1364" s="864"/>
      <c r="H1364" s="864">
        <v>0</v>
      </c>
      <c r="I1364" s="864">
        <v>0</v>
      </c>
      <c r="J1364" s="864">
        <v>0</v>
      </c>
      <c r="K1364" s="864">
        <v>17214.130253679337</v>
      </c>
      <c r="L1364" s="18" t="s">
        <v>10957</v>
      </c>
      <c r="M1364" s="442"/>
      <c r="N1364" s="433"/>
      <c r="P1364" s="433"/>
      <c r="T1364" s="443"/>
      <c r="U1364" s="440"/>
      <c r="V1364" s="440"/>
      <c r="W1364" s="440"/>
      <c r="X1364" s="442"/>
    </row>
    <row r="1365" spans="1:24" x14ac:dyDescent="0.25">
      <c r="A1365" s="862">
        <v>2083</v>
      </c>
      <c r="B1365" s="863" t="s">
        <v>8321</v>
      </c>
      <c r="C1365" s="862">
        <v>2083</v>
      </c>
      <c r="D1365" s="165" t="s">
        <v>4465</v>
      </c>
      <c r="E1365" s="165" t="s">
        <v>8322</v>
      </c>
      <c r="F1365" s="163">
        <v>1</v>
      </c>
      <c r="G1365" s="864"/>
      <c r="H1365" s="864">
        <v>0</v>
      </c>
      <c r="I1365" s="864">
        <v>0</v>
      </c>
      <c r="J1365" s="864">
        <v>0</v>
      </c>
      <c r="K1365" s="864">
        <v>16785.218459356598</v>
      </c>
      <c r="L1365" s="18" t="s">
        <v>10958</v>
      </c>
      <c r="M1365" s="442"/>
      <c r="N1365" s="433"/>
      <c r="P1365" s="433"/>
      <c r="T1365" s="443"/>
      <c r="U1365" s="440"/>
      <c r="V1365" s="440"/>
      <c r="W1365" s="440"/>
      <c r="X1365" s="442"/>
    </row>
    <row r="1366" spans="1:24" x14ac:dyDescent="0.25">
      <c r="A1366" s="862">
        <v>2084</v>
      </c>
      <c r="B1366" s="863" t="s">
        <v>8323</v>
      </c>
      <c r="C1366" s="862">
        <v>2084</v>
      </c>
      <c r="D1366" s="165" t="s">
        <v>4465</v>
      </c>
      <c r="E1366" s="165" t="s">
        <v>8324</v>
      </c>
      <c r="F1366" s="163">
        <v>1</v>
      </c>
      <c r="G1366" s="864"/>
      <c r="H1366" s="864">
        <v>0</v>
      </c>
      <c r="I1366" s="864">
        <v>0</v>
      </c>
      <c r="J1366" s="864">
        <v>0</v>
      </c>
      <c r="K1366" s="864">
        <v>18252.548282039636</v>
      </c>
      <c r="L1366" s="18" t="s">
        <v>10959</v>
      </c>
      <c r="M1366" s="442"/>
      <c r="N1366" s="433"/>
      <c r="P1366" s="433"/>
      <c r="T1366" s="443"/>
      <c r="U1366" s="440"/>
      <c r="V1366" s="440"/>
      <c r="W1366" s="440"/>
      <c r="X1366" s="442"/>
    </row>
    <row r="1367" spans="1:24" x14ac:dyDescent="0.25">
      <c r="A1367" s="862">
        <v>2085</v>
      </c>
      <c r="B1367" s="863" t="s">
        <v>8325</v>
      </c>
      <c r="C1367" s="862">
        <v>2085</v>
      </c>
      <c r="D1367" s="165" t="s">
        <v>4465</v>
      </c>
      <c r="E1367" s="165" t="s">
        <v>8326</v>
      </c>
      <c r="F1367" s="163">
        <v>1</v>
      </c>
      <c r="G1367" s="864"/>
      <c r="H1367" s="864">
        <v>0</v>
      </c>
      <c r="I1367" s="864">
        <v>0</v>
      </c>
      <c r="J1367" s="864">
        <v>0</v>
      </c>
      <c r="K1367" s="864">
        <v>19099.084718202928</v>
      </c>
      <c r="L1367" s="18" t="s">
        <v>10960</v>
      </c>
      <c r="M1367" s="442"/>
      <c r="N1367" s="433"/>
      <c r="P1367" s="433"/>
      <c r="T1367" s="443"/>
      <c r="U1367" s="440"/>
      <c r="V1367" s="440"/>
      <c r="W1367" s="440"/>
      <c r="X1367" s="442"/>
    </row>
    <row r="1368" spans="1:24" x14ac:dyDescent="0.25">
      <c r="A1368" s="862">
        <v>2086</v>
      </c>
      <c r="B1368" s="863" t="s">
        <v>8327</v>
      </c>
      <c r="C1368" s="862">
        <v>2086</v>
      </c>
      <c r="D1368" s="165" t="s">
        <v>4465</v>
      </c>
      <c r="E1368" s="165" t="s">
        <v>8328</v>
      </c>
      <c r="F1368" s="163">
        <v>1</v>
      </c>
      <c r="G1368" s="864"/>
      <c r="H1368" s="864">
        <v>0</v>
      </c>
      <c r="I1368" s="864">
        <v>0</v>
      </c>
      <c r="J1368" s="864">
        <v>0</v>
      </c>
      <c r="K1368" s="864">
        <v>19640.303679723325</v>
      </c>
      <c r="L1368" s="18" t="s">
        <v>10961</v>
      </c>
      <c r="M1368" s="442"/>
      <c r="N1368" s="433"/>
      <c r="P1368" s="433"/>
      <c r="T1368" s="443"/>
      <c r="U1368" s="440"/>
      <c r="V1368" s="440"/>
      <c r="W1368" s="440"/>
      <c r="X1368" s="442"/>
    </row>
    <row r="1369" spans="1:24" x14ac:dyDescent="0.25">
      <c r="A1369" s="862">
        <v>2087</v>
      </c>
      <c r="B1369" s="863" t="s">
        <v>8329</v>
      </c>
      <c r="C1369" s="862">
        <v>2087</v>
      </c>
      <c r="D1369" s="165" t="s">
        <v>4465</v>
      </c>
      <c r="E1369" s="165" t="s">
        <v>8330</v>
      </c>
      <c r="F1369" s="163">
        <v>1</v>
      </c>
      <c r="G1369" s="864"/>
      <c r="H1369" s="864">
        <v>0</v>
      </c>
      <c r="I1369" s="864">
        <v>0</v>
      </c>
      <c r="J1369" s="864">
        <v>0</v>
      </c>
      <c r="K1369" s="864">
        <v>12719.189601312715</v>
      </c>
      <c r="L1369" s="18" t="s">
        <v>10962</v>
      </c>
      <c r="M1369" s="442"/>
      <c r="N1369" s="433"/>
      <c r="P1369" s="433"/>
      <c r="T1369" s="443"/>
      <c r="U1369" s="440"/>
      <c r="V1369" s="440"/>
      <c r="W1369" s="440"/>
      <c r="X1369" s="442"/>
    </row>
    <row r="1370" spans="1:24" x14ac:dyDescent="0.25">
      <c r="A1370" s="862">
        <v>2088</v>
      </c>
      <c r="B1370" s="863" t="s">
        <v>8331</v>
      </c>
      <c r="C1370" s="862">
        <v>2088</v>
      </c>
      <c r="D1370" s="165" t="s">
        <v>4465</v>
      </c>
      <c r="E1370" s="165" t="s">
        <v>8332</v>
      </c>
      <c r="F1370" s="163">
        <v>1</v>
      </c>
      <c r="G1370" s="864"/>
      <c r="H1370" s="864">
        <v>0</v>
      </c>
      <c r="I1370" s="864">
        <v>0</v>
      </c>
      <c r="J1370" s="864">
        <v>0</v>
      </c>
      <c r="K1370" s="864">
        <v>12487.188448488856</v>
      </c>
      <c r="L1370" s="18" t="s">
        <v>10963</v>
      </c>
      <c r="M1370" s="442"/>
      <c r="N1370" s="433"/>
      <c r="P1370" s="433"/>
      <c r="T1370" s="443"/>
      <c r="U1370" s="440"/>
      <c r="V1370" s="440"/>
      <c r="W1370" s="440"/>
      <c r="X1370" s="442"/>
    </row>
    <row r="1371" spans="1:24" x14ac:dyDescent="0.25">
      <c r="A1371" s="862">
        <v>2089</v>
      </c>
      <c r="B1371" s="863" t="s">
        <v>8333</v>
      </c>
      <c r="C1371" s="862">
        <v>2089</v>
      </c>
      <c r="D1371" s="165" t="s">
        <v>4465</v>
      </c>
      <c r="E1371" s="165" t="s">
        <v>8334</v>
      </c>
      <c r="F1371" s="163">
        <v>1</v>
      </c>
      <c r="G1371" s="864"/>
      <c r="H1371" s="864">
        <v>0</v>
      </c>
      <c r="I1371" s="864">
        <v>0</v>
      </c>
      <c r="J1371" s="864">
        <v>0</v>
      </c>
      <c r="K1371" s="864">
        <v>14265.863953471749</v>
      </c>
      <c r="L1371" s="18" t="s">
        <v>10964</v>
      </c>
      <c r="M1371" s="442"/>
      <c r="N1371" s="433"/>
      <c r="P1371" s="433"/>
      <c r="T1371" s="443"/>
      <c r="U1371" s="440"/>
      <c r="V1371" s="440"/>
      <c r="W1371" s="440"/>
      <c r="X1371" s="442"/>
    </row>
    <row r="1372" spans="1:24" x14ac:dyDescent="0.25">
      <c r="A1372" s="862">
        <v>2090</v>
      </c>
      <c r="B1372" s="863" t="s">
        <v>8335</v>
      </c>
      <c r="C1372" s="862">
        <v>2090</v>
      </c>
      <c r="D1372" s="165" t="s">
        <v>4465</v>
      </c>
      <c r="E1372" s="165" t="s">
        <v>8336</v>
      </c>
      <c r="F1372" s="163">
        <v>1</v>
      </c>
      <c r="G1372" s="864"/>
      <c r="H1372" s="864">
        <v>0</v>
      </c>
      <c r="I1372" s="864">
        <v>0</v>
      </c>
      <c r="J1372" s="864">
        <v>0</v>
      </c>
      <c r="K1372" s="864">
        <v>13260.525624568378</v>
      </c>
      <c r="L1372" s="18" t="s">
        <v>10965</v>
      </c>
      <c r="M1372" s="442"/>
      <c r="N1372" s="433"/>
      <c r="P1372" s="433"/>
      <c r="T1372" s="443"/>
      <c r="U1372" s="440"/>
      <c r="V1372" s="440"/>
      <c r="W1372" s="440"/>
      <c r="X1372" s="442"/>
    </row>
    <row r="1373" spans="1:24" x14ac:dyDescent="0.25">
      <c r="A1373" s="862">
        <v>2091</v>
      </c>
      <c r="B1373" s="863" t="s">
        <v>8337</v>
      </c>
      <c r="C1373" s="862">
        <v>2091</v>
      </c>
      <c r="D1373" s="165" t="s">
        <v>4465</v>
      </c>
      <c r="E1373" s="165" t="s">
        <v>8338</v>
      </c>
      <c r="F1373" s="163">
        <v>1</v>
      </c>
      <c r="G1373" s="864"/>
      <c r="H1373" s="864">
        <v>0</v>
      </c>
      <c r="I1373" s="864">
        <v>0</v>
      </c>
      <c r="J1373" s="864">
        <v>0</v>
      </c>
      <c r="K1373" s="864">
        <v>15348.535999983082</v>
      </c>
      <c r="L1373" s="18" t="s">
        <v>10966</v>
      </c>
      <c r="M1373" s="442"/>
      <c r="N1373" s="433"/>
      <c r="P1373" s="433"/>
      <c r="T1373" s="443"/>
      <c r="U1373" s="440"/>
      <c r="V1373" s="440"/>
      <c r="W1373" s="440"/>
      <c r="X1373" s="442"/>
    </row>
    <row r="1374" spans="1:24" x14ac:dyDescent="0.25">
      <c r="A1374" s="862">
        <v>2092</v>
      </c>
      <c r="B1374" s="863" t="s">
        <v>8339</v>
      </c>
      <c r="C1374" s="862">
        <v>2092</v>
      </c>
      <c r="D1374" s="165" t="s">
        <v>4465</v>
      </c>
      <c r="E1374" s="165" t="s">
        <v>8340</v>
      </c>
      <c r="F1374" s="163">
        <v>1</v>
      </c>
      <c r="G1374" s="864"/>
      <c r="H1374" s="864">
        <v>0</v>
      </c>
      <c r="I1374" s="864">
        <v>0</v>
      </c>
      <c r="J1374" s="864">
        <v>0</v>
      </c>
      <c r="K1374" s="864">
        <v>15039.201129551275</v>
      </c>
      <c r="L1374" s="18" t="s">
        <v>10967</v>
      </c>
      <c r="M1374" s="442"/>
      <c r="N1374" s="433"/>
      <c r="P1374" s="433"/>
      <c r="T1374" s="443"/>
      <c r="U1374" s="440"/>
      <c r="V1374" s="440"/>
      <c r="W1374" s="440"/>
      <c r="X1374" s="442"/>
    </row>
    <row r="1375" spans="1:24" x14ac:dyDescent="0.25">
      <c r="A1375" s="862">
        <v>2093</v>
      </c>
      <c r="B1375" s="863" t="s">
        <v>8341</v>
      </c>
      <c r="C1375" s="862">
        <v>2093</v>
      </c>
      <c r="D1375" s="165" t="s">
        <v>4465</v>
      </c>
      <c r="E1375" s="165" t="s">
        <v>8342</v>
      </c>
      <c r="F1375" s="163">
        <v>1</v>
      </c>
      <c r="G1375" s="864"/>
      <c r="H1375" s="864">
        <v>0</v>
      </c>
      <c r="I1375" s="864">
        <v>0</v>
      </c>
      <c r="J1375" s="864">
        <v>0</v>
      </c>
      <c r="K1375" s="864">
        <v>16157.576576595906</v>
      </c>
      <c r="L1375" s="18" t="s">
        <v>10968</v>
      </c>
      <c r="M1375" s="442"/>
      <c r="N1375" s="433"/>
      <c r="P1375" s="433"/>
      <c r="T1375" s="443"/>
      <c r="U1375" s="440"/>
      <c r="V1375" s="440"/>
      <c r="W1375" s="440"/>
      <c r="X1375" s="442"/>
    </row>
    <row r="1376" spans="1:24" x14ac:dyDescent="0.25">
      <c r="A1376" s="862">
        <v>2094</v>
      </c>
      <c r="B1376" s="863" t="s">
        <v>8343</v>
      </c>
      <c r="C1376" s="862">
        <v>2094</v>
      </c>
      <c r="D1376" s="165" t="s">
        <v>4465</v>
      </c>
      <c r="E1376" s="165" t="s">
        <v>8344</v>
      </c>
      <c r="F1376" s="163">
        <v>1</v>
      </c>
      <c r="G1376" s="864"/>
      <c r="H1376" s="864">
        <v>0</v>
      </c>
      <c r="I1376" s="864">
        <v>0</v>
      </c>
      <c r="J1376" s="864">
        <v>0</v>
      </c>
      <c r="K1376" s="864">
        <v>15275.865622660407</v>
      </c>
      <c r="L1376" s="18" t="s">
        <v>10969</v>
      </c>
      <c r="M1376" s="442"/>
      <c r="N1376" s="433"/>
      <c r="P1376" s="433"/>
      <c r="T1376" s="443"/>
      <c r="U1376" s="440"/>
      <c r="V1376" s="440"/>
      <c r="W1376" s="440"/>
      <c r="X1376" s="442"/>
    </row>
    <row r="1377" spans="1:24" x14ac:dyDescent="0.25">
      <c r="A1377" s="862">
        <v>2095</v>
      </c>
      <c r="B1377" s="863" t="s">
        <v>8345</v>
      </c>
      <c r="C1377" s="862">
        <v>2095</v>
      </c>
      <c r="D1377" s="165" t="s">
        <v>4465</v>
      </c>
      <c r="E1377" s="165" t="s">
        <v>8346</v>
      </c>
      <c r="F1377" s="163">
        <v>1</v>
      </c>
      <c r="G1377" s="864"/>
      <c r="H1377" s="864">
        <v>0</v>
      </c>
      <c r="I1377" s="864">
        <v>0</v>
      </c>
      <c r="J1377" s="864">
        <v>0</v>
      </c>
      <c r="K1377" s="864">
        <v>17596.157606701199</v>
      </c>
      <c r="L1377" s="18" t="s">
        <v>10970</v>
      </c>
      <c r="M1377" s="442"/>
      <c r="N1377" s="433"/>
      <c r="P1377" s="433"/>
      <c r="T1377" s="443"/>
      <c r="U1377" s="440"/>
      <c r="V1377" s="440"/>
      <c r="W1377" s="440"/>
      <c r="X1377" s="442"/>
    </row>
    <row r="1378" spans="1:24" x14ac:dyDescent="0.25">
      <c r="A1378" s="862">
        <v>2096</v>
      </c>
      <c r="B1378" s="863" t="s">
        <v>8347</v>
      </c>
      <c r="C1378" s="862">
        <v>2096</v>
      </c>
      <c r="D1378" s="165" t="s">
        <v>4465</v>
      </c>
      <c r="E1378" s="165" t="s">
        <v>8348</v>
      </c>
      <c r="F1378" s="163">
        <v>1</v>
      </c>
      <c r="G1378" s="864"/>
      <c r="H1378" s="864">
        <v>0</v>
      </c>
      <c r="I1378" s="864">
        <v>0</v>
      </c>
      <c r="J1378" s="864">
        <v>17645.357830274974</v>
      </c>
      <c r="K1378" s="864">
        <v>18524.274400317525</v>
      </c>
      <c r="L1378" s="18" t="s">
        <v>4678</v>
      </c>
      <c r="M1378" s="442"/>
      <c r="N1378" s="433"/>
      <c r="P1378" s="433"/>
      <c r="T1378" s="443"/>
      <c r="U1378" s="440"/>
      <c r="V1378" s="440"/>
      <c r="W1378" s="440"/>
      <c r="X1378" s="442"/>
    </row>
    <row r="1379" spans="1:24" x14ac:dyDescent="0.25">
      <c r="A1379" s="862">
        <v>2097</v>
      </c>
      <c r="B1379" s="863" t="s">
        <v>8349</v>
      </c>
      <c r="C1379" s="862">
        <v>2097</v>
      </c>
      <c r="D1379" s="165" t="s">
        <v>4465</v>
      </c>
      <c r="E1379" s="165" t="s">
        <v>8350</v>
      </c>
      <c r="F1379" s="163">
        <v>1</v>
      </c>
      <c r="G1379" s="864"/>
      <c r="H1379" s="864">
        <v>0</v>
      </c>
      <c r="I1379" s="864">
        <v>0</v>
      </c>
      <c r="J1379" s="864">
        <v>0</v>
      </c>
      <c r="K1379" s="864">
        <v>19127.550316168126</v>
      </c>
      <c r="L1379" s="18" t="s">
        <v>10971</v>
      </c>
      <c r="M1379" s="442"/>
      <c r="N1379" s="433"/>
      <c r="P1379" s="433"/>
      <c r="T1379" s="443"/>
      <c r="U1379" s="440"/>
      <c r="V1379" s="440"/>
      <c r="W1379" s="440"/>
      <c r="X1379" s="442"/>
    </row>
    <row r="1380" spans="1:24" x14ac:dyDescent="0.25">
      <c r="A1380" s="862">
        <v>2098</v>
      </c>
      <c r="B1380" s="863" t="s">
        <v>8351</v>
      </c>
      <c r="C1380" s="862">
        <v>2098</v>
      </c>
      <c r="D1380" s="165" t="s">
        <v>4465</v>
      </c>
      <c r="E1380" s="165" t="s">
        <v>8352</v>
      </c>
      <c r="F1380" s="163">
        <v>1</v>
      </c>
      <c r="G1380" s="864"/>
      <c r="H1380" s="864">
        <v>0</v>
      </c>
      <c r="I1380" s="864">
        <v>0</v>
      </c>
      <c r="J1380" s="864">
        <v>0</v>
      </c>
      <c r="K1380" s="864">
        <v>16619.216684748244</v>
      </c>
      <c r="L1380" s="18" t="s">
        <v>10972</v>
      </c>
      <c r="M1380" s="442"/>
      <c r="N1380" s="433"/>
      <c r="P1380" s="433"/>
      <c r="T1380" s="443"/>
      <c r="U1380" s="440"/>
      <c r="V1380" s="440"/>
      <c r="W1380" s="440"/>
      <c r="X1380" s="442"/>
    </row>
    <row r="1381" spans="1:24" x14ac:dyDescent="0.25">
      <c r="A1381" s="862">
        <v>2099</v>
      </c>
      <c r="B1381" s="863" t="s">
        <v>8353</v>
      </c>
      <c r="C1381" s="862">
        <v>2099</v>
      </c>
      <c r="D1381" s="165" t="s">
        <v>4465</v>
      </c>
      <c r="E1381" s="165" t="s">
        <v>8354</v>
      </c>
      <c r="F1381" s="163">
        <v>1</v>
      </c>
      <c r="G1381" s="864"/>
      <c r="H1381" s="864">
        <v>0</v>
      </c>
      <c r="I1381" s="864">
        <v>0</v>
      </c>
      <c r="J1381" s="864">
        <v>0</v>
      </c>
      <c r="K1381" s="864">
        <v>19586.654458959274</v>
      </c>
      <c r="L1381" s="18" t="s">
        <v>10973</v>
      </c>
      <c r="M1381" s="442"/>
      <c r="N1381" s="433"/>
      <c r="P1381" s="433"/>
      <c r="T1381" s="443"/>
      <c r="U1381" s="440"/>
      <c r="V1381" s="440"/>
      <c r="W1381" s="440"/>
      <c r="X1381" s="442"/>
    </row>
    <row r="1382" spans="1:24" x14ac:dyDescent="0.25">
      <c r="A1382" s="862">
        <v>2100</v>
      </c>
      <c r="B1382" s="863" t="s">
        <v>8355</v>
      </c>
      <c r="C1382" s="862">
        <v>2100</v>
      </c>
      <c r="D1382" s="165" t="s">
        <v>4465</v>
      </c>
      <c r="E1382" s="165" t="s">
        <v>8356</v>
      </c>
      <c r="F1382" s="163">
        <v>1</v>
      </c>
      <c r="G1382" s="864"/>
      <c r="H1382" s="864">
        <v>0</v>
      </c>
      <c r="I1382" s="864">
        <v>0</v>
      </c>
      <c r="J1382" s="864">
        <v>0</v>
      </c>
      <c r="K1382" s="864">
        <v>20312.423734608492</v>
      </c>
      <c r="L1382" s="18" t="s">
        <v>10974</v>
      </c>
      <c r="M1382" s="442"/>
      <c r="N1382" s="433"/>
      <c r="P1382" s="433"/>
      <c r="T1382" s="443"/>
      <c r="U1382" s="440"/>
      <c r="V1382" s="440"/>
      <c r="W1382" s="440"/>
      <c r="X1382" s="442"/>
    </row>
    <row r="1383" spans="1:24" x14ac:dyDescent="0.25">
      <c r="A1383" s="862">
        <v>2101</v>
      </c>
      <c r="B1383" s="863" t="s">
        <v>8357</v>
      </c>
      <c r="C1383" s="862">
        <v>2101</v>
      </c>
      <c r="D1383" s="165" t="s">
        <v>4465</v>
      </c>
      <c r="E1383" s="165" t="s">
        <v>8358</v>
      </c>
      <c r="F1383" s="163">
        <v>1</v>
      </c>
      <c r="G1383" s="864"/>
      <c r="H1383" s="864">
        <v>0</v>
      </c>
      <c r="I1383" s="864">
        <v>0</v>
      </c>
      <c r="J1383" s="864">
        <v>0</v>
      </c>
      <c r="K1383" s="864">
        <v>17938.838682170808</v>
      </c>
      <c r="L1383" s="18" t="s">
        <v>10975</v>
      </c>
      <c r="M1383" s="442"/>
      <c r="N1383" s="433"/>
      <c r="P1383" s="433"/>
      <c r="T1383" s="443"/>
      <c r="U1383" s="440"/>
      <c r="V1383" s="440"/>
      <c r="W1383" s="440"/>
      <c r="X1383" s="442"/>
    </row>
    <row r="1384" spans="1:24" x14ac:dyDescent="0.25">
      <c r="A1384" s="862">
        <v>2102</v>
      </c>
      <c r="B1384" s="863" t="s">
        <v>8359</v>
      </c>
      <c r="C1384" s="862">
        <v>2102</v>
      </c>
      <c r="D1384" s="165" t="s">
        <v>4465</v>
      </c>
      <c r="E1384" s="165" t="s">
        <v>8360</v>
      </c>
      <c r="F1384" s="163">
        <v>1</v>
      </c>
      <c r="G1384" s="864"/>
      <c r="H1384" s="864">
        <v>0</v>
      </c>
      <c r="I1384" s="864">
        <v>0</v>
      </c>
      <c r="J1384" s="864">
        <v>19766.469810155017</v>
      </c>
      <c r="K1384" s="864">
        <v>0</v>
      </c>
      <c r="L1384" s="18" t="s">
        <v>10976</v>
      </c>
      <c r="M1384" s="442"/>
      <c r="N1384" s="433"/>
      <c r="P1384" s="433"/>
      <c r="T1384" s="443"/>
      <c r="U1384" s="440"/>
      <c r="V1384" s="440"/>
      <c r="W1384" s="440"/>
      <c r="X1384" s="442"/>
    </row>
    <row r="1385" spans="1:24" x14ac:dyDescent="0.25">
      <c r="A1385" s="862">
        <v>2103</v>
      </c>
      <c r="B1385" s="863" t="s">
        <v>8361</v>
      </c>
      <c r="C1385" s="862">
        <v>2103</v>
      </c>
      <c r="D1385" s="165" t="s">
        <v>3045</v>
      </c>
      <c r="E1385" s="165" t="s">
        <v>8362</v>
      </c>
      <c r="F1385" s="163">
        <v>1</v>
      </c>
      <c r="G1385" s="864"/>
      <c r="H1385" s="864">
        <v>21221.834683872639</v>
      </c>
      <c r="I1385" s="864">
        <v>0</v>
      </c>
      <c r="J1385" s="864">
        <v>0</v>
      </c>
      <c r="K1385" s="864">
        <v>0</v>
      </c>
      <c r="L1385" s="18" t="s">
        <v>3957</v>
      </c>
      <c r="M1385" s="442"/>
      <c r="N1385" s="433"/>
      <c r="P1385" s="433"/>
      <c r="T1385" s="443"/>
      <c r="U1385" s="440"/>
      <c r="V1385" s="440"/>
      <c r="W1385" s="440"/>
      <c r="X1385" s="442"/>
    </row>
    <row r="1386" spans="1:24" x14ac:dyDescent="0.25">
      <c r="A1386" s="862">
        <v>2104</v>
      </c>
      <c r="B1386" s="863" t="s">
        <v>8363</v>
      </c>
      <c r="C1386" s="862">
        <v>2104</v>
      </c>
      <c r="D1386" s="165" t="s">
        <v>3045</v>
      </c>
      <c r="E1386" s="165" t="s">
        <v>8364</v>
      </c>
      <c r="F1386" s="163">
        <v>1</v>
      </c>
      <c r="G1386" s="864"/>
      <c r="H1386" s="864">
        <v>0</v>
      </c>
      <c r="I1386" s="864">
        <v>31982.263618324137</v>
      </c>
      <c r="J1386" s="864">
        <v>32733.158124990441</v>
      </c>
      <c r="K1386" s="864">
        <v>33523.579350376232</v>
      </c>
      <c r="L1386" s="18" t="s">
        <v>3958</v>
      </c>
      <c r="M1386" s="442"/>
      <c r="N1386" s="433"/>
      <c r="P1386" s="433"/>
      <c r="T1386" s="443"/>
      <c r="U1386" s="440"/>
      <c r="V1386" s="440"/>
      <c r="W1386" s="440"/>
      <c r="X1386" s="442"/>
    </row>
    <row r="1387" spans="1:24" x14ac:dyDescent="0.25">
      <c r="A1387" s="862">
        <v>2105</v>
      </c>
      <c r="B1387" s="863" t="s">
        <v>8365</v>
      </c>
      <c r="C1387" s="862">
        <v>2105</v>
      </c>
      <c r="D1387" s="165" t="s">
        <v>3045</v>
      </c>
      <c r="E1387" s="165" t="s">
        <v>8366</v>
      </c>
      <c r="F1387" s="163">
        <v>1</v>
      </c>
      <c r="G1387" s="864"/>
      <c r="H1387" s="864">
        <v>0</v>
      </c>
      <c r="I1387" s="864">
        <v>33218.688479472534</v>
      </c>
      <c r="J1387" s="864">
        <v>34000.849827568665</v>
      </c>
      <c r="K1387" s="864">
        <v>34824.178554941813</v>
      </c>
      <c r="L1387" s="18" t="s">
        <v>3959</v>
      </c>
      <c r="M1387" s="442"/>
      <c r="N1387" s="433"/>
      <c r="P1387" s="433"/>
      <c r="T1387" s="443"/>
      <c r="U1387" s="440"/>
      <c r="V1387" s="440"/>
      <c r="W1387" s="440"/>
      <c r="X1387" s="442"/>
    </row>
    <row r="1388" spans="1:24" x14ac:dyDescent="0.25">
      <c r="A1388" s="862">
        <v>2106</v>
      </c>
      <c r="B1388" s="863" t="s">
        <v>8367</v>
      </c>
      <c r="C1388" s="862">
        <v>2106</v>
      </c>
      <c r="D1388" s="165" t="s">
        <v>3045</v>
      </c>
      <c r="E1388" s="165" t="s">
        <v>8368</v>
      </c>
      <c r="F1388" s="163">
        <v>1</v>
      </c>
      <c r="G1388" s="864"/>
      <c r="H1388" s="864">
        <v>37054.653681655494</v>
      </c>
      <c r="I1388" s="864">
        <v>37958.525641686538</v>
      </c>
      <c r="J1388" s="864">
        <v>38909.976757886121</v>
      </c>
      <c r="K1388" s="864">
        <v>39911.496308341542</v>
      </c>
      <c r="L1388" s="18" t="s">
        <v>3046</v>
      </c>
      <c r="M1388" s="442"/>
      <c r="N1388" s="433"/>
      <c r="P1388" s="433"/>
      <c r="T1388" s="443"/>
      <c r="U1388" s="440"/>
      <c r="V1388" s="440"/>
      <c r="W1388" s="440"/>
      <c r="X1388" s="442"/>
    </row>
    <row r="1389" spans="1:24" x14ac:dyDescent="0.25">
      <c r="A1389" s="862">
        <v>2107</v>
      </c>
      <c r="B1389" s="863" t="s">
        <v>8369</v>
      </c>
      <c r="C1389" s="862">
        <v>2107</v>
      </c>
      <c r="D1389" s="165" t="s">
        <v>3045</v>
      </c>
      <c r="E1389" s="165" t="s">
        <v>8370</v>
      </c>
      <c r="F1389" s="163">
        <v>1</v>
      </c>
      <c r="G1389" s="864"/>
      <c r="H1389" s="864">
        <v>0</v>
      </c>
      <c r="I1389" s="864">
        <v>28414.294733295897</v>
      </c>
      <c r="J1389" s="864">
        <v>29074.971767465042</v>
      </c>
      <c r="K1389" s="864">
        <v>29770.423262187032</v>
      </c>
      <c r="L1389" s="18" t="s">
        <v>3960</v>
      </c>
      <c r="M1389" s="442"/>
      <c r="N1389" s="433"/>
      <c r="P1389" s="433"/>
      <c r="T1389" s="443"/>
      <c r="U1389" s="440"/>
      <c r="V1389" s="440"/>
      <c r="W1389" s="440"/>
      <c r="X1389" s="442"/>
    </row>
    <row r="1390" spans="1:24" x14ac:dyDescent="0.25">
      <c r="A1390" s="862">
        <v>2108</v>
      </c>
      <c r="B1390" s="863" t="s">
        <v>8371</v>
      </c>
      <c r="C1390" s="862">
        <v>2108</v>
      </c>
      <c r="D1390" s="165" t="s">
        <v>3045</v>
      </c>
      <c r="E1390" s="165" t="s">
        <v>8372</v>
      </c>
      <c r="F1390" s="163">
        <v>1</v>
      </c>
      <c r="G1390" s="864"/>
      <c r="H1390" s="864">
        <v>21451.456443800202</v>
      </c>
      <c r="I1390" s="864">
        <v>21936.054769627826</v>
      </c>
      <c r="J1390" s="864">
        <v>22446.168195850219</v>
      </c>
      <c r="K1390" s="864">
        <v>22983.13565234769</v>
      </c>
      <c r="L1390" s="18" t="s">
        <v>3047</v>
      </c>
      <c r="M1390" s="442"/>
      <c r="N1390" s="433"/>
      <c r="P1390" s="433"/>
      <c r="T1390" s="443"/>
      <c r="U1390" s="440"/>
      <c r="V1390" s="440"/>
      <c r="W1390" s="440"/>
      <c r="X1390" s="442"/>
    </row>
    <row r="1391" spans="1:24" x14ac:dyDescent="0.25">
      <c r="A1391" s="862">
        <v>2109</v>
      </c>
      <c r="B1391" s="863" t="s">
        <v>8373</v>
      </c>
      <c r="C1391" s="862">
        <v>2109</v>
      </c>
      <c r="D1391" s="165" t="s">
        <v>3045</v>
      </c>
      <c r="E1391" s="165" t="s">
        <v>8374</v>
      </c>
      <c r="F1391" s="163">
        <v>1</v>
      </c>
      <c r="G1391" s="864"/>
      <c r="H1391" s="864">
        <v>24047.948652211839</v>
      </c>
      <c r="I1391" s="864">
        <v>24598.192258508228</v>
      </c>
      <c r="J1391" s="864">
        <v>25177.420867987752</v>
      </c>
      <c r="K1391" s="864">
        <v>25787.124275869315</v>
      </c>
      <c r="L1391" s="18" t="s">
        <v>3048</v>
      </c>
      <c r="M1391" s="442"/>
      <c r="N1391" s="433"/>
      <c r="P1391" s="433"/>
      <c r="T1391" s="443"/>
      <c r="U1391" s="440"/>
      <c r="V1391" s="440"/>
      <c r="W1391" s="440"/>
      <c r="X1391" s="442"/>
    </row>
    <row r="1392" spans="1:24" x14ac:dyDescent="0.25">
      <c r="A1392" s="862">
        <v>2110</v>
      </c>
      <c r="B1392" s="863" t="s">
        <v>8375</v>
      </c>
      <c r="C1392" s="862">
        <v>2110</v>
      </c>
      <c r="D1392" s="165" t="s">
        <v>3045</v>
      </c>
      <c r="E1392" s="165" t="s">
        <v>8376</v>
      </c>
      <c r="F1392" s="163">
        <v>1</v>
      </c>
      <c r="G1392" s="864"/>
      <c r="H1392" s="864">
        <v>0</v>
      </c>
      <c r="I1392" s="864">
        <v>40214.309879582637</v>
      </c>
      <c r="J1392" s="864">
        <v>41592.14319923595</v>
      </c>
      <c r="K1392" s="864">
        <v>43042.483976981312</v>
      </c>
      <c r="L1392" s="18" t="s">
        <v>3961</v>
      </c>
      <c r="M1392" s="442"/>
      <c r="N1392" s="433"/>
      <c r="P1392" s="433"/>
      <c r="T1392" s="443"/>
      <c r="U1392" s="440"/>
      <c r="V1392" s="440"/>
      <c r="W1392" s="440"/>
      <c r="X1392" s="442"/>
    </row>
    <row r="1393" spans="1:24" x14ac:dyDescent="0.25">
      <c r="A1393" s="862">
        <v>2111</v>
      </c>
      <c r="B1393" s="863" t="s">
        <v>8377</v>
      </c>
      <c r="C1393" s="862">
        <v>2111</v>
      </c>
      <c r="D1393" s="165" t="s">
        <v>3045</v>
      </c>
      <c r="E1393" s="165" t="s">
        <v>8378</v>
      </c>
      <c r="F1393" s="163">
        <v>1</v>
      </c>
      <c r="G1393" s="864"/>
      <c r="H1393" s="864">
        <v>0</v>
      </c>
      <c r="I1393" s="864">
        <v>37016.212274642865</v>
      </c>
      <c r="J1393" s="864">
        <v>38277.849710080976</v>
      </c>
      <c r="K1393" s="864">
        <v>39605.901217862396</v>
      </c>
      <c r="L1393" s="18" t="s">
        <v>3962</v>
      </c>
      <c r="M1393" s="442"/>
      <c r="N1393" s="433"/>
      <c r="P1393" s="433"/>
      <c r="T1393" s="443"/>
      <c r="U1393" s="440"/>
      <c r="V1393" s="440"/>
      <c r="W1393" s="440"/>
      <c r="X1393" s="442"/>
    </row>
    <row r="1394" spans="1:24" x14ac:dyDescent="0.25">
      <c r="A1394" s="862">
        <v>2112</v>
      </c>
      <c r="B1394" s="863" t="s">
        <v>8379</v>
      </c>
      <c r="C1394" s="862">
        <v>2112</v>
      </c>
      <c r="D1394" s="165" t="s">
        <v>3045</v>
      </c>
      <c r="E1394" s="165" t="s">
        <v>8380</v>
      </c>
      <c r="F1394" s="163">
        <v>1</v>
      </c>
      <c r="G1394" s="864"/>
      <c r="H1394" s="864">
        <v>0</v>
      </c>
      <c r="I1394" s="864">
        <v>36771.357926764664</v>
      </c>
      <c r="J1394" s="864">
        <v>38024.104384254912</v>
      </c>
      <c r="K1394" s="864">
        <v>39342.766712737946</v>
      </c>
      <c r="L1394" s="18" t="s">
        <v>3963</v>
      </c>
      <c r="M1394" s="442"/>
      <c r="N1394" s="433"/>
      <c r="P1394" s="433"/>
      <c r="T1394" s="443"/>
      <c r="U1394" s="440"/>
      <c r="V1394" s="440"/>
      <c r="W1394" s="440"/>
      <c r="X1394" s="442"/>
    </row>
    <row r="1395" spans="1:24" x14ac:dyDescent="0.25">
      <c r="A1395" s="862">
        <v>2113</v>
      </c>
      <c r="B1395" s="863" t="s">
        <v>8381</v>
      </c>
      <c r="C1395" s="862">
        <v>2113</v>
      </c>
      <c r="D1395" s="165" t="s">
        <v>3045</v>
      </c>
      <c r="E1395" s="165" t="s">
        <v>8382</v>
      </c>
      <c r="F1395" s="163">
        <v>1</v>
      </c>
      <c r="G1395" s="864"/>
      <c r="H1395" s="864">
        <v>27248.522721355981</v>
      </c>
      <c r="I1395" s="864">
        <v>0</v>
      </c>
      <c r="J1395" s="864">
        <v>0</v>
      </c>
      <c r="K1395" s="864">
        <v>0</v>
      </c>
      <c r="L1395" s="18" t="s">
        <v>3049</v>
      </c>
      <c r="M1395" s="442"/>
      <c r="N1395" s="433"/>
      <c r="P1395" s="433"/>
      <c r="T1395" s="443"/>
      <c r="U1395" s="440"/>
      <c r="V1395" s="440"/>
      <c r="W1395" s="440"/>
      <c r="X1395" s="442"/>
    </row>
    <row r="1396" spans="1:24" x14ac:dyDescent="0.25">
      <c r="A1396" s="862">
        <v>2114</v>
      </c>
      <c r="B1396" s="863" t="s">
        <v>8383</v>
      </c>
      <c r="C1396" s="862">
        <v>2114</v>
      </c>
      <c r="D1396" s="165" t="s">
        <v>3045</v>
      </c>
      <c r="E1396" s="165" t="s">
        <v>8384</v>
      </c>
      <c r="F1396" s="163">
        <v>1</v>
      </c>
      <c r="G1396" s="864"/>
      <c r="H1396" s="864">
        <v>28424.892660677171</v>
      </c>
      <c r="I1396" s="864">
        <v>29085.81485102158</v>
      </c>
      <c r="J1396" s="864">
        <v>29781.530360086159</v>
      </c>
      <c r="K1396" s="864">
        <v>30513.868430101706</v>
      </c>
      <c r="L1396" s="18" t="s">
        <v>3050</v>
      </c>
      <c r="M1396" s="442"/>
      <c r="N1396" s="433"/>
      <c r="P1396" s="433"/>
      <c r="T1396" s="443"/>
      <c r="U1396" s="440"/>
      <c r="V1396" s="440"/>
      <c r="W1396" s="440"/>
      <c r="X1396" s="442"/>
    </row>
    <row r="1397" spans="1:24" x14ac:dyDescent="0.25">
      <c r="A1397" s="862">
        <v>2115</v>
      </c>
      <c r="B1397" s="863" t="s">
        <v>8385</v>
      </c>
      <c r="C1397" s="862">
        <v>2115</v>
      </c>
      <c r="D1397" s="165" t="s">
        <v>3045</v>
      </c>
      <c r="E1397" s="165" t="s">
        <v>8386</v>
      </c>
      <c r="F1397" s="163">
        <v>1</v>
      </c>
      <c r="G1397" s="864"/>
      <c r="H1397" s="864">
        <v>35649.146492244246</v>
      </c>
      <c r="I1397" s="864">
        <v>36492.747749494993</v>
      </c>
      <c r="J1397" s="864">
        <v>37380.759990803184</v>
      </c>
      <c r="K1397" s="864">
        <v>38315.521628917493</v>
      </c>
      <c r="L1397" s="18" t="s">
        <v>3051</v>
      </c>
      <c r="M1397" s="442"/>
      <c r="N1397" s="433"/>
      <c r="P1397" s="433"/>
      <c r="T1397" s="443"/>
      <c r="U1397" s="440"/>
      <c r="V1397" s="440"/>
      <c r="W1397" s="440"/>
      <c r="X1397" s="442"/>
    </row>
    <row r="1398" spans="1:24" x14ac:dyDescent="0.25">
      <c r="A1398" s="862">
        <v>2116</v>
      </c>
      <c r="B1398" s="863" t="s">
        <v>8387</v>
      </c>
      <c r="C1398" s="862">
        <v>2116</v>
      </c>
      <c r="D1398" s="165" t="s">
        <v>3045</v>
      </c>
      <c r="E1398" s="165" t="s">
        <v>8388</v>
      </c>
      <c r="F1398" s="163">
        <v>1</v>
      </c>
      <c r="G1398" s="864"/>
      <c r="H1398" s="864">
        <v>0</v>
      </c>
      <c r="I1398" s="864">
        <v>0</v>
      </c>
      <c r="J1398" s="864">
        <v>0</v>
      </c>
      <c r="K1398" s="864">
        <v>26171.066770926667</v>
      </c>
      <c r="L1398" s="18" t="s">
        <v>10977</v>
      </c>
      <c r="M1398" s="442"/>
      <c r="N1398" s="433"/>
      <c r="P1398" s="433"/>
      <c r="T1398" s="443"/>
      <c r="U1398" s="440"/>
      <c r="V1398" s="440"/>
      <c r="W1398" s="440"/>
      <c r="X1398" s="442"/>
    </row>
    <row r="1399" spans="1:24" x14ac:dyDescent="0.25">
      <c r="A1399" s="862">
        <v>2117</v>
      </c>
      <c r="B1399" s="863" t="s">
        <v>8389</v>
      </c>
      <c r="C1399" s="862">
        <v>2117</v>
      </c>
      <c r="D1399" s="165" t="s">
        <v>3045</v>
      </c>
      <c r="E1399" s="165" t="s">
        <v>8390</v>
      </c>
      <c r="F1399" s="163">
        <v>1</v>
      </c>
      <c r="G1399" s="864"/>
      <c r="H1399" s="864">
        <v>0</v>
      </c>
      <c r="I1399" s="864">
        <v>0</v>
      </c>
      <c r="J1399" s="864">
        <v>0</v>
      </c>
      <c r="K1399" s="864">
        <v>19879.430548911521</v>
      </c>
      <c r="L1399" s="18" t="s">
        <v>10978</v>
      </c>
      <c r="M1399" s="442"/>
      <c r="N1399" s="433"/>
      <c r="P1399" s="433"/>
      <c r="T1399" s="443"/>
      <c r="U1399" s="440"/>
      <c r="V1399" s="440"/>
      <c r="W1399" s="440"/>
      <c r="X1399" s="442"/>
    </row>
    <row r="1400" spans="1:24" x14ac:dyDescent="0.25">
      <c r="A1400" s="862">
        <v>2118</v>
      </c>
      <c r="B1400" s="863" t="s">
        <v>8391</v>
      </c>
      <c r="C1400" s="862">
        <v>2118</v>
      </c>
      <c r="D1400" s="165" t="s">
        <v>3045</v>
      </c>
      <c r="E1400" s="165" t="s">
        <v>8392</v>
      </c>
      <c r="F1400" s="163">
        <v>1</v>
      </c>
      <c r="G1400" s="864"/>
      <c r="H1400" s="864">
        <v>0</v>
      </c>
      <c r="I1400" s="864">
        <v>0</v>
      </c>
      <c r="J1400" s="864">
        <v>0</v>
      </c>
      <c r="K1400" s="864">
        <v>23938.436735938696</v>
      </c>
      <c r="L1400" s="18" t="s">
        <v>10979</v>
      </c>
      <c r="M1400" s="442"/>
      <c r="N1400" s="433"/>
      <c r="P1400" s="433"/>
      <c r="T1400" s="443"/>
      <c r="U1400" s="440"/>
      <c r="V1400" s="440"/>
      <c r="W1400" s="440"/>
      <c r="X1400" s="442"/>
    </row>
    <row r="1401" spans="1:24" x14ac:dyDescent="0.25">
      <c r="A1401" s="862">
        <v>2119</v>
      </c>
      <c r="B1401" s="863" t="s">
        <v>8393</v>
      </c>
      <c r="C1401" s="862">
        <v>2119</v>
      </c>
      <c r="D1401" s="165" t="s">
        <v>3045</v>
      </c>
      <c r="E1401" s="165" t="s">
        <v>8394</v>
      </c>
      <c r="F1401" s="163">
        <v>1</v>
      </c>
      <c r="G1401" s="864"/>
      <c r="H1401" s="864">
        <v>0</v>
      </c>
      <c r="I1401" s="864">
        <v>0</v>
      </c>
      <c r="J1401" s="864">
        <v>0</v>
      </c>
      <c r="K1401" s="864">
        <v>21999.016025165922</v>
      </c>
      <c r="L1401" s="18" t="s">
        <v>10980</v>
      </c>
      <c r="M1401" s="442"/>
      <c r="N1401" s="433"/>
      <c r="P1401" s="433"/>
      <c r="T1401" s="443"/>
      <c r="U1401" s="440"/>
      <c r="V1401" s="440"/>
      <c r="W1401" s="440"/>
      <c r="X1401" s="442"/>
    </row>
    <row r="1402" spans="1:24" x14ac:dyDescent="0.25">
      <c r="A1402" s="862">
        <v>2120</v>
      </c>
      <c r="B1402" s="863" t="s">
        <v>8395</v>
      </c>
      <c r="C1402" s="862">
        <v>2120</v>
      </c>
      <c r="D1402" s="165" t="s">
        <v>3045</v>
      </c>
      <c r="E1402" s="165" t="s">
        <v>8396</v>
      </c>
      <c r="F1402" s="163">
        <v>1</v>
      </c>
      <c r="G1402" s="864"/>
      <c r="H1402" s="864">
        <v>0</v>
      </c>
      <c r="I1402" s="864">
        <v>0</v>
      </c>
      <c r="J1402" s="864">
        <v>27086.02116817647</v>
      </c>
      <c r="K1402" s="864">
        <v>27713.111806334462</v>
      </c>
      <c r="L1402" s="18" t="s">
        <v>4679</v>
      </c>
      <c r="M1402" s="442"/>
      <c r="N1402" s="433"/>
      <c r="P1402" s="433"/>
      <c r="T1402" s="443"/>
      <c r="U1402" s="440"/>
      <c r="V1402" s="440"/>
      <c r="W1402" s="440"/>
      <c r="X1402" s="442"/>
    </row>
    <row r="1403" spans="1:24" x14ac:dyDescent="0.25">
      <c r="A1403" s="862">
        <v>2121</v>
      </c>
      <c r="B1403" s="863" t="s">
        <v>8397</v>
      </c>
      <c r="C1403" s="862">
        <v>2121</v>
      </c>
      <c r="D1403" s="165" t="s">
        <v>3045</v>
      </c>
      <c r="E1403" s="165" t="s">
        <v>8398</v>
      </c>
      <c r="F1403" s="163">
        <v>1</v>
      </c>
      <c r="G1403" s="864"/>
      <c r="H1403" s="864">
        <v>0</v>
      </c>
      <c r="I1403" s="864">
        <v>0</v>
      </c>
      <c r="J1403" s="864">
        <v>34981.477067224114</v>
      </c>
      <c r="K1403" s="864">
        <v>0</v>
      </c>
      <c r="L1403" s="18" t="s">
        <v>10981</v>
      </c>
      <c r="M1403" s="442"/>
      <c r="N1403" s="433"/>
      <c r="P1403" s="433"/>
      <c r="T1403" s="443"/>
      <c r="U1403" s="440"/>
      <c r="V1403" s="440"/>
      <c r="W1403" s="440"/>
      <c r="X1403" s="442"/>
    </row>
    <row r="1404" spans="1:24" x14ac:dyDescent="0.25">
      <c r="A1404" s="862">
        <v>2122</v>
      </c>
      <c r="B1404" s="863" t="s">
        <v>8399</v>
      </c>
      <c r="C1404" s="862">
        <v>2122</v>
      </c>
      <c r="D1404" s="165" t="s">
        <v>3045</v>
      </c>
      <c r="E1404" s="165" t="s">
        <v>8400</v>
      </c>
      <c r="F1404" s="163">
        <v>1</v>
      </c>
      <c r="G1404" s="864"/>
      <c r="H1404" s="864">
        <v>0</v>
      </c>
      <c r="I1404" s="864">
        <v>0</v>
      </c>
      <c r="J1404" s="864">
        <v>28583.861571396254</v>
      </c>
      <c r="K1404" s="864">
        <v>0</v>
      </c>
      <c r="L1404" s="18" t="s">
        <v>10982</v>
      </c>
      <c r="M1404" s="442"/>
      <c r="N1404" s="433"/>
      <c r="P1404" s="433"/>
      <c r="T1404" s="443"/>
      <c r="U1404" s="440"/>
      <c r="V1404" s="440"/>
      <c r="W1404" s="440"/>
      <c r="X1404" s="442"/>
    </row>
    <row r="1405" spans="1:24" x14ac:dyDescent="0.25">
      <c r="A1405" s="862">
        <v>2123</v>
      </c>
      <c r="B1405" s="863" t="s">
        <v>8401</v>
      </c>
      <c r="C1405" s="862">
        <v>2123</v>
      </c>
      <c r="D1405" s="165" t="s">
        <v>3045</v>
      </c>
      <c r="E1405" s="165" t="s">
        <v>8402</v>
      </c>
      <c r="F1405" s="163">
        <v>1</v>
      </c>
      <c r="G1405" s="864"/>
      <c r="H1405" s="864">
        <v>43520.063215939583</v>
      </c>
      <c r="I1405" s="864">
        <v>43520.063215939583</v>
      </c>
      <c r="J1405" s="864">
        <v>44560.732321767937</v>
      </c>
      <c r="K1405" s="864">
        <v>45656.184403684136</v>
      </c>
      <c r="L1405" s="18" t="s">
        <v>3052</v>
      </c>
      <c r="M1405" s="442"/>
      <c r="N1405" s="433"/>
      <c r="P1405" s="433"/>
      <c r="T1405" s="443"/>
      <c r="U1405" s="440"/>
      <c r="V1405" s="440"/>
      <c r="W1405" s="440"/>
      <c r="X1405" s="442"/>
    </row>
    <row r="1406" spans="1:24" x14ac:dyDescent="0.25">
      <c r="A1406" s="862">
        <v>2124</v>
      </c>
      <c r="B1406" s="863" t="s">
        <v>8403</v>
      </c>
      <c r="C1406" s="862">
        <v>2124</v>
      </c>
      <c r="D1406" s="165" t="s">
        <v>3045</v>
      </c>
      <c r="E1406" s="165" t="s">
        <v>8404</v>
      </c>
      <c r="F1406" s="163">
        <v>1</v>
      </c>
      <c r="G1406" s="864"/>
      <c r="H1406" s="864">
        <v>0</v>
      </c>
      <c r="I1406" s="864">
        <v>0</v>
      </c>
      <c r="J1406" s="864">
        <v>0</v>
      </c>
      <c r="K1406" s="864">
        <v>31862.343096540397</v>
      </c>
      <c r="L1406" s="18" t="s">
        <v>10983</v>
      </c>
      <c r="M1406" s="442"/>
      <c r="N1406" s="433"/>
      <c r="P1406" s="433"/>
      <c r="T1406" s="443"/>
      <c r="U1406" s="440"/>
      <c r="V1406" s="440"/>
      <c r="W1406" s="440"/>
      <c r="X1406" s="442"/>
    </row>
    <row r="1407" spans="1:24" x14ac:dyDescent="0.25">
      <c r="A1407" s="862">
        <v>2125</v>
      </c>
      <c r="B1407" s="863" t="s">
        <v>8405</v>
      </c>
      <c r="C1407" s="862">
        <v>2125</v>
      </c>
      <c r="D1407" s="165" t="s">
        <v>3045</v>
      </c>
      <c r="E1407" s="165" t="s">
        <v>8406</v>
      </c>
      <c r="F1407" s="163">
        <v>1</v>
      </c>
      <c r="G1407" s="864"/>
      <c r="H1407" s="864">
        <v>0</v>
      </c>
      <c r="I1407" s="864">
        <v>0</v>
      </c>
      <c r="J1407" s="864">
        <v>27397.083026564462</v>
      </c>
      <c r="K1407" s="864">
        <v>28030.057412928782</v>
      </c>
      <c r="L1407" s="18" t="s">
        <v>4680</v>
      </c>
      <c r="M1407" s="442"/>
      <c r="N1407" s="433"/>
      <c r="P1407" s="433"/>
      <c r="T1407" s="443"/>
      <c r="U1407" s="440"/>
      <c r="V1407" s="440"/>
      <c r="W1407" s="440"/>
      <c r="X1407" s="442"/>
    </row>
    <row r="1408" spans="1:24" x14ac:dyDescent="0.25">
      <c r="A1408" s="862">
        <v>2126</v>
      </c>
      <c r="B1408" s="863" t="s">
        <v>8407</v>
      </c>
      <c r="C1408" s="862">
        <v>2126</v>
      </c>
      <c r="D1408" s="165" t="s">
        <v>3045</v>
      </c>
      <c r="E1408" s="165" t="s">
        <v>8408</v>
      </c>
      <c r="F1408" s="163">
        <v>1</v>
      </c>
      <c r="G1408" s="864"/>
      <c r="H1408" s="864">
        <v>0</v>
      </c>
      <c r="I1408" s="864">
        <v>0</v>
      </c>
      <c r="J1408" s="864">
        <v>29831.073681796584</v>
      </c>
      <c r="K1408" s="864">
        <v>30525.601126319503</v>
      </c>
      <c r="L1408" s="18" t="s">
        <v>4681</v>
      </c>
      <c r="M1408" s="442"/>
      <c r="N1408" s="433"/>
      <c r="P1408" s="433"/>
      <c r="T1408" s="443"/>
      <c r="U1408" s="440"/>
      <c r="V1408" s="440"/>
      <c r="W1408" s="440"/>
      <c r="X1408" s="442"/>
    </row>
    <row r="1409" spans="1:24" x14ac:dyDescent="0.25">
      <c r="A1409" s="862">
        <v>2127</v>
      </c>
      <c r="B1409" s="863" t="s">
        <v>8409</v>
      </c>
      <c r="C1409" s="862">
        <v>2127</v>
      </c>
      <c r="D1409" s="165" t="s">
        <v>3045</v>
      </c>
      <c r="E1409" s="165" t="s">
        <v>8410</v>
      </c>
      <c r="F1409" s="163">
        <v>1</v>
      </c>
      <c r="G1409" s="864"/>
      <c r="H1409" s="864">
        <v>0</v>
      </c>
      <c r="I1409" s="864">
        <v>0</v>
      </c>
      <c r="J1409" s="864">
        <v>21912.732308725244</v>
      </c>
      <c r="K1409" s="864">
        <v>22252.330185967865</v>
      </c>
      <c r="L1409" s="18" t="s">
        <v>4682</v>
      </c>
      <c r="M1409" s="442"/>
      <c r="N1409" s="433"/>
      <c r="P1409" s="433"/>
      <c r="T1409" s="443"/>
      <c r="U1409" s="440"/>
      <c r="V1409" s="440"/>
      <c r="W1409" s="440"/>
      <c r="X1409" s="442"/>
    </row>
    <row r="1410" spans="1:24" x14ac:dyDescent="0.25">
      <c r="A1410" s="862">
        <v>2128</v>
      </c>
      <c r="B1410" s="863" t="s">
        <v>8411</v>
      </c>
      <c r="C1410" s="862">
        <v>2128</v>
      </c>
      <c r="D1410" s="165" t="s">
        <v>3045</v>
      </c>
      <c r="E1410" s="165" t="s">
        <v>8412</v>
      </c>
      <c r="F1410" s="163">
        <v>1</v>
      </c>
      <c r="G1410" s="864"/>
      <c r="H1410" s="864">
        <v>0</v>
      </c>
      <c r="I1410" s="864">
        <v>0</v>
      </c>
      <c r="J1410" s="864">
        <v>32052.91646753261</v>
      </c>
      <c r="K1410" s="864">
        <v>32805.602500095083</v>
      </c>
      <c r="L1410" s="18" t="s">
        <v>4683</v>
      </c>
      <c r="M1410" s="442"/>
      <c r="N1410" s="433"/>
      <c r="P1410" s="433"/>
      <c r="T1410" s="443"/>
      <c r="U1410" s="440"/>
      <c r="V1410" s="440"/>
      <c r="W1410" s="440"/>
      <c r="X1410" s="442"/>
    </row>
    <row r="1411" spans="1:24" x14ac:dyDescent="0.25">
      <c r="A1411" s="862">
        <v>2129</v>
      </c>
      <c r="B1411" s="863" t="s">
        <v>8413</v>
      </c>
      <c r="C1411" s="862">
        <v>2129</v>
      </c>
      <c r="D1411" s="165" t="s">
        <v>3045</v>
      </c>
      <c r="E1411" s="165" t="s">
        <v>8414</v>
      </c>
      <c r="F1411" s="163">
        <v>1</v>
      </c>
      <c r="G1411" s="864"/>
      <c r="H1411" s="864">
        <v>0</v>
      </c>
      <c r="I1411" s="864">
        <v>0</v>
      </c>
      <c r="J1411" s="864">
        <v>36345.077056947768</v>
      </c>
      <c r="K1411" s="864">
        <v>37206.291842482882</v>
      </c>
      <c r="L1411" s="18" t="s">
        <v>4684</v>
      </c>
      <c r="M1411" s="442"/>
      <c r="N1411" s="433"/>
      <c r="P1411" s="433"/>
      <c r="T1411" s="443"/>
      <c r="U1411" s="440"/>
      <c r="V1411" s="440"/>
      <c r="W1411" s="440"/>
      <c r="X1411" s="442"/>
    </row>
    <row r="1412" spans="1:24" x14ac:dyDescent="0.25">
      <c r="A1412" s="862">
        <v>2130</v>
      </c>
      <c r="B1412" s="863" t="s">
        <v>8415</v>
      </c>
      <c r="C1412" s="862">
        <v>2130</v>
      </c>
      <c r="D1412" s="165" t="s">
        <v>3045</v>
      </c>
      <c r="E1412" s="165" t="s">
        <v>8416</v>
      </c>
      <c r="F1412" s="163">
        <v>1</v>
      </c>
      <c r="G1412" s="864"/>
      <c r="H1412" s="864">
        <v>0</v>
      </c>
      <c r="I1412" s="864">
        <v>0</v>
      </c>
      <c r="J1412" s="864">
        <v>0</v>
      </c>
      <c r="K1412" s="864">
        <v>32985.534077084543</v>
      </c>
      <c r="L1412" s="18" t="s">
        <v>10984</v>
      </c>
      <c r="M1412" s="442"/>
      <c r="N1412" s="433"/>
      <c r="P1412" s="433"/>
      <c r="T1412" s="443"/>
      <c r="U1412" s="440"/>
      <c r="V1412" s="440"/>
      <c r="W1412" s="440"/>
      <c r="X1412" s="442"/>
    </row>
    <row r="1413" spans="1:24" x14ac:dyDescent="0.25">
      <c r="A1413" s="862">
        <v>2131</v>
      </c>
      <c r="B1413" s="863" t="s">
        <v>8417</v>
      </c>
      <c r="C1413" s="862">
        <v>2131</v>
      </c>
      <c r="D1413" s="165" t="s">
        <v>3045</v>
      </c>
      <c r="E1413" s="165" t="s">
        <v>8418</v>
      </c>
      <c r="F1413" s="163">
        <v>1</v>
      </c>
      <c r="G1413" s="864"/>
      <c r="H1413" s="864">
        <v>0</v>
      </c>
      <c r="I1413" s="864">
        <v>0</v>
      </c>
      <c r="J1413" s="864">
        <v>44163.004143736762</v>
      </c>
      <c r="K1413" s="864">
        <v>45219.928989801847</v>
      </c>
      <c r="L1413" s="18" t="s">
        <v>4685</v>
      </c>
      <c r="M1413" s="442"/>
      <c r="N1413" s="433"/>
      <c r="P1413" s="433"/>
      <c r="T1413" s="443"/>
      <c r="U1413" s="440"/>
      <c r="V1413" s="440"/>
      <c r="W1413" s="440"/>
      <c r="X1413" s="442"/>
    </row>
    <row r="1414" spans="1:24" x14ac:dyDescent="0.25">
      <c r="A1414" s="862">
        <v>2132</v>
      </c>
      <c r="B1414" s="863" t="s">
        <v>8419</v>
      </c>
      <c r="C1414" s="862">
        <v>2132</v>
      </c>
      <c r="D1414" s="165" t="s">
        <v>3045</v>
      </c>
      <c r="E1414" s="165" t="s">
        <v>8420</v>
      </c>
      <c r="F1414" s="163">
        <v>1</v>
      </c>
      <c r="G1414" s="864"/>
      <c r="H1414" s="864">
        <v>0</v>
      </c>
      <c r="I1414" s="864">
        <v>0</v>
      </c>
      <c r="J1414" s="864">
        <v>44201.957871736755</v>
      </c>
      <c r="K1414" s="864">
        <v>45258.882717801847</v>
      </c>
      <c r="L1414" s="18" t="s">
        <v>4686</v>
      </c>
      <c r="M1414" s="442"/>
      <c r="N1414" s="433"/>
      <c r="P1414" s="433"/>
      <c r="T1414" s="443"/>
      <c r="U1414" s="440"/>
      <c r="V1414" s="440"/>
      <c r="W1414" s="440"/>
      <c r="X1414" s="442"/>
    </row>
    <row r="1415" spans="1:24" x14ac:dyDescent="0.25">
      <c r="A1415" s="862">
        <v>2133</v>
      </c>
      <c r="B1415" s="863" t="s">
        <v>8421</v>
      </c>
      <c r="C1415" s="862">
        <v>2133</v>
      </c>
      <c r="D1415" s="165" t="s">
        <v>8422</v>
      </c>
      <c r="E1415" s="165" t="s">
        <v>8423</v>
      </c>
      <c r="F1415" s="163">
        <v>2</v>
      </c>
      <c r="G1415" s="864"/>
      <c r="H1415" s="864">
        <v>0</v>
      </c>
      <c r="I1415" s="864">
        <v>25404.023207842165</v>
      </c>
      <c r="J1415" s="864">
        <v>26353.609821476959</v>
      </c>
      <c r="K1415" s="864">
        <v>0</v>
      </c>
      <c r="L1415" s="18" t="s">
        <v>10985</v>
      </c>
      <c r="M1415" s="442"/>
      <c r="N1415" s="433"/>
      <c r="P1415" s="433"/>
      <c r="T1415" s="443"/>
      <c r="U1415" s="440"/>
      <c r="V1415" s="440"/>
      <c r="W1415" s="440"/>
      <c r="X1415" s="442"/>
    </row>
    <row r="1416" spans="1:24" x14ac:dyDescent="0.25">
      <c r="A1416" s="862">
        <v>2134</v>
      </c>
      <c r="B1416" s="863" t="s">
        <v>8424</v>
      </c>
      <c r="C1416" s="862">
        <v>2134</v>
      </c>
      <c r="D1416" s="165" t="s">
        <v>2155</v>
      </c>
      <c r="E1416" s="165" t="s">
        <v>8425</v>
      </c>
      <c r="F1416" s="163">
        <v>2</v>
      </c>
      <c r="G1416" s="864"/>
      <c r="H1416" s="864">
        <v>24039.655831448668</v>
      </c>
      <c r="I1416" s="864">
        <v>24967.98050164141</v>
      </c>
      <c r="J1416" s="864">
        <v>25945.202776317579</v>
      </c>
      <c r="K1416" s="864">
        <v>26973.85268078377</v>
      </c>
      <c r="L1416" s="18" t="s">
        <v>1965</v>
      </c>
      <c r="M1416" s="442"/>
      <c r="N1416" s="433"/>
      <c r="P1416" s="433"/>
      <c r="T1416" s="443"/>
      <c r="U1416" s="440"/>
      <c r="V1416" s="440"/>
      <c r="W1416" s="440"/>
      <c r="X1416" s="442"/>
    </row>
    <row r="1417" spans="1:24" x14ac:dyDescent="0.25">
      <c r="A1417" s="862">
        <v>2135</v>
      </c>
      <c r="B1417" s="863" t="s">
        <v>8426</v>
      </c>
      <c r="C1417" s="862">
        <v>2135</v>
      </c>
      <c r="D1417" s="165" t="s">
        <v>2155</v>
      </c>
      <c r="E1417" s="165" t="s">
        <v>8427</v>
      </c>
      <c r="F1417" s="163">
        <v>2</v>
      </c>
      <c r="G1417" s="864"/>
      <c r="H1417" s="864">
        <v>24347.590479449442</v>
      </c>
      <c r="I1417" s="864">
        <v>25302.62637835999</v>
      </c>
      <c r="J1417" s="864">
        <v>26307.970857405729</v>
      </c>
      <c r="K1417" s="864">
        <v>27366.202596226074</v>
      </c>
      <c r="L1417" s="18" t="s">
        <v>1966</v>
      </c>
      <c r="M1417" s="442"/>
      <c r="N1417" s="433"/>
      <c r="P1417" s="433"/>
      <c r="T1417" s="443"/>
      <c r="U1417" s="440"/>
      <c r="V1417" s="440"/>
      <c r="W1417" s="440"/>
      <c r="X1417" s="442"/>
    </row>
    <row r="1418" spans="1:24" x14ac:dyDescent="0.25">
      <c r="A1418" s="862">
        <v>2136</v>
      </c>
      <c r="B1418" s="863" t="s">
        <v>8428</v>
      </c>
      <c r="C1418" s="862">
        <v>2136</v>
      </c>
      <c r="D1418" s="165" t="s">
        <v>2155</v>
      </c>
      <c r="E1418" s="165" t="s">
        <v>8429</v>
      </c>
      <c r="F1418" s="163">
        <v>2</v>
      </c>
      <c r="G1418" s="864"/>
      <c r="H1418" s="864">
        <v>29541.874891986921</v>
      </c>
      <c r="I1418" s="864">
        <v>30720.331487203821</v>
      </c>
      <c r="J1418" s="864">
        <v>31960.822356765355</v>
      </c>
      <c r="K1418" s="864">
        <v>33266.607340970433</v>
      </c>
      <c r="L1418" s="18" t="s">
        <v>1967</v>
      </c>
      <c r="M1418" s="442"/>
      <c r="N1418" s="433"/>
      <c r="P1418" s="433"/>
      <c r="T1418" s="443"/>
      <c r="U1418" s="440"/>
      <c r="V1418" s="440"/>
      <c r="W1418" s="440"/>
      <c r="X1418" s="442"/>
    </row>
    <row r="1419" spans="1:24" x14ac:dyDescent="0.25">
      <c r="A1419" s="862">
        <v>2137</v>
      </c>
      <c r="B1419" s="863" t="s">
        <v>8430</v>
      </c>
      <c r="C1419" s="862">
        <v>2137</v>
      </c>
      <c r="D1419" s="165" t="s">
        <v>2155</v>
      </c>
      <c r="E1419" s="165" t="s">
        <v>8431</v>
      </c>
      <c r="F1419" s="163">
        <v>2</v>
      </c>
      <c r="G1419" s="864"/>
      <c r="H1419" s="864">
        <v>24957.410734131467</v>
      </c>
      <c r="I1419" s="864">
        <v>25940.568837411585</v>
      </c>
      <c r="J1419" s="864">
        <v>26975.495150811475</v>
      </c>
      <c r="K1419" s="864">
        <v>28064.865662636188</v>
      </c>
      <c r="L1419" s="18" t="s">
        <v>1968</v>
      </c>
      <c r="M1419" s="442"/>
      <c r="N1419" s="433"/>
      <c r="P1419" s="433"/>
      <c r="T1419" s="443"/>
      <c r="U1419" s="440"/>
      <c r="V1419" s="440"/>
      <c r="W1419" s="440"/>
      <c r="X1419" s="442"/>
    </row>
    <row r="1420" spans="1:24" x14ac:dyDescent="0.25">
      <c r="A1420" s="862">
        <v>2138</v>
      </c>
      <c r="B1420" s="863" t="s">
        <v>8432</v>
      </c>
      <c r="C1420" s="862">
        <v>2138</v>
      </c>
      <c r="D1420" s="165" t="s">
        <v>2155</v>
      </c>
      <c r="E1420" s="165" t="s">
        <v>8433</v>
      </c>
      <c r="F1420" s="163">
        <v>2</v>
      </c>
      <c r="G1420" s="864"/>
      <c r="H1420" s="864">
        <v>35097.073518696845</v>
      </c>
      <c r="I1420" s="864">
        <v>36479.051188096979</v>
      </c>
      <c r="J1420" s="864">
        <v>37933.767085062005</v>
      </c>
      <c r="K1420" s="864">
        <v>39465.06490188466</v>
      </c>
      <c r="L1420" s="18" t="s">
        <v>3964</v>
      </c>
      <c r="M1420" s="442"/>
      <c r="N1420" s="433"/>
      <c r="P1420" s="433"/>
      <c r="T1420" s="443"/>
      <c r="U1420" s="440"/>
      <c r="V1420" s="440"/>
      <c r="W1420" s="440"/>
      <c r="X1420" s="442"/>
    </row>
    <row r="1421" spans="1:24" x14ac:dyDescent="0.25">
      <c r="A1421" s="862">
        <v>2139</v>
      </c>
      <c r="B1421" s="863" t="s">
        <v>8434</v>
      </c>
      <c r="C1421" s="862">
        <v>2139</v>
      </c>
      <c r="D1421" s="165" t="s">
        <v>2155</v>
      </c>
      <c r="E1421" s="165" t="s">
        <v>8435</v>
      </c>
      <c r="F1421" s="163">
        <v>2</v>
      </c>
      <c r="G1421" s="864"/>
      <c r="H1421" s="864">
        <v>26962.118441697468</v>
      </c>
      <c r="I1421" s="864">
        <v>28033.438196046209</v>
      </c>
      <c r="J1421" s="864">
        <v>29161.148322132543</v>
      </c>
      <c r="K1421" s="864">
        <v>30348.168079925646</v>
      </c>
      <c r="L1421" s="18" t="s">
        <v>1969</v>
      </c>
      <c r="M1421" s="442"/>
      <c r="N1421" s="433"/>
      <c r="P1421" s="433"/>
      <c r="T1421" s="443"/>
      <c r="U1421" s="440"/>
      <c r="V1421" s="440"/>
      <c r="W1421" s="440"/>
      <c r="X1421" s="442"/>
    </row>
    <row r="1422" spans="1:24" x14ac:dyDescent="0.25">
      <c r="A1422" s="862">
        <v>2140</v>
      </c>
      <c r="B1422" s="863" t="s">
        <v>8436</v>
      </c>
      <c r="C1422" s="862">
        <v>2140</v>
      </c>
      <c r="D1422" s="165" t="s">
        <v>2155</v>
      </c>
      <c r="E1422" s="165" t="s">
        <v>8437</v>
      </c>
      <c r="F1422" s="163">
        <v>2</v>
      </c>
      <c r="G1422" s="864"/>
      <c r="H1422" s="864">
        <v>32237.82118185527</v>
      </c>
      <c r="I1422" s="864">
        <v>33521.809024957285</v>
      </c>
      <c r="J1422" s="864">
        <v>34873.377736345334</v>
      </c>
      <c r="K1422" s="864">
        <v>36296.079082315249</v>
      </c>
      <c r="L1422" s="18" t="s">
        <v>1970</v>
      </c>
      <c r="M1422" s="442"/>
      <c r="N1422" s="433"/>
      <c r="P1422" s="433"/>
      <c r="T1422" s="443"/>
      <c r="U1422" s="440"/>
      <c r="V1422" s="440"/>
      <c r="W1422" s="440"/>
      <c r="X1422" s="442"/>
    </row>
    <row r="1423" spans="1:24" x14ac:dyDescent="0.25">
      <c r="A1423" s="862">
        <v>2141</v>
      </c>
      <c r="B1423" s="863" t="s">
        <v>8438</v>
      </c>
      <c r="C1423" s="862">
        <v>2141</v>
      </c>
      <c r="D1423" s="165" t="s">
        <v>2155</v>
      </c>
      <c r="E1423" s="165" t="s">
        <v>8439</v>
      </c>
      <c r="F1423" s="163">
        <v>2</v>
      </c>
      <c r="G1423" s="864"/>
      <c r="H1423" s="864">
        <v>33073.897965644122</v>
      </c>
      <c r="I1423" s="864">
        <v>34395.884842678024</v>
      </c>
      <c r="J1423" s="864">
        <v>35787.447415643575</v>
      </c>
      <c r="K1423" s="864">
        <v>37252.2347595022</v>
      </c>
      <c r="L1423" s="18" t="s">
        <v>1971</v>
      </c>
      <c r="M1423" s="442"/>
      <c r="N1423" s="433"/>
      <c r="P1423" s="433"/>
      <c r="T1423" s="443"/>
      <c r="U1423" s="440"/>
      <c r="V1423" s="440"/>
      <c r="W1423" s="440"/>
      <c r="X1423" s="442"/>
    </row>
    <row r="1424" spans="1:24" x14ac:dyDescent="0.25">
      <c r="A1424" s="862">
        <v>2142</v>
      </c>
      <c r="B1424" s="863" t="s">
        <v>8440</v>
      </c>
      <c r="C1424" s="862">
        <v>2142</v>
      </c>
      <c r="D1424" s="165" t="s">
        <v>2155</v>
      </c>
      <c r="E1424" s="165" t="s">
        <v>8441</v>
      </c>
      <c r="F1424" s="163">
        <v>2</v>
      </c>
      <c r="G1424" s="864"/>
      <c r="H1424" s="864">
        <v>27455.355653853661</v>
      </c>
      <c r="I1424" s="864">
        <v>28549.640253293128</v>
      </c>
      <c r="J1424" s="864">
        <v>29701.531582790667</v>
      </c>
      <c r="K1424" s="864">
        <v>30914.046210981098</v>
      </c>
      <c r="L1424" s="18" t="s">
        <v>1972</v>
      </c>
      <c r="M1424" s="442"/>
      <c r="N1424" s="433"/>
      <c r="P1424" s="433"/>
      <c r="T1424" s="443"/>
      <c r="U1424" s="440"/>
      <c r="V1424" s="440"/>
      <c r="W1424" s="440"/>
      <c r="X1424" s="442"/>
    </row>
    <row r="1425" spans="1:24" x14ac:dyDescent="0.25">
      <c r="A1425" s="862">
        <v>2143</v>
      </c>
      <c r="B1425" s="863" t="s">
        <v>8442</v>
      </c>
      <c r="C1425" s="862">
        <v>2143</v>
      </c>
      <c r="D1425" s="165" t="s">
        <v>2155</v>
      </c>
      <c r="E1425" s="165" t="s">
        <v>8443</v>
      </c>
      <c r="F1425" s="163">
        <v>2</v>
      </c>
      <c r="G1425" s="864"/>
      <c r="H1425" s="864">
        <v>27948.649205415772</v>
      </c>
      <c r="I1425" s="864">
        <v>29065.947304278779</v>
      </c>
      <c r="J1425" s="864">
        <v>30242.068491520346</v>
      </c>
      <c r="K1425" s="864">
        <v>31480.077990108097</v>
      </c>
      <c r="L1425" s="18" t="s">
        <v>1973</v>
      </c>
      <c r="M1425" s="442"/>
      <c r="N1425" s="433"/>
      <c r="P1425" s="433"/>
      <c r="T1425" s="443"/>
      <c r="U1425" s="440"/>
      <c r="V1425" s="440"/>
      <c r="W1425" s="440"/>
      <c r="X1425" s="442"/>
    </row>
    <row r="1426" spans="1:24" x14ac:dyDescent="0.25">
      <c r="A1426" s="862">
        <v>2144</v>
      </c>
      <c r="B1426" s="863" t="s">
        <v>8444</v>
      </c>
      <c r="C1426" s="862">
        <v>2144</v>
      </c>
      <c r="D1426" s="165" t="s">
        <v>2155</v>
      </c>
      <c r="E1426" s="165" t="s">
        <v>8445</v>
      </c>
      <c r="F1426" s="163">
        <v>2</v>
      </c>
      <c r="G1426" s="864"/>
      <c r="H1426" s="864">
        <v>29499.081579160644</v>
      </c>
      <c r="I1426" s="864">
        <v>30688.680016593164</v>
      </c>
      <c r="J1426" s="864">
        <v>31940.896580364166</v>
      </c>
      <c r="K1426" s="864">
        <v>33259.039765105343</v>
      </c>
      <c r="L1426" s="18" t="s">
        <v>1974</v>
      </c>
      <c r="M1426" s="442"/>
      <c r="N1426" s="433"/>
      <c r="P1426" s="433"/>
      <c r="T1426" s="443"/>
      <c r="U1426" s="440"/>
      <c r="V1426" s="440"/>
      <c r="W1426" s="440"/>
      <c r="X1426" s="442"/>
    </row>
    <row r="1427" spans="1:24" x14ac:dyDescent="0.25">
      <c r="A1427" s="862">
        <v>2145</v>
      </c>
      <c r="B1427" s="863" t="s">
        <v>8446</v>
      </c>
      <c r="C1427" s="862">
        <v>2145</v>
      </c>
      <c r="D1427" s="165" t="s">
        <v>2155</v>
      </c>
      <c r="E1427" s="165" t="s">
        <v>8447</v>
      </c>
      <c r="F1427" s="163">
        <v>2</v>
      </c>
      <c r="G1427" s="864"/>
      <c r="H1427" s="864">
        <v>29992.318791316833</v>
      </c>
      <c r="I1427" s="864">
        <v>31204.882073840083</v>
      </c>
      <c r="J1427" s="864">
        <v>32481.328495355101</v>
      </c>
      <c r="K1427" s="864">
        <v>33824.917896160798</v>
      </c>
      <c r="L1427" s="18" t="s">
        <v>1975</v>
      </c>
      <c r="M1427" s="442"/>
      <c r="N1427" s="433"/>
      <c r="P1427" s="433"/>
      <c r="T1427" s="443"/>
      <c r="U1427" s="440"/>
      <c r="V1427" s="440"/>
      <c r="W1427" s="440"/>
      <c r="X1427" s="442"/>
    </row>
    <row r="1428" spans="1:24" x14ac:dyDescent="0.25">
      <c r="A1428" s="862">
        <v>2146</v>
      </c>
      <c r="B1428" s="863" t="s">
        <v>8448</v>
      </c>
      <c r="C1428" s="862">
        <v>2146</v>
      </c>
      <c r="D1428" s="165" t="s">
        <v>2155</v>
      </c>
      <c r="E1428" s="165" t="s">
        <v>8449</v>
      </c>
      <c r="F1428" s="163">
        <v>2</v>
      </c>
      <c r="G1428" s="864"/>
      <c r="H1428" s="864">
        <v>35381.155436014102</v>
      </c>
      <c r="I1428" s="864">
        <v>36815.874402190391</v>
      </c>
      <c r="J1428" s="864">
        <v>38326.153547235095</v>
      </c>
      <c r="K1428" s="864">
        <v>39915.885217773757</v>
      </c>
      <c r="L1428" s="18" t="s">
        <v>1976</v>
      </c>
      <c r="M1428" s="442"/>
      <c r="N1428" s="433"/>
      <c r="P1428" s="433"/>
      <c r="T1428" s="443"/>
      <c r="U1428" s="440"/>
      <c r="V1428" s="440"/>
      <c r="W1428" s="440"/>
      <c r="X1428" s="442"/>
    </row>
    <row r="1429" spans="1:24" x14ac:dyDescent="0.25">
      <c r="A1429" s="862">
        <v>2147</v>
      </c>
      <c r="B1429" s="863" t="s">
        <v>8450</v>
      </c>
      <c r="C1429" s="862">
        <v>2147</v>
      </c>
      <c r="D1429" s="165" t="s">
        <v>2155</v>
      </c>
      <c r="E1429" s="165" t="s">
        <v>8451</v>
      </c>
      <c r="F1429" s="163">
        <v>2</v>
      </c>
      <c r="G1429" s="864"/>
      <c r="H1429" s="864">
        <v>35924.419782524717</v>
      </c>
      <c r="I1429" s="864">
        <v>37384.049767104494</v>
      </c>
      <c r="J1429" s="864">
        <v>38920.504943205997</v>
      </c>
      <c r="K1429" s="864">
        <v>40537.823620453222</v>
      </c>
      <c r="L1429" s="18" t="s">
        <v>1977</v>
      </c>
      <c r="M1429" s="442"/>
      <c r="N1429" s="433"/>
      <c r="P1429" s="433"/>
      <c r="T1429" s="443"/>
      <c r="U1429" s="440"/>
      <c r="V1429" s="440"/>
      <c r="W1429" s="440"/>
      <c r="X1429" s="442"/>
    </row>
    <row r="1430" spans="1:24" x14ac:dyDescent="0.25">
      <c r="A1430" s="862">
        <v>2148</v>
      </c>
      <c r="B1430" s="863" t="s">
        <v>8452</v>
      </c>
      <c r="C1430" s="862">
        <v>2148</v>
      </c>
      <c r="D1430" s="165" t="s">
        <v>2155</v>
      </c>
      <c r="E1430" s="165" t="s">
        <v>8453</v>
      </c>
      <c r="F1430" s="163">
        <v>2</v>
      </c>
      <c r="G1430" s="864"/>
      <c r="H1430" s="864">
        <v>36467.57913529659</v>
      </c>
      <c r="I1430" s="864">
        <v>37952.02282961423</v>
      </c>
      <c r="J1430" s="864">
        <v>39514.605382439717</v>
      </c>
      <c r="K1430" s="864">
        <v>41159.462412062676</v>
      </c>
      <c r="L1430" s="18" t="s">
        <v>1978</v>
      </c>
      <c r="M1430" s="442"/>
      <c r="N1430" s="433"/>
      <c r="P1430" s="433"/>
      <c r="T1430" s="443"/>
      <c r="U1430" s="440"/>
      <c r="V1430" s="440"/>
      <c r="W1430" s="440"/>
      <c r="X1430" s="442"/>
    </row>
    <row r="1431" spans="1:24" x14ac:dyDescent="0.25">
      <c r="A1431" s="862">
        <v>2149</v>
      </c>
      <c r="B1431" s="863" t="s">
        <v>8454</v>
      </c>
      <c r="C1431" s="862">
        <v>2149</v>
      </c>
      <c r="D1431" s="165" t="s">
        <v>2155</v>
      </c>
      <c r="E1431" s="165" t="s">
        <v>8455</v>
      </c>
      <c r="F1431" s="163">
        <v>2</v>
      </c>
      <c r="G1431" s="864"/>
      <c r="H1431" s="864">
        <v>37010.794827474383</v>
      </c>
      <c r="I1431" s="864">
        <v>38520.100885862703</v>
      </c>
      <c r="J1431" s="864">
        <v>40108.859469744981</v>
      </c>
      <c r="K1431" s="864">
        <v>41781.254851743673</v>
      </c>
      <c r="L1431" s="18" t="s">
        <v>1979</v>
      </c>
      <c r="M1431" s="442"/>
      <c r="N1431" s="433"/>
      <c r="P1431" s="433"/>
      <c r="T1431" s="443"/>
      <c r="U1431" s="440"/>
      <c r="V1431" s="440"/>
      <c r="W1431" s="440"/>
      <c r="X1431" s="442"/>
    </row>
    <row r="1432" spans="1:24" x14ac:dyDescent="0.25">
      <c r="A1432" s="862">
        <v>2150</v>
      </c>
      <c r="B1432" s="863" t="s">
        <v>8456</v>
      </c>
      <c r="C1432" s="862">
        <v>2150</v>
      </c>
      <c r="D1432" s="165" t="s">
        <v>2155</v>
      </c>
      <c r="E1432" s="165" t="s">
        <v>8457</v>
      </c>
      <c r="F1432" s="163">
        <v>2</v>
      </c>
      <c r="G1432" s="864"/>
      <c r="H1432" s="864">
        <v>39414.628168601499</v>
      </c>
      <c r="I1432" s="864">
        <v>41033.941673494308</v>
      </c>
      <c r="J1432" s="864">
        <v>42738.497569486579</v>
      </c>
      <c r="K1432" s="864">
        <v>44532.772055197696</v>
      </c>
      <c r="L1432" s="18" t="s">
        <v>1980</v>
      </c>
      <c r="M1432" s="442"/>
      <c r="N1432" s="433"/>
      <c r="P1432" s="433"/>
      <c r="T1432" s="443"/>
      <c r="U1432" s="440"/>
      <c r="V1432" s="440"/>
      <c r="W1432" s="440"/>
      <c r="X1432" s="442"/>
    </row>
    <row r="1433" spans="1:24" x14ac:dyDescent="0.25">
      <c r="A1433" s="862">
        <v>2151</v>
      </c>
      <c r="B1433" s="863" t="s">
        <v>8458</v>
      </c>
      <c r="C1433" s="862">
        <v>2151</v>
      </c>
      <c r="D1433" s="165" t="s">
        <v>2155</v>
      </c>
      <c r="E1433" s="165" t="s">
        <v>8459</v>
      </c>
      <c r="F1433" s="163">
        <v>2</v>
      </c>
      <c r="G1433" s="864"/>
      <c r="H1433" s="864">
        <v>39971.265412248809</v>
      </c>
      <c r="I1433" s="864">
        <v>41616.073787538946</v>
      </c>
      <c r="J1433" s="864">
        <v>43347.438220914664</v>
      </c>
      <c r="K1433" s="864">
        <v>45169.932219660979</v>
      </c>
      <c r="L1433" s="18" t="s">
        <v>1981</v>
      </c>
      <c r="M1433" s="442"/>
      <c r="N1433" s="433"/>
      <c r="P1433" s="433"/>
      <c r="T1433" s="443"/>
      <c r="U1433" s="440"/>
      <c r="V1433" s="440"/>
      <c r="W1433" s="440"/>
      <c r="X1433" s="442"/>
    </row>
    <row r="1434" spans="1:24" x14ac:dyDescent="0.25">
      <c r="A1434" s="862">
        <v>2152</v>
      </c>
      <c r="B1434" s="863" t="s">
        <v>8460</v>
      </c>
      <c r="C1434" s="862">
        <v>2152</v>
      </c>
      <c r="D1434" s="165" t="s">
        <v>2155</v>
      </c>
      <c r="E1434" s="165" t="s">
        <v>8461</v>
      </c>
      <c r="F1434" s="163">
        <v>2</v>
      </c>
      <c r="G1434" s="864"/>
      <c r="H1434" s="864">
        <v>40527.854001563297</v>
      </c>
      <c r="I1434" s="864">
        <v>42198.157247250761</v>
      </c>
      <c r="J1434" s="864">
        <v>43956.330218009927</v>
      </c>
      <c r="K1434" s="864">
        <v>45807.043729791447</v>
      </c>
      <c r="L1434" s="18" t="s">
        <v>1982</v>
      </c>
      <c r="M1434" s="442"/>
      <c r="N1434" s="433"/>
      <c r="P1434" s="433"/>
      <c r="T1434" s="443"/>
      <c r="U1434" s="440"/>
      <c r="V1434" s="440"/>
      <c r="W1434" s="440"/>
      <c r="X1434" s="442"/>
    </row>
    <row r="1435" spans="1:24" x14ac:dyDescent="0.25">
      <c r="A1435" s="862">
        <v>2153</v>
      </c>
      <c r="B1435" s="863" t="s">
        <v>8462</v>
      </c>
      <c r="C1435" s="862">
        <v>2153</v>
      </c>
      <c r="D1435" s="165" t="s">
        <v>2155</v>
      </c>
      <c r="E1435" s="165" t="s">
        <v>8463</v>
      </c>
      <c r="F1435" s="163">
        <v>2</v>
      </c>
      <c r="G1435" s="864"/>
      <c r="H1435" s="864">
        <v>42099.281335479296</v>
      </c>
      <c r="I1435" s="864">
        <v>43817.265827329698</v>
      </c>
      <c r="J1435" s="864">
        <v>45625.650069558411</v>
      </c>
      <c r="K1435" s="864">
        <v>47529.250841114539</v>
      </c>
      <c r="L1435" s="18" t="s">
        <v>3053</v>
      </c>
      <c r="M1435" s="442"/>
      <c r="N1435" s="433"/>
      <c r="P1435" s="433"/>
      <c r="T1435" s="443"/>
      <c r="U1435" s="440"/>
      <c r="V1435" s="440"/>
      <c r="W1435" s="440"/>
      <c r="X1435" s="442"/>
    </row>
    <row r="1436" spans="1:24" x14ac:dyDescent="0.25">
      <c r="A1436" s="862">
        <v>2154</v>
      </c>
      <c r="B1436" s="863" t="s">
        <v>8464</v>
      </c>
      <c r="C1436" s="862">
        <v>2154</v>
      </c>
      <c r="D1436" s="165" t="s">
        <v>2155</v>
      </c>
      <c r="E1436" s="165" t="s">
        <v>8465</v>
      </c>
      <c r="F1436" s="163">
        <v>2</v>
      </c>
      <c r="G1436" s="864"/>
      <c r="H1436" s="864">
        <v>45010.23852377099</v>
      </c>
      <c r="I1436" s="864">
        <v>46947.021550309903</v>
      </c>
      <c r="J1436" s="864">
        <v>48883.755922515993</v>
      </c>
      <c r="K1436" s="864">
        <v>50922.421121978579</v>
      </c>
      <c r="L1436" s="18" t="s">
        <v>3054</v>
      </c>
      <c r="M1436" s="442"/>
      <c r="N1436" s="433"/>
      <c r="P1436" s="433"/>
      <c r="T1436" s="443"/>
      <c r="U1436" s="440"/>
      <c r="V1436" s="440"/>
      <c r="W1436" s="440"/>
      <c r="X1436" s="442"/>
    </row>
    <row r="1437" spans="1:24" x14ac:dyDescent="0.25">
      <c r="A1437" s="862">
        <v>2155</v>
      </c>
      <c r="B1437" s="863" t="s">
        <v>8466</v>
      </c>
      <c r="C1437" s="862">
        <v>2155</v>
      </c>
      <c r="D1437" s="165" t="s">
        <v>2155</v>
      </c>
      <c r="E1437" s="165" t="s">
        <v>8467</v>
      </c>
      <c r="F1437" s="163">
        <v>2</v>
      </c>
      <c r="G1437" s="864"/>
      <c r="H1437" s="864">
        <v>0</v>
      </c>
      <c r="I1437" s="864">
        <v>45029.396572457314</v>
      </c>
      <c r="J1437" s="864">
        <v>0</v>
      </c>
      <c r="K1437" s="864">
        <v>46865.075895397662</v>
      </c>
      <c r="L1437" s="18" t="s">
        <v>4687</v>
      </c>
      <c r="M1437" s="442"/>
      <c r="N1437" s="433"/>
      <c r="P1437" s="433"/>
      <c r="T1437" s="443"/>
      <c r="U1437" s="440"/>
      <c r="V1437" s="440"/>
      <c r="W1437" s="440"/>
      <c r="X1437" s="442"/>
    </row>
    <row r="1438" spans="1:24" x14ac:dyDescent="0.25">
      <c r="A1438" s="862">
        <v>2156</v>
      </c>
      <c r="B1438" s="863" t="s">
        <v>8468</v>
      </c>
      <c r="C1438" s="862">
        <v>2156</v>
      </c>
      <c r="D1438" s="165" t="s">
        <v>2155</v>
      </c>
      <c r="E1438" s="165" t="s">
        <v>8469</v>
      </c>
      <c r="F1438" s="163">
        <v>2</v>
      </c>
      <c r="G1438" s="864"/>
      <c r="H1438" s="864">
        <v>0</v>
      </c>
      <c r="I1438" s="864">
        <v>45724.295203013047</v>
      </c>
      <c r="J1438" s="864">
        <v>0</v>
      </c>
      <c r="K1438" s="864">
        <v>0</v>
      </c>
      <c r="L1438" s="18" t="s">
        <v>4688</v>
      </c>
      <c r="M1438" s="442"/>
      <c r="N1438" s="433"/>
      <c r="P1438" s="433"/>
      <c r="T1438" s="443"/>
      <c r="U1438" s="440"/>
      <c r="V1438" s="440"/>
      <c r="W1438" s="440"/>
      <c r="X1438" s="442"/>
    </row>
    <row r="1439" spans="1:24" x14ac:dyDescent="0.25">
      <c r="A1439" s="862">
        <v>2157</v>
      </c>
      <c r="B1439" s="863" t="s">
        <v>8470</v>
      </c>
      <c r="C1439" s="862">
        <v>2157</v>
      </c>
      <c r="D1439" s="165" t="s">
        <v>2156</v>
      </c>
      <c r="E1439" s="165" t="s">
        <v>8471</v>
      </c>
      <c r="F1439" s="163">
        <v>2</v>
      </c>
      <c r="G1439" s="864"/>
      <c r="H1439" s="864">
        <v>19941.982680450084</v>
      </c>
      <c r="I1439" s="864">
        <v>20676.857723353187</v>
      </c>
      <c r="J1439" s="864">
        <v>21450.412960847651</v>
      </c>
      <c r="K1439" s="864">
        <v>22264.691874911892</v>
      </c>
      <c r="L1439" s="18" t="s">
        <v>1983</v>
      </c>
      <c r="M1439" s="442"/>
      <c r="N1439" s="433"/>
      <c r="P1439" s="433"/>
      <c r="T1439" s="443"/>
      <c r="U1439" s="440"/>
      <c r="V1439" s="440"/>
      <c r="W1439" s="440"/>
      <c r="X1439" s="442"/>
    </row>
    <row r="1440" spans="1:24" x14ac:dyDescent="0.25">
      <c r="A1440" s="862">
        <v>2158</v>
      </c>
      <c r="B1440" s="863" t="s">
        <v>8472</v>
      </c>
      <c r="C1440" s="862">
        <v>2158</v>
      </c>
      <c r="D1440" s="165" t="s">
        <v>2156</v>
      </c>
      <c r="E1440" s="165" t="s">
        <v>8473</v>
      </c>
      <c r="F1440" s="163">
        <v>2</v>
      </c>
      <c r="G1440" s="864"/>
      <c r="H1440" s="864">
        <v>24222.819468065321</v>
      </c>
      <c r="I1440" s="864">
        <v>25154.890521885151</v>
      </c>
      <c r="J1440" s="864">
        <v>26136.053797519678</v>
      </c>
      <c r="K1440" s="864">
        <v>27168.839320275511</v>
      </c>
      <c r="L1440" s="18" t="s">
        <v>1984</v>
      </c>
      <c r="M1440" s="442"/>
      <c r="N1440" s="433"/>
      <c r="P1440" s="433"/>
      <c r="T1440" s="443"/>
      <c r="U1440" s="440"/>
      <c r="V1440" s="440"/>
      <c r="W1440" s="440"/>
      <c r="X1440" s="442"/>
    </row>
    <row r="1441" spans="1:24" x14ac:dyDescent="0.25">
      <c r="A1441" s="862">
        <v>2159</v>
      </c>
      <c r="B1441" s="863" t="s">
        <v>8474</v>
      </c>
      <c r="C1441" s="862">
        <v>2159</v>
      </c>
      <c r="D1441" s="165" t="s">
        <v>2157</v>
      </c>
      <c r="E1441" s="165" t="s">
        <v>8475</v>
      </c>
      <c r="F1441" s="163">
        <v>1</v>
      </c>
      <c r="G1441" s="864"/>
      <c r="H1441" s="864">
        <v>0</v>
      </c>
      <c r="I1441" s="864">
        <v>0</v>
      </c>
      <c r="J1441" s="864">
        <v>0</v>
      </c>
      <c r="K1441" s="864">
        <v>62719.978668370823</v>
      </c>
      <c r="L1441" s="18" t="s">
        <v>10986</v>
      </c>
      <c r="M1441" s="442"/>
      <c r="N1441" s="433"/>
      <c r="P1441" s="433"/>
      <c r="T1441" s="443"/>
      <c r="U1441" s="440"/>
      <c r="V1441" s="440"/>
      <c r="W1441" s="440"/>
      <c r="X1441" s="442"/>
    </row>
    <row r="1442" spans="1:24" x14ac:dyDescent="0.25">
      <c r="A1442" s="862">
        <v>2160</v>
      </c>
      <c r="B1442" s="863" t="s">
        <v>8476</v>
      </c>
      <c r="C1442" s="862">
        <v>2160</v>
      </c>
      <c r="D1442" s="165" t="s">
        <v>2157</v>
      </c>
      <c r="E1442" s="165" t="s">
        <v>8477</v>
      </c>
      <c r="F1442" s="163">
        <v>1</v>
      </c>
      <c r="G1442" s="864"/>
      <c r="H1442" s="864">
        <v>0</v>
      </c>
      <c r="I1442" s="864">
        <v>0</v>
      </c>
      <c r="J1442" s="864">
        <v>0</v>
      </c>
      <c r="K1442" s="864">
        <v>67434.659216697779</v>
      </c>
      <c r="L1442" s="18" t="s">
        <v>10987</v>
      </c>
      <c r="M1442" s="442"/>
      <c r="N1442" s="433"/>
      <c r="P1442" s="433"/>
      <c r="T1442" s="443"/>
      <c r="U1442" s="440"/>
      <c r="V1442" s="440"/>
      <c r="W1442" s="440"/>
      <c r="X1442" s="442"/>
    </row>
    <row r="1443" spans="1:24" x14ac:dyDescent="0.25">
      <c r="A1443" s="862">
        <v>2161</v>
      </c>
      <c r="B1443" s="863" t="s">
        <v>8478</v>
      </c>
      <c r="C1443" s="862">
        <v>2161</v>
      </c>
      <c r="D1443" s="165" t="s">
        <v>2157</v>
      </c>
      <c r="E1443" s="165" t="s">
        <v>8479</v>
      </c>
      <c r="F1443" s="163">
        <v>1</v>
      </c>
      <c r="G1443" s="864"/>
      <c r="H1443" s="864">
        <v>0</v>
      </c>
      <c r="I1443" s="864">
        <v>0</v>
      </c>
      <c r="J1443" s="864">
        <v>79054.156481825383</v>
      </c>
      <c r="K1443" s="864">
        <v>80905.175069060584</v>
      </c>
      <c r="L1443" s="18" t="s">
        <v>10988</v>
      </c>
      <c r="M1443" s="442"/>
      <c r="N1443" s="433"/>
      <c r="P1443" s="433"/>
      <c r="T1443" s="443"/>
      <c r="U1443" s="440"/>
      <c r="V1443" s="440"/>
      <c r="W1443" s="440"/>
      <c r="X1443" s="442"/>
    </row>
    <row r="1444" spans="1:24" x14ac:dyDescent="0.25">
      <c r="A1444" s="862">
        <v>2162</v>
      </c>
      <c r="B1444" s="863" t="s">
        <v>8480</v>
      </c>
      <c r="C1444" s="862">
        <v>2162</v>
      </c>
      <c r="D1444" s="165" t="s">
        <v>2157</v>
      </c>
      <c r="E1444" s="165" t="s">
        <v>8481</v>
      </c>
      <c r="F1444" s="163">
        <v>1</v>
      </c>
      <c r="G1444" s="864"/>
      <c r="H1444" s="864">
        <v>0</v>
      </c>
      <c r="I1444" s="864">
        <v>0</v>
      </c>
      <c r="J1444" s="864">
        <v>96154.135146140732</v>
      </c>
      <c r="K1444" s="864">
        <v>98416.845677132238</v>
      </c>
      <c r="L1444" s="18" t="s">
        <v>10989</v>
      </c>
      <c r="M1444" s="442"/>
      <c r="N1444" s="433"/>
      <c r="P1444" s="433"/>
      <c r="T1444" s="443"/>
      <c r="U1444" s="440"/>
      <c r="V1444" s="440"/>
      <c r="W1444" s="440"/>
      <c r="X1444" s="442"/>
    </row>
    <row r="1445" spans="1:24" x14ac:dyDescent="0.25">
      <c r="A1445" s="862">
        <v>2163</v>
      </c>
      <c r="B1445" s="863" t="s">
        <v>8482</v>
      </c>
      <c r="C1445" s="862">
        <v>2163</v>
      </c>
      <c r="D1445" s="165" t="s">
        <v>2157</v>
      </c>
      <c r="E1445" s="165" t="s">
        <v>8483</v>
      </c>
      <c r="F1445" s="163">
        <v>1</v>
      </c>
      <c r="G1445" s="864"/>
      <c r="H1445" s="864">
        <v>0</v>
      </c>
      <c r="I1445" s="864">
        <v>0</v>
      </c>
      <c r="J1445" s="864">
        <v>0</v>
      </c>
      <c r="K1445" s="864">
        <v>79558.123483824311</v>
      </c>
      <c r="L1445" s="18" t="s">
        <v>10990</v>
      </c>
      <c r="M1445" s="442"/>
      <c r="N1445" s="433"/>
      <c r="P1445" s="433"/>
      <c r="T1445" s="443"/>
      <c r="U1445" s="440"/>
      <c r="V1445" s="440"/>
      <c r="W1445" s="440"/>
      <c r="X1445" s="442"/>
    </row>
    <row r="1446" spans="1:24" x14ac:dyDescent="0.25">
      <c r="A1446" s="862">
        <v>2164</v>
      </c>
      <c r="B1446" s="863" t="s">
        <v>8484</v>
      </c>
      <c r="C1446" s="862">
        <v>2164</v>
      </c>
      <c r="D1446" s="165" t="s">
        <v>2157</v>
      </c>
      <c r="E1446" s="165" t="s">
        <v>8485</v>
      </c>
      <c r="F1446" s="163">
        <v>1</v>
      </c>
      <c r="G1446" s="864"/>
      <c r="H1446" s="864">
        <v>0</v>
      </c>
      <c r="I1446" s="864">
        <v>36412.177921985749</v>
      </c>
      <c r="J1446" s="864">
        <v>37256.674216870451</v>
      </c>
      <c r="K1446" s="864">
        <v>38145.623858388673</v>
      </c>
      <c r="L1446" s="18" t="s">
        <v>3965</v>
      </c>
      <c r="M1446" s="442"/>
      <c r="N1446" s="433"/>
      <c r="P1446" s="433"/>
      <c r="T1446" s="443"/>
      <c r="U1446" s="440"/>
      <c r="V1446" s="440"/>
      <c r="W1446" s="440"/>
      <c r="X1446" s="442"/>
    </row>
    <row r="1447" spans="1:24" x14ac:dyDescent="0.25">
      <c r="A1447" s="862">
        <v>2165</v>
      </c>
      <c r="B1447" s="863" t="s">
        <v>8486</v>
      </c>
      <c r="C1447" s="862">
        <v>2165</v>
      </c>
      <c r="D1447" s="165" t="s">
        <v>2157</v>
      </c>
      <c r="E1447" s="165" t="s">
        <v>8487</v>
      </c>
      <c r="F1447" s="163">
        <v>1</v>
      </c>
      <c r="G1447" s="864"/>
      <c r="H1447" s="864">
        <v>40415.166216112899</v>
      </c>
      <c r="I1447" s="864">
        <v>41358.703159803234</v>
      </c>
      <c r="J1447" s="864">
        <v>42351.924635509306</v>
      </c>
      <c r="K1447" s="864">
        <v>43397.411048576578</v>
      </c>
      <c r="L1447" s="18" t="s">
        <v>3055</v>
      </c>
      <c r="M1447" s="442"/>
      <c r="N1447" s="433"/>
      <c r="P1447" s="433"/>
      <c r="T1447" s="443"/>
      <c r="U1447" s="440"/>
      <c r="V1447" s="440"/>
      <c r="W1447" s="440"/>
      <c r="X1447" s="442"/>
    </row>
    <row r="1448" spans="1:24" x14ac:dyDescent="0.25">
      <c r="A1448" s="862">
        <v>2166</v>
      </c>
      <c r="B1448" s="863" t="s">
        <v>8488</v>
      </c>
      <c r="C1448" s="862">
        <v>2166</v>
      </c>
      <c r="D1448" s="165" t="s">
        <v>2157</v>
      </c>
      <c r="E1448" s="165" t="s">
        <v>8489</v>
      </c>
      <c r="F1448" s="163">
        <v>1</v>
      </c>
      <c r="G1448" s="864"/>
      <c r="H1448" s="864">
        <v>38055.313953551449</v>
      </c>
      <c r="I1448" s="864">
        <v>0</v>
      </c>
      <c r="J1448" s="864">
        <v>0</v>
      </c>
      <c r="K1448" s="864">
        <v>0</v>
      </c>
      <c r="L1448" s="18" t="s">
        <v>1985</v>
      </c>
      <c r="M1448" s="442"/>
      <c r="N1448" s="433"/>
      <c r="P1448" s="433"/>
      <c r="T1448" s="443"/>
      <c r="U1448" s="440"/>
      <c r="V1448" s="440"/>
      <c r="W1448" s="440"/>
      <c r="X1448" s="442"/>
    </row>
    <row r="1449" spans="1:24" x14ac:dyDescent="0.25">
      <c r="A1449" s="862">
        <v>2167</v>
      </c>
      <c r="B1449" s="863" t="s">
        <v>8490</v>
      </c>
      <c r="C1449" s="862">
        <v>2167</v>
      </c>
      <c r="D1449" s="165" t="s">
        <v>2157</v>
      </c>
      <c r="E1449" s="165" t="s">
        <v>8491</v>
      </c>
      <c r="F1449" s="163">
        <v>1</v>
      </c>
      <c r="G1449" s="864"/>
      <c r="H1449" s="864">
        <v>53750.976909952078</v>
      </c>
      <c r="I1449" s="864">
        <v>0</v>
      </c>
      <c r="J1449" s="864">
        <v>0</v>
      </c>
      <c r="K1449" s="864">
        <v>0</v>
      </c>
      <c r="L1449" s="18" t="s">
        <v>10991</v>
      </c>
      <c r="M1449" s="442"/>
      <c r="N1449" s="433"/>
      <c r="P1449" s="433"/>
      <c r="T1449" s="443"/>
      <c r="U1449" s="440"/>
      <c r="V1449" s="440"/>
      <c r="W1449" s="440"/>
      <c r="X1449" s="442"/>
    </row>
    <row r="1450" spans="1:24" x14ac:dyDescent="0.25">
      <c r="A1450" s="862">
        <v>2168</v>
      </c>
      <c r="B1450" s="863" t="s">
        <v>8492</v>
      </c>
      <c r="C1450" s="862">
        <v>2168</v>
      </c>
      <c r="D1450" s="165" t="s">
        <v>2157</v>
      </c>
      <c r="E1450" s="165" t="s">
        <v>8493</v>
      </c>
      <c r="F1450" s="163">
        <v>1</v>
      </c>
      <c r="G1450" s="864"/>
      <c r="H1450" s="864">
        <v>42715.482525754436</v>
      </c>
      <c r="I1450" s="864">
        <v>43808.143440183165</v>
      </c>
      <c r="J1450" s="864">
        <v>0</v>
      </c>
      <c r="K1450" s="864">
        <v>0</v>
      </c>
      <c r="L1450" s="18" t="s">
        <v>1986</v>
      </c>
      <c r="M1450" s="442"/>
      <c r="N1450" s="433"/>
      <c r="P1450" s="433"/>
      <c r="T1450" s="443"/>
      <c r="U1450" s="440"/>
      <c r="V1450" s="440"/>
      <c r="W1450" s="440"/>
      <c r="X1450" s="442"/>
    </row>
    <row r="1451" spans="1:24" x14ac:dyDescent="0.25">
      <c r="A1451" s="862">
        <v>2169</v>
      </c>
      <c r="B1451" s="863" t="s">
        <v>8494</v>
      </c>
      <c r="C1451" s="862">
        <v>2169</v>
      </c>
      <c r="D1451" s="165" t="s">
        <v>2157</v>
      </c>
      <c r="E1451" s="165" t="s">
        <v>8495</v>
      </c>
      <c r="F1451" s="163">
        <v>1</v>
      </c>
      <c r="G1451" s="864"/>
      <c r="H1451" s="864">
        <v>0</v>
      </c>
      <c r="I1451" s="864">
        <v>67468.418303556944</v>
      </c>
      <c r="J1451" s="864">
        <v>69259.641861468204</v>
      </c>
      <c r="K1451" s="864">
        <v>71145.261338563272</v>
      </c>
      <c r="L1451" s="18" t="s">
        <v>3056</v>
      </c>
      <c r="M1451" s="442"/>
      <c r="N1451" s="433"/>
      <c r="P1451" s="433"/>
      <c r="T1451" s="443"/>
      <c r="U1451" s="440"/>
      <c r="V1451" s="440"/>
      <c r="W1451" s="440"/>
      <c r="X1451" s="442"/>
    </row>
    <row r="1452" spans="1:24" x14ac:dyDescent="0.25">
      <c r="A1452" s="862">
        <v>2170</v>
      </c>
      <c r="B1452" s="863" t="s">
        <v>8496</v>
      </c>
      <c r="C1452" s="862">
        <v>2170</v>
      </c>
      <c r="D1452" s="165" t="s">
        <v>8497</v>
      </c>
      <c r="E1452" s="165" t="s">
        <v>8498</v>
      </c>
      <c r="F1452" s="163">
        <v>2</v>
      </c>
      <c r="G1452" s="864"/>
      <c r="H1452" s="864">
        <v>0</v>
      </c>
      <c r="I1452" s="864">
        <v>0</v>
      </c>
      <c r="J1452" s="864">
        <v>13941.542115264483</v>
      </c>
      <c r="K1452" s="864">
        <v>0</v>
      </c>
      <c r="L1452" s="18" t="s">
        <v>10992</v>
      </c>
      <c r="M1452" s="442"/>
      <c r="N1452" s="433"/>
      <c r="P1452" s="433"/>
      <c r="T1452" s="443"/>
      <c r="U1452" s="440"/>
      <c r="V1452" s="440"/>
      <c r="W1452" s="440"/>
      <c r="X1452" s="442"/>
    </row>
    <row r="1453" spans="1:24" x14ac:dyDescent="0.25">
      <c r="A1453" s="862">
        <v>2171</v>
      </c>
      <c r="B1453" s="863" t="s">
        <v>8499</v>
      </c>
      <c r="C1453" s="862">
        <v>2171</v>
      </c>
      <c r="D1453" s="165" t="s">
        <v>8500</v>
      </c>
      <c r="E1453" s="165" t="s">
        <v>8501</v>
      </c>
      <c r="F1453" s="163">
        <v>1</v>
      </c>
      <c r="G1453" s="864"/>
      <c r="H1453" s="864">
        <v>0</v>
      </c>
      <c r="I1453" s="864">
        <v>0</v>
      </c>
      <c r="J1453" s="864">
        <v>0</v>
      </c>
      <c r="K1453" s="864">
        <v>66031.479622351966</v>
      </c>
      <c r="L1453" s="18" t="s">
        <v>10993</v>
      </c>
      <c r="M1453" s="442"/>
      <c r="N1453" s="433"/>
      <c r="P1453" s="433"/>
      <c r="T1453" s="443"/>
      <c r="U1453" s="440"/>
      <c r="V1453" s="440"/>
      <c r="W1453" s="440"/>
      <c r="X1453" s="442"/>
    </row>
    <row r="1454" spans="1:24" x14ac:dyDescent="0.25">
      <c r="A1454" s="862">
        <v>2172</v>
      </c>
      <c r="B1454" s="863" t="s">
        <v>8502</v>
      </c>
      <c r="C1454" s="862">
        <v>2172</v>
      </c>
      <c r="D1454" s="165" t="s">
        <v>2158</v>
      </c>
      <c r="E1454" s="165" t="s">
        <v>8503</v>
      </c>
      <c r="F1454" s="163">
        <v>1</v>
      </c>
      <c r="G1454" s="864"/>
      <c r="H1454" s="864">
        <v>30676.484909304792</v>
      </c>
      <c r="I1454" s="864">
        <v>0</v>
      </c>
      <c r="J1454" s="864">
        <v>0</v>
      </c>
      <c r="K1454" s="864">
        <v>0</v>
      </c>
      <c r="L1454" s="18" t="s">
        <v>2979</v>
      </c>
      <c r="M1454" s="442"/>
      <c r="N1454" s="433"/>
      <c r="P1454" s="433"/>
      <c r="T1454" s="443"/>
      <c r="U1454" s="440"/>
      <c r="V1454" s="440"/>
      <c r="W1454" s="440"/>
      <c r="X1454" s="442"/>
    </row>
    <row r="1455" spans="1:24" x14ac:dyDescent="0.25">
      <c r="A1455" s="862">
        <v>2173</v>
      </c>
      <c r="B1455" s="863" t="s">
        <v>8504</v>
      </c>
      <c r="C1455" s="862">
        <v>2173</v>
      </c>
      <c r="D1455" s="165" t="s">
        <v>2158</v>
      </c>
      <c r="E1455" s="165" t="s">
        <v>8505</v>
      </c>
      <c r="F1455" s="163">
        <v>1</v>
      </c>
      <c r="G1455" s="864"/>
      <c r="H1455" s="864">
        <v>32566.670465752377</v>
      </c>
      <c r="I1455" s="864">
        <v>33337.580088312257</v>
      </c>
      <c r="J1455" s="864">
        <v>34149.049857161197</v>
      </c>
      <c r="K1455" s="864">
        <v>35003.241201147495</v>
      </c>
      <c r="L1455" s="18" t="s">
        <v>2980</v>
      </c>
      <c r="M1455" s="442"/>
      <c r="N1455" s="433"/>
      <c r="P1455" s="433"/>
      <c r="T1455" s="443"/>
      <c r="U1455" s="440"/>
      <c r="V1455" s="440"/>
      <c r="W1455" s="440"/>
      <c r="X1455" s="442"/>
    </row>
    <row r="1456" spans="1:24" x14ac:dyDescent="0.25">
      <c r="A1456" s="862">
        <v>2174</v>
      </c>
      <c r="B1456" s="863" t="s">
        <v>8506</v>
      </c>
      <c r="C1456" s="862">
        <v>2174</v>
      </c>
      <c r="D1456" s="165" t="s">
        <v>2158</v>
      </c>
      <c r="E1456" s="165" t="s">
        <v>8507</v>
      </c>
      <c r="F1456" s="163">
        <v>1</v>
      </c>
      <c r="G1456" s="864"/>
      <c r="H1456" s="864">
        <v>43640.052250707369</v>
      </c>
      <c r="I1456" s="864">
        <v>44698.085014102973</v>
      </c>
      <c r="J1456" s="864">
        <v>45811.807925725727</v>
      </c>
      <c r="K1456" s="864">
        <v>46984.156259320254</v>
      </c>
      <c r="L1456" s="18" t="s">
        <v>2981</v>
      </c>
      <c r="M1456" s="442"/>
      <c r="N1456" s="433"/>
      <c r="P1456" s="433"/>
      <c r="T1456" s="443"/>
      <c r="U1456" s="440"/>
      <c r="V1456" s="440"/>
      <c r="W1456" s="440"/>
      <c r="X1456" s="442"/>
    </row>
    <row r="1457" spans="1:24" x14ac:dyDescent="0.25">
      <c r="A1457" s="862">
        <v>2175</v>
      </c>
      <c r="B1457" s="863" t="s">
        <v>8508</v>
      </c>
      <c r="C1457" s="862">
        <v>2175</v>
      </c>
      <c r="D1457" s="165" t="s">
        <v>2158</v>
      </c>
      <c r="E1457" s="165" t="s">
        <v>8509</v>
      </c>
      <c r="F1457" s="163">
        <v>1</v>
      </c>
      <c r="G1457" s="864"/>
      <c r="H1457" s="864">
        <v>0</v>
      </c>
      <c r="I1457" s="864">
        <v>0</v>
      </c>
      <c r="J1457" s="864">
        <v>28091.714698350581</v>
      </c>
      <c r="K1457" s="864">
        <v>28757.648258080739</v>
      </c>
      <c r="L1457" s="18" t="s">
        <v>4689</v>
      </c>
      <c r="M1457" s="442"/>
      <c r="N1457" s="433"/>
      <c r="P1457" s="433"/>
      <c r="T1457" s="443"/>
      <c r="U1457" s="440"/>
      <c r="V1457" s="440"/>
      <c r="W1457" s="440"/>
      <c r="X1457" s="442"/>
    </row>
    <row r="1458" spans="1:24" x14ac:dyDescent="0.25">
      <c r="A1458" s="862">
        <v>2176</v>
      </c>
      <c r="B1458" s="863" t="s">
        <v>8510</v>
      </c>
      <c r="C1458" s="862">
        <v>2176</v>
      </c>
      <c r="D1458" s="165" t="s">
        <v>2158</v>
      </c>
      <c r="E1458" s="165" t="s">
        <v>8511</v>
      </c>
      <c r="F1458" s="163">
        <v>1</v>
      </c>
      <c r="G1458" s="864"/>
      <c r="H1458" s="864">
        <v>0</v>
      </c>
      <c r="I1458" s="864">
        <v>0</v>
      </c>
      <c r="J1458" s="864">
        <v>63407.011497350089</v>
      </c>
      <c r="K1458" s="864">
        <v>64923.9876528678</v>
      </c>
      <c r="L1458" s="18" t="s">
        <v>4690</v>
      </c>
      <c r="M1458" s="442"/>
      <c r="N1458" s="433"/>
      <c r="P1458" s="433"/>
      <c r="T1458" s="443"/>
      <c r="U1458" s="440"/>
      <c r="V1458" s="440"/>
      <c r="W1458" s="440"/>
      <c r="X1458" s="442"/>
    </row>
    <row r="1459" spans="1:24" x14ac:dyDescent="0.25">
      <c r="A1459" s="862">
        <v>2177</v>
      </c>
      <c r="B1459" s="863" t="s">
        <v>8512</v>
      </c>
      <c r="C1459" s="862">
        <v>2177</v>
      </c>
      <c r="D1459" s="165" t="s">
        <v>2158</v>
      </c>
      <c r="E1459" s="165" t="s">
        <v>8513</v>
      </c>
      <c r="F1459" s="163">
        <v>1</v>
      </c>
      <c r="G1459" s="864"/>
      <c r="H1459" s="864">
        <v>0</v>
      </c>
      <c r="I1459" s="864">
        <v>0</v>
      </c>
      <c r="J1459" s="864">
        <v>34530.291729305936</v>
      </c>
      <c r="K1459" s="864">
        <v>35362.388467287405</v>
      </c>
      <c r="L1459" s="18" t="s">
        <v>4691</v>
      </c>
      <c r="M1459" s="442"/>
      <c r="N1459" s="433"/>
      <c r="P1459" s="433"/>
      <c r="T1459" s="443"/>
      <c r="U1459" s="440"/>
      <c r="V1459" s="440"/>
      <c r="W1459" s="440"/>
      <c r="X1459" s="442"/>
    </row>
    <row r="1460" spans="1:24" x14ac:dyDescent="0.25">
      <c r="A1460" s="862">
        <v>2178</v>
      </c>
      <c r="B1460" s="863" t="s">
        <v>8514</v>
      </c>
      <c r="C1460" s="862">
        <v>2178</v>
      </c>
      <c r="D1460" s="165" t="s">
        <v>2158</v>
      </c>
      <c r="E1460" s="165" t="s">
        <v>8515</v>
      </c>
      <c r="F1460" s="163">
        <v>1</v>
      </c>
      <c r="G1460" s="864"/>
      <c r="H1460" s="864">
        <v>42507.944424907342</v>
      </c>
      <c r="I1460" s="864">
        <v>43508.952824737346</v>
      </c>
      <c r="J1460" s="864">
        <v>44562.636046129577</v>
      </c>
      <c r="K1460" s="864">
        <v>45671.795941294818</v>
      </c>
      <c r="L1460" s="18" t="s">
        <v>3966</v>
      </c>
      <c r="M1460" s="442"/>
      <c r="N1460" s="433"/>
      <c r="P1460" s="433"/>
      <c r="T1460" s="443"/>
      <c r="U1460" s="440"/>
      <c r="V1460" s="440"/>
      <c r="W1460" s="440"/>
      <c r="X1460" s="442"/>
    </row>
    <row r="1461" spans="1:24" x14ac:dyDescent="0.25">
      <c r="A1461" s="862">
        <v>2179</v>
      </c>
      <c r="B1461" s="863" t="s">
        <v>8516</v>
      </c>
      <c r="C1461" s="862">
        <v>2179</v>
      </c>
      <c r="D1461" s="165" t="s">
        <v>2158</v>
      </c>
      <c r="E1461" s="165" t="s">
        <v>8517</v>
      </c>
      <c r="F1461" s="163">
        <v>1</v>
      </c>
      <c r="G1461" s="864"/>
      <c r="H1461" s="864">
        <v>33003.960653493821</v>
      </c>
      <c r="I1461" s="864">
        <v>33851.294130640461</v>
      </c>
      <c r="J1461" s="864">
        <v>34743.217084398297</v>
      </c>
      <c r="K1461" s="864">
        <v>35682.077733763013</v>
      </c>
      <c r="L1461" s="18" t="s">
        <v>1987</v>
      </c>
      <c r="M1461" s="442"/>
      <c r="N1461" s="433"/>
      <c r="P1461" s="433"/>
      <c r="T1461" s="443"/>
      <c r="U1461" s="440"/>
      <c r="V1461" s="440"/>
      <c r="W1461" s="440"/>
      <c r="X1461" s="442"/>
    </row>
    <row r="1462" spans="1:24" x14ac:dyDescent="0.25">
      <c r="A1462" s="862">
        <v>2180</v>
      </c>
      <c r="B1462" s="863" t="s">
        <v>8518</v>
      </c>
      <c r="C1462" s="862">
        <v>2180</v>
      </c>
      <c r="D1462" s="165" t="s">
        <v>2158</v>
      </c>
      <c r="E1462" s="165" t="s">
        <v>8519</v>
      </c>
      <c r="F1462" s="163">
        <v>1</v>
      </c>
      <c r="G1462" s="864"/>
      <c r="H1462" s="864">
        <v>0</v>
      </c>
      <c r="I1462" s="864">
        <v>0</v>
      </c>
      <c r="J1462" s="864">
        <v>32207.051033867458</v>
      </c>
      <c r="K1462" s="864">
        <v>32950.60924198899</v>
      </c>
      <c r="L1462" s="18" t="s">
        <v>10994</v>
      </c>
      <c r="M1462" s="442"/>
      <c r="N1462" s="433"/>
      <c r="P1462" s="433"/>
      <c r="T1462" s="443"/>
      <c r="U1462" s="440"/>
      <c r="V1462" s="440"/>
      <c r="W1462" s="440"/>
      <c r="X1462" s="442"/>
    </row>
    <row r="1463" spans="1:24" x14ac:dyDescent="0.25">
      <c r="A1463" s="862">
        <v>2181</v>
      </c>
      <c r="B1463" s="863" t="s">
        <v>8520</v>
      </c>
      <c r="C1463" s="862">
        <v>2181</v>
      </c>
      <c r="D1463" s="165" t="s">
        <v>2158</v>
      </c>
      <c r="E1463" s="165" t="s">
        <v>8521</v>
      </c>
      <c r="F1463" s="163">
        <v>1</v>
      </c>
      <c r="G1463" s="864"/>
      <c r="H1463" s="864">
        <v>0</v>
      </c>
      <c r="I1463" s="864">
        <v>36550.171703119995</v>
      </c>
      <c r="J1463" s="864">
        <v>37401.667932122611</v>
      </c>
      <c r="K1463" s="864">
        <v>38297.967112190592</v>
      </c>
      <c r="L1463" s="18" t="s">
        <v>3967</v>
      </c>
      <c r="M1463" s="442"/>
      <c r="N1463" s="433"/>
      <c r="P1463" s="433"/>
      <c r="T1463" s="443"/>
      <c r="U1463" s="440"/>
      <c r="V1463" s="440"/>
      <c r="W1463" s="440"/>
      <c r="X1463" s="442"/>
    </row>
    <row r="1464" spans="1:24" x14ac:dyDescent="0.25">
      <c r="A1464" s="862">
        <v>2182</v>
      </c>
      <c r="B1464" s="863" t="s">
        <v>8522</v>
      </c>
      <c r="C1464" s="862">
        <v>2182</v>
      </c>
      <c r="D1464" s="165" t="s">
        <v>2158</v>
      </c>
      <c r="E1464" s="165" t="s">
        <v>8523</v>
      </c>
      <c r="F1464" s="163">
        <v>1</v>
      </c>
      <c r="G1464" s="864"/>
      <c r="H1464" s="864">
        <v>55113.832146901674</v>
      </c>
      <c r="I1464" s="864">
        <v>56497.760348868564</v>
      </c>
      <c r="J1464" s="864">
        <v>57954.536708315136</v>
      </c>
      <c r="K1464" s="864">
        <v>59487.977081109377</v>
      </c>
      <c r="L1464" s="18" t="s">
        <v>1988</v>
      </c>
      <c r="M1464" s="442"/>
      <c r="N1464" s="433"/>
      <c r="P1464" s="433"/>
      <c r="T1464" s="443"/>
      <c r="U1464" s="440"/>
      <c r="V1464" s="440"/>
      <c r="W1464" s="440"/>
      <c r="X1464" s="442"/>
    </row>
    <row r="1465" spans="1:24" x14ac:dyDescent="0.25">
      <c r="A1465" s="862">
        <v>2183</v>
      </c>
      <c r="B1465" s="863" t="s">
        <v>8524</v>
      </c>
      <c r="C1465" s="862">
        <v>2183</v>
      </c>
      <c r="D1465" s="165" t="s">
        <v>2158</v>
      </c>
      <c r="E1465" s="165" t="s">
        <v>8525</v>
      </c>
      <c r="F1465" s="163">
        <v>1</v>
      </c>
      <c r="G1465" s="864"/>
      <c r="H1465" s="864">
        <v>49616.239489913212</v>
      </c>
      <c r="I1465" s="864">
        <v>50855.912329486229</v>
      </c>
      <c r="J1465" s="864">
        <v>52160.85498341651</v>
      </c>
      <c r="K1465" s="864">
        <v>53534.483042970489</v>
      </c>
      <c r="L1465" s="18" t="s">
        <v>1989</v>
      </c>
      <c r="M1465" s="442"/>
      <c r="N1465" s="433"/>
      <c r="P1465" s="433"/>
      <c r="T1465" s="443"/>
      <c r="U1465" s="440"/>
      <c r="V1465" s="440"/>
      <c r="W1465" s="440"/>
      <c r="X1465" s="442"/>
    </row>
    <row r="1466" spans="1:24" x14ac:dyDescent="0.25">
      <c r="A1466" s="862">
        <v>2184</v>
      </c>
      <c r="B1466" s="863" t="s">
        <v>8526</v>
      </c>
      <c r="C1466" s="862">
        <v>2184</v>
      </c>
      <c r="D1466" s="165" t="s">
        <v>2158</v>
      </c>
      <c r="E1466" s="165" t="s">
        <v>8527</v>
      </c>
      <c r="F1466" s="163">
        <v>1</v>
      </c>
      <c r="G1466" s="864"/>
      <c r="H1466" s="864">
        <v>44025.893403163798</v>
      </c>
      <c r="I1466" s="864">
        <v>45063.165775893023</v>
      </c>
      <c r="J1466" s="864">
        <v>46155.034240271882</v>
      </c>
      <c r="K1466" s="864">
        <v>47304.354017124642</v>
      </c>
      <c r="L1466" s="18" t="s">
        <v>3057</v>
      </c>
      <c r="M1466" s="442"/>
      <c r="N1466" s="433"/>
      <c r="P1466" s="433"/>
      <c r="T1466" s="443"/>
      <c r="U1466" s="440"/>
      <c r="V1466" s="440"/>
      <c r="W1466" s="440"/>
      <c r="X1466" s="442"/>
    </row>
    <row r="1467" spans="1:24" x14ac:dyDescent="0.25">
      <c r="A1467" s="862">
        <v>2185</v>
      </c>
      <c r="B1467" s="863" t="s">
        <v>8528</v>
      </c>
      <c r="C1467" s="862">
        <v>2185</v>
      </c>
      <c r="D1467" s="165" t="s">
        <v>2158</v>
      </c>
      <c r="E1467" s="165" t="s">
        <v>8529</v>
      </c>
      <c r="F1467" s="163">
        <v>1</v>
      </c>
      <c r="G1467" s="864"/>
      <c r="H1467" s="864">
        <v>39148.211330540311</v>
      </c>
      <c r="I1467" s="864">
        <v>0</v>
      </c>
      <c r="J1467" s="864">
        <v>0</v>
      </c>
      <c r="K1467" s="864">
        <v>0</v>
      </c>
      <c r="L1467" s="18" t="s">
        <v>3058</v>
      </c>
      <c r="M1467" s="442"/>
      <c r="N1467" s="433"/>
      <c r="P1467" s="433"/>
      <c r="T1467" s="443"/>
      <c r="U1467" s="440"/>
      <c r="V1467" s="440"/>
      <c r="W1467" s="440"/>
      <c r="X1467" s="442"/>
    </row>
    <row r="1468" spans="1:24" x14ac:dyDescent="0.25">
      <c r="A1468" s="862">
        <v>2186</v>
      </c>
      <c r="B1468" s="863" t="s">
        <v>8530</v>
      </c>
      <c r="C1468" s="862">
        <v>2186</v>
      </c>
      <c r="D1468" s="165" t="s">
        <v>2158</v>
      </c>
      <c r="E1468" s="165" t="s">
        <v>8531</v>
      </c>
      <c r="F1468" s="163">
        <v>1</v>
      </c>
      <c r="G1468" s="864"/>
      <c r="H1468" s="864">
        <v>43329.081678503295</v>
      </c>
      <c r="I1468" s="864">
        <v>44349.035936139378</v>
      </c>
      <c r="J1468" s="864">
        <v>45422.679018994917</v>
      </c>
      <c r="K1468" s="864">
        <v>46552.812779280684</v>
      </c>
      <c r="L1468" s="18" t="s">
        <v>3059</v>
      </c>
      <c r="M1468" s="442"/>
      <c r="N1468" s="433"/>
      <c r="P1468" s="433"/>
      <c r="T1468" s="443"/>
      <c r="U1468" s="440"/>
      <c r="V1468" s="440"/>
      <c r="W1468" s="440"/>
      <c r="X1468" s="442"/>
    </row>
    <row r="1469" spans="1:24" x14ac:dyDescent="0.25">
      <c r="A1469" s="862">
        <v>2187</v>
      </c>
      <c r="B1469" s="863" t="s">
        <v>8532</v>
      </c>
      <c r="C1469" s="862">
        <v>2187</v>
      </c>
      <c r="D1469" s="165" t="s">
        <v>2158</v>
      </c>
      <c r="E1469" s="165" t="s">
        <v>8533</v>
      </c>
      <c r="F1469" s="163">
        <v>1</v>
      </c>
      <c r="G1469" s="864"/>
      <c r="H1469" s="864">
        <v>42632.269953842806</v>
      </c>
      <c r="I1469" s="864">
        <v>43634.906096385712</v>
      </c>
      <c r="J1469" s="864">
        <v>44690.323797717952</v>
      </c>
      <c r="K1469" s="864">
        <v>45801.271541436712</v>
      </c>
      <c r="L1469" s="18" t="s">
        <v>3060</v>
      </c>
      <c r="M1469" s="442"/>
      <c r="N1469" s="433"/>
      <c r="P1469" s="433"/>
      <c r="T1469" s="443"/>
      <c r="U1469" s="440"/>
      <c r="V1469" s="440"/>
      <c r="W1469" s="440"/>
      <c r="X1469" s="442"/>
    </row>
    <row r="1470" spans="1:24" x14ac:dyDescent="0.25">
      <c r="A1470" s="862">
        <v>2188</v>
      </c>
      <c r="B1470" s="863" t="s">
        <v>8534</v>
      </c>
      <c r="C1470" s="862">
        <v>2188</v>
      </c>
      <c r="D1470" s="165" t="s">
        <v>2158</v>
      </c>
      <c r="E1470" s="165" t="s">
        <v>8535</v>
      </c>
      <c r="F1470" s="163">
        <v>1</v>
      </c>
      <c r="G1470" s="864"/>
      <c r="H1470" s="864">
        <v>38451.399605879807</v>
      </c>
      <c r="I1470" s="864">
        <v>39350.12705786377</v>
      </c>
      <c r="J1470" s="864">
        <v>40296.165785749385</v>
      </c>
      <c r="K1470" s="864">
        <v>41291.997430066178</v>
      </c>
      <c r="L1470" s="18" t="s">
        <v>3061</v>
      </c>
      <c r="M1470" s="442"/>
      <c r="N1470" s="433"/>
      <c r="P1470" s="433"/>
      <c r="T1470" s="443"/>
      <c r="U1470" s="440"/>
      <c r="V1470" s="440"/>
      <c r="W1470" s="440"/>
      <c r="X1470" s="442"/>
    </row>
    <row r="1471" spans="1:24" x14ac:dyDescent="0.25">
      <c r="A1471" s="862">
        <v>2189</v>
      </c>
      <c r="B1471" s="863" t="s">
        <v>8536</v>
      </c>
      <c r="C1471" s="862">
        <v>2189</v>
      </c>
      <c r="D1471" s="165" t="s">
        <v>2158</v>
      </c>
      <c r="E1471" s="165" t="s">
        <v>8537</v>
      </c>
      <c r="F1471" s="163">
        <v>1</v>
      </c>
      <c r="G1471" s="864"/>
      <c r="H1471" s="864">
        <v>0</v>
      </c>
      <c r="I1471" s="864">
        <v>0</v>
      </c>
      <c r="J1471" s="864">
        <v>41067.240992689265</v>
      </c>
      <c r="K1471" s="864">
        <v>42030.998100269564</v>
      </c>
      <c r="L1471" s="18" t="s">
        <v>10995</v>
      </c>
      <c r="M1471" s="442"/>
      <c r="N1471" s="433"/>
      <c r="P1471" s="433"/>
      <c r="T1471" s="443"/>
      <c r="U1471" s="440"/>
      <c r="V1471" s="440"/>
      <c r="W1471" s="440"/>
      <c r="X1471" s="442"/>
    </row>
    <row r="1472" spans="1:24" x14ac:dyDescent="0.25">
      <c r="A1472" s="862">
        <v>2190</v>
      </c>
      <c r="B1472" s="863" t="s">
        <v>8538</v>
      </c>
      <c r="C1472" s="862">
        <v>2190</v>
      </c>
      <c r="D1472" s="165" t="s">
        <v>2158</v>
      </c>
      <c r="E1472" s="165" t="s">
        <v>8539</v>
      </c>
      <c r="F1472" s="163">
        <v>1</v>
      </c>
      <c r="G1472" s="864"/>
      <c r="H1472" s="864">
        <v>47275.119699298572</v>
      </c>
      <c r="I1472" s="864">
        <v>48516.126754210047</v>
      </c>
      <c r="J1472" s="864">
        <v>49822.430307785551</v>
      </c>
      <c r="K1472" s="864">
        <v>51197.499319905073</v>
      </c>
      <c r="L1472" s="18" t="s">
        <v>1990</v>
      </c>
      <c r="M1472" s="442"/>
      <c r="N1472" s="433"/>
      <c r="P1472" s="433"/>
      <c r="T1472" s="443"/>
      <c r="U1472" s="440"/>
      <c r="V1472" s="440"/>
      <c r="W1472" s="440"/>
      <c r="X1472" s="442"/>
    </row>
    <row r="1473" spans="1:24" x14ac:dyDescent="0.25">
      <c r="A1473" s="862">
        <v>2191</v>
      </c>
      <c r="B1473" s="863" t="s">
        <v>8540</v>
      </c>
      <c r="C1473" s="862">
        <v>2191</v>
      </c>
      <c r="D1473" s="165" t="s">
        <v>2158</v>
      </c>
      <c r="E1473" s="165" t="s">
        <v>8541</v>
      </c>
      <c r="F1473" s="163">
        <v>1</v>
      </c>
      <c r="G1473" s="864"/>
      <c r="H1473" s="864">
        <v>0</v>
      </c>
      <c r="I1473" s="864">
        <v>0</v>
      </c>
      <c r="J1473" s="864">
        <v>72117.87284021391</v>
      </c>
      <c r="K1473" s="864">
        <v>73853.286730943641</v>
      </c>
      <c r="L1473" s="18" t="s">
        <v>10996</v>
      </c>
      <c r="M1473" s="442"/>
      <c r="N1473" s="433"/>
      <c r="P1473" s="433"/>
      <c r="T1473" s="443"/>
      <c r="U1473" s="440"/>
      <c r="V1473" s="440"/>
      <c r="W1473" s="440"/>
      <c r="X1473" s="442"/>
    </row>
    <row r="1474" spans="1:24" x14ac:dyDescent="0.25">
      <c r="A1474" s="862">
        <v>2192</v>
      </c>
      <c r="B1474" s="863" t="s">
        <v>8542</v>
      </c>
      <c r="C1474" s="862">
        <v>2192</v>
      </c>
      <c r="D1474" s="165" t="s">
        <v>2158</v>
      </c>
      <c r="E1474" s="165" t="s">
        <v>8543</v>
      </c>
      <c r="F1474" s="163">
        <v>1</v>
      </c>
      <c r="G1474" s="864"/>
      <c r="H1474" s="864">
        <v>56894.180874605365</v>
      </c>
      <c r="I1474" s="864">
        <v>58437.227597836521</v>
      </c>
      <c r="J1474" s="864">
        <v>60061.501350872844</v>
      </c>
      <c r="K1474" s="864">
        <v>61771.271622797409</v>
      </c>
      <c r="L1474" s="18" t="s">
        <v>1991</v>
      </c>
      <c r="M1474" s="442"/>
      <c r="N1474" s="433"/>
      <c r="P1474" s="433"/>
      <c r="T1474" s="443"/>
      <c r="U1474" s="440"/>
      <c r="V1474" s="440"/>
      <c r="W1474" s="440"/>
      <c r="X1474" s="442"/>
    </row>
    <row r="1475" spans="1:24" x14ac:dyDescent="0.25">
      <c r="A1475" s="862">
        <v>2193</v>
      </c>
      <c r="B1475" s="863" t="s">
        <v>8544</v>
      </c>
      <c r="C1475" s="862">
        <v>2193</v>
      </c>
      <c r="D1475" s="165" t="s">
        <v>2158</v>
      </c>
      <c r="E1475" s="165" t="s">
        <v>8545</v>
      </c>
      <c r="F1475" s="163">
        <v>1</v>
      </c>
      <c r="G1475" s="864"/>
      <c r="H1475" s="864">
        <v>0</v>
      </c>
      <c r="I1475" s="864">
        <v>0</v>
      </c>
      <c r="J1475" s="864">
        <v>77100.893134682061</v>
      </c>
      <c r="K1475" s="864">
        <v>78960.12220882051</v>
      </c>
      <c r="L1475" s="18" t="s">
        <v>10997</v>
      </c>
      <c r="M1475" s="442"/>
      <c r="N1475" s="433"/>
      <c r="P1475" s="433"/>
      <c r="T1475" s="443"/>
      <c r="U1475" s="440"/>
      <c r="V1475" s="440"/>
      <c r="W1475" s="440"/>
      <c r="X1475" s="442"/>
    </row>
    <row r="1476" spans="1:24" x14ac:dyDescent="0.25">
      <c r="A1476" s="862">
        <v>2194</v>
      </c>
      <c r="B1476" s="863" t="s">
        <v>8546</v>
      </c>
      <c r="C1476" s="862">
        <v>2194</v>
      </c>
      <c r="D1476" s="165" t="s">
        <v>2158</v>
      </c>
      <c r="E1476" s="165" t="s">
        <v>8547</v>
      </c>
      <c r="F1476" s="163">
        <v>1</v>
      </c>
      <c r="G1476" s="864"/>
      <c r="H1476" s="864">
        <v>56315.355196465665</v>
      </c>
      <c r="I1476" s="864">
        <v>57842.071123954105</v>
      </c>
      <c r="J1476" s="864">
        <v>59449.133499124357</v>
      </c>
      <c r="K1476" s="864">
        <v>61140.758442445942</v>
      </c>
      <c r="L1476" s="18" t="s">
        <v>1992</v>
      </c>
      <c r="M1476" s="442"/>
      <c r="N1476" s="433"/>
      <c r="P1476" s="433"/>
      <c r="T1476" s="443"/>
      <c r="U1476" s="440"/>
      <c r="V1476" s="440"/>
      <c r="W1476" s="440"/>
      <c r="X1476" s="442"/>
    </row>
    <row r="1477" spans="1:24" x14ac:dyDescent="0.25">
      <c r="A1477" s="862">
        <v>2195</v>
      </c>
      <c r="B1477" s="863" t="s">
        <v>8548</v>
      </c>
      <c r="C1477" s="862">
        <v>2195</v>
      </c>
      <c r="D1477" s="165" t="s">
        <v>2158</v>
      </c>
      <c r="E1477" s="165" t="s">
        <v>8549</v>
      </c>
      <c r="F1477" s="163">
        <v>1</v>
      </c>
      <c r="G1477" s="864"/>
      <c r="H1477" s="864">
        <v>0</v>
      </c>
      <c r="I1477" s="864">
        <v>111947.28832877355</v>
      </c>
      <c r="J1477" s="864">
        <v>114672.50321049025</v>
      </c>
      <c r="K1477" s="864">
        <v>0</v>
      </c>
      <c r="L1477" s="18" t="s">
        <v>3968</v>
      </c>
      <c r="M1477" s="442"/>
      <c r="N1477" s="433"/>
      <c r="P1477" s="433"/>
      <c r="T1477" s="443"/>
      <c r="U1477" s="440"/>
      <c r="V1477" s="440"/>
      <c r="W1477" s="440"/>
      <c r="X1477" s="442"/>
    </row>
    <row r="1478" spans="1:24" x14ac:dyDescent="0.25">
      <c r="A1478" s="862">
        <v>2196</v>
      </c>
      <c r="B1478" s="863" t="s">
        <v>8550</v>
      </c>
      <c r="C1478" s="862">
        <v>2196</v>
      </c>
      <c r="D1478" s="165" t="s">
        <v>4466</v>
      </c>
      <c r="E1478" s="165" t="s">
        <v>8551</v>
      </c>
      <c r="F1478" s="163">
        <v>1</v>
      </c>
      <c r="G1478" s="864"/>
      <c r="H1478" s="864">
        <v>0</v>
      </c>
      <c r="I1478" s="864">
        <v>0</v>
      </c>
      <c r="J1478" s="864">
        <v>62969.895488018614</v>
      </c>
      <c r="K1478" s="864">
        <v>64566.793031753121</v>
      </c>
      <c r="L1478" s="18" t="s">
        <v>4692</v>
      </c>
      <c r="M1478" s="442"/>
      <c r="N1478" s="433"/>
      <c r="P1478" s="433"/>
      <c r="T1478" s="443"/>
      <c r="U1478" s="440"/>
      <c r="V1478" s="440"/>
      <c r="W1478" s="440"/>
      <c r="X1478" s="442"/>
    </row>
    <row r="1479" spans="1:24" x14ac:dyDescent="0.25">
      <c r="A1479" s="862">
        <v>2197</v>
      </c>
      <c r="B1479" s="863" t="s">
        <v>8552</v>
      </c>
      <c r="C1479" s="862">
        <v>2197</v>
      </c>
      <c r="D1479" s="165" t="s">
        <v>4467</v>
      </c>
      <c r="E1479" s="165" t="s">
        <v>8553</v>
      </c>
      <c r="F1479" s="163">
        <v>2</v>
      </c>
      <c r="G1479" s="864"/>
      <c r="H1479" s="864">
        <v>0</v>
      </c>
      <c r="I1479" s="864">
        <v>0</v>
      </c>
      <c r="J1479" s="864">
        <v>20241.487362999171</v>
      </c>
      <c r="K1479" s="864">
        <v>0</v>
      </c>
      <c r="L1479" s="18" t="s">
        <v>4693</v>
      </c>
      <c r="M1479" s="442"/>
      <c r="N1479" s="433"/>
      <c r="P1479" s="433"/>
      <c r="T1479" s="443"/>
      <c r="U1479" s="440"/>
      <c r="V1479" s="440"/>
      <c r="W1479" s="440"/>
      <c r="X1479" s="442"/>
    </row>
    <row r="1480" spans="1:24" x14ac:dyDescent="0.25">
      <c r="A1480" s="862">
        <v>2198</v>
      </c>
      <c r="B1480" s="863" t="s">
        <v>8554</v>
      </c>
      <c r="C1480" s="862">
        <v>2198</v>
      </c>
      <c r="D1480" s="165" t="s">
        <v>4467</v>
      </c>
      <c r="E1480" s="165" t="s">
        <v>8555</v>
      </c>
      <c r="F1480" s="163">
        <v>1</v>
      </c>
      <c r="G1480" s="864"/>
      <c r="H1480" s="864">
        <v>0</v>
      </c>
      <c r="I1480" s="864">
        <v>0</v>
      </c>
      <c r="J1480" s="864">
        <v>22036.16920605399</v>
      </c>
      <c r="K1480" s="864">
        <v>22901.24810901489</v>
      </c>
      <c r="L1480" s="18" t="s">
        <v>4694</v>
      </c>
      <c r="M1480" s="442"/>
      <c r="N1480" s="433"/>
      <c r="P1480" s="433"/>
      <c r="T1480" s="443"/>
      <c r="U1480" s="440"/>
      <c r="V1480" s="440"/>
      <c r="W1480" s="440"/>
      <c r="X1480" s="442"/>
    </row>
    <row r="1481" spans="1:24" x14ac:dyDescent="0.25">
      <c r="A1481" s="862">
        <v>2199</v>
      </c>
      <c r="B1481" s="863" t="s">
        <v>8556</v>
      </c>
      <c r="C1481" s="862">
        <v>2199</v>
      </c>
      <c r="D1481" s="165" t="s">
        <v>4467</v>
      </c>
      <c r="E1481" s="165" t="s">
        <v>8557</v>
      </c>
      <c r="F1481" s="163">
        <v>1</v>
      </c>
      <c r="G1481" s="864"/>
      <c r="H1481" s="864">
        <v>0</v>
      </c>
      <c r="I1481" s="864">
        <v>0</v>
      </c>
      <c r="J1481" s="864">
        <v>24854.880750641008</v>
      </c>
      <c r="K1481" s="864">
        <v>25853.111966228556</v>
      </c>
      <c r="L1481" s="18" t="s">
        <v>4695</v>
      </c>
      <c r="M1481" s="442"/>
      <c r="N1481" s="433"/>
      <c r="P1481" s="433"/>
      <c r="T1481" s="443"/>
      <c r="U1481" s="440"/>
      <c r="V1481" s="440"/>
      <c r="W1481" s="440"/>
      <c r="X1481" s="442"/>
    </row>
    <row r="1482" spans="1:24" x14ac:dyDescent="0.25">
      <c r="A1482" s="862">
        <v>2200</v>
      </c>
      <c r="B1482" s="863" t="s">
        <v>8558</v>
      </c>
      <c r="C1482" s="862">
        <v>2200</v>
      </c>
      <c r="D1482" s="165" t="s">
        <v>2159</v>
      </c>
      <c r="E1482" s="165" t="s">
        <v>8559</v>
      </c>
      <c r="F1482" s="163">
        <v>1</v>
      </c>
      <c r="G1482" s="864"/>
      <c r="H1482" s="864">
        <v>0</v>
      </c>
      <c r="I1482" s="864">
        <v>0</v>
      </c>
      <c r="J1482" s="864">
        <v>24744.329914421513</v>
      </c>
      <c r="K1482" s="864">
        <v>25507.304888431219</v>
      </c>
      <c r="L1482" s="18" t="s">
        <v>4696</v>
      </c>
      <c r="M1482" s="442"/>
      <c r="N1482" s="433"/>
      <c r="P1482" s="433"/>
      <c r="T1482" s="443"/>
      <c r="U1482" s="440"/>
      <c r="V1482" s="440"/>
      <c r="W1482" s="440"/>
      <c r="X1482" s="442"/>
    </row>
    <row r="1483" spans="1:24" x14ac:dyDescent="0.25">
      <c r="A1483" s="862">
        <v>2201</v>
      </c>
      <c r="B1483" s="863" t="s">
        <v>8560</v>
      </c>
      <c r="C1483" s="862">
        <v>2201</v>
      </c>
      <c r="D1483" s="165" t="s">
        <v>2159</v>
      </c>
      <c r="E1483" s="165" t="s">
        <v>8561</v>
      </c>
      <c r="F1483" s="163">
        <v>1</v>
      </c>
      <c r="G1483" s="864"/>
      <c r="H1483" s="864">
        <v>0</v>
      </c>
      <c r="I1483" s="864">
        <v>0</v>
      </c>
      <c r="J1483" s="864">
        <v>21790.071326377856</v>
      </c>
      <c r="K1483" s="864">
        <v>22452.655817812578</v>
      </c>
      <c r="L1483" s="18" t="s">
        <v>4697</v>
      </c>
      <c r="M1483" s="442"/>
      <c r="N1483" s="433"/>
      <c r="P1483" s="433"/>
      <c r="T1483" s="443"/>
      <c r="U1483" s="440"/>
      <c r="V1483" s="440"/>
      <c r="W1483" s="440"/>
      <c r="X1483" s="442"/>
    </row>
    <row r="1484" spans="1:24" x14ac:dyDescent="0.25">
      <c r="A1484" s="862">
        <v>2202</v>
      </c>
      <c r="B1484" s="863" t="s">
        <v>8562</v>
      </c>
      <c r="C1484" s="862">
        <v>2202</v>
      </c>
      <c r="D1484" s="165" t="s">
        <v>2159</v>
      </c>
      <c r="E1484" s="165" t="s">
        <v>8563</v>
      </c>
      <c r="F1484" s="163">
        <v>1</v>
      </c>
      <c r="G1484" s="864"/>
      <c r="H1484" s="864">
        <v>0</v>
      </c>
      <c r="I1484" s="864">
        <v>0</v>
      </c>
      <c r="J1484" s="864">
        <v>18581.135273847682</v>
      </c>
      <c r="K1484" s="864">
        <v>19134.707683767199</v>
      </c>
      <c r="L1484" s="18" t="s">
        <v>4698</v>
      </c>
      <c r="M1484" s="442"/>
      <c r="N1484" s="433"/>
      <c r="P1484" s="433"/>
      <c r="T1484" s="443"/>
      <c r="U1484" s="440"/>
      <c r="V1484" s="440"/>
      <c r="W1484" s="440"/>
      <c r="X1484" s="442"/>
    </row>
    <row r="1485" spans="1:24" x14ac:dyDescent="0.25">
      <c r="A1485" s="862">
        <v>2203</v>
      </c>
      <c r="B1485" s="863" t="s">
        <v>8564</v>
      </c>
      <c r="C1485" s="862">
        <v>2203</v>
      </c>
      <c r="D1485" s="165" t="s">
        <v>2159</v>
      </c>
      <c r="E1485" s="165" t="s">
        <v>8565</v>
      </c>
      <c r="F1485" s="163">
        <v>1</v>
      </c>
      <c r="G1485" s="864"/>
      <c r="H1485" s="864">
        <v>0</v>
      </c>
      <c r="I1485" s="864">
        <v>21790.071326377856</v>
      </c>
      <c r="J1485" s="864">
        <v>22452.655817812578</v>
      </c>
      <c r="K1485" s="864">
        <v>23150.092026997125</v>
      </c>
      <c r="L1485" s="18" t="s">
        <v>3969</v>
      </c>
      <c r="M1485" s="442"/>
      <c r="N1485" s="433"/>
      <c r="P1485" s="433"/>
      <c r="T1485" s="443"/>
      <c r="U1485" s="440"/>
      <c r="V1485" s="440"/>
      <c r="W1485" s="440"/>
      <c r="X1485" s="442"/>
    </row>
    <row r="1486" spans="1:24" x14ac:dyDescent="0.25">
      <c r="A1486" s="862">
        <v>2204</v>
      </c>
      <c r="B1486" s="863" t="s">
        <v>8566</v>
      </c>
      <c r="C1486" s="862">
        <v>2204</v>
      </c>
      <c r="D1486" s="165" t="s">
        <v>2159</v>
      </c>
      <c r="E1486" s="165" t="s">
        <v>8567</v>
      </c>
      <c r="F1486" s="163">
        <v>1</v>
      </c>
      <c r="G1486" s="864"/>
      <c r="H1486" s="864">
        <v>0</v>
      </c>
      <c r="I1486" s="864">
        <v>0</v>
      </c>
      <c r="J1486" s="864">
        <v>20160.13555366412</v>
      </c>
      <c r="K1486" s="864">
        <v>20767.337231567657</v>
      </c>
      <c r="L1486" s="18" t="s">
        <v>4699</v>
      </c>
      <c r="M1486" s="442"/>
      <c r="N1486" s="433"/>
      <c r="P1486" s="433"/>
      <c r="T1486" s="443"/>
      <c r="U1486" s="440"/>
      <c r="V1486" s="440"/>
      <c r="W1486" s="440"/>
      <c r="X1486" s="442"/>
    </row>
    <row r="1487" spans="1:24" x14ac:dyDescent="0.25">
      <c r="A1487" s="862">
        <v>2205</v>
      </c>
      <c r="B1487" s="863" t="s">
        <v>8568</v>
      </c>
      <c r="C1487" s="862">
        <v>2205</v>
      </c>
      <c r="D1487" s="165" t="s">
        <v>2159</v>
      </c>
      <c r="E1487" s="165" t="s">
        <v>8569</v>
      </c>
      <c r="F1487" s="163">
        <v>1</v>
      </c>
      <c r="G1487" s="864"/>
      <c r="H1487" s="864">
        <v>18731.221856938821</v>
      </c>
      <c r="I1487" s="864">
        <v>0</v>
      </c>
      <c r="J1487" s="864">
        <v>0</v>
      </c>
      <c r="K1487" s="864">
        <v>0</v>
      </c>
      <c r="L1487" s="18" t="s">
        <v>1993</v>
      </c>
      <c r="M1487" s="442"/>
      <c r="N1487" s="433"/>
      <c r="P1487" s="433"/>
      <c r="T1487" s="443"/>
      <c r="U1487" s="440"/>
      <c r="V1487" s="440"/>
      <c r="W1487" s="440"/>
      <c r="X1487" s="442"/>
    </row>
    <row r="1488" spans="1:24" x14ac:dyDescent="0.25">
      <c r="A1488" s="862">
        <v>2206</v>
      </c>
      <c r="B1488" s="863" t="s">
        <v>8570</v>
      </c>
      <c r="C1488" s="862">
        <v>2206</v>
      </c>
      <c r="D1488" s="165" t="s">
        <v>2159</v>
      </c>
      <c r="E1488" s="165" t="s">
        <v>8571</v>
      </c>
      <c r="F1488" s="163">
        <v>1</v>
      </c>
      <c r="G1488" s="864"/>
      <c r="H1488" s="864">
        <v>17086.739988233268</v>
      </c>
      <c r="I1488" s="864">
        <v>0</v>
      </c>
      <c r="J1488" s="864">
        <v>0</v>
      </c>
      <c r="K1488" s="864">
        <v>0</v>
      </c>
      <c r="L1488" s="18" t="s">
        <v>1994</v>
      </c>
      <c r="M1488" s="442"/>
      <c r="N1488" s="433"/>
      <c r="P1488" s="433"/>
      <c r="T1488" s="443"/>
      <c r="U1488" s="440"/>
      <c r="V1488" s="440"/>
      <c r="W1488" s="440"/>
      <c r="X1488" s="442"/>
    </row>
    <row r="1489" spans="1:24" x14ac:dyDescent="0.25">
      <c r="A1489" s="862">
        <v>2207</v>
      </c>
      <c r="B1489" s="863" t="s">
        <v>8572</v>
      </c>
      <c r="C1489" s="862">
        <v>2207</v>
      </c>
      <c r="D1489" s="165" t="s">
        <v>2159</v>
      </c>
      <c r="E1489" s="165" t="s">
        <v>8573</v>
      </c>
      <c r="F1489" s="163">
        <v>1</v>
      </c>
      <c r="G1489" s="864"/>
      <c r="H1489" s="864">
        <v>20734.088293773486</v>
      </c>
      <c r="I1489" s="864">
        <v>0</v>
      </c>
      <c r="J1489" s="864">
        <v>0</v>
      </c>
      <c r="K1489" s="864">
        <v>0</v>
      </c>
      <c r="L1489" s="18" t="s">
        <v>1995</v>
      </c>
      <c r="M1489" s="442"/>
      <c r="N1489" s="433"/>
      <c r="P1489" s="433"/>
      <c r="T1489" s="443"/>
      <c r="U1489" s="440"/>
      <c r="V1489" s="440"/>
      <c r="W1489" s="440"/>
      <c r="X1489" s="442"/>
    </row>
    <row r="1490" spans="1:24" x14ac:dyDescent="0.25">
      <c r="A1490" s="862">
        <v>2208</v>
      </c>
      <c r="B1490" s="863" t="s">
        <v>8574</v>
      </c>
      <c r="C1490" s="862">
        <v>2208</v>
      </c>
      <c r="D1490" s="165" t="s">
        <v>2159</v>
      </c>
      <c r="E1490" s="165" t="s">
        <v>8575</v>
      </c>
      <c r="F1490" s="163">
        <v>1</v>
      </c>
      <c r="G1490" s="864"/>
      <c r="H1490" s="864">
        <v>22804.200763791065</v>
      </c>
      <c r="I1490" s="864">
        <v>0</v>
      </c>
      <c r="J1490" s="864">
        <v>0</v>
      </c>
      <c r="K1490" s="864">
        <v>0</v>
      </c>
      <c r="L1490" s="18" t="s">
        <v>1996</v>
      </c>
      <c r="M1490" s="442"/>
      <c r="N1490" s="433"/>
      <c r="P1490" s="433"/>
      <c r="T1490" s="443"/>
      <c r="U1490" s="440"/>
      <c r="V1490" s="440"/>
      <c r="W1490" s="440"/>
      <c r="X1490" s="442"/>
    </row>
    <row r="1491" spans="1:24" x14ac:dyDescent="0.25">
      <c r="A1491" s="862">
        <v>2209</v>
      </c>
      <c r="B1491" s="863" t="s">
        <v>8576</v>
      </c>
      <c r="C1491" s="862">
        <v>2209</v>
      </c>
      <c r="D1491" s="165" t="s">
        <v>2159</v>
      </c>
      <c r="E1491" s="165" t="s">
        <v>8577</v>
      </c>
      <c r="F1491" s="163">
        <v>1</v>
      </c>
      <c r="G1491" s="864"/>
      <c r="H1491" s="864">
        <v>0</v>
      </c>
      <c r="I1491" s="864">
        <v>25505.262181673381</v>
      </c>
      <c r="J1491" s="864">
        <v>26245.573024433841</v>
      </c>
      <c r="K1491" s="864">
        <v>27024.882331234683</v>
      </c>
      <c r="L1491" s="18" t="s">
        <v>10998</v>
      </c>
      <c r="M1491" s="442"/>
      <c r="N1491" s="433"/>
      <c r="P1491" s="433"/>
      <c r="T1491" s="443"/>
      <c r="U1491" s="440"/>
      <c r="V1491" s="440"/>
      <c r="W1491" s="440"/>
      <c r="X1491" s="442"/>
    </row>
    <row r="1492" spans="1:24" x14ac:dyDescent="0.25">
      <c r="A1492" s="862">
        <v>2210</v>
      </c>
      <c r="B1492" s="863" t="s">
        <v>8578</v>
      </c>
      <c r="C1492" s="862">
        <v>2210</v>
      </c>
      <c r="D1492" s="165" t="s">
        <v>2159</v>
      </c>
      <c r="E1492" s="165" t="s">
        <v>8579</v>
      </c>
      <c r="F1492" s="163">
        <v>1</v>
      </c>
      <c r="G1492" s="864"/>
      <c r="H1492" s="864">
        <v>25266.473900082641</v>
      </c>
      <c r="I1492" s="864">
        <v>26071.222204965208</v>
      </c>
      <c r="J1492" s="864">
        <v>26918.328841559338</v>
      </c>
      <c r="K1492" s="864">
        <v>27810.013722433469</v>
      </c>
      <c r="L1492" s="18" t="s">
        <v>1997</v>
      </c>
      <c r="M1492" s="442"/>
      <c r="N1492" s="433"/>
      <c r="P1492" s="433"/>
      <c r="T1492" s="443"/>
      <c r="U1492" s="440"/>
      <c r="V1492" s="440"/>
      <c r="W1492" s="440"/>
      <c r="X1492" s="442"/>
    </row>
    <row r="1493" spans="1:24" x14ac:dyDescent="0.25">
      <c r="A1493" s="862">
        <v>2211</v>
      </c>
      <c r="B1493" s="863" t="s">
        <v>8580</v>
      </c>
      <c r="C1493" s="862">
        <v>2211</v>
      </c>
      <c r="D1493" s="165" t="s">
        <v>2159</v>
      </c>
      <c r="E1493" s="165" t="s">
        <v>8581</v>
      </c>
      <c r="F1493" s="163">
        <v>1</v>
      </c>
      <c r="G1493" s="864"/>
      <c r="H1493" s="864">
        <v>25633.276275812441</v>
      </c>
      <c r="I1493" s="864">
        <v>0</v>
      </c>
      <c r="J1493" s="864">
        <v>0</v>
      </c>
      <c r="K1493" s="864">
        <v>28217.554493676234</v>
      </c>
      <c r="L1493" s="18" t="s">
        <v>1998</v>
      </c>
      <c r="M1493" s="442"/>
      <c r="N1493" s="433"/>
      <c r="P1493" s="433"/>
      <c r="T1493" s="443"/>
      <c r="U1493" s="440"/>
      <c r="V1493" s="440"/>
      <c r="W1493" s="440"/>
      <c r="X1493" s="442"/>
    </row>
    <row r="1494" spans="1:24" x14ac:dyDescent="0.25">
      <c r="A1494" s="862">
        <v>2212</v>
      </c>
      <c r="B1494" s="863" t="s">
        <v>8582</v>
      </c>
      <c r="C1494" s="862">
        <v>2212</v>
      </c>
      <c r="D1494" s="165" t="s">
        <v>2159</v>
      </c>
      <c r="E1494" s="165" t="s">
        <v>8583</v>
      </c>
      <c r="F1494" s="163">
        <v>1</v>
      </c>
      <c r="G1494" s="864"/>
      <c r="H1494" s="864">
        <v>20654.66119957724</v>
      </c>
      <c r="I1494" s="864">
        <v>21297.355886962763</v>
      </c>
      <c r="J1494" s="864">
        <v>21973.889241607954</v>
      </c>
      <c r="K1494" s="864">
        <v>22686.03119380385</v>
      </c>
      <c r="L1494" s="18" t="s">
        <v>1999</v>
      </c>
      <c r="M1494" s="442"/>
      <c r="N1494" s="433"/>
      <c r="P1494" s="433"/>
      <c r="T1494" s="443"/>
      <c r="U1494" s="440"/>
      <c r="V1494" s="440"/>
      <c r="W1494" s="440"/>
      <c r="X1494" s="442"/>
    </row>
    <row r="1495" spans="1:24" x14ac:dyDescent="0.25">
      <c r="A1495" s="862">
        <v>2213</v>
      </c>
      <c r="B1495" s="863" t="s">
        <v>8584</v>
      </c>
      <c r="C1495" s="862">
        <v>2213</v>
      </c>
      <c r="D1495" s="165" t="s">
        <v>2159</v>
      </c>
      <c r="E1495" s="165" t="s">
        <v>8585</v>
      </c>
      <c r="F1495" s="163">
        <v>1</v>
      </c>
      <c r="G1495" s="864"/>
      <c r="H1495" s="864">
        <v>23012.963603674409</v>
      </c>
      <c r="I1495" s="864">
        <v>23738.515027736514</v>
      </c>
      <c r="J1495" s="864">
        <v>24502.254947739693</v>
      </c>
      <c r="K1495" s="864">
        <v>25306.193284522957</v>
      </c>
      <c r="L1495" s="18" t="s">
        <v>2000</v>
      </c>
      <c r="M1495" s="442"/>
      <c r="N1495" s="433"/>
      <c r="P1495" s="433"/>
      <c r="T1495" s="443"/>
      <c r="U1495" s="440"/>
      <c r="V1495" s="440"/>
      <c r="W1495" s="440"/>
      <c r="X1495" s="442"/>
    </row>
    <row r="1496" spans="1:24" x14ac:dyDescent="0.25">
      <c r="A1496" s="862">
        <v>2214</v>
      </c>
      <c r="B1496" s="863" t="s">
        <v>8586</v>
      </c>
      <c r="C1496" s="862">
        <v>2214</v>
      </c>
      <c r="D1496" s="165" t="s">
        <v>2159</v>
      </c>
      <c r="E1496" s="165" t="s">
        <v>8587</v>
      </c>
      <c r="F1496" s="163">
        <v>1</v>
      </c>
      <c r="G1496" s="864"/>
      <c r="H1496" s="864">
        <v>10712.066367213623</v>
      </c>
      <c r="I1496" s="864">
        <v>10977.018498947111</v>
      </c>
      <c r="J1496" s="864">
        <v>11255.943525225652</v>
      </c>
      <c r="K1496" s="864">
        <v>11549.52232862241</v>
      </c>
      <c r="L1496" s="18" t="s">
        <v>3970</v>
      </c>
      <c r="M1496" s="442"/>
      <c r="N1496" s="433"/>
      <c r="P1496" s="433"/>
      <c r="T1496" s="443"/>
      <c r="U1496" s="440"/>
      <c r="V1496" s="440"/>
      <c r="W1496" s="440"/>
      <c r="X1496" s="442"/>
    </row>
    <row r="1497" spans="1:24" x14ac:dyDescent="0.25">
      <c r="A1497" s="862">
        <v>2215</v>
      </c>
      <c r="B1497" s="863" t="s">
        <v>8588</v>
      </c>
      <c r="C1497" s="862">
        <v>2215</v>
      </c>
      <c r="D1497" s="165" t="s">
        <v>2159</v>
      </c>
      <c r="E1497" s="165" t="s">
        <v>8589</v>
      </c>
      <c r="F1497" s="163">
        <v>1</v>
      </c>
      <c r="G1497" s="864"/>
      <c r="H1497" s="864">
        <v>10199.318027491814</v>
      </c>
      <c r="I1497" s="864">
        <v>10453.257623694037</v>
      </c>
      <c r="J1497" s="864">
        <v>10720.578042638548</v>
      </c>
      <c r="K1497" s="864">
        <v>11169.694108619415</v>
      </c>
      <c r="L1497" s="18" t="s">
        <v>3062</v>
      </c>
      <c r="M1497" s="442"/>
      <c r="N1497" s="433"/>
      <c r="P1497" s="433"/>
      <c r="T1497" s="443"/>
      <c r="U1497" s="440"/>
      <c r="V1497" s="440"/>
      <c r="W1497" s="440"/>
      <c r="X1497" s="442"/>
    </row>
    <row r="1498" spans="1:24" x14ac:dyDescent="0.25">
      <c r="A1498" s="862">
        <v>2216</v>
      </c>
      <c r="B1498" s="863" t="s">
        <v>8590</v>
      </c>
      <c r="C1498" s="862">
        <v>2216</v>
      </c>
      <c r="D1498" s="165" t="s">
        <v>2159</v>
      </c>
      <c r="E1498" s="165" t="s">
        <v>8591</v>
      </c>
      <c r="F1498" s="163">
        <v>1</v>
      </c>
      <c r="G1498" s="864"/>
      <c r="H1498" s="864">
        <v>11571.216611969136</v>
      </c>
      <c r="I1498" s="864">
        <v>11869.176746706295</v>
      </c>
      <c r="J1498" s="864">
        <v>12182.856387806634</v>
      </c>
      <c r="K1498" s="864">
        <v>12513.02522861374</v>
      </c>
      <c r="L1498" s="18" t="s">
        <v>3063</v>
      </c>
      <c r="M1498" s="442"/>
      <c r="N1498" s="433"/>
      <c r="P1498" s="433"/>
      <c r="T1498" s="443"/>
      <c r="U1498" s="440"/>
      <c r="V1498" s="440"/>
      <c r="W1498" s="440"/>
      <c r="X1498" s="442"/>
    </row>
    <row r="1499" spans="1:24" x14ac:dyDescent="0.25">
      <c r="A1499" s="862">
        <v>2217</v>
      </c>
      <c r="B1499" s="863" t="s">
        <v>8592</v>
      </c>
      <c r="C1499" s="862">
        <v>2217</v>
      </c>
      <c r="D1499" s="165" t="s">
        <v>2159</v>
      </c>
      <c r="E1499" s="165" t="s">
        <v>8593</v>
      </c>
      <c r="F1499" s="163">
        <v>1</v>
      </c>
      <c r="G1499" s="864"/>
      <c r="H1499" s="864">
        <v>11081.87698948041</v>
      </c>
      <c r="I1499" s="864">
        <v>11364.147221444524</v>
      </c>
      <c r="J1499" s="864">
        <v>11661.278455657823</v>
      </c>
      <c r="K1499" s="864">
        <v>11974.040385463893</v>
      </c>
      <c r="L1499" s="18" t="s">
        <v>3064</v>
      </c>
      <c r="M1499" s="442"/>
      <c r="N1499" s="433"/>
      <c r="P1499" s="433"/>
      <c r="T1499" s="443"/>
      <c r="U1499" s="440"/>
      <c r="V1499" s="440"/>
      <c r="W1499" s="440"/>
      <c r="X1499" s="442"/>
    </row>
    <row r="1500" spans="1:24" x14ac:dyDescent="0.25">
      <c r="A1500" s="862">
        <v>2218</v>
      </c>
      <c r="B1500" s="863" t="s">
        <v>8594</v>
      </c>
      <c r="C1500" s="862">
        <v>2218</v>
      </c>
      <c r="D1500" s="165" t="s">
        <v>2159</v>
      </c>
      <c r="E1500" s="165" t="s">
        <v>8595</v>
      </c>
      <c r="F1500" s="163">
        <v>1</v>
      </c>
      <c r="G1500" s="864"/>
      <c r="H1500" s="864">
        <v>0</v>
      </c>
      <c r="I1500" s="864">
        <v>0</v>
      </c>
      <c r="J1500" s="864">
        <v>0</v>
      </c>
      <c r="K1500" s="864">
        <v>14079.082177223858</v>
      </c>
      <c r="L1500" s="18" t="s">
        <v>10999</v>
      </c>
      <c r="M1500" s="442"/>
      <c r="N1500" s="433"/>
      <c r="P1500" s="433"/>
      <c r="T1500" s="443"/>
      <c r="U1500" s="440"/>
      <c r="V1500" s="440"/>
      <c r="W1500" s="440"/>
      <c r="X1500" s="442"/>
    </row>
    <row r="1501" spans="1:24" x14ac:dyDescent="0.25">
      <c r="A1501" s="862">
        <v>2219</v>
      </c>
      <c r="B1501" s="863" t="s">
        <v>8596</v>
      </c>
      <c r="C1501" s="862">
        <v>2219</v>
      </c>
      <c r="D1501" s="165" t="s">
        <v>2159</v>
      </c>
      <c r="E1501" s="165" t="s">
        <v>8597</v>
      </c>
      <c r="F1501" s="163">
        <v>1</v>
      </c>
      <c r="G1501" s="864"/>
      <c r="H1501" s="864">
        <v>0</v>
      </c>
      <c r="I1501" s="864">
        <v>0</v>
      </c>
      <c r="J1501" s="864">
        <v>13511.098686835157</v>
      </c>
      <c r="K1501" s="864">
        <v>13893.162621153859</v>
      </c>
      <c r="L1501" s="18" t="s">
        <v>4700</v>
      </c>
      <c r="M1501" s="442"/>
      <c r="N1501" s="433"/>
      <c r="P1501" s="433"/>
      <c r="T1501" s="443"/>
      <c r="U1501" s="440"/>
      <c r="V1501" s="440"/>
      <c r="W1501" s="440"/>
      <c r="X1501" s="442"/>
    </row>
    <row r="1502" spans="1:24" x14ac:dyDescent="0.25">
      <c r="A1502" s="862">
        <v>2220</v>
      </c>
      <c r="B1502" s="863" t="s">
        <v>8598</v>
      </c>
      <c r="C1502" s="862">
        <v>2220</v>
      </c>
      <c r="D1502" s="165" t="s">
        <v>2159</v>
      </c>
      <c r="E1502" s="165" t="s">
        <v>8599</v>
      </c>
      <c r="F1502" s="163">
        <v>1</v>
      </c>
      <c r="G1502" s="864"/>
      <c r="H1502" s="864">
        <v>12111.207332967175</v>
      </c>
      <c r="I1502" s="864">
        <v>12463.16441611572</v>
      </c>
      <c r="J1502" s="864">
        <v>12833.653346690531</v>
      </c>
      <c r="K1502" s="864">
        <v>13223.651043166175</v>
      </c>
      <c r="L1502" s="18" t="s">
        <v>2001</v>
      </c>
      <c r="M1502" s="442"/>
      <c r="N1502" s="433"/>
      <c r="P1502" s="433"/>
      <c r="T1502" s="443"/>
      <c r="U1502" s="440"/>
      <c r="V1502" s="440"/>
      <c r="W1502" s="440"/>
      <c r="X1502" s="442"/>
    </row>
    <row r="1503" spans="1:24" x14ac:dyDescent="0.25">
      <c r="A1503" s="862">
        <v>2221</v>
      </c>
      <c r="B1503" s="863" t="s">
        <v>8600</v>
      </c>
      <c r="C1503" s="862">
        <v>2221</v>
      </c>
      <c r="D1503" s="165" t="s">
        <v>2159</v>
      </c>
      <c r="E1503" s="165" t="s">
        <v>8601</v>
      </c>
      <c r="F1503" s="163">
        <v>1</v>
      </c>
      <c r="G1503" s="864"/>
      <c r="H1503" s="864">
        <v>11475.859586125544</v>
      </c>
      <c r="I1503" s="864">
        <v>11805.051508458102</v>
      </c>
      <c r="J1503" s="864">
        <v>12151.591134611423</v>
      </c>
      <c r="K1503" s="864">
        <v>12516.366572289637</v>
      </c>
      <c r="L1503" s="18" t="s">
        <v>2002</v>
      </c>
      <c r="M1503" s="442"/>
      <c r="N1503" s="433"/>
      <c r="P1503" s="433"/>
      <c r="T1503" s="443"/>
      <c r="U1503" s="440"/>
      <c r="V1503" s="440"/>
      <c r="W1503" s="440"/>
      <c r="X1503" s="442"/>
    </row>
    <row r="1504" spans="1:24" x14ac:dyDescent="0.25">
      <c r="A1504" s="862">
        <v>2222</v>
      </c>
      <c r="B1504" s="863" t="s">
        <v>8602</v>
      </c>
      <c r="C1504" s="862">
        <v>2222</v>
      </c>
      <c r="D1504" s="165" t="s">
        <v>2159</v>
      </c>
      <c r="E1504" s="165" t="s">
        <v>8603</v>
      </c>
      <c r="F1504" s="163">
        <v>1</v>
      </c>
      <c r="G1504" s="864"/>
      <c r="H1504" s="864">
        <v>12789.352861373094</v>
      </c>
      <c r="I1504" s="864">
        <v>13165.614492024786</v>
      </c>
      <c r="J1504" s="864">
        <v>13561.68092447868</v>
      </c>
      <c r="K1504" s="864">
        <v>13978.617887979733</v>
      </c>
      <c r="L1504" s="18" t="s">
        <v>2003</v>
      </c>
      <c r="M1504" s="442"/>
      <c r="N1504" s="433"/>
      <c r="P1504" s="433"/>
      <c r="T1504" s="443"/>
      <c r="U1504" s="440"/>
      <c r="V1504" s="440"/>
      <c r="W1504" s="440"/>
      <c r="X1504" s="442"/>
    </row>
    <row r="1505" spans="1:24" x14ac:dyDescent="0.25">
      <c r="A1505" s="862">
        <v>2223</v>
      </c>
      <c r="B1505" s="863" t="s">
        <v>8604</v>
      </c>
      <c r="C1505" s="862">
        <v>2223</v>
      </c>
      <c r="D1505" s="165" t="s">
        <v>2159</v>
      </c>
      <c r="E1505" s="165" t="s">
        <v>8605</v>
      </c>
      <c r="F1505" s="163">
        <v>1</v>
      </c>
      <c r="G1505" s="864"/>
      <c r="H1505" s="864">
        <v>12250.055893432476</v>
      </c>
      <c r="I1505" s="864">
        <v>12606.986379724172</v>
      </c>
      <c r="J1505" s="864">
        <v>12982.715145753378</v>
      </c>
      <c r="K1505" s="864">
        <v>13378.219109994656</v>
      </c>
      <c r="L1505" s="18" t="s">
        <v>2004</v>
      </c>
      <c r="M1505" s="442"/>
      <c r="N1505" s="433"/>
      <c r="P1505" s="433"/>
      <c r="T1505" s="443"/>
      <c r="U1505" s="440"/>
      <c r="V1505" s="440"/>
      <c r="W1505" s="440"/>
      <c r="X1505" s="442"/>
    </row>
    <row r="1506" spans="1:24" x14ac:dyDescent="0.25">
      <c r="A1506" s="862">
        <v>2224</v>
      </c>
      <c r="B1506" s="863" t="s">
        <v>8606</v>
      </c>
      <c r="C1506" s="862">
        <v>2224</v>
      </c>
      <c r="D1506" s="165" t="s">
        <v>2159</v>
      </c>
      <c r="E1506" s="165" t="s">
        <v>8607</v>
      </c>
      <c r="F1506" s="163">
        <v>1</v>
      </c>
      <c r="G1506" s="864"/>
      <c r="H1506" s="864">
        <v>14727.501838968741</v>
      </c>
      <c r="I1506" s="864">
        <v>15173.183888493617</v>
      </c>
      <c r="J1506" s="864">
        <v>15642.341584997797</v>
      </c>
      <c r="K1506" s="864">
        <v>16136.188675676905</v>
      </c>
      <c r="L1506" s="18" t="s">
        <v>2005</v>
      </c>
      <c r="M1506" s="442"/>
      <c r="N1506" s="433"/>
      <c r="P1506" s="433"/>
      <c r="T1506" s="443"/>
      <c r="U1506" s="440"/>
      <c r="V1506" s="440"/>
      <c r="W1506" s="440"/>
      <c r="X1506" s="442"/>
    </row>
    <row r="1507" spans="1:24" x14ac:dyDescent="0.25">
      <c r="A1507" s="862">
        <v>2225</v>
      </c>
      <c r="B1507" s="863" t="s">
        <v>8608</v>
      </c>
      <c r="C1507" s="862">
        <v>2225</v>
      </c>
      <c r="D1507" s="165" t="s">
        <v>2159</v>
      </c>
      <c r="E1507" s="165" t="s">
        <v>8609</v>
      </c>
      <c r="F1507" s="163">
        <v>1</v>
      </c>
      <c r="G1507" s="864"/>
      <c r="H1507" s="864">
        <v>14727.501838968741</v>
      </c>
      <c r="I1507" s="864">
        <v>15173.183888493617</v>
      </c>
      <c r="J1507" s="864">
        <v>15642.341584997797</v>
      </c>
      <c r="K1507" s="864">
        <v>16136.188675676905</v>
      </c>
      <c r="L1507" s="18" t="s">
        <v>2006</v>
      </c>
      <c r="M1507" s="442"/>
      <c r="N1507" s="433"/>
      <c r="P1507" s="433"/>
      <c r="T1507" s="443"/>
      <c r="U1507" s="440"/>
      <c r="V1507" s="440"/>
      <c r="W1507" s="440"/>
      <c r="X1507" s="442"/>
    </row>
    <row r="1508" spans="1:24" x14ac:dyDescent="0.25">
      <c r="A1508" s="862">
        <v>2226</v>
      </c>
      <c r="B1508" s="863" t="s">
        <v>8610</v>
      </c>
      <c r="C1508" s="862">
        <v>2226</v>
      </c>
      <c r="D1508" s="165" t="s">
        <v>2159</v>
      </c>
      <c r="E1508" s="165" t="s">
        <v>8611</v>
      </c>
      <c r="F1508" s="163">
        <v>1</v>
      </c>
      <c r="G1508" s="864"/>
      <c r="H1508" s="864">
        <v>14145.495900234248</v>
      </c>
      <c r="I1508" s="864">
        <v>14570.337022302097</v>
      </c>
      <c r="J1508" s="864">
        <v>15017.558458514146</v>
      </c>
      <c r="K1508" s="864">
        <v>15488.314748885761</v>
      </c>
      <c r="L1508" s="18" t="s">
        <v>2007</v>
      </c>
      <c r="M1508" s="442"/>
      <c r="N1508" s="433"/>
      <c r="P1508" s="433"/>
      <c r="T1508" s="443"/>
      <c r="U1508" s="440"/>
      <c r="V1508" s="440"/>
      <c r="W1508" s="440"/>
      <c r="X1508" s="442"/>
    </row>
    <row r="1509" spans="1:24" x14ac:dyDescent="0.25">
      <c r="A1509" s="862">
        <v>2227</v>
      </c>
      <c r="B1509" s="863" t="s">
        <v>8612</v>
      </c>
      <c r="C1509" s="862">
        <v>2227</v>
      </c>
      <c r="D1509" s="165" t="s">
        <v>2159</v>
      </c>
      <c r="E1509" s="165" t="s">
        <v>8613</v>
      </c>
      <c r="F1509" s="163">
        <v>1</v>
      </c>
      <c r="G1509" s="864"/>
      <c r="H1509" s="864">
        <v>14145.495900234248</v>
      </c>
      <c r="I1509" s="864">
        <v>14570.36662589224</v>
      </c>
      <c r="J1509" s="864">
        <v>15017.588062104282</v>
      </c>
      <c r="K1509" s="864">
        <v>15488.344352475897</v>
      </c>
      <c r="L1509" s="18" t="s">
        <v>2008</v>
      </c>
      <c r="M1509" s="442"/>
      <c r="N1509" s="433"/>
      <c r="P1509" s="433"/>
      <c r="T1509" s="443"/>
      <c r="U1509" s="440"/>
      <c r="V1509" s="440"/>
      <c r="W1509" s="440"/>
      <c r="X1509" s="442"/>
    </row>
    <row r="1510" spans="1:24" x14ac:dyDescent="0.25">
      <c r="A1510" s="862">
        <v>2228</v>
      </c>
      <c r="B1510" s="863" t="s">
        <v>8614</v>
      </c>
      <c r="C1510" s="862">
        <v>2228</v>
      </c>
      <c r="D1510" s="165" t="s">
        <v>2159</v>
      </c>
      <c r="E1510" s="165" t="s">
        <v>8615</v>
      </c>
      <c r="F1510" s="163">
        <v>1</v>
      </c>
      <c r="G1510" s="864"/>
      <c r="H1510" s="864">
        <v>0</v>
      </c>
      <c r="I1510" s="864">
        <v>0</v>
      </c>
      <c r="J1510" s="864">
        <v>15309.921584131149</v>
      </c>
      <c r="K1510" s="864">
        <v>15791.483184903071</v>
      </c>
      <c r="L1510" s="18" t="s">
        <v>11000</v>
      </c>
      <c r="M1510" s="442"/>
      <c r="N1510" s="433"/>
      <c r="P1510" s="433"/>
      <c r="T1510" s="443"/>
      <c r="U1510" s="440"/>
      <c r="V1510" s="440"/>
      <c r="W1510" s="440"/>
      <c r="X1510" s="442"/>
    </row>
    <row r="1511" spans="1:24" x14ac:dyDescent="0.25">
      <c r="A1511" s="862">
        <v>2229</v>
      </c>
      <c r="B1511" s="863" t="s">
        <v>8616</v>
      </c>
      <c r="C1511" s="862">
        <v>2229</v>
      </c>
      <c r="D1511" s="165" t="s">
        <v>2159</v>
      </c>
      <c r="E1511" s="165" t="s">
        <v>8617</v>
      </c>
      <c r="F1511" s="163">
        <v>1</v>
      </c>
      <c r="G1511" s="864"/>
      <c r="H1511" s="864">
        <v>0</v>
      </c>
      <c r="I1511" s="864">
        <v>0</v>
      </c>
      <c r="J1511" s="864">
        <v>15309.921584131149</v>
      </c>
      <c r="K1511" s="864">
        <v>15791.512788493204</v>
      </c>
      <c r="L1511" s="18" t="s">
        <v>11001</v>
      </c>
      <c r="M1511" s="442"/>
      <c r="N1511" s="433"/>
      <c r="P1511" s="433"/>
      <c r="T1511" s="443"/>
      <c r="U1511" s="440"/>
      <c r="V1511" s="440"/>
      <c r="W1511" s="440"/>
      <c r="X1511" s="442"/>
    </row>
    <row r="1512" spans="1:24" x14ac:dyDescent="0.25">
      <c r="A1512" s="862">
        <v>2230</v>
      </c>
      <c r="B1512" s="863" t="s">
        <v>8618</v>
      </c>
      <c r="C1512" s="862">
        <v>2230</v>
      </c>
      <c r="D1512" s="165" t="s">
        <v>2159</v>
      </c>
      <c r="E1512" s="165" t="s">
        <v>8619</v>
      </c>
      <c r="F1512" s="163">
        <v>1</v>
      </c>
      <c r="G1512" s="864"/>
      <c r="H1512" s="864">
        <v>13835.811456593447</v>
      </c>
      <c r="I1512" s="864">
        <v>14249.580835949757</v>
      </c>
      <c r="J1512" s="864">
        <v>14685.138457647503</v>
      </c>
      <c r="K1512" s="864">
        <v>15143.579654521784</v>
      </c>
      <c r="L1512" s="18" t="s">
        <v>11002</v>
      </c>
      <c r="M1512" s="442"/>
      <c r="N1512" s="433"/>
      <c r="P1512" s="433"/>
      <c r="T1512" s="443"/>
      <c r="U1512" s="440"/>
      <c r="V1512" s="440"/>
      <c r="W1512" s="440"/>
      <c r="X1512" s="442"/>
    </row>
    <row r="1513" spans="1:24" x14ac:dyDescent="0.25">
      <c r="A1513" s="862">
        <v>2231</v>
      </c>
      <c r="B1513" s="863" t="s">
        <v>8620</v>
      </c>
      <c r="C1513" s="862">
        <v>2231</v>
      </c>
      <c r="D1513" s="165" t="s">
        <v>2159</v>
      </c>
      <c r="E1513" s="165" t="s">
        <v>8621</v>
      </c>
      <c r="F1513" s="163">
        <v>1</v>
      </c>
      <c r="G1513" s="864"/>
      <c r="H1513" s="864">
        <v>0</v>
      </c>
      <c r="I1513" s="864">
        <v>16263.634063334242</v>
      </c>
      <c r="J1513" s="864">
        <v>16712.217264692626</v>
      </c>
      <c r="K1513" s="864">
        <v>17184.424130980999</v>
      </c>
      <c r="L1513" s="18" t="s">
        <v>4701</v>
      </c>
      <c r="M1513" s="442"/>
      <c r="N1513" s="433"/>
      <c r="P1513" s="433"/>
      <c r="T1513" s="443"/>
      <c r="U1513" s="440"/>
      <c r="V1513" s="440"/>
      <c r="W1513" s="440"/>
      <c r="X1513" s="442"/>
    </row>
    <row r="1514" spans="1:24" x14ac:dyDescent="0.25">
      <c r="A1514" s="862">
        <v>2232</v>
      </c>
      <c r="B1514" s="863" t="s">
        <v>8622</v>
      </c>
      <c r="C1514" s="862">
        <v>2232</v>
      </c>
      <c r="D1514" s="165" t="s">
        <v>2159</v>
      </c>
      <c r="E1514" s="165" t="s">
        <v>8623</v>
      </c>
      <c r="F1514" s="163">
        <v>1</v>
      </c>
      <c r="G1514" s="864"/>
      <c r="H1514" s="864">
        <v>15833.719143006703</v>
      </c>
      <c r="I1514" s="864">
        <v>16277.624977123314</v>
      </c>
      <c r="J1514" s="864">
        <v>16744.888043858668</v>
      </c>
      <c r="K1514" s="864">
        <v>17236.751693998543</v>
      </c>
      <c r="L1514" s="18" t="s">
        <v>2009</v>
      </c>
      <c r="M1514" s="442"/>
      <c r="N1514" s="433"/>
      <c r="P1514" s="433"/>
      <c r="T1514" s="443"/>
      <c r="U1514" s="440"/>
      <c r="V1514" s="440"/>
      <c r="W1514" s="440"/>
      <c r="X1514" s="442"/>
    </row>
    <row r="1515" spans="1:24" x14ac:dyDescent="0.25">
      <c r="A1515" s="862">
        <v>2233</v>
      </c>
      <c r="B1515" s="863" t="s">
        <v>8624</v>
      </c>
      <c r="C1515" s="862">
        <v>2233</v>
      </c>
      <c r="D1515" s="165" t="s">
        <v>2159</v>
      </c>
      <c r="E1515" s="165" t="s">
        <v>8625</v>
      </c>
      <c r="F1515" s="163">
        <v>1</v>
      </c>
      <c r="G1515" s="864"/>
      <c r="H1515" s="864">
        <v>0</v>
      </c>
      <c r="I1515" s="864">
        <v>18491.876987166834</v>
      </c>
      <c r="J1515" s="864">
        <v>0</v>
      </c>
      <c r="K1515" s="864">
        <v>0</v>
      </c>
      <c r="L1515" s="18" t="s">
        <v>4703</v>
      </c>
      <c r="M1515" s="442"/>
      <c r="N1515" s="433"/>
      <c r="P1515" s="433"/>
      <c r="T1515" s="443"/>
      <c r="U1515" s="440"/>
      <c r="V1515" s="440"/>
      <c r="W1515" s="440"/>
      <c r="X1515" s="442"/>
    </row>
    <row r="1516" spans="1:24" x14ac:dyDescent="0.25">
      <c r="A1516" s="862">
        <v>2234</v>
      </c>
      <c r="B1516" s="863" t="s">
        <v>8626</v>
      </c>
      <c r="C1516" s="862">
        <v>2234</v>
      </c>
      <c r="D1516" s="165" t="s">
        <v>2159</v>
      </c>
      <c r="E1516" s="165" t="s">
        <v>8627</v>
      </c>
      <c r="F1516" s="163">
        <v>1</v>
      </c>
      <c r="G1516" s="864"/>
      <c r="H1516" s="864">
        <v>16267.119628153067</v>
      </c>
      <c r="I1516" s="864">
        <v>16742.701303717145</v>
      </c>
      <c r="J1516" s="864">
        <v>17243.327616537812</v>
      </c>
      <c r="K1516" s="864">
        <v>17770.301124581147</v>
      </c>
      <c r="L1516" s="18" t="s">
        <v>2015</v>
      </c>
      <c r="M1516" s="442"/>
      <c r="N1516" s="433"/>
      <c r="P1516" s="433"/>
      <c r="T1516" s="443"/>
      <c r="U1516" s="440"/>
      <c r="V1516" s="440"/>
      <c r="W1516" s="440"/>
      <c r="X1516" s="442"/>
    </row>
    <row r="1517" spans="1:24" x14ac:dyDescent="0.25">
      <c r="A1517" s="862">
        <v>2235</v>
      </c>
      <c r="B1517" s="863" t="s">
        <v>8628</v>
      </c>
      <c r="C1517" s="862">
        <v>2235</v>
      </c>
      <c r="D1517" s="165" t="s">
        <v>2159</v>
      </c>
      <c r="E1517" s="165" t="s">
        <v>8629</v>
      </c>
      <c r="F1517" s="163">
        <v>1</v>
      </c>
      <c r="G1517" s="864"/>
      <c r="H1517" s="864">
        <v>0</v>
      </c>
      <c r="I1517" s="864">
        <v>0</v>
      </c>
      <c r="J1517" s="864">
        <v>15240.826870257362</v>
      </c>
      <c r="K1517" s="864">
        <v>15656.579690152907</v>
      </c>
      <c r="L1517" s="18" t="s">
        <v>4702</v>
      </c>
      <c r="M1517" s="442"/>
      <c r="N1517" s="433"/>
      <c r="P1517" s="433"/>
      <c r="T1517" s="443"/>
      <c r="U1517" s="440"/>
      <c r="V1517" s="440"/>
      <c r="W1517" s="440"/>
      <c r="X1517" s="442"/>
    </row>
    <row r="1518" spans="1:24" x14ac:dyDescent="0.25">
      <c r="A1518" s="862">
        <v>2236</v>
      </c>
      <c r="B1518" s="863" t="s">
        <v>8630</v>
      </c>
      <c r="C1518" s="862">
        <v>2236</v>
      </c>
      <c r="D1518" s="165" t="s">
        <v>2159</v>
      </c>
      <c r="E1518" s="165" t="s">
        <v>8631</v>
      </c>
      <c r="F1518" s="163">
        <v>1</v>
      </c>
      <c r="G1518" s="864"/>
      <c r="H1518" s="864">
        <v>15246.772175344267</v>
      </c>
      <c r="I1518" s="864">
        <v>15734.037340993144</v>
      </c>
      <c r="J1518" s="864">
        <v>16246.953227481317</v>
      </c>
      <c r="K1518" s="864">
        <v>16786.86641554426</v>
      </c>
      <c r="L1518" s="18" t="s">
        <v>2010</v>
      </c>
      <c r="M1518" s="442"/>
      <c r="N1518" s="433"/>
      <c r="P1518" s="433"/>
      <c r="T1518" s="443"/>
      <c r="U1518" s="440"/>
      <c r="V1518" s="440"/>
      <c r="W1518" s="440"/>
      <c r="X1518" s="442"/>
    </row>
    <row r="1519" spans="1:24" x14ac:dyDescent="0.25">
      <c r="A1519" s="862">
        <v>2237</v>
      </c>
      <c r="B1519" s="863" t="s">
        <v>8632</v>
      </c>
      <c r="C1519" s="862">
        <v>2237</v>
      </c>
      <c r="D1519" s="165" t="s">
        <v>2159</v>
      </c>
      <c r="E1519" s="165" t="s">
        <v>8633</v>
      </c>
      <c r="F1519" s="163">
        <v>1</v>
      </c>
      <c r="G1519" s="864"/>
      <c r="H1519" s="864">
        <v>0</v>
      </c>
      <c r="I1519" s="864">
        <v>0</v>
      </c>
      <c r="J1519" s="864">
        <v>18896.073312493787</v>
      </c>
      <c r="K1519" s="864">
        <v>19438.760802285495</v>
      </c>
      <c r="L1519" s="18" t="s">
        <v>11003</v>
      </c>
      <c r="M1519" s="442"/>
      <c r="N1519" s="433"/>
      <c r="P1519" s="433"/>
      <c r="T1519" s="443"/>
      <c r="U1519" s="440"/>
      <c r="V1519" s="440"/>
      <c r="W1519" s="440"/>
      <c r="X1519" s="442"/>
    </row>
    <row r="1520" spans="1:24" x14ac:dyDescent="0.25">
      <c r="A1520" s="862">
        <v>2238</v>
      </c>
      <c r="B1520" s="863" t="s">
        <v>8634</v>
      </c>
      <c r="C1520" s="862">
        <v>2238</v>
      </c>
      <c r="D1520" s="165" t="s">
        <v>2159</v>
      </c>
      <c r="E1520" s="165" t="s">
        <v>8635</v>
      </c>
      <c r="F1520" s="163">
        <v>1</v>
      </c>
      <c r="G1520" s="864"/>
      <c r="H1520" s="864">
        <v>15071.707992870834</v>
      </c>
      <c r="I1520" s="864">
        <v>15513.724847645486</v>
      </c>
      <c r="J1520" s="864">
        <v>15979.004239595397</v>
      </c>
      <c r="K1520" s="864">
        <v>16468.778051846843</v>
      </c>
      <c r="L1520" s="18" t="s">
        <v>2011</v>
      </c>
      <c r="M1520" s="442"/>
      <c r="N1520" s="433"/>
      <c r="P1520" s="433"/>
      <c r="T1520" s="443"/>
      <c r="U1520" s="440"/>
      <c r="V1520" s="440"/>
      <c r="W1520" s="440"/>
      <c r="X1520" s="442"/>
    </row>
    <row r="1521" spans="1:24" x14ac:dyDescent="0.25">
      <c r="A1521" s="862">
        <v>2239</v>
      </c>
      <c r="B1521" s="863" t="s">
        <v>8636</v>
      </c>
      <c r="C1521" s="862">
        <v>2239</v>
      </c>
      <c r="D1521" s="165" t="s">
        <v>2159</v>
      </c>
      <c r="E1521" s="165" t="s">
        <v>8637</v>
      </c>
      <c r="F1521" s="163">
        <v>1</v>
      </c>
      <c r="G1521" s="864"/>
      <c r="H1521" s="864">
        <v>14396.284815827563</v>
      </c>
      <c r="I1521" s="864">
        <v>14836.496818579993</v>
      </c>
      <c r="J1521" s="864">
        <v>15299.8567647285</v>
      </c>
      <c r="K1521" s="864">
        <v>15787.625185844146</v>
      </c>
      <c r="L1521" s="18" t="s">
        <v>2012</v>
      </c>
      <c r="M1521" s="442"/>
      <c r="N1521" s="433"/>
      <c r="P1521" s="433"/>
      <c r="T1521" s="443"/>
      <c r="U1521" s="440"/>
      <c r="V1521" s="440"/>
      <c r="W1521" s="440"/>
      <c r="X1521" s="442"/>
    </row>
    <row r="1522" spans="1:24" x14ac:dyDescent="0.25">
      <c r="A1522" s="862">
        <v>2240</v>
      </c>
      <c r="B1522" s="863" t="s">
        <v>8638</v>
      </c>
      <c r="C1522" s="862">
        <v>2240</v>
      </c>
      <c r="D1522" s="165" t="s">
        <v>2159</v>
      </c>
      <c r="E1522" s="165" t="s">
        <v>8639</v>
      </c>
      <c r="F1522" s="163">
        <v>1</v>
      </c>
      <c r="G1522" s="864"/>
      <c r="H1522" s="864">
        <v>13841.209983683299</v>
      </c>
      <c r="I1522" s="864">
        <v>14261.224832853772</v>
      </c>
      <c r="J1522" s="864">
        <v>14703.356281407614</v>
      </c>
      <c r="K1522" s="864">
        <v>15168.750267136713</v>
      </c>
      <c r="L1522" s="18" t="s">
        <v>2013</v>
      </c>
      <c r="M1522" s="442"/>
      <c r="N1522" s="433"/>
      <c r="P1522" s="433"/>
      <c r="T1522" s="443"/>
      <c r="U1522" s="440"/>
      <c r="V1522" s="440"/>
      <c r="W1522" s="440"/>
      <c r="X1522" s="442"/>
    </row>
    <row r="1523" spans="1:24" x14ac:dyDescent="0.25">
      <c r="A1523" s="862">
        <v>2241</v>
      </c>
      <c r="B1523" s="863" t="s">
        <v>8640</v>
      </c>
      <c r="C1523" s="862">
        <v>2241</v>
      </c>
      <c r="D1523" s="165" t="s">
        <v>2159</v>
      </c>
      <c r="E1523" s="165" t="s">
        <v>8641</v>
      </c>
      <c r="F1523" s="163">
        <v>1</v>
      </c>
      <c r="G1523" s="864"/>
      <c r="H1523" s="864">
        <v>16917.137083461876</v>
      </c>
      <c r="I1523" s="864">
        <v>17422.954024799696</v>
      </c>
      <c r="J1523" s="864">
        <v>17955.385371354041</v>
      </c>
      <c r="K1523" s="864">
        <v>18515.834896919958</v>
      </c>
      <c r="L1523" s="18" t="s">
        <v>2014</v>
      </c>
      <c r="M1523" s="442"/>
      <c r="N1523" s="433"/>
      <c r="P1523" s="433"/>
      <c r="T1523" s="443"/>
      <c r="U1523" s="440"/>
      <c r="V1523" s="440"/>
      <c r="W1523" s="440"/>
      <c r="X1523" s="442"/>
    </row>
    <row r="1524" spans="1:24" x14ac:dyDescent="0.25">
      <c r="A1524" s="862">
        <v>2242</v>
      </c>
      <c r="B1524" s="863" t="s">
        <v>8642</v>
      </c>
      <c r="C1524" s="862">
        <v>2242</v>
      </c>
      <c r="D1524" s="165" t="s">
        <v>2159</v>
      </c>
      <c r="E1524" s="165" t="s">
        <v>8643</v>
      </c>
      <c r="F1524" s="163">
        <v>1</v>
      </c>
      <c r="G1524" s="864"/>
      <c r="H1524" s="864">
        <v>19085.755251840939</v>
      </c>
      <c r="I1524" s="864">
        <v>19701.614055338152</v>
      </c>
      <c r="J1524" s="864">
        <v>20349.895822070681</v>
      </c>
      <c r="K1524" s="864">
        <v>21032.286782790739</v>
      </c>
      <c r="L1524" s="18" t="s">
        <v>2016</v>
      </c>
      <c r="M1524" s="442"/>
      <c r="N1524" s="433"/>
      <c r="P1524" s="433"/>
      <c r="T1524" s="443"/>
      <c r="U1524" s="440"/>
      <c r="V1524" s="440"/>
      <c r="W1524" s="440"/>
      <c r="X1524" s="442"/>
    </row>
    <row r="1525" spans="1:24" x14ac:dyDescent="0.25">
      <c r="A1525" s="862">
        <v>2243</v>
      </c>
      <c r="B1525" s="863" t="s">
        <v>8644</v>
      </c>
      <c r="C1525" s="862">
        <v>2243</v>
      </c>
      <c r="D1525" s="165" t="s">
        <v>2159</v>
      </c>
      <c r="E1525" s="165" t="s">
        <v>8645</v>
      </c>
      <c r="F1525" s="163">
        <v>1</v>
      </c>
      <c r="G1525" s="864"/>
      <c r="H1525" s="864">
        <v>18254.687048265889</v>
      </c>
      <c r="I1525" s="864">
        <v>18781.175621896393</v>
      </c>
      <c r="J1525" s="864">
        <v>19335.383462453447</v>
      </c>
      <c r="K1525" s="864">
        <v>19918.760136724035</v>
      </c>
      <c r="L1525" s="18" t="s">
        <v>3971</v>
      </c>
      <c r="M1525" s="442"/>
      <c r="N1525" s="433"/>
      <c r="P1525" s="433"/>
      <c r="T1525" s="443"/>
      <c r="U1525" s="440"/>
      <c r="V1525" s="440"/>
      <c r="W1525" s="440"/>
      <c r="X1525" s="442"/>
    </row>
    <row r="1526" spans="1:24" x14ac:dyDescent="0.25">
      <c r="A1526" s="862">
        <v>2244</v>
      </c>
      <c r="B1526" s="863" t="s">
        <v>8646</v>
      </c>
      <c r="C1526" s="862">
        <v>2244</v>
      </c>
      <c r="D1526" s="165" t="s">
        <v>2160</v>
      </c>
      <c r="E1526" s="165" t="s">
        <v>8647</v>
      </c>
      <c r="F1526" s="163">
        <v>1</v>
      </c>
      <c r="G1526" s="864"/>
      <c r="H1526" s="864">
        <v>0</v>
      </c>
      <c r="I1526" s="864">
        <v>23089.424685644732</v>
      </c>
      <c r="J1526" s="864">
        <v>23905.286455534057</v>
      </c>
      <c r="K1526" s="864">
        <v>24764.112825217795</v>
      </c>
      <c r="L1526" s="18" t="s">
        <v>3972</v>
      </c>
      <c r="M1526" s="442"/>
      <c r="N1526" s="433"/>
      <c r="P1526" s="433"/>
      <c r="T1526" s="443"/>
      <c r="U1526" s="440"/>
      <c r="V1526" s="440"/>
      <c r="W1526" s="440"/>
      <c r="X1526" s="442"/>
    </row>
    <row r="1527" spans="1:24" x14ac:dyDescent="0.25">
      <c r="A1527" s="862">
        <v>2245</v>
      </c>
      <c r="B1527" s="863" t="s">
        <v>8648</v>
      </c>
      <c r="C1527" s="862">
        <v>2245</v>
      </c>
      <c r="D1527" s="165" t="s">
        <v>2160</v>
      </c>
      <c r="E1527" s="165" t="s">
        <v>8649</v>
      </c>
      <c r="F1527" s="163">
        <v>1</v>
      </c>
      <c r="G1527" s="864"/>
      <c r="H1527" s="864">
        <v>0</v>
      </c>
      <c r="I1527" s="864">
        <v>21709.063547968632</v>
      </c>
      <c r="J1527" s="864">
        <v>22470.785689151486</v>
      </c>
      <c r="K1527" s="864">
        <v>23272.594013590806</v>
      </c>
      <c r="L1527" s="18" t="s">
        <v>3973</v>
      </c>
      <c r="M1527" s="442"/>
      <c r="N1527" s="433"/>
      <c r="P1527" s="433"/>
      <c r="T1527" s="443"/>
      <c r="U1527" s="440"/>
      <c r="V1527" s="440"/>
      <c r="W1527" s="440"/>
      <c r="X1527" s="442"/>
    </row>
    <row r="1528" spans="1:24" x14ac:dyDescent="0.25">
      <c r="A1528" s="862">
        <v>2246</v>
      </c>
      <c r="B1528" s="863" t="s">
        <v>8650</v>
      </c>
      <c r="C1528" s="862">
        <v>2246</v>
      </c>
      <c r="D1528" s="165" t="s">
        <v>2160</v>
      </c>
      <c r="E1528" s="165" t="s">
        <v>8651</v>
      </c>
      <c r="F1528" s="163">
        <v>1</v>
      </c>
      <c r="G1528" s="864"/>
      <c r="H1528" s="864">
        <v>0</v>
      </c>
      <c r="I1528" s="864">
        <v>24265.287876998456</v>
      </c>
      <c r="J1528" s="864">
        <v>25127.288970804933</v>
      </c>
      <c r="K1528" s="864">
        <v>26034.625125084152</v>
      </c>
      <c r="L1528" s="18" t="s">
        <v>3975</v>
      </c>
      <c r="M1528" s="442"/>
      <c r="N1528" s="433"/>
      <c r="P1528" s="433"/>
      <c r="T1528" s="443"/>
      <c r="U1528" s="440"/>
      <c r="V1528" s="440"/>
      <c r="W1528" s="440"/>
      <c r="X1528" s="442"/>
    </row>
    <row r="1529" spans="1:24" x14ac:dyDescent="0.25">
      <c r="A1529" s="862">
        <v>2247</v>
      </c>
      <c r="B1529" s="863" t="s">
        <v>8652</v>
      </c>
      <c r="C1529" s="862">
        <v>2247</v>
      </c>
      <c r="D1529" s="165" t="s">
        <v>2160</v>
      </c>
      <c r="E1529" s="165" t="s">
        <v>8653</v>
      </c>
      <c r="F1529" s="163">
        <v>1</v>
      </c>
      <c r="G1529" s="864"/>
      <c r="H1529" s="864">
        <v>0</v>
      </c>
      <c r="I1529" s="864">
        <v>25645.64901467456</v>
      </c>
      <c r="J1529" s="864">
        <v>26561.789737187508</v>
      </c>
      <c r="K1529" s="864">
        <v>27526.143936711138</v>
      </c>
      <c r="L1529" s="18" t="s">
        <v>3974</v>
      </c>
      <c r="M1529" s="442"/>
      <c r="N1529" s="433"/>
      <c r="P1529" s="433"/>
      <c r="T1529" s="443"/>
      <c r="U1529" s="440"/>
      <c r="V1529" s="440"/>
      <c r="W1529" s="440"/>
      <c r="X1529" s="442"/>
    </row>
    <row r="1530" spans="1:24" x14ac:dyDescent="0.25">
      <c r="A1530" s="862">
        <v>2248</v>
      </c>
      <c r="B1530" s="863" t="s">
        <v>8654</v>
      </c>
      <c r="C1530" s="862">
        <v>2248</v>
      </c>
      <c r="D1530" s="165" t="s">
        <v>2160</v>
      </c>
      <c r="E1530" s="165" t="s">
        <v>8655</v>
      </c>
      <c r="F1530" s="163">
        <v>1</v>
      </c>
      <c r="G1530" s="864"/>
      <c r="H1530" s="864">
        <v>0</v>
      </c>
      <c r="I1530" s="864">
        <v>25645.64901467456</v>
      </c>
      <c r="J1530" s="864">
        <v>26561.789737187508</v>
      </c>
      <c r="K1530" s="864">
        <v>27526.143936711138</v>
      </c>
      <c r="L1530" s="18" t="s">
        <v>3976</v>
      </c>
      <c r="M1530" s="442"/>
      <c r="N1530" s="433"/>
      <c r="P1530" s="433"/>
      <c r="T1530" s="443"/>
      <c r="U1530" s="440"/>
      <c r="V1530" s="440"/>
      <c r="W1530" s="440"/>
      <c r="X1530" s="442"/>
    </row>
    <row r="1531" spans="1:24" x14ac:dyDescent="0.25">
      <c r="A1531" s="862">
        <v>2249</v>
      </c>
      <c r="B1531" s="863" t="s">
        <v>8656</v>
      </c>
      <c r="C1531" s="862">
        <v>2249</v>
      </c>
      <c r="D1531" s="165" t="s">
        <v>2160</v>
      </c>
      <c r="E1531" s="165" t="s">
        <v>8657</v>
      </c>
      <c r="F1531" s="163">
        <v>1</v>
      </c>
      <c r="G1531" s="864"/>
      <c r="H1531" s="864">
        <v>0</v>
      </c>
      <c r="I1531" s="864">
        <v>0</v>
      </c>
      <c r="J1531" s="864">
        <v>29991.230374025257</v>
      </c>
      <c r="K1531" s="864">
        <v>31077.790287446907</v>
      </c>
      <c r="L1531" s="18" t="s">
        <v>4704</v>
      </c>
      <c r="M1531" s="442"/>
      <c r="N1531" s="433"/>
      <c r="P1531" s="433"/>
      <c r="T1531" s="443"/>
      <c r="U1531" s="440"/>
      <c r="V1531" s="440"/>
      <c r="W1531" s="440"/>
      <c r="X1531" s="442"/>
    </row>
    <row r="1532" spans="1:24" x14ac:dyDescent="0.25">
      <c r="A1532" s="862">
        <v>2250</v>
      </c>
      <c r="B1532" s="863" t="s">
        <v>8658</v>
      </c>
      <c r="C1532" s="862">
        <v>2250</v>
      </c>
      <c r="D1532" s="165" t="s">
        <v>2160</v>
      </c>
      <c r="E1532" s="165" t="s">
        <v>8659</v>
      </c>
      <c r="F1532" s="163">
        <v>1</v>
      </c>
      <c r="G1532" s="864"/>
      <c r="H1532" s="864">
        <v>0</v>
      </c>
      <c r="I1532" s="864">
        <v>31167.093565378971</v>
      </c>
      <c r="J1532" s="864">
        <v>32299.750473062817</v>
      </c>
      <c r="K1532" s="864">
        <v>33492.049864599219</v>
      </c>
      <c r="L1532" s="18" t="s">
        <v>3977</v>
      </c>
      <c r="M1532" s="442"/>
      <c r="N1532" s="433"/>
      <c r="P1532" s="433"/>
      <c r="T1532" s="443"/>
      <c r="U1532" s="440"/>
      <c r="V1532" s="440"/>
      <c r="W1532" s="440"/>
      <c r="X1532" s="442"/>
    </row>
    <row r="1533" spans="1:24" x14ac:dyDescent="0.25">
      <c r="A1533" s="862">
        <v>2251</v>
      </c>
      <c r="B1533" s="863" t="s">
        <v>8660</v>
      </c>
      <c r="C1533" s="862">
        <v>2251</v>
      </c>
      <c r="D1533" s="165" t="s">
        <v>2160</v>
      </c>
      <c r="E1533" s="165" t="s">
        <v>8661</v>
      </c>
      <c r="F1533" s="163">
        <v>1</v>
      </c>
      <c r="G1533" s="864"/>
      <c r="H1533" s="864">
        <v>0</v>
      </c>
      <c r="I1533" s="864">
        <v>32547.454703055078</v>
      </c>
      <c r="J1533" s="864">
        <v>33734.251239445388</v>
      </c>
      <c r="K1533" s="864">
        <v>34983.526346571234</v>
      </c>
      <c r="L1533" s="18" t="s">
        <v>3978</v>
      </c>
      <c r="M1533" s="442"/>
      <c r="N1533" s="433"/>
      <c r="P1533" s="433"/>
      <c r="T1533" s="443"/>
      <c r="U1533" s="440"/>
      <c r="V1533" s="440"/>
      <c r="W1533" s="440"/>
      <c r="X1533" s="442"/>
    </row>
    <row r="1534" spans="1:24" x14ac:dyDescent="0.25">
      <c r="A1534" s="862">
        <v>2252</v>
      </c>
      <c r="B1534" s="863" t="s">
        <v>8662</v>
      </c>
      <c r="C1534" s="862">
        <v>2252</v>
      </c>
      <c r="D1534" s="165" t="s">
        <v>2160</v>
      </c>
      <c r="E1534" s="165" t="s">
        <v>8663</v>
      </c>
      <c r="F1534" s="163">
        <v>1</v>
      </c>
      <c r="G1534" s="864"/>
      <c r="H1534" s="864">
        <v>0</v>
      </c>
      <c r="I1534" s="864">
        <v>0</v>
      </c>
      <c r="J1534" s="864">
        <v>45737.572240848982</v>
      </c>
      <c r="K1534" s="864">
        <v>47441.679490626098</v>
      </c>
      <c r="L1534" s="18" t="s">
        <v>4705</v>
      </c>
      <c r="M1534" s="442"/>
      <c r="N1534" s="433"/>
      <c r="P1534" s="433"/>
      <c r="T1534" s="443"/>
      <c r="U1534" s="440"/>
      <c r="V1534" s="440"/>
      <c r="W1534" s="440"/>
      <c r="X1534" s="442"/>
    </row>
    <row r="1535" spans="1:24" x14ac:dyDescent="0.25">
      <c r="A1535" s="862">
        <v>2253</v>
      </c>
      <c r="B1535" s="863" t="s">
        <v>8664</v>
      </c>
      <c r="C1535" s="862">
        <v>2253</v>
      </c>
      <c r="D1535" s="165" t="s">
        <v>2160</v>
      </c>
      <c r="E1535" s="165" t="s">
        <v>8665</v>
      </c>
      <c r="F1535" s="163">
        <v>1</v>
      </c>
      <c r="G1535" s="864"/>
      <c r="H1535" s="864">
        <v>0</v>
      </c>
      <c r="I1535" s="864">
        <v>24265.287876998456</v>
      </c>
      <c r="J1535" s="864">
        <v>25127.288970804933</v>
      </c>
      <c r="K1535" s="864">
        <v>26034.625125084152</v>
      </c>
      <c r="L1535" s="18" t="s">
        <v>3979</v>
      </c>
      <c r="M1535" s="442"/>
      <c r="N1535" s="433"/>
      <c r="P1535" s="433"/>
      <c r="T1535" s="443"/>
      <c r="U1535" s="440"/>
      <c r="V1535" s="440"/>
      <c r="W1535" s="440"/>
      <c r="X1535" s="442"/>
    </row>
    <row r="1536" spans="1:24" x14ac:dyDescent="0.25">
      <c r="A1536" s="862">
        <v>2254</v>
      </c>
      <c r="B1536" s="863" t="s">
        <v>8666</v>
      </c>
      <c r="C1536" s="862">
        <v>2254</v>
      </c>
      <c r="D1536" s="165" t="s">
        <v>2160</v>
      </c>
      <c r="E1536" s="165" t="s">
        <v>8667</v>
      </c>
      <c r="F1536" s="163">
        <v>1</v>
      </c>
      <c r="G1536" s="864"/>
      <c r="H1536" s="864">
        <v>0</v>
      </c>
      <c r="I1536" s="864">
        <v>25645.64901467456</v>
      </c>
      <c r="J1536" s="864">
        <v>26561.789737187508</v>
      </c>
      <c r="K1536" s="864">
        <v>27526.143936711138</v>
      </c>
      <c r="L1536" s="18" t="s">
        <v>3980</v>
      </c>
      <c r="M1536" s="442"/>
      <c r="N1536" s="433"/>
      <c r="P1536" s="433"/>
      <c r="T1536" s="443"/>
      <c r="U1536" s="440"/>
      <c r="V1536" s="440"/>
      <c r="W1536" s="440"/>
      <c r="X1536" s="442"/>
    </row>
    <row r="1537" spans="1:24" x14ac:dyDescent="0.25">
      <c r="A1537" s="862">
        <v>2255</v>
      </c>
      <c r="B1537" s="863" t="s">
        <v>8668</v>
      </c>
      <c r="C1537" s="862">
        <v>2255</v>
      </c>
      <c r="D1537" s="165" t="s">
        <v>2160</v>
      </c>
      <c r="E1537" s="165" t="s">
        <v>8669</v>
      </c>
      <c r="F1537" s="163">
        <v>1</v>
      </c>
      <c r="G1537" s="864"/>
      <c r="H1537" s="864">
        <v>0</v>
      </c>
      <c r="I1537" s="864">
        <v>25390.026581771577</v>
      </c>
      <c r="J1537" s="864">
        <v>26296.135176056669</v>
      </c>
      <c r="K1537" s="864">
        <v>27249.906961837834</v>
      </c>
      <c r="L1537" s="18" t="s">
        <v>3981</v>
      </c>
      <c r="M1537" s="442"/>
      <c r="N1537" s="433"/>
      <c r="P1537" s="433"/>
      <c r="T1537" s="443"/>
      <c r="U1537" s="440"/>
      <c r="V1537" s="440"/>
      <c r="W1537" s="440"/>
      <c r="X1537" s="442"/>
    </row>
    <row r="1538" spans="1:24" x14ac:dyDescent="0.25">
      <c r="A1538" s="862">
        <v>2256</v>
      </c>
      <c r="B1538" s="863" t="s">
        <v>8670</v>
      </c>
      <c r="C1538" s="862">
        <v>2256</v>
      </c>
      <c r="D1538" s="165" t="s">
        <v>2160</v>
      </c>
      <c r="E1538" s="165" t="s">
        <v>8671</v>
      </c>
      <c r="F1538" s="163">
        <v>1</v>
      </c>
      <c r="G1538" s="864"/>
      <c r="H1538" s="864">
        <v>23205.247945399526</v>
      </c>
      <c r="I1538" s="864">
        <v>24036.814017282668</v>
      </c>
      <c r="J1538" s="864">
        <v>24912.148952404659</v>
      </c>
      <c r="K1538" s="864">
        <v>25833.538552133872</v>
      </c>
      <c r="L1538" s="18" t="s">
        <v>3065</v>
      </c>
      <c r="M1538" s="442"/>
      <c r="N1538" s="433"/>
      <c r="P1538" s="433"/>
      <c r="T1538" s="443"/>
      <c r="U1538" s="440"/>
      <c r="V1538" s="440"/>
      <c r="W1538" s="440"/>
      <c r="X1538" s="442"/>
    </row>
    <row r="1539" spans="1:24" x14ac:dyDescent="0.25">
      <c r="A1539" s="862">
        <v>2257</v>
      </c>
      <c r="B1539" s="863" t="s">
        <v>8672</v>
      </c>
      <c r="C1539" s="862">
        <v>2257</v>
      </c>
      <c r="D1539" s="165" t="s">
        <v>2160</v>
      </c>
      <c r="E1539" s="165" t="s">
        <v>8673</v>
      </c>
      <c r="F1539" s="163">
        <v>1</v>
      </c>
      <c r="G1539" s="864"/>
      <c r="H1539" s="864">
        <v>0</v>
      </c>
      <c r="I1539" s="864">
        <v>27026.010152350671</v>
      </c>
      <c r="J1539" s="864">
        <v>27996.290503570086</v>
      </c>
      <c r="K1539" s="864">
        <v>29017.705077993094</v>
      </c>
      <c r="L1539" s="18" t="s">
        <v>3982</v>
      </c>
      <c r="M1539" s="442"/>
      <c r="N1539" s="433"/>
      <c r="P1539" s="433"/>
      <c r="T1539" s="443"/>
      <c r="U1539" s="440"/>
      <c r="V1539" s="440"/>
      <c r="W1539" s="440"/>
      <c r="X1539" s="442"/>
    </row>
    <row r="1540" spans="1:24" x14ac:dyDescent="0.25">
      <c r="A1540" s="862">
        <v>2258</v>
      </c>
      <c r="B1540" s="863" t="s">
        <v>8674</v>
      </c>
      <c r="C1540" s="862">
        <v>2258</v>
      </c>
      <c r="D1540" s="165" t="s">
        <v>2160</v>
      </c>
      <c r="E1540" s="165" t="s">
        <v>8675</v>
      </c>
      <c r="F1540" s="163">
        <v>1</v>
      </c>
      <c r="G1540" s="864"/>
      <c r="H1540" s="864">
        <v>0</v>
      </c>
      <c r="I1540" s="864">
        <v>25645.64901467456</v>
      </c>
      <c r="J1540" s="864">
        <v>26561.789737187508</v>
      </c>
      <c r="K1540" s="864">
        <v>27526.143936711138</v>
      </c>
      <c r="L1540" s="18" t="s">
        <v>3983</v>
      </c>
      <c r="M1540" s="442"/>
      <c r="N1540" s="433"/>
      <c r="P1540" s="433"/>
      <c r="T1540" s="443"/>
      <c r="U1540" s="440"/>
      <c r="V1540" s="440"/>
      <c r="W1540" s="440"/>
      <c r="X1540" s="442"/>
    </row>
    <row r="1541" spans="1:24" x14ac:dyDescent="0.25">
      <c r="A1541" s="862">
        <v>2259</v>
      </c>
      <c r="B1541" s="863" t="s">
        <v>8676</v>
      </c>
      <c r="C1541" s="862">
        <v>2259</v>
      </c>
      <c r="D1541" s="165" t="s">
        <v>2160</v>
      </c>
      <c r="E1541" s="165" t="s">
        <v>8677</v>
      </c>
      <c r="F1541" s="163">
        <v>1</v>
      </c>
      <c r="G1541" s="864"/>
      <c r="H1541" s="864">
        <v>24376.549270639509</v>
      </c>
      <c r="I1541" s="864">
        <v>25254.67796298951</v>
      </c>
      <c r="J1541" s="864">
        <v>26179.030638566615</v>
      </c>
      <c r="K1541" s="864">
        <v>27152.020087704102</v>
      </c>
      <c r="L1541" s="18" t="s">
        <v>2017</v>
      </c>
      <c r="M1541" s="442"/>
      <c r="N1541" s="433"/>
      <c r="P1541" s="433"/>
      <c r="T1541" s="443"/>
      <c r="U1541" s="440"/>
      <c r="V1541" s="440"/>
      <c r="W1541" s="440"/>
      <c r="X1541" s="442"/>
    </row>
    <row r="1542" spans="1:24" x14ac:dyDescent="0.25">
      <c r="A1542" s="862">
        <v>2260</v>
      </c>
      <c r="B1542" s="863" t="s">
        <v>8678</v>
      </c>
      <c r="C1542" s="862">
        <v>2260</v>
      </c>
      <c r="D1542" s="165" t="s">
        <v>2160</v>
      </c>
      <c r="E1542" s="165" t="s">
        <v>8679</v>
      </c>
      <c r="F1542" s="163">
        <v>1</v>
      </c>
      <c r="G1542" s="864"/>
      <c r="H1542" s="864">
        <v>0</v>
      </c>
      <c r="I1542" s="864">
        <v>0</v>
      </c>
      <c r="J1542" s="864">
        <v>0</v>
      </c>
      <c r="K1542" s="864">
        <v>25952.395934158139</v>
      </c>
      <c r="L1542" s="18" t="s">
        <v>11004</v>
      </c>
      <c r="M1542" s="442"/>
      <c r="N1542" s="433"/>
      <c r="P1542" s="433"/>
      <c r="T1542" s="443"/>
      <c r="U1542" s="440"/>
      <c r="V1542" s="440"/>
      <c r="W1542" s="440"/>
      <c r="X1542" s="442"/>
    </row>
    <row r="1543" spans="1:24" x14ac:dyDescent="0.25">
      <c r="A1543" s="862">
        <v>2261</v>
      </c>
      <c r="B1543" s="863" t="s">
        <v>8680</v>
      </c>
      <c r="C1543" s="862">
        <v>2261</v>
      </c>
      <c r="D1543" s="165" t="s">
        <v>2160</v>
      </c>
      <c r="E1543" s="165" t="s">
        <v>8681</v>
      </c>
      <c r="F1543" s="163">
        <v>1</v>
      </c>
      <c r="G1543" s="864"/>
      <c r="H1543" s="864">
        <v>0</v>
      </c>
      <c r="I1543" s="864">
        <v>28866.491669252129</v>
      </c>
      <c r="J1543" s="864">
        <v>29908.944082195183</v>
      </c>
      <c r="K1543" s="864">
        <v>31006.255727979176</v>
      </c>
      <c r="L1543" s="18" t="s">
        <v>3984</v>
      </c>
      <c r="M1543" s="442"/>
      <c r="N1543" s="433"/>
      <c r="P1543" s="433"/>
      <c r="T1543" s="443"/>
      <c r="U1543" s="440"/>
      <c r="V1543" s="440"/>
      <c r="W1543" s="440"/>
      <c r="X1543" s="442"/>
    </row>
    <row r="1544" spans="1:24" x14ac:dyDescent="0.25">
      <c r="A1544" s="862">
        <v>2262</v>
      </c>
      <c r="B1544" s="863" t="s">
        <v>8682</v>
      </c>
      <c r="C1544" s="862">
        <v>2262</v>
      </c>
      <c r="D1544" s="165" t="s">
        <v>2160</v>
      </c>
      <c r="E1544" s="165" t="s">
        <v>8683</v>
      </c>
      <c r="F1544" s="163">
        <v>1</v>
      </c>
      <c r="G1544" s="864"/>
      <c r="H1544" s="864">
        <v>0</v>
      </c>
      <c r="I1544" s="864">
        <v>26818.150754368584</v>
      </c>
      <c r="J1544" s="864">
        <v>27734.291476881535</v>
      </c>
      <c r="K1544" s="864">
        <v>28698.645676405155</v>
      </c>
      <c r="L1544" s="18" t="s">
        <v>3985</v>
      </c>
      <c r="M1544" s="442"/>
      <c r="N1544" s="433"/>
      <c r="P1544" s="433"/>
      <c r="T1544" s="443"/>
      <c r="U1544" s="440"/>
      <c r="V1544" s="440"/>
      <c r="W1544" s="440"/>
      <c r="X1544" s="442"/>
    </row>
    <row r="1545" spans="1:24" x14ac:dyDescent="0.25">
      <c r="A1545" s="862">
        <v>2263</v>
      </c>
      <c r="B1545" s="863" t="s">
        <v>8684</v>
      </c>
      <c r="C1545" s="862">
        <v>2263</v>
      </c>
      <c r="D1545" s="165" t="s">
        <v>2160</v>
      </c>
      <c r="E1545" s="165" t="s">
        <v>8685</v>
      </c>
      <c r="F1545" s="163">
        <v>1</v>
      </c>
      <c r="G1545" s="864"/>
      <c r="H1545" s="864">
        <v>0</v>
      </c>
      <c r="I1545" s="864">
        <v>27844.001937640209</v>
      </c>
      <c r="J1545" s="864">
        <v>28846.325837671811</v>
      </c>
      <c r="K1545" s="864">
        <v>29901.434817450856</v>
      </c>
      <c r="L1545" s="18" t="s">
        <v>3987</v>
      </c>
      <c r="M1545" s="442"/>
      <c r="N1545" s="433"/>
      <c r="P1545" s="433"/>
      <c r="T1545" s="443"/>
      <c r="U1545" s="440"/>
      <c r="V1545" s="440"/>
      <c r="W1545" s="440"/>
      <c r="X1545" s="442"/>
    </row>
    <row r="1546" spans="1:24" x14ac:dyDescent="0.25">
      <c r="A1546" s="862">
        <v>2264</v>
      </c>
      <c r="B1546" s="863" t="s">
        <v>8686</v>
      </c>
      <c r="C1546" s="862">
        <v>2264</v>
      </c>
      <c r="D1546" s="165" t="s">
        <v>2160</v>
      </c>
      <c r="E1546" s="165" t="s">
        <v>8687</v>
      </c>
      <c r="F1546" s="163">
        <v>1</v>
      </c>
      <c r="G1546" s="864"/>
      <c r="H1546" s="864">
        <v>0</v>
      </c>
      <c r="I1546" s="864">
        <v>29224.363075316312</v>
      </c>
      <c r="J1546" s="864">
        <v>30280.826604054382</v>
      </c>
      <c r="K1546" s="864">
        <v>31392.911299422864</v>
      </c>
      <c r="L1546" s="18" t="s">
        <v>3986</v>
      </c>
      <c r="M1546" s="442"/>
      <c r="N1546" s="433"/>
      <c r="P1546" s="433"/>
      <c r="T1546" s="443"/>
      <c r="U1546" s="440"/>
      <c r="V1546" s="440"/>
      <c r="W1546" s="440"/>
      <c r="X1546" s="442"/>
    </row>
    <row r="1547" spans="1:24" x14ac:dyDescent="0.25">
      <c r="A1547" s="862">
        <v>2265</v>
      </c>
      <c r="B1547" s="863" t="s">
        <v>8688</v>
      </c>
      <c r="C1547" s="862">
        <v>2265</v>
      </c>
      <c r="D1547" s="165" t="s">
        <v>2160</v>
      </c>
      <c r="E1547" s="165" t="s">
        <v>8689</v>
      </c>
      <c r="F1547" s="163">
        <v>1</v>
      </c>
      <c r="G1547" s="864"/>
      <c r="H1547" s="864">
        <v>0</v>
      </c>
      <c r="I1547" s="864">
        <v>26867.85326137716</v>
      </c>
      <c r="J1547" s="864">
        <v>27949.440342698937</v>
      </c>
      <c r="K1547" s="864">
        <v>28974.10916672755</v>
      </c>
      <c r="L1547" s="18" t="s">
        <v>4706</v>
      </c>
      <c r="M1547" s="442"/>
      <c r="N1547" s="433"/>
      <c r="P1547" s="433"/>
      <c r="T1547" s="443"/>
      <c r="U1547" s="440"/>
      <c r="V1547" s="440"/>
      <c r="W1547" s="440"/>
      <c r="X1547" s="442"/>
    </row>
    <row r="1548" spans="1:24" x14ac:dyDescent="0.25">
      <c r="A1548" s="862">
        <v>2266</v>
      </c>
      <c r="B1548" s="863" t="s">
        <v>8690</v>
      </c>
      <c r="C1548" s="862">
        <v>2266</v>
      </c>
      <c r="D1548" s="165" t="s">
        <v>2160</v>
      </c>
      <c r="E1548" s="165" t="s">
        <v>8691</v>
      </c>
      <c r="F1548" s="163">
        <v>1</v>
      </c>
      <c r="G1548" s="864"/>
      <c r="H1548" s="864">
        <v>28857.701718719203</v>
      </c>
      <c r="I1548" s="864">
        <v>29932.279162443298</v>
      </c>
      <c r="J1548" s="864">
        <v>31063.401016121999</v>
      </c>
      <c r="K1548" s="864">
        <v>32254.058058463641</v>
      </c>
      <c r="L1548" s="18" t="s">
        <v>2018</v>
      </c>
      <c r="M1548" s="442"/>
      <c r="N1548" s="433"/>
      <c r="P1548" s="433"/>
      <c r="T1548" s="443"/>
      <c r="U1548" s="440"/>
      <c r="V1548" s="440"/>
      <c r="W1548" s="440"/>
      <c r="X1548" s="442"/>
    </row>
    <row r="1549" spans="1:24" x14ac:dyDescent="0.25">
      <c r="A1549" s="862">
        <v>2267</v>
      </c>
      <c r="B1549" s="863" t="s">
        <v>8692</v>
      </c>
      <c r="C1549" s="862">
        <v>2267</v>
      </c>
      <c r="D1549" s="165" t="s">
        <v>2160</v>
      </c>
      <c r="E1549" s="165" t="s">
        <v>8693</v>
      </c>
      <c r="F1549" s="163">
        <v>1</v>
      </c>
      <c r="G1549" s="864"/>
      <c r="H1549" s="864">
        <v>31457.587298241637</v>
      </c>
      <c r="I1549" s="864">
        <v>32637.309305930899</v>
      </c>
      <c r="J1549" s="864">
        <v>33879.136702735603</v>
      </c>
      <c r="K1549" s="864">
        <v>35186.293921950659</v>
      </c>
      <c r="L1549" s="18" t="s">
        <v>2019</v>
      </c>
      <c r="M1549" s="442"/>
      <c r="N1549" s="433"/>
      <c r="P1549" s="433"/>
      <c r="T1549" s="443"/>
      <c r="U1549" s="440"/>
      <c r="V1549" s="440"/>
      <c r="W1549" s="440"/>
      <c r="X1549" s="442"/>
    </row>
    <row r="1550" spans="1:24" x14ac:dyDescent="0.25">
      <c r="A1550" s="862">
        <v>2268</v>
      </c>
      <c r="B1550" s="863" t="s">
        <v>8694</v>
      </c>
      <c r="C1550" s="862">
        <v>2268</v>
      </c>
      <c r="D1550" s="165" t="s">
        <v>2160</v>
      </c>
      <c r="E1550" s="165" t="s">
        <v>8695</v>
      </c>
      <c r="F1550" s="163">
        <v>1</v>
      </c>
      <c r="G1550" s="864"/>
      <c r="H1550" s="864">
        <v>36946.234632788975</v>
      </c>
      <c r="I1550" s="864">
        <v>38347.928497738052</v>
      </c>
      <c r="J1550" s="864">
        <v>39823.410481132036</v>
      </c>
      <c r="K1550" s="864">
        <v>41376.512518190975</v>
      </c>
      <c r="L1550" s="18" t="s">
        <v>3066</v>
      </c>
      <c r="M1550" s="442"/>
      <c r="N1550" s="433"/>
      <c r="P1550" s="433"/>
      <c r="T1550" s="443"/>
      <c r="U1550" s="440"/>
      <c r="V1550" s="440"/>
      <c r="W1550" s="440"/>
      <c r="X1550" s="442"/>
    </row>
    <row r="1551" spans="1:24" x14ac:dyDescent="0.25">
      <c r="A1551" s="862">
        <v>2269</v>
      </c>
      <c r="B1551" s="863" t="s">
        <v>8696</v>
      </c>
      <c r="C1551" s="862">
        <v>2269</v>
      </c>
      <c r="D1551" s="165" t="s">
        <v>2160</v>
      </c>
      <c r="E1551" s="165" t="s">
        <v>8697</v>
      </c>
      <c r="F1551" s="163">
        <v>1</v>
      </c>
      <c r="G1551" s="864"/>
      <c r="H1551" s="864">
        <v>36376.12110635898</v>
      </c>
      <c r="I1551" s="864">
        <v>37737.205804158846</v>
      </c>
      <c r="J1551" s="864">
        <v>39169.975729124308</v>
      </c>
      <c r="K1551" s="864">
        <v>40678.122623723459</v>
      </c>
      <c r="L1551" s="18" t="s">
        <v>3067</v>
      </c>
      <c r="M1551" s="442"/>
      <c r="N1551" s="433"/>
      <c r="P1551" s="433"/>
      <c r="T1551" s="443"/>
      <c r="U1551" s="440"/>
      <c r="V1551" s="440"/>
      <c r="W1551" s="440"/>
      <c r="X1551" s="442"/>
    </row>
    <row r="1552" spans="1:24" x14ac:dyDescent="0.25">
      <c r="A1552" s="862">
        <v>2270</v>
      </c>
      <c r="B1552" s="863" t="s">
        <v>8698</v>
      </c>
      <c r="C1552" s="862">
        <v>2270</v>
      </c>
      <c r="D1552" s="165" t="s">
        <v>2160</v>
      </c>
      <c r="E1552" s="165" t="s">
        <v>8699</v>
      </c>
      <c r="F1552" s="163">
        <v>1</v>
      </c>
      <c r="G1552" s="864"/>
      <c r="H1552" s="864">
        <v>40094.918826097426</v>
      </c>
      <c r="I1552" s="864">
        <v>40996.268358284251</v>
      </c>
      <c r="J1552" s="864">
        <v>41945.081919558979</v>
      </c>
      <c r="K1552" s="864">
        <v>42943.817512463691</v>
      </c>
      <c r="L1552" s="18" t="s">
        <v>3988</v>
      </c>
      <c r="M1552" s="442"/>
      <c r="N1552" s="433"/>
      <c r="P1552" s="433"/>
      <c r="T1552" s="443"/>
      <c r="U1552" s="440"/>
      <c r="V1552" s="440"/>
      <c r="W1552" s="440"/>
      <c r="X1552" s="442"/>
    </row>
    <row r="1553" spans="1:24" x14ac:dyDescent="0.25">
      <c r="A1553" s="862">
        <v>2271</v>
      </c>
      <c r="B1553" s="863" t="s">
        <v>8700</v>
      </c>
      <c r="C1553" s="862">
        <v>2271</v>
      </c>
      <c r="D1553" s="165" t="s">
        <v>2160</v>
      </c>
      <c r="E1553" s="165" t="s">
        <v>8701</v>
      </c>
      <c r="F1553" s="163">
        <v>1</v>
      </c>
      <c r="G1553" s="864"/>
      <c r="H1553" s="864">
        <v>36481.654259456001</v>
      </c>
      <c r="I1553" s="864">
        <v>37413.261802936046</v>
      </c>
      <c r="J1553" s="864">
        <v>38393.8819171055</v>
      </c>
      <c r="K1553" s="864">
        <v>39426.120084658985</v>
      </c>
      <c r="L1553" s="18" t="s">
        <v>2020</v>
      </c>
      <c r="M1553" s="442"/>
      <c r="N1553" s="433"/>
      <c r="P1553" s="433"/>
      <c r="T1553" s="443"/>
      <c r="U1553" s="440"/>
      <c r="V1553" s="440"/>
      <c r="W1553" s="440"/>
      <c r="X1553" s="442"/>
    </row>
    <row r="1554" spans="1:24" x14ac:dyDescent="0.25">
      <c r="A1554" s="862">
        <v>2272</v>
      </c>
      <c r="B1554" s="863" t="s">
        <v>8702</v>
      </c>
      <c r="C1554" s="862">
        <v>2272</v>
      </c>
      <c r="D1554" s="165" t="s">
        <v>2160</v>
      </c>
      <c r="E1554" s="165" t="s">
        <v>8703</v>
      </c>
      <c r="F1554" s="163">
        <v>1</v>
      </c>
      <c r="G1554" s="864"/>
      <c r="H1554" s="864">
        <v>53680.452634156907</v>
      </c>
      <c r="I1554" s="864">
        <v>55190.938595446154</v>
      </c>
      <c r="J1554" s="864">
        <v>56780.913298701438</v>
      </c>
      <c r="K1554" s="864">
        <v>58454.573886548111</v>
      </c>
      <c r="L1554" s="18" t="s">
        <v>2021</v>
      </c>
      <c r="M1554" s="442"/>
      <c r="N1554" s="433"/>
      <c r="P1554" s="433"/>
      <c r="T1554" s="443"/>
      <c r="U1554" s="440"/>
      <c r="V1554" s="440"/>
      <c r="W1554" s="440"/>
      <c r="X1554" s="442"/>
    </row>
    <row r="1555" spans="1:24" x14ac:dyDescent="0.25">
      <c r="A1555" s="862">
        <v>2273</v>
      </c>
      <c r="B1555" s="863" t="s">
        <v>8704</v>
      </c>
      <c r="C1555" s="862">
        <v>2273</v>
      </c>
      <c r="D1555" s="165" t="s">
        <v>2160</v>
      </c>
      <c r="E1555" s="165" t="s">
        <v>8705</v>
      </c>
      <c r="F1555" s="163">
        <v>1</v>
      </c>
      <c r="G1555" s="864"/>
      <c r="H1555" s="864">
        <v>0</v>
      </c>
      <c r="I1555" s="864">
        <v>66181.546428992951</v>
      </c>
      <c r="J1555" s="864">
        <v>67885.500678917917</v>
      </c>
      <c r="K1555" s="864">
        <v>69679.136731470498</v>
      </c>
      <c r="L1555" s="18" t="s">
        <v>3989</v>
      </c>
      <c r="M1555" s="442"/>
      <c r="N1555" s="433"/>
      <c r="P1555" s="433"/>
      <c r="T1555" s="443"/>
      <c r="U1555" s="440"/>
      <c r="V1555" s="440"/>
      <c r="W1555" s="440"/>
      <c r="X1555" s="442"/>
    </row>
    <row r="1556" spans="1:24" x14ac:dyDescent="0.25">
      <c r="A1556" s="862">
        <v>2274</v>
      </c>
      <c r="B1556" s="863" t="s">
        <v>8706</v>
      </c>
      <c r="C1556" s="862">
        <v>2274</v>
      </c>
      <c r="D1556" s="165" t="s">
        <v>2160</v>
      </c>
      <c r="E1556" s="165" t="s">
        <v>8707</v>
      </c>
      <c r="F1556" s="163">
        <v>1</v>
      </c>
      <c r="G1556" s="864"/>
      <c r="H1556" s="864">
        <v>0</v>
      </c>
      <c r="I1556" s="864">
        <v>0</v>
      </c>
      <c r="J1556" s="864">
        <v>0</v>
      </c>
      <c r="K1556" s="864">
        <v>25032.155175707401</v>
      </c>
      <c r="L1556" s="18" t="s">
        <v>11005</v>
      </c>
      <c r="M1556" s="442"/>
      <c r="N1556" s="433"/>
      <c r="P1556" s="433"/>
      <c r="T1556" s="443"/>
      <c r="U1556" s="440"/>
      <c r="V1556" s="440"/>
      <c r="W1556" s="440"/>
      <c r="X1556" s="442"/>
    </row>
    <row r="1557" spans="1:24" x14ac:dyDescent="0.25">
      <c r="A1557" s="862">
        <v>2275</v>
      </c>
      <c r="B1557" s="863" t="s">
        <v>8708</v>
      </c>
      <c r="C1557" s="862">
        <v>2275</v>
      </c>
      <c r="D1557" s="165" t="s">
        <v>2160</v>
      </c>
      <c r="E1557" s="165" t="s">
        <v>8709</v>
      </c>
      <c r="F1557" s="163">
        <v>1</v>
      </c>
      <c r="G1557" s="864"/>
      <c r="H1557" s="864">
        <v>0</v>
      </c>
      <c r="I1557" s="864">
        <v>27077.13463893126</v>
      </c>
      <c r="J1557" s="864">
        <v>28049.404483934257</v>
      </c>
      <c r="K1557" s="864">
        <v>29072.850881795825</v>
      </c>
      <c r="L1557" s="18" t="s">
        <v>3990</v>
      </c>
      <c r="M1557" s="442"/>
      <c r="N1557" s="433"/>
      <c r="P1557" s="433"/>
      <c r="T1557" s="443"/>
      <c r="U1557" s="440"/>
      <c r="V1557" s="440"/>
      <c r="W1557" s="440"/>
      <c r="X1557" s="442"/>
    </row>
    <row r="1558" spans="1:24" x14ac:dyDescent="0.25">
      <c r="A1558" s="862">
        <v>2276</v>
      </c>
      <c r="B1558" s="863" t="s">
        <v>8710</v>
      </c>
      <c r="C1558" s="862">
        <v>2276</v>
      </c>
      <c r="D1558" s="165" t="s">
        <v>2160</v>
      </c>
      <c r="E1558" s="165" t="s">
        <v>8711</v>
      </c>
      <c r="F1558" s="163">
        <v>1</v>
      </c>
      <c r="G1558" s="864"/>
      <c r="H1558" s="864">
        <v>0</v>
      </c>
      <c r="I1558" s="864">
        <v>32445.205729893885</v>
      </c>
      <c r="J1558" s="864">
        <v>33628.023278717024</v>
      </c>
      <c r="K1558" s="864">
        <v>34873.065420345891</v>
      </c>
      <c r="L1558" s="18" t="s">
        <v>3991</v>
      </c>
      <c r="M1558" s="442"/>
      <c r="N1558" s="433"/>
      <c r="P1558" s="433"/>
      <c r="T1558" s="443"/>
      <c r="U1558" s="440"/>
      <c r="V1558" s="440"/>
      <c r="W1558" s="440"/>
      <c r="X1558" s="442"/>
    </row>
    <row r="1559" spans="1:24" x14ac:dyDescent="0.25">
      <c r="A1559" s="862">
        <v>2277</v>
      </c>
      <c r="B1559" s="863" t="s">
        <v>8712</v>
      </c>
      <c r="C1559" s="862">
        <v>2277</v>
      </c>
      <c r="D1559" s="165" t="s">
        <v>2160</v>
      </c>
      <c r="E1559" s="165" t="s">
        <v>8713</v>
      </c>
      <c r="F1559" s="163">
        <v>1</v>
      </c>
      <c r="G1559" s="864"/>
      <c r="H1559" s="864">
        <v>0</v>
      </c>
      <c r="I1559" s="864">
        <v>36535.164656341607</v>
      </c>
      <c r="J1559" s="864">
        <v>37878.369267845592</v>
      </c>
      <c r="K1559" s="864">
        <v>39292.264403149275</v>
      </c>
      <c r="L1559" s="18" t="s">
        <v>3992</v>
      </c>
      <c r="M1559" s="442"/>
      <c r="N1559" s="433"/>
      <c r="P1559" s="433"/>
      <c r="T1559" s="443"/>
      <c r="U1559" s="440"/>
      <c r="V1559" s="440"/>
      <c r="W1559" s="440"/>
      <c r="X1559" s="442"/>
    </row>
    <row r="1560" spans="1:24" x14ac:dyDescent="0.25">
      <c r="A1560" s="862">
        <v>2278</v>
      </c>
      <c r="B1560" s="863" t="s">
        <v>8714</v>
      </c>
      <c r="C1560" s="862">
        <v>2278</v>
      </c>
      <c r="D1560" s="165" t="s">
        <v>2160</v>
      </c>
      <c r="E1560" s="165" t="s">
        <v>8715</v>
      </c>
      <c r="F1560" s="163">
        <v>1</v>
      </c>
      <c r="G1560" s="864"/>
      <c r="H1560" s="864">
        <v>0</v>
      </c>
      <c r="I1560" s="864">
        <v>0</v>
      </c>
      <c r="J1560" s="864">
        <v>53406.24522793846</v>
      </c>
      <c r="K1560" s="864">
        <v>55411.147005931496</v>
      </c>
      <c r="L1560" s="18" t="s">
        <v>4707</v>
      </c>
      <c r="M1560" s="442"/>
      <c r="N1560" s="433"/>
      <c r="P1560" s="433"/>
      <c r="T1560" s="443"/>
      <c r="U1560" s="440"/>
      <c r="V1560" s="440"/>
      <c r="W1560" s="440"/>
      <c r="X1560" s="442"/>
    </row>
    <row r="1561" spans="1:24" x14ac:dyDescent="0.25">
      <c r="A1561" s="862">
        <v>2279</v>
      </c>
      <c r="B1561" s="863" t="s">
        <v>8716</v>
      </c>
      <c r="C1561" s="862">
        <v>2279</v>
      </c>
      <c r="D1561" s="165" t="s">
        <v>2160</v>
      </c>
      <c r="E1561" s="165" t="s">
        <v>8717</v>
      </c>
      <c r="F1561" s="163">
        <v>1</v>
      </c>
      <c r="G1561" s="864"/>
      <c r="H1561" s="864">
        <v>53827.001137007959</v>
      </c>
      <c r="I1561" s="864">
        <v>55950.002652366951</v>
      </c>
      <c r="J1561" s="864">
        <v>58184.669797536459</v>
      </c>
      <c r="K1561" s="864">
        <v>60536.971053867244</v>
      </c>
      <c r="L1561" s="18" t="s">
        <v>3993</v>
      </c>
      <c r="M1561" s="442"/>
      <c r="N1561" s="433"/>
      <c r="P1561" s="433"/>
      <c r="T1561" s="443"/>
      <c r="U1561" s="440"/>
      <c r="V1561" s="440"/>
      <c r="W1561" s="440"/>
      <c r="X1561" s="442"/>
    </row>
    <row r="1562" spans="1:24" x14ac:dyDescent="0.25">
      <c r="A1562" s="862">
        <v>2280</v>
      </c>
      <c r="B1562" s="863" t="s">
        <v>8718</v>
      </c>
      <c r="C1562" s="862">
        <v>2280</v>
      </c>
      <c r="D1562" s="165" t="s">
        <v>2160</v>
      </c>
      <c r="E1562" s="165" t="s">
        <v>8719</v>
      </c>
      <c r="F1562" s="163">
        <v>1</v>
      </c>
      <c r="G1562" s="864"/>
      <c r="H1562" s="864">
        <v>0</v>
      </c>
      <c r="I1562" s="864">
        <v>0</v>
      </c>
      <c r="J1562" s="864">
        <v>0</v>
      </c>
      <c r="K1562" s="864">
        <v>57922.483254269624</v>
      </c>
      <c r="L1562" s="18" t="s">
        <v>11006</v>
      </c>
      <c r="M1562" s="442"/>
      <c r="N1562" s="433"/>
      <c r="P1562" s="433"/>
      <c r="T1562" s="443"/>
      <c r="U1562" s="440"/>
      <c r="V1562" s="440"/>
      <c r="W1562" s="440"/>
      <c r="X1562" s="442"/>
    </row>
    <row r="1563" spans="1:24" x14ac:dyDescent="0.25">
      <c r="A1563" s="862">
        <v>2281</v>
      </c>
      <c r="B1563" s="863" t="s">
        <v>8720</v>
      </c>
      <c r="C1563" s="862">
        <v>2281</v>
      </c>
      <c r="D1563" s="165" t="s">
        <v>2160</v>
      </c>
      <c r="E1563" s="165" t="s">
        <v>8721</v>
      </c>
      <c r="F1563" s="163">
        <v>1</v>
      </c>
      <c r="G1563" s="864"/>
      <c r="H1563" s="864">
        <v>54432.772121582973</v>
      </c>
      <c r="I1563" s="864">
        <v>56612.495374601574</v>
      </c>
      <c r="J1563" s="864">
        <v>58906.93199258855</v>
      </c>
      <c r="K1563" s="864">
        <v>61322.177445859532</v>
      </c>
      <c r="L1563" s="18" t="s">
        <v>3068</v>
      </c>
      <c r="M1563" s="442"/>
      <c r="N1563" s="433"/>
      <c r="P1563" s="433"/>
      <c r="T1563" s="443"/>
      <c r="U1563" s="440"/>
      <c r="V1563" s="440"/>
      <c r="W1563" s="440"/>
      <c r="X1563" s="442"/>
    </row>
    <row r="1564" spans="1:24" x14ac:dyDescent="0.25">
      <c r="A1564" s="862">
        <v>2282</v>
      </c>
      <c r="B1564" s="863" t="s">
        <v>8722</v>
      </c>
      <c r="C1564" s="862">
        <v>2282</v>
      </c>
      <c r="D1564" s="165" t="s">
        <v>2160</v>
      </c>
      <c r="E1564" s="165" t="s">
        <v>8723</v>
      </c>
      <c r="F1564" s="163">
        <v>1</v>
      </c>
      <c r="G1564" s="864"/>
      <c r="H1564" s="864">
        <v>80356.320190958242</v>
      </c>
      <c r="I1564" s="864">
        <v>86642.273953984302</v>
      </c>
      <c r="J1564" s="864">
        <v>89950.675127119568</v>
      </c>
      <c r="K1564" s="864">
        <v>0</v>
      </c>
      <c r="L1564" s="18" t="s">
        <v>3994</v>
      </c>
      <c r="M1564" s="442"/>
      <c r="N1564" s="433"/>
      <c r="P1564" s="433"/>
      <c r="T1564" s="443"/>
      <c r="U1564" s="440"/>
      <c r="V1564" s="440"/>
      <c r="W1564" s="440"/>
      <c r="X1564" s="442"/>
    </row>
    <row r="1565" spans="1:24" x14ac:dyDescent="0.25">
      <c r="A1565" s="862">
        <v>2283</v>
      </c>
      <c r="B1565" s="863" t="s">
        <v>8724</v>
      </c>
      <c r="C1565" s="862">
        <v>2283</v>
      </c>
      <c r="D1565" s="165" t="s">
        <v>2160</v>
      </c>
      <c r="E1565" s="165" t="s">
        <v>8725</v>
      </c>
      <c r="F1565" s="163">
        <v>1</v>
      </c>
      <c r="G1565" s="864"/>
      <c r="H1565" s="864">
        <v>0</v>
      </c>
      <c r="I1565" s="864">
        <v>0</v>
      </c>
      <c r="J1565" s="864">
        <v>0</v>
      </c>
      <c r="K1565" s="864">
        <v>105979.50064003038</v>
      </c>
      <c r="L1565" s="18" t="s">
        <v>11007</v>
      </c>
      <c r="M1565" s="442"/>
      <c r="N1565" s="433"/>
      <c r="P1565" s="433"/>
      <c r="T1565" s="443"/>
      <c r="U1565" s="440"/>
      <c r="V1565" s="440"/>
      <c r="W1565" s="440"/>
      <c r="X1565" s="442"/>
    </row>
    <row r="1566" spans="1:24" x14ac:dyDescent="0.25">
      <c r="A1566" s="862">
        <v>2284</v>
      </c>
      <c r="B1566" s="863" t="s">
        <v>8726</v>
      </c>
      <c r="C1566" s="862">
        <v>2284</v>
      </c>
      <c r="D1566" s="165" t="s">
        <v>2160</v>
      </c>
      <c r="E1566" s="165" t="s">
        <v>8727</v>
      </c>
      <c r="F1566" s="163">
        <v>1</v>
      </c>
      <c r="G1566" s="864"/>
      <c r="H1566" s="864">
        <v>0</v>
      </c>
      <c r="I1566" s="864">
        <v>0</v>
      </c>
      <c r="J1566" s="864">
        <v>104530.73180853501</v>
      </c>
      <c r="K1566" s="864">
        <v>0</v>
      </c>
      <c r="L1566" s="18" t="s">
        <v>4708</v>
      </c>
      <c r="M1566" s="442"/>
      <c r="N1566" s="433"/>
      <c r="P1566" s="433"/>
      <c r="T1566" s="443"/>
      <c r="U1566" s="440"/>
      <c r="V1566" s="440"/>
      <c r="W1566" s="440"/>
      <c r="X1566" s="442"/>
    </row>
    <row r="1567" spans="1:24" x14ac:dyDescent="0.25">
      <c r="A1567" s="862">
        <v>2285</v>
      </c>
      <c r="B1567" s="863" t="s">
        <v>8728</v>
      </c>
      <c r="C1567" s="862">
        <v>2285</v>
      </c>
      <c r="D1567" s="165" t="s">
        <v>2160</v>
      </c>
      <c r="E1567" s="165" t="s">
        <v>8729</v>
      </c>
      <c r="F1567" s="163">
        <v>1</v>
      </c>
      <c r="G1567" s="864"/>
      <c r="H1567" s="864">
        <v>32808.189584616121</v>
      </c>
      <c r="I1567" s="864">
        <v>34005.187567854176</v>
      </c>
      <c r="J1567" s="864">
        <v>35265.214407342362</v>
      </c>
      <c r="K1567" s="864">
        <v>36591.571816168347</v>
      </c>
      <c r="L1567" s="18" t="s">
        <v>3069</v>
      </c>
      <c r="M1567" s="442"/>
      <c r="N1567" s="433"/>
      <c r="P1567" s="433"/>
      <c r="T1567" s="443"/>
      <c r="U1567" s="440"/>
      <c r="V1567" s="440"/>
      <c r="W1567" s="440"/>
      <c r="X1567" s="442"/>
    </row>
    <row r="1568" spans="1:24" x14ac:dyDescent="0.25">
      <c r="A1568" s="862">
        <v>2286</v>
      </c>
      <c r="B1568" s="863" t="s">
        <v>8730</v>
      </c>
      <c r="C1568" s="862">
        <v>2286</v>
      </c>
      <c r="D1568" s="165" t="s">
        <v>2160</v>
      </c>
      <c r="E1568" s="165" t="s">
        <v>8731</v>
      </c>
      <c r="F1568" s="163">
        <v>1</v>
      </c>
      <c r="G1568" s="864"/>
      <c r="H1568" s="864">
        <v>27615.605039463182</v>
      </c>
      <c r="I1568" s="864">
        <v>28273.449951800038</v>
      </c>
      <c r="J1568" s="864">
        <v>28965.97501461775</v>
      </c>
      <c r="K1568" s="864">
        <v>29694.908659853467</v>
      </c>
      <c r="L1568" s="18" t="s">
        <v>2022</v>
      </c>
      <c r="M1568" s="442"/>
      <c r="N1568" s="433"/>
      <c r="P1568" s="433"/>
      <c r="T1568" s="443"/>
      <c r="U1568" s="440"/>
      <c r="V1568" s="440"/>
      <c r="W1568" s="440"/>
      <c r="X1568" s="442"/>
    </row>
    <row r="1569" spans="1:24" x14ac:dyDescent="0.25">
      <c r="A1569" s="862">
        <v>2287</v>
      </c>
      <c r="B1569" s="863" t="s">
        <v>8732</v>
      </c>
      <c r="C1569" s="862">
        <v>2287</v>
      </c>
      <c r="D1569" s="165" t="s">
        <v>2160</v>
      </c>
      <c r="E1569" s="165" t="s">
        <v>8733</v>
      </c>
      <c r="F1569" s="163">
        <v>1</v>
      </c>
      <c r="G1569" s="864"/>
      <c r="H1569" s="864">
        <v>0</v>
      </c>
      <c r="I1569" s="864">
        <v>0</v>
      </c>
      <c r="J1569" s="864">
        <v>29735.598852833347</v>
      </c>
      <c r="K1569" s="864">
        <v>30430.986050256659</v>
      </c>
      <c r="L1569" s="18" t="s">
        <v>4709</v>
      </c>
      <c r="M1569" s="442"/>
      <c r="N1569" s="433"/>
      <c r="P1569" s="433"/>
      <c r="T1569" s="443"/>
      <c r="U1569" s="440"/>
      <c r="V1569" s="440"/>
      <c r="W1569" s="440"/>
      <c r="X1569" s="442"/>
    </row>
    <row r="1570" spans="1:24" x14ac:dyDescent="0.25">
      <c r="A1570" s="862">
        <v>2288</v>
      </c>
      <c r="B1570" s="863" t="s">
        <v>8734</v>
      </c>
      <c r="C1570" s="862">
        <v>2288</v>
      </c>
      <c r="D1570" s="165" t="s">
        <v>2160</v>
      </c>
      <c r="E1570" s="165" t="s">
        <v>8735</v>
      </c>
      <c r="F1570" s="163">
        <v>1</v>
      </c>
      <c r="G1570" s="864"/>
      <c r="H1570" s="864">
        <v>27415.808439343178</v>
      </c>
      <c r="I1570" s="864">
        <v>28034.605658132168</v>
      </c>
      <c r="J1570" s="864">
        <v>28685.982889671941</v>
      </c>
      <c r="K1570" s="864">
        <v>29371.649980609993</v>
      </c>
      <c r="L1570" s="18" t="s">
        <v>3995</v>
      </c>
      <c r="M1570" s="442"/>
      <c r="N1570" s="433"/>
      <c r="P1570" s="433"/>
      <c r="T1570" s="443"/>
      <c r="U1570" s="440"/>
      <c r="V1570" s="440"/>
      <c r="W1570" s="440"/>
      <c r="X1570" s="442"/>
    </row>
    <row r="1571" spans="1:24" x14ac:dyDescent="0.25">
      <c r="A1571" s="862">
        <v>2289</v>
      </c>
      <c r="B1571" s="863" t="s">
        <v>8736</v>
      </c>
      <c r="C1571" s="862">
        <v>2289</v>
      </c>
      <c r="D1571" s="165" t="s">
        <v>2160</v>
      </c>
      <c r="E1571" s="165" t="s">
        <v>8737</v>
      </c>
      <c r="F1571" s="163">
        <v>1</v>
      </c>
      <c r="G1571" s="864"/>
      <c r="H1571" s="864">
        <v>0</v>
      </c>
      <c r="I1571" s="864">
        <v>28974.176996390801</v>
      </c>
      <c r="J1571" s="864">
        <v>29649.306228099147</v>
      </c>
      <c r="K1571" s="864">
        <v>30359.989118901751</v>
      </c>
      <c r="L1571" s="18" t="s">
        <v>3996</v>
      </c>
      <c r="M1571" s="442"/>
      <c r="N1571" s="433"/>
      <c r="P1571" s="433"/>
      <c r="T1571" s="443"/>
      <c r="U1571" s="440"/>
      <c r="V1571" s="440"/>
      <c r="W1571" s="440"/>
      <c r="X1571" s="442"/>
    </row>
    <row r="1572" spans="1:24" x14ac:dyDescent="0.25">
      <c r="A1572" s="862">
        <v>2290</v>
      </c>
      <c r="B1572" s="863" t="s">
        <v>8738</v>
      </c>
      <c r="C1572" s="862">
        <v>2290</v>
      </c>
      <c r="D1572" s="165" t="s">
        <v>2160</v>
      </c>
      <c r="E1572" s="165" t="s">
        <v>8739</v>
      </c>
      <c r="F1572" s="163">
        <v>1</v>
      </c>
      <c r="G1572" s="864"/>
      <c r="H1572" s="864">
        <v>0</v>
      </c>
      <c r="I1572" s="864">
        <v>0</v>
      </c>
      <c r="J1572" s="864">
        <v>0</v>
      </c>
      <c r="K1572" s="864">
        <v>54798.469223121836</v>
      </c>
      <c r="L1572" s="18" t="s">
        <v>11008</v>
      </c>
      <c r="M1572" s="442"/>
      <c r="N1572" s="433"/>
      <c r="P1572" s="433"/>
      <c r="T1572" s="443"/>
      <c r="U1572" s="440"/>
      <c r="V1572" s="440"/>
      <c r="W1572" s="440"/>
      <c r="X1572" s="442"/>
    </row>
    <row r="1573" spans="1:24" x14ac:dyDescent="0.25">
      <c r="A1573" s="862">
        <v>2291</v>
      </c>
      <c r="B1573" s="863" t="s">
        <v>8740</v>
      </c>
      <c r="C1573" s="862">
        <v>2291</v>
      </c>
      <c r="D1573" s="165" t="s">
        <v>2160</v>
      </c>
      <c r="E1573" s="165" t="s">
        <v>8741</v>
      </c>
      <c r="F1573" s="163">
        <v>1</v>
      </c>
      <c r="G1573" s="864"/>
      <c r="H1573" s="864">
        <v>37210.051963342048</v>
      </c>
      <c r="I1573" s="864">
        <v>38118.129215482921</v>
      </c>
      <c r="J1573" s="864">
        <v>39073.989247305639</v>
      </c>
      <c r="K1573" s="864">
        <v>40080.159658202138</v>
      </c>
      <c r="L1573" s="18" t="s">
        <v>3070</v>
      </c>
      <c r="M1573" s="442"/>
      <c r="N1573" s="433"/>
      <c r="P1573" s="433"/>
      <c r="T1573" s="443"/>
      <c r="U1573" s="440"/>
      <c r="V1573" s="440"/>
      <c r="W1573" s="440"/>
      <c r="X1573" s="442"/>
    </row>
    <row r="1574" spans="1:24" x14ac:dyDescent="0.25">
      <c r="A1574" s="862">
        <v>2292</v>
      </c>
      <c r="B1574" s="863" t="s">
        <v>8742</v>
      </c>
      <c r="C1574" s="862">
        <v>2292</v>
      </c>
      <c r="D1574" s="165" t="s">
        <v>2160</v>
      </c>
      <c r="E1574" s="165" t="s">
        <v>8743</v>
      </c>
      <c r="F1574" s="163">
        <v>1</v>
      </c>
      <c r="G1574" s="864"/>
      <c r="H1574" s="864">
        <v>31660.946623872638</v>
      </c>
      <c r="I1574" s="864">
        <v>32424.876369513222</v>
      </c>
      <c r="J1574" s="864">
        <v>33229.024681949391</v>
      </c>
      <c r="K1574" s="864">
        <v>34075.491698911246</v>
      </c>
      <c r="L1574" s="18" t="s">
        <v>3071</v>
      </c>
      <c r="M1574" s="442"/>
      <c r="N1574" s="433"/>
      <c r="P1574" s="433"/>
      <c r="T1574" s="443"/>
      <c r="U1574" s="440"/>
      <c r="V1574" s="440"/>
      <c r="W1574" s="440"/>
      <c r="X1574" s="442"/>
    </row>
    <row r="1575" spans="1:24" x14ac:dyDescent="0.25">
      <c r="A1575" s="862">
        <v>2293</v>
      </c>
      <c r="B1575" s="863" t="s">
        <v>8744</v>
      </c>
      <c r="C1575" s="862">
        <v>2293</v>
      </c>
      <c r="D1575" s="165" t="s">
        <v>2160</v>
      </c>
      <c r="E1575" s="165" t="s">
        <v>8745</v>
      </c>
      <c r="F1575" s="163">
        <v>1</v>
      </c>
      <c r="G1575" s="864"/>
      <c r="H1575" s="864">
        <v>33602.435810775962</v>
      </c>
      <c r="I1575" s="864">
        <v>34394.708123127857</v>
      </c>
      <c r="J1575" s="864">
        <v>35228.630069578161</v>
      </c>
      <c r="K1575" s="864">
        <v>36106.450470174103</v>
      </c>
      <c r="L1575" s="18" t="s">
        <v>3072</v>
      </c>
      <c r="M1575" s="442"/>
      <c r="N1575" s="433"/>
      <c r="P1575" s="433"/>
      <c r="T1575" s="443"/>
      <c r="U1575" s="440"/>
      <c r="V1575" s="440"/>
      <c r="W1575" s="440"/>
      <c r="X1575" s="442"/>
    </row>
    <row r="1576" spans="1:24" x14ac:dyDescent="0.25">
      <c r="A1576" s="862">
        <v>2294</v>
      </c>
      <c r="B1576" s="863" t="s">
        <v>8746</v>
      </c>
      <c r="C1576" s="862">
        <v>2294</v>
      </c>
      <c r="D1576" s="165" t="s">
        <v>2160</v>
      </c>
      <c r="E1576" s="165" t="s">
        <v>8747</v>
      </c>
      <c r="F1576" s="163">
        <v>1</v>
      </c>
      <c r="G1576" s="864"/>
      <c r="H1576" s="864">
        <v>32336.970903733341</v>
      </c>
      <c r="I1576" s="864">
        <v>0</v>
      </c>
      <c r="J1576" s="864">
        <v>0</v>
      </c>
      <c r="K1576" s="864">
        <v>0</v>
      </c>
      <c r="L1576" s="18" t="s">
        <v>2023</v>
      </c>
      <c r="M1576" s="442"/>
      <c r="N1576" s="433"/>
      <c r="P1576" s="433"/>
      <c r="T1576" s="443"/>
      <c r="U1576" s="440"/>
      <c r="V1576" s="440"/>
      <c r="W1576" s="440"/>
      <c r="X1576" s="442"/>
    </row>
    <row r="1577" spans="1:24" x14ac:dyDescent="0.25">
      <c r="A1577" s="862">
        <v>2295</v>
      </c>
      <c r="B1577" s="863" t="s">
        <v>8748</v>
      </c>
      <c r="C1577" s="862">
        <v>2295</v>
      </c>
      <c r="D1577" s="165" t="s">
        <v>2160</v>
      </c>
      <c r="E1577" s="165" t="s">
        <v>8749</v>
      </c>
      <c r="F1577" s="163">
        <v>1</v>
      </c>
      <c r="G1577" s="864"/>
      <c r="H1577" s="864">
        <v>0</v>
      </c>
      <c r="I1577" s="864">
        <v>0</v>
      </c>
      <c r="J1577" s="864">
        <v>39866.244732500236</v>
      </c>
      <c r="K1577" s="864">
        <v>40816.938053801146</v>
      </c>
      <c r="L1577" s="18" t="s">
        <v>4710</v>
      </c>
      <c r="M1577" s="442"/>
      <c r="N1577" s="433"/>
      <c r="P1577" s="433"/>
      <c r="T1577" s="443"/>
      <c r="U1577" s="440"/>
      <c r="V1577" s="440"/>
      <c r="W1577" s="440"/>
      <c r="X1577" s="442"/>
    </row>
    <row r="1578" spans="1:24" x14ac:dyDescent="0.25">
      <c r="A1578" s="862">
        <v>2296</v>
      </c>
      <c r="B1578" s="863" t="s">
        <v>8750</v>
      </c>
      <c r="C1578" s="862">
        <v>2296</v>
      </c>
      <c r="D1578" s="165" t="s">
        <v>2160</v>
      </c>
      <c r="E1578" s="165" t="s">
        <v>8751</v>
      </c>
      <c r="F1578" s="163">
        <v>1</v>
      </c>
      <c r="G1578" s="864"/>
      <c r="H1578" s="864">
        <v>0</v>
      </c>
      <c r="I1578" s="864">
        <v>0</v>
      </c>
      <c r="J1578" s="864">
        <v>37082.329656178343</v>
      </c>
      <c r="K1578" s="864">
        <v>37962.603315007662</v>
      </c>
      <c r="L1578" s="18" t="s">
        <v>4711</v>
      </c>
      <c r="M1578" s="442"/>
      <c r="N1578" s="433"/>
      <c r="P1578" s="433"/>
      <c r="T1578" s="443"/>
      <c r="U1578" s="440"/>
      <c r="V1578" s="440"/>
      <c r="W1578" s="440"/>
      <c r="X1578" s="442"/>
    </row>
    <row r="1579" spans="1:24" x14ac:dyDescent="0.25">
      <c r="A1579" s="862">
        <v>2297</v>
      </c>
      <c r="B1579" s="863" t="s">
        <v>8752</v>
      </c>
      <c r="C1579" s="862">
        <v>2297</v>
      </c>
      <c r="D1579" s="165" t="s">
        <v>2160</v>
      </c>
      <c r="E1579" s="165" t="s">
        <v>8753</v>
      </c>
      <c r="F1579" s="163">
        <v>1</v>
      </c>
      <c r="G1579" s="864"/>
      <c r="H1579" s="864">
        <v>0</v>
      </c>
      <c r="I1579" s="864">
        <v>0</v>
      </c>
      <c r="J1579" s="864">
        <v>37082.329656178343</v>
      </c>
      <c r="K1579" s="864">
        <v>37962.603315007662</v>
      </c>
      <c r="L1579" s="18" t="s">
        <v>4712</v>
      </c>
      <c r="M1579" s="442"/>
      <c r="N1579" s="433"/>
      <c r="P1579" s="433"/>
      <c r="T1579" s="443"/>
      <c r="U1579" s="440"/>
      <c r="V1579" s="440"/>
      <c r="W1579" s="440"/>
      <c r="X1579" s="442"/>
    </row>
    <row r="1580" spans="1:24" x14ac:dyDescent="0.25">
      <c r="A1580" s="862">
        <v>2298</v>
      </c>
      <c r="B1580" s="863" t="s">
        <v>8754</v>
      </c>
      <c r="C1580" s="862">
        <v>2298</v>
      </c>
      <c r="D1580" s="165" t="s">
        <v>2160</v>
      </c>
      <c r="E1580" s="165" t="s">
        <v>8755</v>
      </c>
      <c r="F1580" s="163">
        <v>1</v>
      </c>
      <c r="G1580" s="864"/>
      <c r="H1580" s="864">
        <v>0</v>
      </c>
      <c r="I1580" s="864">
        <v>0</v>
      </c>
      <c r="J1580" s="864">
        <v>34997.873242782312</v>
      </c>
      <c r="K1580" s="864">
        <v>35825.401849594113</v>
      </c>
      <c r="L1580" s="18" t="s">
        <v>4713</v>
      </c>
      <c r="M1580" s="442"/>
      <c r="N1580" s="433"/>
      <c r="P1580" s="433"/>
      <c r="T1580" s="443"/>
      <c r="U1580" s="440"/>
      <c r="V1580" s="440"/>
      <c r="W1580" s="440"/>
      <c r="X1580" s="442"/>
    </row>
    <row r="1581" spans="1:24" x14ac:dyDescent="0.25">
      <c r="A1581" s="862">
        <v>2299</v>
      </c>
      <c r="B1581" s="863" t="s">
        <v>8756</v>
      </c>
      <c r="C1581" s="862">
        <v>2299</v>
      </c>
      <c r="D1581" s="165" t="s">
        <v>2160</v>
      </c>
      <c r="E1581" s="165" t="s">
        <v>8757</v>
      </c>
      <c r="F1581" s="163">
        <v>1</v>
      </c>
      <c r="G1581" s="864"/>
      <c r="H1581" s="864">
        <v>68232.346336311472</v>
      </c>
      <c r="I1581" s="864">
        <v>68232.346336311486</v>
      </c>
      <c r="J1581" s="864">
        <v>70818.688254970679</v>
      </c>
      <c r="K1581" s="864">
        <v>73541.162344012962</v>
      </c>
      <c r="L1581" s="18" t="s">
        <v>3997</v>
      </c>
      <c r="M1581" s="442"/>
      <c r="N1581" s="433"/>
      <c r="P1581" s="433"/>
      <c r="T1581" s="443"/>
      <c r="U1581" s="440"/>
      <c r="V1581" s="440"/>
      <c r="W1581" s="440"/>
      <c r="X1581" s="442"/>
    </row>
    <row r="1582" spans="1:24" x14ac:dyDescent="0.25">
      <c r="A1582" s="862">
        <v>2300</v>
      </c>
      <c r="B1582" s="863" t="s">
        <v>8758</v>
      </c>
      <c r="C1582" s="862">
        <v>2300</v>
      </c>
      <c r="D1582" s="165" t="s">
        <v>2160</v>
      </c>
      <c r="E1582" s="165" t="s">
        <v>8759</v>
      </c>
      <c r="F1582" s="163">
        <v>1</v>
      </c>
      <c r="G1582" s="864"/>
      <c r="H1582" s="864">
        <v>53131.996805281087</v>
      </c>
      <c r="I1582" s="864">
        <v>55153.237830092497</v>
      </c>
      <c r="J1582" s="864">
        <v>57280.853277843176</v>
      </c>
      <c r="K1582" s="864">
        <v>59520.472992644187</v>
      </c>
      <c r="L1582" s="18" t="s">
        <v>3073</v>
      </c>
      <c r="M1582" s="442"/>
      <c r="N1582" s="433"/>
      <c r="P1582" s="433"/>
      <c r="T1582" s="443"/>
      <c r="U1582" s="440"/>
      <c r="V1582" s="440"/>
      <c r="W1582" s="440"/>
      <c r="X1582" s="442"/>
    </row>
    <row r="1583" spans="1:24" x14ac:dyDescent="0.25">
      <c r="A1583" s="862">
        <v>2301</v>
      </c>
      <c r="B1583" s="863" t="s">
        <v>8760</v>
      </c>
      <c r="C1583" s="862">
        <v>2301</v>
      </c>
      <c r="D1583" s="165" t="s">
        <v>2160</v>
      </c>
      <c r="E1583" s="165" t="s">
        <v>8761</v>
      </c>
      <c r="F1583" s="163">
        <v>1</v>
      </c>
      <c r="G1583" s="864"/>
      <c r="H1583" s="864">
        <v>62583.60850818942</v>
      </c>
      <c r="I1583" s="864">
        <v>64978.916693969593</v>
      </c>
      <c r="J1583" s="864">
        <v>67500.324921905005</v>
      </c>
      <c r="K1583" s="864">
        <v>70154.436618170963</v>
      </c>
      <c r="L1583" s="18" t="s">
        <v>2024</v>
      </c>
      <c r="M1583" s="442"/>
      <c r="N1583" s="433"/>
      <c r="P1583" s="433"/>
      <c r="T1583" s="443"/>
      <c r="U1583" s="440"/>
      <c r="V1583" s="440"/>
      <c r="W1583" s="440"/>
      <c r="X1583" s="442"/>
    </row>
    <row r="1584" spans="1:24" x14ac:dyDescent="0.25">
      <c r="A1584" s="862">
        <v>2302</v>
      </c>
      <c r="B1584" s="863" t="s">
        <v>8762</v>
      </c>
      <c r="C1584" s="862">
        <v>2302</v>
      </c>
      <c r="D1584" s="165" t="s">
        <v>2160</v>
      </c>
      <c r="E1584" s="165" t="s">
        <v>8763</v>
      </c>
      <c r="F1584" s="163">
        <v>1</v>
      </c>
      <c r="G1584" s="864"/>
      <c r="H1584" s="864">
        <v>73207.061243503806</v>
      </c>
      <c r="I1584" s="864">
        <v>75167.807461357195</v>
      </c>
      <c r="J1584" s="864">
        <v>77231.746194599589</v>
      </c>
      <c r="K1584" s="864">
        <v>79404.315609209036</v>
      </c>
      <c r="L1584" s="18" t="s">
        <v>11009</v>
      </c>
      <c r="M1584" s="442"/>
      <c r="N1584" s="433"/>
      <c r="P1584" s="433"/>
      <c r="T1584" s="443"/>
      <c r="U1584" s="440"/>
      <c r="V1584" s="440"/>
      <c r="W1584" s="440"/>
      <c r="X1584" s="442"/>
    </row>
    <row r="1585" spans="1:24" x14ac:dyDescent="0.25">
      <c r="A1585" s="862">
        <v>2303</v>
      </c>
      <c r="B1585" s="863" t="s">
        <v>8764</v>
      </c>
      <c r="C1585" s="862">
        <v>2303</v>
      </c>
      <c r="D1585" s="165" t="s">
        <v>2160</v>
      </c>
      <c r="E1585" s="165" t="s">
        <v>8765</v>
      </c>
      <c r="F1585" s="163">
        <v>1</v>
      </c>
      <c r="G1585" s="864"/>
      <c r="H1585" s="864">
        <v>0</v>
      </c>
      <c r="I1585" s="864">
        <v>0</v>
      </c>
      <c r="J1585" s="864">
        <v>89450.962597201811</v>
      </c>
      <c r="K1585" s="864">
        <v>92874.134835309989</v>
      </c>
      <c r="L1585" s="18" t="s">
        <v>4714</v>
      </c>
      <c r="M1585" s="442"/>
      <c r="N1585" s="433"/>
      <c r="P1585" s="433"/>
      <c r="T1585" s="443"/>
      <c r="U1585" s="440"/>
      <c r="V1585" s="440"/>
      <c r="W1585" s="440"/>
      <c r="X1585" s="442"/>
    </row>
    <row r="1586" spans="1:24" x14ac:dyDescent="0.25">
      <c r="A1586" s="862">
        <v>2304</v>
      </c>
      <c r="B1586" s="863" t="s">
        <v>8766</v>
      </c>
      <c r="C1586" s="862">
        <v>2304</v>
      </c>
      <c r="D1586" s="165" t="s">
        <v>2160</v>
      </c>
      <c r="E1586" s="165" t="s">
        <v>8767</v>
      </c>
      <c r="F1586" s="163">
        <v>1</v>
      </c>
      <c r="G1586" s="864"/>
      <c r="H1586" s="864">
        <v>87148.807431411566</v>
      </c>
      <c r="I1586" s="864">
        <v>0</v>
      </c>
      <c r="J1586" s="864">
        <v>0</v>
      </c>
      <c r="K1586" s="864">
        <v>0</v>
      </c>
      <c r="L1586" s="18" t="s">
        <v>11010</v>
      </c>
      <c r="M1586" s="442"/>
      <c r="N1586" s="433"/>
      <c r="P1586" s="433"/>
      <c r="T1586" s="443"/>
      <c r="U1586" s="440"/>
      <c r="V1586" s="440"/>
      <c r="W1586" s="440"/>
      <c r="X1586" s="442"/>
    </row>
    <row r="1587" spans="1:24" x14ac:dyDescent="0.25">
      <c r="A1587" s="862">
        <v>2305</v>
      </c>
      <c r="B1587" s="863" t="s">
        <v>8768</v>
      </c>
      <c r="C1587" s="862">
        <v>2305</v>
      </c>
      <c r="D1587" s="165" t="s">
        <v>2160</v>
      </c>
      <c r="E1587" s="165" t="s">
        <v>8769</v>
      </c>
      <c r="F1587" s="163">
        <v>1</v>
      </c>
      <c r="G1587" s="864"/>
      <c r="H1587" s="864">
        <v>0</v>
      </c>
      <c r="I1587" s="864">
        <v>114354.98874040232</v>
      </c>
      <c r="J1587" s="864">
        <v>0</v>
      </c>
      <c r="K1587" s="864">
        <v>0</v>
      </c>
      <c r="L1587" s="18" t="s">
        <v>4715</v>
      </c>
      <c r="M1587" s="442"/>
      <c r="N1587" s="433"/>
      <c r="P1587" s="433"/>
      <c r="T1587" s="443"/>
      <c r="U1587" s="440"/>
      <c r="V1587" s="440"/>
      <c r="W1587" s="440"/>
      <c r="X1587" s="442"/>
    </row>
    <row r="1588" spans="1:24" x14ac:dyDescent="0.25">
      <c r="A1588" s="862">
        <v>2306</v>
      </c>
      <c r="B1588" s="863" t="s">
        <v>8770</v>
      </c>
      <c r="C1588" s="862">
        <v>2306</v>
      </c>
      <c r="D1588" s="165" t="s">
        <v>2160</v>
      </c>
      <c r="E1588" s="165" t="s">
        <v>8771</v>
      </c>
      <c r="F1588" s="163">
        <v>1</v>
      </c>
      <c r="G1588" s="864"/>
      <c r="H1588" s="864">
        <v>64168.055537546788</v>
      </c>
      <c r="I1588" s="864">
        <v>66713.718657779944</v>
      </c>
      <c r="J1588" s="864">
        <v>69393.397465647722</v>
      </c>
      <c r="K1588" s="864">
        <v>72214.118683875116</v>
      </c>
      <c r="L1588" s="18" t="s">
        <v>2025</v>
      </c>
      <c r="M1588" s="442"/>
      <c r="N1588" s="433"/>
      <c r="P1588" s="433"/>
      <c r="T1588" s="443"/>
      <c r="U1588" s="440"/>
      <c r="V1588" s="440"/>
      <c r="W1588" s="440"/>
      <c r="X1588" s="442"/>
    </row>
    <row r="1589" spans="1:24" x14ac:dyDescent="0.25">
      <c r="A1589" s="862">
        <v>2307</v>
      </c>
      <c r="B1589" s="863" t="s">
        <v>8772</v>
      </c>
      <c r="C1589" s="862">
        <v>2307</v>
      </c>
      <c r="D1589" s="165" t="s">
        <v>2160</v>
      </c>
      <c r="E1589" s="165" t="s">
        <v>8773</v>
      </c>
      <c r="F1589" s="163">
        <v>1</v>
      </c>
      <c r="G1589" s="864"/>
      <c r="H1589" s="864">
        <v>0</v>
      </c>
      <c r="I1589" s="864">
        <v>0</v>
      </c>
      <c r="J1589" s="864">
        <v>30502.475239831227</v>
      </c>
      <c r="K1589" s="864">
        <v>31609.09940970859</v>
      </c>
      <c r="L1589" s="18" t="s">
        <v>4716</v>
      </c>
      <c r="M1589" s="442"/>
      <c r="N1589" s="433"/>
      <c r="P1589" s="433"/>
      <c r="T1589" s="443"/>
      <c r="U1589" s="440"/>
      <c r="V1589" s="440"/>
      <c r="W1589" s="440"/>
      <c r="X1589" s="442"/>
    </row>
    <row r="1590" spans="1:24" x14ac:dyDescent="0.25">
      <c r="A1590" s="862">
        <v>2308</v>
      </c>
      <c r="B1590" s="863" t="s">
        <v>8774</v>
      </c>
      <c r="C1590" s="862">
        <v>2308</v>
      </c>
      <c r="D1590" s="165" t="s">
        <v>2160</v>
      </c>
      <c r="E1590" s="165" t="s">
        <v>8775</v>
      </c>
      <c r="F1590" s="163">
        <v>1</v>
      </c>
      <c r="G1590" s="864"/>
      <c r="H1590" s="864">
        <v>0</v>
      </c>
      <c r="I1590" s="864">
        <v>0</v>
      </c>
      <c r="J1590" s="864">
        <v>28968.740642413333</v>
      </c>
      <c r="K1590" s="864">
        <v>30015.214372578514</v>
      </c>
      <c r="L1590" s="18" t="s">
        <v>4717</v>
      </c>
      <c r="M1590" s="442"/>
      <c r="N1590" s="433"/>
      <c r="P1590" s="433"/>
      <c r="T1590" s="443"/>
      <c r="U1590" s="440"/>
      <c r="V1590" s="440"/>
      <c r="W1590" s="440"/>
      <c r="X1590" s="442"/>
    </row>
    <row r="1591" spans="1:24" x14ac:dyDescent="0.25">
      <c r="A1591" s="862">
        <v>2309</v>
      </c>
      <c r="B1591" s="863" t="s">
        <v>8776</v>
      </c>
      <c r="C1591" s="862">
        <v>2309</v>
      </c>
      <c r="D1591" s="165" t="s">
        <v>2160</v>
      </c>
      <c r="E1591" s="165" t="s">
        <v>8777</v>
      </c>
      <c r="F1591" s="163">
        <v>1</v>
      </c>
      <c r="G1591" s="864"/>
      <c r="H1591" s="864">
        <v>0</v>
      </c>
      <c r="I1591" s="864">
        <v>0</v>
      </c>
      <c r="J1591" s="864">
        <v>30497.36279117316</v>
      </c>
      <c r="K1591" s="864">
        <v>31603.775312775688</v>
      </c>
      <c r="L1591" s="18" t="s">
        <v>4718</v>
      </c>
      <c r="M1591" s="442"/>
      <c r="N1591" s="433"/>
      <c r="P1591" s="433"/>
      <c r="T1591" s="443"/>
      <c r="U1591" s="440"/>
      <c r="V1591" s="440"/>
      <c r="W1591" s="440"/>
      <c r="X1591" s="442"/>
    </row>
    <row r="1592" spans="1:24" x14ac:dyDescent="0.25">
      <c r="A1592" s="862">
        <v>2310</v>
      </c>
      <c r="B1592" s="863" t="s">
        <v>8778</v>
      </c>
      <c r="C1592" s="862">
        <v>2310</v>
      </c>
      <c r="D1592" s="165" t="s">
        <v>2160</v>
      </c>
      <c r="E1592" s="165" t="s">
        <v>8779</v>
      </c>
      <c r="F1592" s="163">
        <v>1</v>
      </c>
      <c r="G1592" s="864"/>
      <c r="H1592" s="864">
        <v>0</v>
      </c>
      <c r="I1592" s="864">
        <v>0</v>
      </c>
      <c r="J1592" s="864">
        <v>28201.873343704385</v>
      </c>
      <c r="K1592" s="864">
        <v>29218.250689185988</v>
      </c>
      <c r="L1592" s="18" t="s">
        <v>4719</v>
      </c>
      <c r="M1592" s="442"/>
      <c r="N1592" s="433"/>
      <c r="P1592" s="433"/>
      <c r="T1592" s="443"/>
      <c r="U1592" s="440"/>
      <c r="V1592" s="440"/>
      <c r="W1592" s="440"/>
      <c r="X1592" s="442"/>
    </row>
    <row r="1593" spans="1:24" x14ac:dyDescent="0.25">
      <c r="A1593" s="862">
        <v>2311</v>
      </c>
      <c r="B1593" s="863" t="s">
        <v>8780</v>
      </c>
      <c r="C1593" s="862">
        <v>2311</v>
      </c>
      <c r="D1593" s="165" t="s">
        <v>2160</v>
      </c>
      <c r="E1593" s="165" t="s">
        <v>8781</v>
      </c>
      <c r="F1593" s="163">
        <v>1</v>
      </c>
      <c r="G1593" s="864"/>
      <c r="H1593" s="864">
        <v>0</v>
      </c>
      <c r="I1593" s="864">
        <v>0</v>
      </c>
      <c r="J1593" s="864">
        <v>30497.36279117316</v>
      </c>
      <c r="K1593" s="864">
        <v>31603.775312775688</v>
      </c>
      <c r="L1593" s="18" t="s">
        <v>4720</v>
      </c>
      <c r="M1593" s="442"/>
      <c r="N1593" s="433"/>
      <c r="P1593" s="433"/>
      <c r="T1593" s="443"/>
      <c r="U1593" s="440"/>
      <c r="V1593" s="440"/>
      <c r="W1593" s="440"/>
      <c r="X1593" s="442"/>
    </row>
    <row r="1594" spans="1:24" x14ac:dyDescent="0.25">
      <c r="A1594" s="862">
        <v>2312</v>
      </c>
      <c r="B1594" s="863" t="s">
        <v>8782</v>
      </c>
      <c r="C1594" s="862">
        <v>2312</v>
      </c>
      <c r="D1594" s="165" t="s">
        <v>2160</v>
      </c>
      <c r="E1594" s="165" t="s">
        <v>8783</v>
      </c>
      <c r="F1594" s="163">
        <v>1</v>
      </c>
      <c r="G1594" s="864"/>
      <c r="H1594" s="864">
        <v>0</v>
      </c>
      <c r="I1594" s="864">
        <v>0</v>
      </c>
      <c r="J1594" s="864">
        <v>25799.022474416353</v>
      </c>
      <c r="K1594" s="864">
        <v>26721.174007935024</v>
      </c>
      <c r="L1594" s="18" t="s">
        <v>4721</v>
      </c>
      <c r="M1594" s="442"/>
      <c r="N1594" s="433"/>
      <c r="P1594" s="433"/>
      <c r="T1594" s="443"/>
      <c r="U1594" s="440"/>
      <c r="V1594" s="440"/>
      <c r="W1594" s="440"/>
      <c r="X1594" s="442"/>
    </row>
    <row r="1595" spans="1:24" x14ac:dyDescent="0.25">
      <c r="A1595" s="862">
        <v>2313</v>
      </c>
      <c r="B1595" s="863" t="s">
        <v>8784</v>
      </c>
      <c r="C1595" s="862">
        <v>2313</v>
      </c>
      <c r="D1595" s="165" t="s">
        <v>2160</v>
      </c>
      <c r="E1595" s="165" t="s">
        <v>8785</v>
      </c>
      <c r="F1595" s="163">
        <v>1</v>
      </c>
      <c r="G1595" s="864"/>
      <c r="H1595" s="864">
        <v>0</v>
      </c>
      <c r="I1595" s="864">
        <v>0</v>
      </c>
      <c r="J1595" s="864">
        <v>27327.644623176191</v>
      </c>
      <c r="K1595" s="864">
        <v>28309.734948132198</v>
      </c>
      <c r="L1595" s="18" t="s">
        <v>4722</v>
      </c>
      <c r="M1595" s="442"/>
      <c r="N1595" s="433"/>
      <c r="P1595" s="433"/>
      <c r="T1595" s="443"/>
      <c r="U1595" s="440"/>
      <c r="V1595" s="440"/>
      <c r="W1595" s="440"/>
      <c r="X1595" s="442"/>
    </row>
    <row r="1596" spans="1:24" x14ac:dyDescent="0.25">
      <c r="A1596" s="862">
        <v>2314</v>
      </c>
      <c r="B1596" s="863" t="s">
        <v>8786</v>
      </c>
      <c r="C1596" s="862">
        <v>2314</v>
      </c>
      <c r="D1596" s="165" t="s">
        <v>2160</v>
      </c>
      <c r="E1596" s="165" t="s">
        <v>8787</v>
      </c>
      <c r="F1596" s="163">
        <v>1</v>
      </c>
      <c r="G1596" s="864"/>
      <c r="H1596" s="864">
        <v>0</v>
      </c>
      <c r="I1596" s="864">
        <v>0</v>
      </c>
      <c r="J1596" s="864">
        <v>33109.824055441648</v>
      </c>
      <c r="K1596" s="864">
        <v>34318.674342071259</v>
      </c>
      <c r="L1596" s="18" t="s">
        <v>4723</v>
      </c>
      <c r="M1596" s="442"/>
      <c r="N1596" s="433"/>
      <c r="P1596" s="433"/>
      <c r="T1596" s="443"/>
      <c r="U1596" s="440"/>
      <c r="V1596" s="440"/>
      <c r="W1596" s="440"/>
      <c r="X1596" s="442"/>
    </row>
    <row r="1597" spans="1:24" x14ac:dyDescent="0.25">
      <c r="A1597" s="862">
        <v>2315</v>
      </c>
      <c r="B1597" s="863" t="s">
        <v>8788</v>
      </c>
      <c r="C1597" s="862">
        <v>2315</v>
      </c>
      <c r="D1597" s="165" t="s">
        <v>2160</v>
      </c>
      <c r="E1597" s="165" t="s">
        <v>8789</v>
      </c>
      <c r="F1597" s="163">
        <v>1</v>
      </c>
      <c r="G1597" s="864"/>
      <c r="H1597" s="864">
        <v>0</v>
      </c>
      <c r="I1597" s="864">
        <v>0</v>
      </c>
      <c r="J1597" s="864">
        <v>34638.446204201471</v>
      </c>
      <c r="K1597" s="864">
        <v>35907.277611923404</v>
      </c>
      <c r="L1597" s="18" t="s">
        <v>4724</v>
      </c>
      <c r="M1597" s="442"/>
      <c r="N1597" s="433"/>
      <c r="P1597" s="433"/>
      <c r="T1597" s="443"/>
      <c r="U1597" s="440"/>
      <c r="V1597" s="440"/>
      <c r="W1597" s="440"/>
      <c r="X1597" s="442"/>
    </row>
    <row r="1598" spans="1:24" x14ac:dyDescent="0.25">
      <c r="A1598" s="862">
        <v>2316</v>
      </c>
      <c r="B1598" s="863" t="s">
        <v>8790</v>
      </c>
      <c r="C1598" s="862">
        <v>2316</v>
      </c>
      <c r="D1598" s="165" t="s">
        <v>2160</v>
      </c>
      <c r="E1598" s="165" t="s">
        <v>8791</v>
      </c>
      <c r="F1598" s="163">
        <v>1</v>
      </c>
      <c r="G1598" s="864"/>
      <c r="H1598" s="864">
        <v>0</v>
      </c>
      <c r="I1598" s="864">
        <v>0</v>
      </c>
      <c r="J1598" s="864">
        <v>35410.42595156849</v>
      </c>
      <c r="K1598" s="864">
        <v>36709.523062593871</v>
      </c>
      <c r="L1598" s="18" t="s">
        <v>4725</v>
      </c>
      <c r="M1598" s="442"/>
      <c r="N1598" s="433"/>
      <c r="P1598" s="433"/>
      <c r="T1598" s="443"/>
      <c r="U1598" s="440"/>
      <c r="V1598" s="440"/>
      <c r="W1598" s="440"/>
      <c r="X1598" s="442"/>
    </row>
    <row r="1599" spans="1:24" x14ac:dyDescent="0.25">
      <c r="A1599" s="862">
        <v>2317</v>
      </c>
      <c r="B1599" s="863" t="s">
        <v>8792</v>
      </c>
      <c r="C1599" s="862">
        <v>2317</v>
      </c>
      <c r="D1599" s="165" t="s">
        <v>2160</v>
      </c>
      <c r="E1599" s="165" t="s">
        <v>8793</v>
      </c>
      <c r="F1599" s="163">
        <v>1</v>
      </c>
      <c r="G1599" s="864"/>
      <c r="H1599" s="864">
        <v>0</v>
      </c>
      <c r="I1599" s="864">
        <v>0</v>
      </c>
      <c r="J1599" s="864">
        <v>54689.469841111437</v>
      </c>
      <c r="K1599" s="864">
        <v>56744.701578863649</v>
      </c>
      <c r="L1599" s="18" t="s">
        <v>4726</v>
      </c>
      <c r="M1599" s="442"/>
      <c r="N1599" s="433"/>
      <c r="P1599" s="433"/>
      <c r="T1599" s="443"/>
      <c r="U1599" s="440"/>
      <c r="V1599" s="440"/>
      <c r="W1599" s="440"/>
      <c r="X1599" s="442"/>
    </row>
    <row r="1600" spans="1:24" x14ac:dyDescent="0.25">
      <c r="A1600" s="862">
        <v>2318</v>
      </c>
      <c r="B1600" s="863" t="s">
        <v>8794</v>
      </c>
      <c r="C1600" s="862">
        <v>2318</v>
      </c>
      <c r="D1600" s="165" t="s">
        <v>2160</v>
      </c>
      <c r="E1600" s="165" t="s">
        <v>8795</v>
      </c>
      <c r="F1600" s="163">
        <v>1</v>
      </c>
      <c r="G1600" s="864"/>
      <c r="H1600" s="864">
        <v>31031.67043677577</v>
      </c>
      <c r="I1600" s="864">
        <v>32174.359472687469</v>
      </c>
      <c r="J1600" s="864">
        <v>33377.198948311365</v>
      </c>
      <c r="K1600" s="864">
        <v>34643.321258115211</v>
      </c>
      <c r="L1600" s="18" t="s">
        <v>2026</v>
      </c>
      <c r="M1600" s="442"/>
      <c r="N1600" s="433"/>
      <c r="P1600" s="433"/>
      <c r="T1600" s="443"/>
      <c r="U1600" s="440"/>
      <c r="V1600" s="440"/>
      <c r="W1600" s="440"/>
      <c r="X1600" s="442"/>
    </row>
    <row r="1601" spans="1:24" x14ac:dyDescent="0.25">
      <c r="A1601" s="862">
        <v>2319</v>
      </c>
      <c r="B1601" s="863" t="s">
        <v>8796</v>
      </c>
      <c r="C1601" s="862">
        <v>2319</v>
      </c>
      <c r="D1601" s="165" t="s">
        <v>2160</v>
      </c>
      <c r="E1601" s="165" t="s">
        <v>8797</v>
      </c>
      <c r="F1601" s="163">
        <v>1</v>
      </c>
      <c r="G1601" s="864"/>
      <c r="H1601" s="864">
        <v>36815.751023322227</v>
      </c>
      <c r="I1601" s="864">
        <v>38187.443492620951</v>
      </c>
      <c r="J1601" s="864">
        <v>39631.308023643294</v>
      </c>
      <c r="K1601" s="864">
        <v>41151.196614991532</v>
      </c>
      <c r="L1601" s="18" t="s">
        <v>2027</v>
      </c>
      <c r="M1601" s="442"/>
      <c r="N1601" s="433"/>
      <c r="P1601" s="433"/>
      <c r="T1601" s="443"/>
      <c r="U1601" s="440"/>
      <c r="V1601" s="440"/>
      <c r="W1601" s="440"/>
      <c r="X1601" s="442"/>
    </row>
    <row r="1602" spans="1:24" x14ac:dyDescent="0.25">
      <c r="A1602" s="862">
        <v>2320</v>
      </c>
      <c r="B1602" s="863" t="s">
        <v>8798</v>
      </c>
      <c r="C1602" s="862">
        <v>2320</v>
      </c>
      <c r="D1602" s="165" t="s">
        <v>2160</v>
      </c>
      <c r="E1602" s="165" t="s">
        <v>8799</v>
      </c>
      <c r="F1602" s="163">
        <v>1</v>
      </c>
      <c r="G1602" s="864"/>
      <c r="H1602" s="864">
        <v>34141.038625397858</v>
      </c>
      <c r="I1602" s="864">
        <v>34987.378060692565</v>
      </c>
      <c r="J1602" s="864">
        <v>35878.256502050077</v>
      </c>
      <c r="K1602" s="864">
        <v>36816.033631910788</v>
      </c>
      <c r="L1602" s="18" t="s">
        <v>2028</v>
      </c>
      <c r="M1602" s="442"/>
      <c r="N1602" s="433"/>
      <c r="P1602" s="433"/>
      <c r="T1602" s="443"/>
      <c r="U1602" s="440"/>
      <c r="V1602" s="440"/>
      <c r="W1602" s="440"/>
      <c r="X1602" s="442"/>
    </row>
    <row r="1603" spans="1:24" x14ac:dyDescent="0.25">
      <c r="A1603" s="862">
        <v>2321</v>
      </c>
      <c r="B1603" s="863" t="s">
        <v>8800</v>
      </c>
      <c r="C1603" s="862">
        <v>2321</v>
      </c>
      <c r="D1603" s="165" t="s">
        <v>2160</v>
      </c>
      <c r="E1603" s="165" t="s">
        <v>8801</v>
      </c>
      <c r="F1603" s="163">
        <v>1</v>
      </c>
      <c r="G1603" s="864"/>
      <c r="H1603" s="864">
        <v>39628.079690175968</v>
      </c>
      <c r="I1603" s="864">
        <v>41148.772544968633</v>
      </c>
      <c r="J1603" s="864">
        <v>42749.510777309319</v>
      </c>
      <c r="K1603" s="864">
        <v>44434.48502304007</v>
      </c>
      <c r="L1603" s="18" t="s">
        <v>2029</v>
      </c>
      <c r="M1603" s="442"/>
      <c r="N1603" s="433"/>
      <c r="P1603" s="433"/>
      <c r="T1603" s="443"/>
      <c r="U1603" s="440"/>
      <c r="V1603" s="440"/>
      <c r="W1603" s="440"/>
      <c r="X1603" s="442"/>
    </row>
    <row r="1604" spans="1:24" x14ac:dyDescent="0.25">
      <c r="A1604" s="862">
        <v>2322</v>
      </c>
      <c r="B1604" s="863" t="s">
        <v>8802</v>
      </c>
      <c r="C1604" s="862">
        <v>2322</v>
      </c>
      <c r="D1604" s="165" t="s">
        <v>2160</v>
      </c>
      <c r="E1604" s="165" t="s">
        <v>8803</v>
      </c>
      <c r="F1604" s="163">
        <v>1</v>
      </c>
      <c r="G1604" s="864"/>
      <c r="H1604" s="864">
        <v>0</v>
      </c>
      <c r="I1604" s="864">
        <v>0</v>
      </c>
      <c r="J1604" s="864">
        <v>0</v>
      </c>
      <c r="K1604" s="864">
        <v>47271.306838266901</v>
      </c>
      <c r="L1604" s="18" t="s">
        <v>11011</v>
      </c>
      <c r="M1604" s="442"/>
      <c r="N1604" s="433"/>
      <c r="P1604" s="433"/>
      <c r="T1604" s="443"/>
      <c r="U1604" s="440"/>
      <c r="V1604" s="440"/>
      <c r="W1604" s="440"/>
      <c r="X1604" s="442"/>
    </row>
    <row r="1605" spans="1:24" x14ac:dyDescent="0.25">
      <c r="A1605" s="862">
        <v>2323</v>
      </c>
      <c r="B1605" s="863" t="s">
        <v>8804</v>
      </c>
      <c r="C1605" s="862">
        <v>2323</v>
      </c>
      <c r="D1605" s="165" t="s">
        <v>2160</v>
      </c>
      <c r="E1605" s="165" t="s">
        <v>8805</v>
      </c>
      <c r="F1605" s="163">
        <v>1</v>
      </c>
      <c r="G1605" s="864"/>
      <c r="H1605" s="864">
        <v>44790.50030590556</v>
      </c>
      <c r="I1605" s="864">
        <v>46479.030242653767</v>
      </c>
      <c r="J1605" s="864">
        <v>48256.410125183735</v>
      </c>
      <c r="K1605" s="864">
        <v>50127.338545197133</v>
      </c>
      <c r="L1605" s="18" t="s">
        <v>3074</v>
      </c>
      <c r="M1605" s="442"/>
      <c r="N1605" s="433"/>
      <c r="P1605" s="433"/>
      <c r="T1605" s="443"/>
      <c r="U1605" s="440"/>
      <c r="V1605" s="440"/>
      <c r="W1605" s="440"/>
      <c r="X1605" s="442"/>
    </row>
    <row r="1606" spans="1:24" x14ac:dyDescent="0.25">
      <c r="A1606" s="862">
        <v>2324</v>
      </c>
      <c r="B1606" s="863" t="s">
        <v>8806</v>
      </c>
      <c r="C1606" s="862">
        <v>2324</v>
      </c>
      <c r="D1606" s="165" t="s">
        <v>2160</v>
      </c>
      <c r="E1606" s="165" t="s">
        <v>8807</v>
      </c>
      <c r="F1606" s="163">
        <v>1</v>
      </c>
      <c r="G1606" s="864"/>
      <c r="H1606" s="864">
        <v>0</v>
      </c>
      <c r="I1606" s="864">
        <v>0</v>
      </c>
      <c r="J1606" s="864">
        <v>0</v>
      </c>
      <c r="K1606" s="864">
        <v>107620.38064175066</v>
      </c>
      <c r="L1606" s="18" t="s">
        <v>11012</v>
      </c>
      <c r="M1606" s="442"/>
      <c r="N1606" s="433"/>
      <c r="P1606" s="433"/>
      <c r="T1606" s="443"/>
      <c r="U1606" s="440"/>
      <c r="V1606" s="440"/>
      <c r="W1606" s="440"/>
      <c r="X1606" s="442"/>
    </row>
    <row r="1607" spans="1:24" x14ac:dyDescent="0.25">
      <c r="A1607" s="862">
        <v>2325</v>
      </c>
      <c r="B1607" s="863" t="s">
        <v>8808</v>
      </c>
      <c r="C1607" s="862">
        <v>2325</v>
      </c>
      <c r="D1607" s="165" t="s">
        <v>2160</v>
      </c>
      <c r="E1607" s="165" t="s">
        <v>8809</v>
      </c>
      <c r="F1607" s="163">
        <v>1</v>
      </c>
      <c r="G1607" s="864"/>
      <c r="H1607" s="864">
        <v>55093.574714906455</v>
      </c>
      <c r="I1607" s="864">
        <v>57164.637743617415</v>
      </c>
      <c r="J1607" s="864">
        <v>59344.699633875789</v>
      </c>
      <c r="K1607" s="864">
        <v>61639.517218757479</v>
      </c>
      <c r="L1607" s="18" t="s">
        <v>3075</v>
      </c>
      <c r="M1607" s="442"/>
      <c r="N1607" s="433"/>
      <c r="P1607" s="433"/>
      <c r="T1607" s="443"/>
      <c r="U1607" s="440"/>
      <c r="V1607" s="440"/>
      <c r="W1607" s="440"/>
      <c r="X1607" s="442"/>
    </row>
    <row r="1608" spans="1:24" x14ac:dyDescent="0.25">
      <c r="A1608" s="862">
        <v>2326</v>
      </c>
      <c r="B1608" s="863" t="s">
        <v>8810</v>
      </c>
      <c r="C1608" s="862">
        <v>2326</v>
      </c>
      <c r="D1608" s="165" t="s">
        <v>2160</v>
      </c>
      <c r="E1608" s="165" t="s">
        <v>8811</v>
      </c>
      <c r="F1608" s="163">
        <v>1</v>
      </c>
      <c r="G1608" s="864"/>
      <c r="H1608" s="864">
        <v>58055.827155689491</v>
      </c>
      <c r="I1608" s="864">
        <v>60200.863674529079</v>
      </c>
      <c r="J1608" s="864">
        <v>62458.774715260544</v>
      </c>
      <c r="K1608" s="864">
        <v>64835.525191642468</v>
      </c>
      <c r="L1608" s="18" t="s">
        <v>3076</v>
      </c>
      <c r="M1608" s="442"/>
      <c r="N1608" s="433"/>
      <c r="P1608" s="433"/>
      <c r="T1608" s="443"/>
      <c r="U1608" s="440"/>
      <c r="V1608" s="440"/>
      <c r="W1608" s="440"/>
      <c r="X1608" s="442"/>
    </row>
    <row r="1609" spans="1:24" x14ac:dyDescent="0.25">
      <c r="A1609" s="862">
        <v>2327</v>
      </c>
      <c r="B1609" s="863" t="s">
        <v>8812</v>
      </c>
      <c r="C1609" s="862">
        <v>2327</v>
      </c>
      <c r="D1609" s="165" t="s">
        <v>2160</v>
      </c>
      <c r="E1609" s="165" t="s">
        <v>8813</v>
      </c>
      <c r="F1609" s="163">
        <v>1</v>
      </c>
      <c r="G1609" s="864"/>
      <c r="H1609" s="864">
        <v>45620.78827786538</v>
      </c>
      <c r="I1609" s="864">
        <v>0</v>
      </c>
      <c r="J1609" s="864">
        <v>0</v>
      </c>
      <c r="K1609" s="864">
        <v>0</v>
      </c>
      <c r="L1609" s="18" t="s">
        <v>2030</v>
      </c>
      <c r="M1609" s="442"/>
      <c r="N1609" s="433"/>
      <c r="P1609" s="433"/>
      <c r="T1609" s="443"/>
      <c r="U1609" s="440"/>
      <c r="V1609" s="440"/>
      <c r="W1609" s="440"/>
      <c r="X1609" s="442"/>
    </row>
    <row r="1610" spans="1:24" x14ac:dyDescent="0.25">
      <c r="A1610" s="862">
        <v>2328</v>
      </c>
      <c r="B1610" s="863" t="s">
        <v>8814</v>
      </c>
      <c r="C1610" s="862">
        <v>2328</v>
      </c>
      <c r="D1610" s="165" t="s">
        <v>2160</v>
      </c>
      <c r="E1610" s="165" t="s">
        <v>8815</v>
      </c>
      <c r="F1610" s="163">
        <v>1</v>
      </c>
      <c r="G1610" s="864"/>
      <c r="H1610" s="864">
        <v>0</v>
      </c>
      <c r="I1610" s="864">
        <v>284721.63580689888</v>
      </c>
      <c r="J1610" s="864">
        <v>291863.43121385307</v>
      </c>
      <c r="K1610" s="864">
        <v>299381.10761198902</v>
      </c>
      <c r="L1610" s="18" t="s">
        <v>3998</v>
      </c>
      <c r="M1610" s="442"/>
      <c r="N1610" s="433"/>
      <c r="P1610" s="433"/>
      <c r="T1610" s="443"/>
      <c r="U1610" s="440"/>
      <c r="V1610" s="440"/>
      <c r="W1610" s="440"/>
      <c r="X1610" s="442"/>
    </row>
    <row r="1611" spans="1:24" x14ac:dyDescent="0.25">
      <c r="A1611" s="862">
        <v>2329</v>
      </c>
      <c r="B1611" s="863" t="s">
        <v>8816</v>
      </c>
      <c r="C1611" s="862">
        <v>2329</v>
      </c>
      <c r="D1611" s="165" t="s">
        <v>2160</v>
      </c>
      <c r="E1611" s="165" t="s">
        <v>8817</v>
      </c>
      <c r="F1611" s="163">
        <v>1</v>
      </c>
      <c r="G1611" s="864"/>
      <c r="H1611" s="864">
        <v>0</v>
      </c>
      <c r="I1611" s="864">
        <v>95902.950110967999</v>
      </c>
      <c r="J1611" s="864">
        <v>0</v>
      </c>
      <c r="K1611" s="864">
        <v>103449.59840441011</v>
      </c>
      <c r="L1611" s="18" t="s">
        <v>11013</v>
      </c>
      <c r="M1611" s="442"/>
      <c r="N1611" s="433"/>
      <c r="P1611" s="433"/>
      <c r="T1611" s="443"/>
      <c r="U1611" s="440"/>
      <c r="V1611" s="440"/>
      <c r="W1611" s="440"/>
      <c r="X1611" s="442"/>
    </row>
    <row r="1612" spans="1:24" x14ac:dyDescent="0.25">
      <c r="A1612" s="862">
        <v>2330</v>
      </c>
      <c r="B1612" s="863" t="s">
        <v>8818</v>
      </c>
      <c r="C1612" s="862">
        <v>2330</v>
      </c>
      <c r="D1612" s="165" t="s">
        <v>2160</v>
      </c>
      <c r="E1612" s="165" t="s">
        <v>8819</v>
      </c>
      <c r="F1612" s="163">
        <v>1</v>
      </c>
      <c r="G1612" s="864"/>
      <c r="H1612" s="864">
        <v>0</v>
      </c>
      <c r="I1612" s="864">
        <v>95211.463040027636</v>
      </c>
      <c r="J1612" s="864">
        <v>98860.533276360467</v>
      </c>
      <c r="K1612" s="864">
        <v>102701.6531572916</v>
      </c>
      <c r="L1612" s="18" t="s">
        <v>11014</v>
      </c>
      <c r="M1612" s="442"/>
      <c r="N1612" s="433"/>
      <c r="P1612" s="433"/>
      <c r="T1612" s="443"/>
      <c r="U1612" s="440"/>
      <c r="V1612" s="440"/>
      <c r="W1612" s="440"/>
      <c r="X1612" s="442"/>
    </row>
    <row r="1613" spans="1:24" x14ac:dyDescent="0.25">
      <c r="A1613" s="862">
        <v>2331</v>
      </c>
      <c r="B1613" s="863" t="s">
        <v>8820</v>
      </c>
      <c r="C1613" s="862">
        <v>2331</v>
      </c>
      <c r="D1613" s="165" t="s">
        <v>2160</v>
      </c>
      <c r="E1613" s="165" t="s">
        <v>8821</v>
      </c>
      <c r="F1613" s="163">
        <v>1</v>
      </c>
      <c r="G1613" s="864"/>
      <c r="H1613" s="864">
        <v>29712.756107108333</v>
      </c>
      <c r="I1613" s="864">
        <v>30434.335193740491</v>
      </c>
      <c r="J1613" s="864">
        <v>31193.897695636719</v>
      </c>
      <c r="K1613" s="864">
        <v>31993.432716437583</v>
      </c>
      <c r="L1613" s="18" t="s">
        <v>3077</v>
      </c>
      <c r="M1613" s="442"/>
      <c r="N1613" s="433"/>
      <c r="P1613" s="433"/>
      <c r="T1613" s="443"/>
      <c r="U1613" s="440"/>
      <c r="V1613" s="440"/>
      <c r="W1613" s="440"/>
      <c r="X1613" s="442"/>
    </row>
    <row r="1614" spans="1:24" x14ac:dyDescent="0.25">
      <c r="A1614" s="862">
        <v>2332</v>
      </c>
      <c r="B1614" s="863" t="s">
        <v>8822</v>
      </c>
      <c r="C1614" s="862">
        <v>2332</v>
      </c>
      <c r="D1614" s="165" t="s">
        <v>2160</v>
      </c>
      <c r="E1614" s="165" t="s">
        <v>8823</v>
      </c>
      <c r="F1614" s="163">
        <v>1</v>
      </c>
      <c r="G1614" s="864"/>
      <c r="H1614" s="864">
        <v>45931.484741046574</v>
      </c>
      <c r="I1614" s="864">
        <v>49455.04755039372</v>
      </c>
      <c r="J1614" s="864">
        <v>51309.552064278803</v>
      </c>
      <c r="K1614" s="864">
        <v>53261.668762524409</v>
      </c>
      <c r="L1614" s="18" t="s">
        <v>3999</v>
      </c>
      <c r="M1614" s="442"/>
      <c r="N1614" s="433"/>
      <c r="P1614" s="433"/>
      <c r="T1614" s="443"/>
      <c r="U1614" s="440"/>
      <c r="V1614" s="440"/>
      <c r="W1614" s="440"/>
      <c r="X1614" s="442"/>
    </row>
    <row r="1615" spans="1:24" x14ac:dyDescent="0.25">
      <c r="A1615" s="862">
        <v>2333</v>
      </c>
      <c r="B1615" s="863" t="s">
        <v>8824</v>
      </c>
      <c r="C1615" s="862">
        <v>2333</v>
      </c>
      <c r="D1615" s="165" t="s">
        <v>2160</v>
      </c>
      <c r="E1615" s="165" t="s">
        <v>8825</v>
      </c>
      <c r="F1615" s="163">
        <v>1</v>
      </c>
      <c r="G1615" s="864"/>
      <c r="H1615" s="864">
        <v>0</v>
      </c>
      <c r="I1615" s="864">
        <v>69562.304099461151</v>
      </c>
      <c r="J1615" s="864">
        <v>0</v>
      </c>
      <c r="K1615" s="864">
        <v>0</v>
      </c>
      <c r="L1615" s="18" t="s">
        <v>5032</v>
      </c>
      <c r="M1615" s="442"/>
      <c r="N1615" s="433"/>
      <c r="P1615" s="433"/>
      <c r="T1615" s="443"/>
      <c r="U1615" s="440"/>
      <c r="V1615" s="440"/>
      <c r="W1615" s="440"/>
      <c r="X1615" s="442"/>
    </row>
    <row r="1616" spans="1:24" x14ac:dyDescent="0.25">
      <c r="A1616" s="862">
        <v>2334</v>
      </c>
      <c r="B1616" s="863" t="s">
        <v>8826</v>
      </c>
      <c r="C1616" s="862">
        <v>2334</v>
      </c>
      <c r="D1616" s="165" t="s">
        <v>2160</v>
      </c>
      <c r="E1616" s="165" t="s">
        <v>8827</v>
      </c>
      <c r="F1616" s="163">
        <v>1</v>
      </c>
      <c r="G1616" s="864"/>
      <c r="H1616" s="864">
        <v>0</v>
      </c>
      <c r="I1616" s="864">
        <v>0</v>
      </c>
      <c r="J1616" s="864">
        <v>191520.26645154911</v>
      </c>
      <c r="K1616" s="864">
        <v>0</v>
      </c>
      <c r="L1616" s="18" t="s">
        <v>4727</v>
      </c>
      <c r="M1616" s="442"/>
      <c r="N1616" s="433"/>
      <c r="P1616" s="433"/>
      <c r="T1616" s="443"/>
      <c r="U1616" s="440"/>
      <c r="V1616" s="440"/>
      <c r="W1616" s="440"/>
      <c r="X1616" s="442"/>
    </row>
    <row r="1617" spans="1:24" x14ac:dyDescent="0.25">
      <c r="A1617" s="862">
        <v>2335</v>
      </c>
      <c r="B1617" s="863" t="s">
        <v>8828</v>
      </c>
      <c r="C1617" s="862">
        <v>2335</v>
      </c>
      <c r="D1617" s="165" t="s">
        <v>2160</v>
      </c>
      <c r="E1617" s="165" t="s">
        <v>8829</v>
      </c>
      <c r="F1617" s="163">
        <v>1</v>
      </c>
      <c r="G1617" s="864"/>
      <c r="H1617" s="864">
        <v>16089.839945655254</v>
      </c>
      <c r="I1617" s="864">
        <v>16635.765505801701</v>
      </c>
      <c r="J1617" s="864">
        <v>17210.432901672684</v>
      </c>
      <c r="K1617" s="864">
        <v>17815.323671192164</v>
      </c>
      <c r="L1617" s="18" t="s">
        <v>3078</v>
      </c>
      <c r="M1617" s="442"/>
      <c r="N1617" s="433"/>
      <c r="P1617" s="433"/>
      <c r="T1617" s="443"/>
      <c r="U1617" s="440"/>
      <c r="V1617" s="440"/>
      <c r="W1617" s="440"/>
      <c r="X1617" s="442"/>
    </row>
    <row r="1618" spans="1:24" x14ac:dyDescent="0.25">
      <c r="A1618" s="862">
        <v>2336</v>
      </c>
      <c r="B1618" s="863" t="s">
        <v>8830</v>
      </c>
      <c r="C1618" s="862">
        <v>2336</v>
      </c>
      <c r="D1618" s="165" t="s">
        <v>2160</v>
      </c>
      <c r="E1618" s="165" t="s">
        <v>8831</v>
      </c>
      <c r="F1618" s="163">
        <v>1</v>
      </c>
      <c r="G1618" s="864"/>
      <c r="H1618" s="864">
        <v>0</v>
      </c>
      <c r="I1618" s="864">
        <v>0</v>
      </c>
      <c r="J1618" s="864">
        <v>15764.010893780622</v>
      </c>
      <c r="K1618" s="864">
        <v>16297.152898126165</v>
      </c>
      <c r="L1618" s="18" t="s">
        <v>4728</v>
      </c>
      <c r="M1618" s="442"/>
      <c r="N1618" s="433"/>
      <c r="P1618" s="433"/>
      <c r="T1618" s="443"/>
      <c r="U1618" s="440"/>
      <c r="V1618" s="440"/>
      <c r="W1618" s="440"/>
      <c r="X1618" s="442"/>
    </row>
    <row r="1619" spans="1:24" x14ac:dyDescent="0.25">
      <c r="A1619" s="862">
        <v>2337</v>
      </c>
      <c r="B1619" s="863" t="s">
        <v>8832</v>
      </c>
      <c r="C1619" s="862">
        <v>2337</v>
      </c>
      <c r="D1619" s="165" t="s">
        <v>2160</v>
      </c>
      <c r="E1619" s="165" t="s">
        <v>8833</v>
      </c>
      <c r="F1619" s="163">
        <v>1</v>
      </c>
      <c r="G1619" s="864"/>
      <c r="H1619" s="864">
        <v>12437.465099670466</v>
      </c>
      <c r="I1619" s="864">
        <v>14760.050938212396</v>
      </c>
      <c r="J1619" s="864">
        <v>15300.431313557789</v>
      </c>
      <c r="K1619" s="864">
        <v>15869.257217042936</v>
      </c>
      <c r="L1619" s="18" t="s">
        <v>2031</v>
      </c>
      <c r="M1619" s="442"/>
      <c r="N1619" s="433"/>
      <c r="P1619" s="433"/>
      <c r="T1619" s="443"/>
      <c r="U1619" s="440"/>
      <c r="V1619" s="440"/>
      <c r="W1619" s="440"/>
      <c r="X1619" s="442"/>
    </row>
    <row r="1620" spans="1:24" x14ac:dyDescent="0.25">
      <c r="A1620" s="862">
        <v>2338</v>
      </c>
      <c r="B1620" s="863" t="s">
        <v>8834</v>
      </c>
      <c r="C1620" s="862">
        <v>2338</v>
      </c>
      <c r="D1620" s="165" t="s">
        <v>2160</v>
      </c>
      <c r="E1620" s="165" t="s">
        <v>8835</v>
      </c>
      <c r="F1620" s="163">
        <v>1</v>
      </c>
      <c r="G1620" s="864"/>
      <c r="H1620" s="864">
        <v>10856.060182043353</v>
      </c>
      <c r="I1620" s="864">
        <v>11196.686915585913</v>
      </c>
      <c r="J1620" s="864">
        <v>11555.261422835703</v>
      </c>
      <c r="K1620" s="864">
        <v>11932.714956202055</v>
      </c>
      <c r="L1620" s="18" t="s">
        <v>2032</v>
      </c>
      <c r="M1620" s="442"/>
      <c r="N1620" s="433"/>
      <c r="P1620" s="433"/>
      <c r="T1620" s="443"/>
      <c r="U1620" s="440"/>
      <c r="V1620" s="440"/>
      <c r="W1620" s="440"/>
      <c r="X1620" s="442"/>
    </row>
    <row r="1621" spans="1:24" x14ac:dyDescent="0.25">
      <c r="A1621" s="862">
        <v>2339</v>
      </c>
      <c r="B1621" s="863" t="s">
        <v>8836</v>
      </c>
      <c r="C1621" s="862">
        <v>2339</v>
      </c>
      <c r="D1621" s="165" t="s">
        <v>2160</v>
      </c>
      <c r="E1621" s="165" t="s">
        <v>8837</v>
      </c>
      <c r="F1621" s="163">
        <v>1</v>
      </c>
      <c r="G1621" s="864"/>
      <c r="H1621" s="864">
        <v>0</v>
      </c>
      <c r="I1621" s="864">
        <v>0</v>
      </c>
      <c r="J1621" s="864">
        <v>14537.023215846306</v>
      </c>
      <c r="K1621" s="864">
        <v>15022.0364024911</v>
      </c>
      <c r="L1621" s="18" t="s">
        <v>4729</v>
      </c>
      <c r="M1621" s="442"/>
      <c r="N1621" s="433"/>
      <c r="P1621" s="433"/>
      <c r="T1621" s="443"/>
      <c r="U1621" s="440"/>
      <c r="V1621" s="440"/>
      <c r="W1621" s="440"/>
      <c r="X1621" s="442"/>
    </row>
    <row r="1622" spans="1:24" x14ac:dyDescent="0.25">
      <c r="A1622" s="862">
        <v>2340</v>
      </c>
      <c r="B1622" s="863" t="s">
        <v>8838</v>
      </c>
      <c r="C1622" s="862">
        <v>2340</v>
      </c>
      <c r="D1622" s="165" t="s">
        <v>2160</v>
      </c>
      <c r="E1622" s="165" t="s">
        <v>8839</v>
      </c>
      <c r="F1622" s="163">
        <v>1</v>
      </c>
      <c r="G1622" s="864"/>
      <c r="H1622" s="864">
        <v>0</v>
      </c>
      <c r="I1622" s="864">
        <v>0</v>
      </c>
      <c r="J1622" s="864">
        <v>0</v>
      </c>
      <c r="K1622" s="864">
        <v>14230.276296362725</v>
      </c>
      <c r="L1622" s="18" t="s">
        <v>11015</v>
      </c>
      <c r="M1622" s="442"/>
      <c r="N1622" s="433"/>
      <c r="P1622" s="433"/>
      <c r="T1622" s="443"/>
      <c r="U1622" s="440"/>
      <c r="V1622" s="440"/>
      <c r="W1622" s="440"/>
      <c r="X1622" s="442"/>
    </row>
    <row r="1623" spans="1:24" x14ac:dyDescent="0.25">
      <c r="A1623" s="862">
        <v>2341</v>
      </c>
      <c r="B1623" s="863" t="s">
        <v>8840</v>
      </c>
      <c r="C1623" s="862">
        <v>2341</v>
      </c>
      <c r="D1623" s="165" t="s">
        <v>2160</v>
      </c>
      <c r="E1623" s="165" t="s">
        <v>8841</v>
      </c>
      <c r="F1623" s="163">
        <v>1</v>
      </c>
      <c r="G1623" s="864"/>
      <c r="H1623" s="864">
        <v>0</v>
      </c>
      <c r="I1623" s="864">
        <v>0</v>
      </c>
      <c r="J1623" s="864">
        <v>13412.284511073178</v>
      </c>
      <c r="K1623" s="864">
        <v>13853.190197239366</v>
      </c>
      <c r="L1623" s="18" t="s">
        <v>4730</v>
      </c>
      <c r="M1623" s="442"/>
      <c r="N1623" s="433"/>
      <c r="P1623" s="433"/>
      <c r="T1623" s="443"/>
      <c r="U1623" s="440"/>
      <c r="V1623" s="440"/>
      <c r="W1623" s="440"/>
      <c r="X1623" s="442"/>
    </row>
    <row r="1624" spans="1:24" x14ac:dyDescent="0.25">
      <c r="A1624" s="862">
        <v>2342</v>
      </c>
      <c r="B1624" s="863" t="s">
        <v>8842</v>
      </c>
      <c r="C1624" s="862">
        <v>2342</v>
      </c>
      <c r="D1624" s="165" t="s">
        <v>2160</v>
      </c>
      <c r="E1624" s="165" t="s">
        <v>8843</v>
      </c>
      <c r="F1624" s="163">
        <v>1</v>
      </c>
      <c r="G1624" s="864"/>
      <c r="H1624" s="864">
        <v>0</v>
      </c>
      <c r="I1624" s="864">
        <v>0</v>
      </c>
      <c r="J1624" s="864">
        <v>13667.906943976159</v>
      </c>
      <c r="K1624" s="864">
        <v>14118.844758370216</v>
      </c>
      <c r="L1624" s="18" t="s">
        <v>4731</v>
      </c>
      <c r="M1624" s="442"/>
      <c r="N1624" s="433"/>
      <c r="P1624" s="433"/>
      <c r="T1624" s="443"/>
      <c r="U1624" s="440"/>
      <c r="V1624" s="440"/>
      <c r="W1624" s="440"/>
      <c r="X1624" s="442"/>
    </row>
    <row r="1625" spans="1:24" x14ac:dyDescent="0.25">
      <c r="A1625" s="862">
        <v>2343</v>
      </c>
      <c r="B1625" s="863" t="s">
        <v>8844</v>
      </c>
      <c r="C1625" s="862">
        <v>2343</v>
      </c>
      <c r="D1625" s="165" t="s">
        <v>2160</v>
      </c>
      <c r="E1625" s="165" t="s">
        <v>8845</v>
      </c>
      <c r="F1625" s="163">
        <v>1</v>
      </c>
      <c r="G1625" s="864"/>
      <c r="H1625" s="864">
        <v>15342.624611511175</v>
      </c>
      <c r="I1625" s="864">
        <v>15891.13228061078</v>
      </c>
      <c r="J1625" s="864">
        <v>16468.551104054812</v>
      </c>
      <c r="K1625" s="864">
        <v>17076.362619767217</v>
      </c>
      <c r="L1625" s="18" t="s">
        <v>2033</v>
      </c>
      <c r="M1625" s="442"/>
      <c r="N1625" s="433"/>
      <c r="P1625" s="433"/>
      <c r="T1625" s="443"/>
      <c r="U1625" s="440"/>
      <c r="V1625" s="440"/>
      <c r="W1625" s="440"/>
      <c r="X1625" s="442"/>
    </row>
    <row r="1626" spans="1:24" x14ac:dyDescent="0.25">
      <c r="A1626" s="862">
        <v>2344</v>
      </c>
      <c r="B1626" s="863" t="s">
        <v>8846</v>
      </c>
      <c r="C1626" s="862">
        <v>2344</v>
      </c>
      <c r="D1626" s="165" t="s">
        <v>2160</v>
      </c>
      <c r="E1626" s="165" t="s">
        <v>8847</v>
      </c>
      <c r="F1626" s="163">
        <v>1</v>
      </c>
      <c r="G1626" s="864"/>
      <c r="H1626" s="864">
        <v>0</v>
      </c>
      <c r="I1626" s="864">
        <v>43614.951368477217</v>
      </c>
      <c r="J1626" s="864">
        <v>45219.033643560528</v>
      </c>
      <c r="K1626" s="864">
        <v>46907.521250653765</v>
      </c>
      <c r="L1626" s="18" t="s">
        <v>4000</v>
      </c>
      <c r="M1626" s="442"/>
      <c r="N1626" s="433"/>
      <c r="P1626" s="433"/>
      <c r="T1626" s="443"/>
      <c r="U1626" s="440"/>
      <c r="V1626" s="440"/>
      <c r="W1626" s="440"/>
      <c r="X1626" s="442"/>
    </row>
    <row r="1627" spans="1:24" x14ac:dyDescent="0.25">
      <c r="A1627" s="862">
        <v>2345</v>
      </c>
      <c r="B1627" s="863" t="s">
        <v>8848</v>
      </c>
      <c r="C1627" s="862">
        <v>2345</v>
      </c>
      <c r="D1627" s="165" t="s">
        <v>2160</v>
      </c>
      <c r="E1627" s="165" t="s">
        <v>8849</v>
      </c>
      <c r="F1627" s="163">
        <v>2</v>
      </c>
      <c r="G1627" s="864"/>
      <c r="H1627" s="864">
        <v>0</v>
      </c>
      <c r="I1627" s="864">
        <v>23903.959673669724</v>
      </c>
      <c r="J1627" s="864">
        <v>24795.647631249511</v>
      </c>
      <c r="K1627" s="864">
        <v>25734.23836566713</v>
      </c>
      <c r="L1627" s="18" t="s">
        <v>4001</v>
      </c>
      <c r="M1627" s="442"/>
      <c r="N1627" s="433"/>
      <c r="P1627" s="433"/>
      <c r="T1627" s="443"/>
      <c r="U1627" s="440"/>
      <c r="V1627" s="440"/>
      <c r="W1627" s="440"/>
      <c r="X1627" s="442"/>
    </row>
    <row r="1628" spans="1:24" x14ac:dyDescent="0.25">
      <c r="A1628" s="862">
        <v>2346</v>
      </c>
      <c r="B1628" s="863" t="s">
        <v>8850</v>
      </c>
      <c r="C1628" s="862">
        <v>2346</v>
      </c>
      <c r="D1628" s="165" t="s">
        <v>2160</v>
      </c>
      <c r="E1628" s="165" t="s">
        <v>8851</v>
      </c>
      <c r="F1628" s="163">
        <v>2</v>
      </c>
      <c r="G1628" s="864"/>
      <c r="H1628" s="864">
        <v>0</v>
      </c>
      <c r="I1628" s="864">
        <v>25499.652825316243</v>
      </c>
      <c r="J1628" s="864">
        <v>26462.765343474803</v>
      </c>
      <c r="K1628" s="864">
        <v>27476.575676431101</v>
      </c>
      <c r="L1628" s="18" t="s">
        <v>4002</v>
      </c>
      <c r="M1628" s="442"/>
      <c r="N1628" s="433"/>
      <c r="P1628" s="433"/>
      <c r="T1628" s="443"/>
      <c r="U1628" s="440"/>
      <c r="V1628" s="440"/>
      <c r="W1628" s="440"/>
      <c r="X1628" s="442"/>
    </row>
    <row r="1629" spans="1:24" x14ac:dyDescent="0.25">
      <c r="A1629" s="862">
        <v>2347</v>
      </c>
      <c r="B1629" s="863" t="s">
        <v>8852</v>
      </c>
      <c r="C1629" s="862">
        <v>2347</v>
      </c>
      <c r="D1629" s="165" t="s">
        <v>2160</v>
      </c>
      <c r="E1629" s="165" t="s">
        <v>8853</v>
      </c>
      <c r="F1629" s="163">
        <v>2</v>
      </c>
      <c r="G1629" s="864"/>
      <c r="H1629" s="864">
        <v>0</v>
      </c>
      <c r="I1629" s="864">
        <v>26580.60625062518</v>
      </c>
      <c r="J1629" s="864">
        <v>27592.129829938967</v>
      </c>
      <c r="K1629" s="864">
        <v>28656.881249357099</v>
      </c>
      <c r="L1629" s="18" t="s">
        <v>4003</v>
      </c>
      <c r="M1629" s="442"/>
      <c r="N1629" s="433"/>
      <c r="P1629" s="433"/>
      <c r="T1629" s="443"/>
      <c r="U1629" s="440"/>
      <c r="V1629" s="440"/>
      <c r="W1629" s="440"/>
      <c r="X1629" s="442"/>
    </row>
    <row r="1630" spans="1:24" x14ac:dyDescent="0.25">
      <c r="A1630" s="862">
        <v>2348</v>
      </c>
      <c r="B1630" s="863" t="s">
        <v>8854</v>
      </c>
      <c r="C1630" s="862">
        <v>2348</v>
      </c>
      <c r="D1630" s="165" t="s">
        <v>2160</v>
      </c>
      <c r="E1630" s="165" t="s">
        <v>8855</v>
      </c>
      <c r="F1630" s="163">
        <v>2</v>
      </c>
      <c r="G1630" s="864"/>
      <c r="H1630" s="864">
        <v>28481.087212268252</v>
      </c>
      <c r="I1630" s="864">
        <v>29601.985731759891</v>
      </c>
      <c r="J1630" s="864">
        <v>30781.853302628548</v>
      </c>
      <c r="K1630" s="864">
        <v>32023.803802174669</v>
      </c>
      <c r="L1630" s="18" t="s">
        <v>2034</v>
      </c>
      <c r="M1630" s="442"/>
      <c r="N1630" s="433"/>
      <c r="P1630" s="433"/>
      <c r="T1630" s="443"/>
      <c r="U1630" s="440"/>
      <c r="V1630" s="440"/>
      <c r="W1630" s="440"/>
      <c r="X1630" s="442"/>
    </row>
    <row r="1631" spans="1:24" x14ac:dyDescent="0.25">
      <c r="A1631" s="862">
        <v>2349</v>
      </c>
      <c r="B1631" s="863" t="s">
        <v>8856</v>
      </c>
      <c r="C1631" s="862">
        <v>2349</v>
      </c>
      <c r="D1631" s="165" t="s">
        <v>2160</v>
      </c>
      <c r="E1631" s="165" t="s">
        <v>8857</v>
      </c>
      <c r="F1631" s="163">
        <v>2</v>
      </c>
      <c r="G1631" s="864"/>
      <c r="H1631" s="864">
        <v>30093.158991440559</v>
      </c>
      <c r="I1631" s="864">
        <v>31287.817479486293</v>
      </c>
      <c r="J1631" s="864">
        <v>32545.3373655346</v>
      </c>
      <c r="K1631" s="864">
        <v>33869.075798549995</v>
      </c>
      <c r="L1631" s="18" t="s">
        <v>2035</v>
      </c>
      <c r="M1631" s="442"/>
      <c r="N1631" s="433"/>
      <c r="P1631" s="433"/>
      <c r="T1631" s="443"/>
      <c r="U1631" s="440"/>
      <c r="V1631" s="440"/>
      <c r="W1631" s="440"/>
      <c r="X1631" s="442"/>
    </row>
    <row r="1632" spans="1:24" x14ac:dyDescent="0.25">
      <c r="A1632" s="862">
        <v>2350</v>
      </c>
      <c r="B1632" s="863" t="s">
        <v>8858</v>
      </c>
      <c r="C1632" s="862">
        <v>2350</v>
      </c>
      <c r="D1632" s="165" t="s">
        <v>2160</v>
      </c>
      <c r="E1632" s="165" t="s">
        <v>8859</v>
      </c>
      <c r="F1632" s="163">
        <v>2</v>
      </c>
      <c r="G1632" s="864"/>
      <c r="H1632" s="864">
        <v>30087.732494432217</v>
      </c>
      <c r="I1632" s="864">
        <v>31282.147710813853</v>
      </c>
      <c r="J1632" s="864">
        <v>32539.424325198059</v>
      </c>
      <c r="K1632" s="864">
        <v>33862.87083221654</v>
      </c>
      <c r="L1632" s="18" t="s">
        <v>2036</v>
      </c>
      <c r="M1632" s="442"/>
      <c r="N1632" s="433"/>
      <c r="P1632" s="433"/>
      <c r="T1632" s="443"/>
      <c r="U1632" s="440"/>
      <c r="V1632" s="440"/>
      <c r="W1632" s="440"/>
      <c r="X1632" s="442"/>
    </row>
    <row r="1633" spans="1:24" x14ac:dyDescent="0.25">
      <c r="A1633" s="862">
        <v>2351</v>
      </c>
      <c r="B1633" s="863" t="s">
        <v>8860</v>
      </c>
      <c r="C1633" s="862">
        <v>2351</v>
      </c>
      <c r="D1633" s="165" t="s">
        <v>2160</v>
      </c>
      <c r="E1633" s="165" t="s">
        <v>8861</v>
      </c>
      <c r="F1633" s="163">
        <v>2</v>
      </c>
      <c r="G1633" s="864"/>
      <c r="H1633" s="864">
        <v>31699.852927937336</v>
      </c>
      <c r="I1633" s="864">
        <v>32968.028112873078</v>
      </c>
      <c r="J1633" s="864">
        <v>34302.957042436916</v>
      </c>
      <c r="K1633" s="864">
        <v>35708.142828591874</v>
      </c>
      <c r="L1633" s="18" t="s">
        <v>2037</v>
      </c>
      <c r="M1633" s="442"/>
      <c r="N1633" s="433"/>
      <c r="P1633" s="433"/>
      <c r="T1633" s="443"/>
      <c r="U1633" s="440"/>
      <c r="V1633" s="440"/>
      <c r="W1633" s="440"/>
      <c r="X1633" s="442"/>
    </row>
    <row r="1634" spans="1:24" x14ac:dyDescent="0.25">
      <c r="A1634" s="862">
        <v>2352</v>
      </c>
      <c r="B1634" s="863" t="s">
        <v>8862</v>
      </c>
      <c r="C1634" s="862">
        <v>2352</v>
      </c>
      <c r="D1634" s="165" t="s">
        <v>2160</v>
      </c>
      <c r="E1634" s="165" t="s">
        <v>8863</v>
      </c>
      <c r="F1634" s="163">
        <v>2</v>
      </c>
      <c r="G1634" s="864"/>
      <c r="H1634" s="864">
        <v>33446.716442115881</v>
      </c>
      <c r="I1634" s="864">
        <v>34794.830695873759</v>
      </c>
      <c r="J1634" s="864">
        <v>36213.931621215044</v>
      </c>
      <c r="K1634" s="864">
        <v>37707.716947433997</v>
      </c>
      <c r="L1634" s="18" t="s">
        <v>2038</v>
      </c>
      <c r="M1634" s="442"/>
      <c r="N1634" s="433"/>
      <c r="P1634" s="433"/>
      <c r="T1634" s="443"/>
      <c r="U1634" s="440"/>
      <c r="V1634" s="440"/>
      <c r="W1634" s="440"/>
      <c r="X1634" s="442"/>
    </row>
    <row r="1635" spans="1:24" x14ac:dyDescent="0.25">
      <c r="A1635" s="862">
        <v>2353</v>
      </c>
      <c r="B1635" s="863" t="s">
        <v>8864</v>
      </c>
      <c r="C1635" s="862">
        <v>2353</v>
      </c>
      <c r="D1635" s="165" t="s">
        <v>2160</v>
      </c>
      <c r="E1635" s="165" t="s">
        <v>8865</v>
      </c>
      <c r="F1635" s="163">
        <v>2</v>
      </c>
      <c r="G1635" s="864"/>
      <c r="H1635" s="864">
        <v>29659.5566620026</v>
      </c>
      <c r="I1635" s="864">
        <v>30870.076462547422</v>
      </c>
      <c r="J1635" s="864">
        <v>32144.333439085582</v>
      </c>
      <c r="K1635" s="864">
        <v>33485.636086248764</v>
      </c>
      <c r="L1635" s="18" t="s">
        <v>2039</v>
      </c>
      <c r="M1635" s="442"/>
      <c r="N1635" s="433"/>
      <c r="P1635" s="433"/>
      <c r="T1635" s="443"/>
      <c r="U1635" s="440"/>
      <c r="V1635" s="440"/>
      <c r="W1635" s="440"/>
      <c r="X1635" s="442"/>
    </row>
    <row r="1636" spans="1:24" x14ac:dyDescent="0.25">
      <c r="A1636" s="862">
        <v>2354</v>
      </c>
      <c r="B1636" s="863" t="s">
        <v>8866</v>
      </c>
      <c r="C1636" s="862">
        <v>2354</v>
      </c>
      <c r="D1636" s="165" t="s">
        <v>2160</v>
      </c>
      <c r="E1636" s="165" t="s">
        <v>8867</v>
      </c>
      <c r="F1636" s="163">
        <v>2</v>
      </c>
      <c r="G1636" s="864"/>
      <c r="H1636" s="864">
        <v>31358.707417135713</v>
      </c>
      <c r="I1636" s="864">
        <v>32649.360903833975</v>
      </c>
      <c r="J1636" s="864">
        <v>34007.935839148013</v>
      </c>
      <c r="K1636" s="864">
        <v>35438.032643706458</v>
      </c>
      <c r="L1636" s="18" t="s">
        <v>2040</v>
      </c>
      <c r="M1636" s="442"/>
      <c r="N1636" s="433"/>
      <c r="P1636" s="433"/>
      <c r="T1636" s="443"/>
      <c r="U1636" s="440"/>
      <c r="V1636" s="440"/>
      <c r="W1636" s="440"/>
      <c r="X1636" s="442"/>
    </row>
    <row r="1637" spans="1:24" x14ac:dyDescent="0.25">
      <c r="A1637" s="862">
        <v>2355</v>
      </c>
      <c r="B1637" s="863" t="s">
        <v>8868</v>
      </c>
      <c r="C1637" s="862">
        <v>2355</v>
      </c>
      <c r="D1637" s="165" t="s">
        <v>2160</v>
      </c>
      <c r="E1637" s="165" t="s">
        <v>8869</v>
      </c>
      <c r="F1637" s="163">
        <v>2</v>
      </c>
      <c r="G1637" s="864"/>
      <c r="H1637" s="864">
        <v>31373.478410281841</v>
      </c>
      <c r="I1637" s="864">
        <v>32664.861711972389</v>
      </c>
      <c r="J1637" s="864">
        <v>34024.215116611536</v>
      </c>
      <c r="K1637" s="864">
        <v>35455.090390495097</v>
      </c>
      <c r="L1637" s="18" t="s">
        <v>2041</v>
      </c>
      <c r="M1637" s="442"/>
      <c r="N1637" s="433"/>
      <c r="P1637" s="433"/>
      <c r="T1637" s="443"/>
      <c r="U1637" s="440"/>
      <c r="V1637" s="440"/>
      <c r="W1637" s="440"/>
      <c r="X1637" s="442"/>
    </row>
    <row r="1638" spans="1:24" x14ac:dyDescent="0.25">
      <c r="A1638" s="862">
        <v>2356</v>
      </c>
      <c r="B1638" s="863" t="s">
        <v>8870</v>
      </c>
      <c r="C1638" s="862">
        <v>2356</v>
      </c>
      <c r="D1638" s="165" t="s">
        <v>2160</v>
      </c>
      <c r="E1638" s="165" t="s">
        <v>8871</v>
      </c>
      <c r="F1638" s="163">
        <v>2</v>
      </c>
      <c r="G1638" s="864"/>
      <c r="H1638" s="864">
        <v>33102.122497374396</v>
      </c>
      <c r="I1638" s="864">
        <v>34475.001806537315</v>
      </c>
      <c r="J1638" s="864">
        <v>35920.132799936939</v>
      </c>
      <c r="K1638" s="864">
        <v>37441.310515533165</v>
      </c>
      <c r="L1638" s="18" t="s">
        <v>2042</v>
      </c>
      <c r="M1638" s="442"/>
      <c r="N1638" s="433"/>
      <c r="P1638" s="433"/>
      <c r="T1638" s="443"/>
      <c r="U1638" s="440"/>
      <c r="V1638" s="440"/>
      <c r="W1638" s="440"/>
      <c r="X1638" s="442"/>
    </row>
    <row r="1639" spans="1:24" x14ac:dyDescent="0.25">
      <c r="A1639" s="862">
        <v>2357</v>
      </c>
      <c r="B1639" s="863" t="s">
        <v>8872</v>
      </c>
      <c r="C1639" s="862">
        <v>2357</v>
      </c>
      <c r="D1639" s="165" t="s">
        <v>2160</v>
      </c>
      <c r="E1639" s="165" t="s">
        <v>8873</v>
      </c>
      <c r="F1639" s="163">
        <v>2</v>
      </c>
      <c r="G1639" s="864"/>
      <c r="H1639" s="864">
        <v>34963.705522782111</v>
      </c>
      <c r="I1639" s="864">
        <v>36424.357248351102</v>
      </c>
      <c r="J1639" s="864">
        <v>37961.882819774619</v>
      </c>
      <c r="K1639" s="864">
        <v>39580.369201009511</v>
      </c>
      <c r="L1639" s="18" t="s">
        <v>2043</v>
      </c>
      <c r="M1639" s="442"/>
      <c r="N1639" s="433"/>
      <c r="P1639" s="433"/>
      <c r="T1639" s="443"/>
      <c r="U1639" s="440"/>
      <c r="V1639" s="440"/>
      <c r="W1639" s="440"/>
      <c r="X1639" s="442"/>
    </row>
    <row r="1640" spans="1:24" x14ac:dyDescent="0.25">
      <c r="A1640" s="862">
        <v>2358</v>
      </c>
      <c r="B1640" s="863" t="s">
        <v>8874</v>
      </c>
      <c r="C1640" s="862">
        <v>2358</v>
      </c>
      <c r="D1640" s="165" t="s">
        <v>2160</v>
      </c>
      <c r="E1640" s="165" t="s">
        <v>8875</v>
      </c>
      <c r="F1640" s="163">
        <v>2</v>
      </c>
      <c r="G1640" s="864"/>
      <c r="H1640" s="864">
        <v>0</v>
      </c>
      <c r="I1640" s="864">
        <v>32911.904884577503</v>
      </c>
      <c r="J1640" s="864">
        <v>34206.888606896682</v>
      </c>
      <c r="K1640" s="864">
        <v>35570.037049495739</v>
      </c>
      <c r="L1640" s="18" t="s">
        <v>4004</v>
      </c>
      <c r="M1640" s="442"/>
      <c r="N1640" s="433"/>
      <c r="P1640" s="433"/>
      <c r="T1640" s="443"/>
      <c r="U1640" s="440"/>
      <c r="V1640" s="440"/>
      <c r="W1640" s="440"/>
      <c r="X1640" s="442"/>
    </row>
    <row r="1641" spans="1:24" x14ac:dyDescent="0.25">
      <c r="A1641" s="862">
        <v>2359</v>
      </c>
      <c r="B1641" s="863" t="s">
        <v>8876</v>
      </c>
      <c r="C1641" s="862">
        <v>2359</v>
      </c>
      <c r="D1641" s="165" t="s">
        <v>2160</v>
      </c>
      <c r="E1641" s="165" t="s">
        <v>8877</v>
      </c>
      <c r="F1641" s="163">
        <v>2</v>
      </c>
      <c r="G1641" s="864"/>
      <c r="H1641" s="864">
        <v>0</v>
      </c>
      <c r="I1641" s="864">
        <v>37184.244613179479</v>
      </c>
      <c r="J1641" s="864">
        <v>38670.537172144257</v>
      </c>
      <c r="K1641" s="864">
        <v>40235.065898282504</v>
      </c>
      <c r="L1641" s="18" t="s">
        <v>4005</v>
      </c>
      <c r="M1641" s="442"/>
      <c r="N1641" s="433"/>
      <c r="P1641" s="433"/>
      <c r="T1641" s="443"/>
      <c r="U1641" s="440"/>
      <c r="V1641" s="440"/>
      <c r="W1641" s="440"/>
      <c r="X1641" s="442"/>
    </row>
    <row r="1642" spans="1:24" x14ac:dyDescent="0.25">
      <c r="A1642" s="862">
        <v>2360</v>
      </c>
      <c r="B1642" s="863" t="s">
        <v>8878</v>
      </c>
      <c r="C1642" s="862">
        <v>2360</v>
      </c>
      <c r="D1642" s="165" t="s">
        <v>2160</v>
      </c>
      <c r="E1642" s="165" t="s">
        <v>8879</v>
      </c>
      <c r="F1642" s="163">
        <v>2</v>
      </c>
      <c r="G1642" s="864"/>
      <c r="H1642" s="864">
        <v>32540.678794823005</v>
      </c>
      <c r="I1642" s="864">
        <v>33887.09014693222</v>
      </c>
      <c r="J1642" s="864">
        <v>35304.342207626352</v>
      </c>
      <c r="K1642" s="864">
        <v>36796.181360532537</v>
      </c>
      <c r="L1642" s="18" t="s">
        <v>2044</v>
      </c>
      <c r="M1642" s="442"/>
      <c r="N1642" s="433"/>
      <c r="P1642" s="433"/>
      <c r="T1642" s="443"/>
      <c r="U1642" s="440"/>
      <c r="V1642" s="440"/>
      <c r="W1642" s="440"/>
      <c r="X1642" s="442"/>
    </row>
    <row r="1643" spans="1:24" x14ac:dyDescent="0.25">
      <c r="A1643" s="862">
        <v>2361</v>
      </c>
      <c r="B1643" s="863" t="s">
        <v>8880</v>
      </c>
      <c r="C1643" s="862">
        <v>2361</v>
      </c>
      <c r="D1643" s="165" t="s">
        <v>2160</v>
      </c>
      <c r="E1643" s="165" t="s">
        <v>8881</v>
      </c>
      <c r="F1643" s="163">
        <v>2</v>
      </c>
      <c r="G1643" s="864"/>
      <c r="H1643" s="864">
        <v>34276.70837848862</v>
      </c>
      <c r="I1643" s="864">
        <v>35704.956318399942</v>
      </c>
      <c r="J1643" s="864">
        <v>37208.375202517112</v>
      </c>
      <c r="K1643" s="864">
        <v>38790.954686131343</v>
      </c>
      <c r="L1643" s="18" t="s">
        <v>2045</v>
      </c>
      <c r="M1643" s="442"/>
      <c r="N1643" s="433"/>
      <c r="P1643" s="433"/>
      <c r="T1643" s="443"/>
      <c r="U1643" s="440"/>
      <c r="V1643" s="440"/>
      <c r="W1643" s="440"/>
      <c r="X1643" s="442"/>
    </row>
    <row r="1644" spans="1:24" x14ac:dyDescent="0.25">
      <c r="A1644" s="862">
        <v>2362</v>
      </c>
      <c r="B1644" s="863" t="s">
        <v>8882</v>
      </c>
      <c r="C1644" s="862">
        <v>2362</v>
      </c>
      <c r="D1644" s="165" t="s">
        <v>2160</v>
      </c>
      <c r="E1644" s="165" t="s">
        <v>8883</v>
      </c>
      <c r="F1644" s="163">
        <v>2</v>
      </c>
      <c r="G1644" s="864"/>
      <c r="H1644" s="864">
        <v>36153.062397042464</v>
      </c>
      <c r="I1644" s="864">
        <v>37669.812568352136</v>
      </c>
      <c r="J1644" s="864">
        <v>39266.404499818331</v>
      </c>
      <c r="K1644" s="864">
        <v>40947.022464063484</v>
      </c>
      <c r="L1644" s="18" t="s">
        <v>2046</v>
      </c>
      <c r="M1644" s="442"/>
      <c r="N1644" s="433"/>
      <c r="P1644" s="433"/>
      <c r="T1644" s="443"/>
      <c r="U1644" s="440"/>
      <c r="V1644" s="440"/>
      <c r="W1644" s="440"/>
      <c r="X1644" s="442"/>
    </row>
    <row r="1645" spans="1:24" x14ac:dyDescent="0.25">
      <c r="A1645" s="862">
        <v>2363</v>
      </c>
      <c r="B1645" s="863" t="s">
        <v>8884</v>
      </c>
      <c r="C1645" s="862">
        <v>2363</v>
      </c>
      <c r="D1645" s="165" t="s">
        <v>2160</v>
      </c>
      <c r="E1645" s="165" t="s">
        <v>8885</v>
      </c>
      <c r="F1645" s="163">
        <v>2</v>
      </c>
      <c r="G1645" s="864"/>
      <c r="H1645" s="864">
        <v>0</v>
      </c>
      <c r="I1645" s="864">
        <v>38700.731871449032</v>
      </c>
      <c r="J1645" s="864">
        <v>40341.307319783875</v>
      </c>
      <c r="K1645" s="864">
        <v>41981.834113785917</v>
      </c>
      <c r="L1645" s="18" t="s">
        <v>4006</v>
      </c>
      <c r="M1645" s="442"/>
      <c r="N1645" s="433"/>
      <c r="P1645" s="433"/>
      <c r="T1645" s="443"/>
      <c r="U1645" s="440"/>
      <c r="V1645" s="440"/>
      <c r="W1645" s="440"/>
      <c r="X1645" s="442"/>
    </row>
    <row r="1646" spans="1:24" x14ac:dyDescent="0.25">
      <c r="A1646" s="862">
        <v>2364</v>
      </c>
      <c r="B1646" s="863" t="s">
        <v>8886</v>
      </c>
      <c r="C1646" s="862">
        <v>2364</v>
      </c>
      <c r="D1646" s="165" t="s">
        <v>2160</v>
      </c>
      <c r="E1646" s="165" t="s">
        <v>8887</v>
      </c>
      <c r="F1646" s="163">
        <v>2</v>
      </c>
      <c r="G1646" s="864"/>
      <c r="H1646" s="864">
        <v>0</v>
      </c>
      <c r="I1646" s="864">
        <v>34428.392142847035</v>
      </c>
      <c r="J1646" s="864">
        <v>35867.052109981698</v>
      </c>
      <c r="K1646" s="864">
        <v>37305.663422783531</v>
      </c>
      <c r="L1646" s="18" t="s">
        <v>4007</v>
      </c>
      <c r="M1646" s="442"/>
      <c r="N1646" s="433"/>
      <c r="P1646" s="433"/>
      <c r="T1646" s="443"/>
      <c r="U1646" s="440"/>
      <c r="V1646" s="440"/>
      <c r="W1646" s="440"/>
      <c r="X1646" s="442"/>
    </row>
    <row r="1647" spans="1:24" x14ac:dyDescent="0.25">
      <c r="A1647" s="862">
        <v>2365</v>
      </c>
      <c r="B1647" s="863" t="s">
        <v>8888</v>
      </c>
      <c r="C1647" s="862">
        <v>2365</v>
      </c>
      <c r="D1647" s="165" t="s">
        <v>2160</v>
      </c>
      <c r="E1647" s="165" t="s">
        <v>8889</v>
      </c>
      <c r="F1647" s="163">
        <v>1</v>
      </c>
      <c r="G1647" s="864"/>
      <c r="H1647" s="864">
        <v>41566.646552868122</v>
      </c>
      <c r="I1647" s="864">
        <v>43119.213637853099</v>
      </c>
      <c r="J1647" s="864">
        <v>44753.519286584895</v>
      </c>
      <c r="K1647" s="864">
        <v>46473.838794215473</v>
      </c>
      <c r="L1647" s="18" t="s">
        <v>3079</v>
      </c>
      <c r="M1647" s="442"/>
      <c r="N1647" s="433"/>
      <c r="P1647" s="433"/>
      <c r="T1647" s="443"/>
      <c r="U1647" s="440"/>
      <c r="V1647" s="440"/>
      <c r="W1647" s="440"/>
      <c r="X1647" s="442"/>
    </row>
    <row r="1648" spans="1:24" x14ac:dyDescent="0.25">
      <c r="A1648" s="862">
        <v>2366</v>
      </c>
      <c r="B1648" s="863" t="s">
        <v>8890</v>
      </c>
      <c r="C1648" s="862">
        <v>2366</v>
      </c>
      <c r="D1648" s="165" t="s">
        <v>2160</v>
      </c>
      <c r="E1648" s="165" t="s">
        <v>8891</v>
      </c>
      <c r="F1648" s="163">
        <v>1</v>
      </c>
      <c r="G1648" s="864"/>
      <c r="H1648" s="864">
        <v>0</v>
      </c>
      <c r="I1648" s="864">
        <v>41316.790924608584</v>
      </c>
      <c r="J1648" s="864">
        <v>42824.615564290405</v>
      </c>
      <c r="K1648" s="864">
        <v>44411.808307040745</v>
      </c>
      <c r="L1648" s="18" t="s">
        <v>4008</v>
      </c>
      <c r="M1648" s="442"/>
      <c r="N1648" s="433"/>
      <c r="P1648" s="433"/>
      <c r="T1648" s="443"/>
      <c r="U1648" s="440"/>
      <c r="V1648" s="440"/>
      <c r="W1648" s="440"/>
      <c r="X1648" s="442"/>
    </row>
    <row r="1649" spans="1:24" x14ac:dyDescent="0.25">
      <c r="A1649" s="862">
        <v>2367</v>
      </c>
      <c r="B1649" s="863" t="s">
        <v>8892</v>
      </c>
      <c r="C1649" s="862">
        <v>2367</v>
      </c>
      <c r="D1649" s="165" t="s">
        <v>2160</v>
      </c>
      <c r="E1649" s="165" t="s">
        <v>8893</v>
      </c>
      <c r="F1649" s="163">
        <v>1</v>
      </c>
      <c r="G1649" s="864"/>
      <c r="H1649" s="864">
        <v>0</v>
      </c>
      <c r="I1649" s="864">
        <v>0</v>
      </c>
      <c r="J1649" s="864">
        <v>0</v>
      </c>
      <c r="K1649" s="864">
        <v>45304.500877895123</v>
      </c>
      <c r="L1649" s="18" t="s">
        <v>11016</v>
      </c>
      <c r="M1649" s="442"/>
      <c r="N1649" s="433"/>
      <c r="P1649" s="433"/>
      <c r="T1649" s="443"/>
      <c r="U1649" s="440"/>
      <c r="V1649" s="440"/>
      <c r="W1649" s="440"/>
      <c r="X1649" s="442"/>
    </row>
    <row r="1650" spans="1:24" x14ac:dyDescent="0.25">
      <c r="A1650" s="862">
        <v>2368</v>
      </c>
      <c r="B1650" s="863" t="s">
        <v>8894</v>
      </c>
      <c r="C1650" s="862">
        <v>2368</v>
      </c>
      <c r="D1650" s="165" t="s">
        <v>2160</v>
      </c>
      <c r="E1650" s="165" t="s">
        <v>8895</v>
      </c>
      <c r="F1650" s="163">
        <v>2</v>
      </c>
      <c r="G1650" s="864"/>
      <c r="H1650" s="864">
        <v>26689.90587897104</v>
      </c>
      <c r="I1650" s="864">
        <v>27760.398509661856</v>
      </c>
      <c r="J1650" s="864">
        <v>28887.232857757448</v>
      </c>
      <c r="K1650" s="864">
        <v>30073.376837559801</v>
      </c>
      <c r="L1650" s="18" t="s">
        <v>2047</v>
      </c>
      <c r="M1650" s="442"/>
      <c r="N1650" s="433"/>
      <c r="P1650" s="433"/>
      <c r="T1650" s="443"/>
      <c r="U1650" s="440"/>
      <c r="V1650" s="440"/>
      <c r="W1650" s="440"/>
      <c r="X1650" s="442"/>
    </row>
    <row r="1651" spans="1:24" x14ac:dyDescent="0.25">
      <c r="A1651" s="862">
        <v>2369</v>
      </c>
      <c r="B1651" s="863" t="s">
        <v>8896</v>
      </c>
      <c r="C1651" s="862">
        <v>2369</v>
      </c>
      <c r="D1651" s="165" t="s">
        <v>2160</v>
      </c>
      <c r="E1651" s="165" t="s">
        <v>8897</v>
      </c>
      <c r="F1651" s="163">
        <v>2</v>
      </c>
      <c r="G1651" s="864"/>
      <c r="H1651" s="864">
        <v>27199.602451178158</v>
      </c>
      <c r="I1651" s="864">
        <v>28294.130322281722</v>
      </c>
      <c r="J1651" s="864">
        <v>29446.264923443359</v>
      </c>
      <c r="K1651" s="864">
        <v>30659.071477630707</v>
      </c>
      <c r="L1651" s="18" t="s">
        <v>2048</v>
      </c>
      <c r="M1651" s="442"/>
      <c r="N1651" s="433"/>
      <c r="P1651" s="433"/>
      <c r="T1651" s="443"/>
      <c r="U1651" s="440"/>
      <c r="V1651" s="440"/>
      <c r="W1651" s="440"/>
      <c r="X1651" s="442"/>
    </row>
    <row r="1652" spans="1:24" x14ac:dyDescent="0.25">
      <c r="A1652" s="862">
        <v>2370</v>
      </c>
      <c r="B1652" s="863" t="s">
        <v>8898</v>
      </c>
      <c r="C1652" s="862">
        <v>2370</v>
      </c>
      <c r="D1652" s="165" t="s">
        <v>2160</v>
      </c>
      <c r="E1652" s="165" t="s">
        <v>8899</v>
      </c>
      <c r="F1652" s="163">
        <v>2</v>
      </c>
      <c r="G1652" s="864"/>
      <c r="H1652" s="864">
        <v>27701.962181145031</v>
      </c>
      <c r="I1652" s="864">
        <v>28820.1847123316</v>
      </c>
      <c r="J1652" s="864">
        <v>29997.278986229554</v>
      </c>
      <c r="K1652" s="864">
        <v>31236.310225806516</v>
      </c>
      <c r="L1652" s="18" t="s">
        <v>2049</v>
      </c>
      <c r="M1652" s="442"/>
      <c r="N1652" s="433"/>
      <c r="P1652" s="433"/>
      <c r="T1652" s="443"/>
      <c r="U1652" s="440"/>
      <c r="V1652" s="440"/>
      <c r="W1652" s="440"/>
      <c r="X1652" s="442"/>
    </row>
    <row r="1653" spans="1:24" x14ac:dyDescent="0.25">
      <c r="A1653" s="862">
        <v>2371</v>
      </c>
      <c r="B1653" s="863" t="s">
        <v>8900</v>
      </c>
      <c r="C1653" s="862">
        <v>2371</v>
      </c>
      <c r="D1653" s="165" t="s">
        <v>2160</v>
      </c>
      <c r="E1653" s="165" t="s">
        <v>8901</v>
      </c>
      <c r="F1653" s="163">
        <v>2</v>
      </c>
      <c r="G1653" s="864"/>
      <c r="H1653" s="864">
        <v>28462.960254167629</v>
      </c>
      <c r="I1653" s="864">
        <v>29617.089682974864</v>
      </c>
      <c r="J1653" s="864">
        <v>30831.939719140617</v>
      </c>
      <c r="K1653" s="864">
        <v>32110.721548630958</v>
      </c>
      <c r="L1653" s="18" t="s">
        <v>2050</v>
      </c>
      <c r="M1653" s="442"/>
      <c r="N1653" s="433"/>
      <c r="P1653" s="433"/>
      <c r="T1653" s="443"/>
      <c r="U1653" s="440"/>
      <c r="V1653" s="440"/>
      <c r="W1653" s="440"/>
      <c r="X1653" s="442"/>
    </row>
    <row r="1654" spans="1:24" x14ac:dyDescent="0.25">
      <c r="A1654" s="862">
        <v>2372</v>
      </c>
      <c r="B1654" s="863" t="s">
        <v>8902</v>
      </c>
      <c r="C1654" s="862">
        <v>2372</v>
      </c>
      <c r="D1654" s="165" t="s">
        <v>2160</v>
      </c>
      <c r="E1654" s="165" t="s">
        <v>8903</v>
      </c>
      <c r="F1654" s="163">
        <v>2</v>
      </c>
      <c r="G1654" s="864"/>
      <c r="H1654" s="864">
        <v>28979.94501428217</v>
      </c>
      <c r="I1654" s="864">
        <v>30158.450263831885</v>
      </c>
      <c r="J1654" s="864">
        <v>31398.989787726237</v>
      </c>
      <c r="K1654" s="864">
        <v>32704.823426264134</v>
      </c>
      <c r="L1654" s="18" t="s">
        <v>2051</v>
      </c>
      <c r="M1654" s="442"/>
      <c r="N1654" s="433"/>
      <c r="P1654" s="433"/>
      <c r="T1654" s="443"/>
      <c r="U1654" s="440"/>
      <c r="V1654" s="440"/>
      <c r="W1654" s="440"/>
      <c r="X1654" s="442"/>
    </row>
    <row r="1655" spans="1:24" x14ac:dyDescent="0.25">
      <c r="A1655" s="862">
        <v>2373</v>
      </c>
      <c r="B1655" s="863" t="s">
        <v>8904</v>
      </c>
      <c r="C1655" s="862">
        <v>2373</v>
      </c>
      <c r="D1655" s="165" t="s">
        <v>2160</v>
      </c>
      <c r="E1655" s="165" t="s">
        <v>8905</v>
      </c>
      <c r="F1655" s="163">
        <v>2</v>
      </c>
      <c r="G1655" s="864"/>
      <c r="H1655" s="864">
        <v>28629.720256996854</v>
      </c>
      <c r="I1655" s="864">
        <v>29764.777187338907</v>
      </c>
      <c r="J1655" s="864">
        <v>30959.58163838309</v>
      </c>
      <c r="K1655" s="864">
        <v>32217.296141762672</v>
      </c>
      <c r="L1655" s="18" t="s">
        <v>2052</v>
      </c>
      <c r="M1655" s="442"/>
      <c r="N1655" s="433"/>
      <c r="P1655" s="433"/>
      <c r="T1655" s="443"/>
      <c r="U1655" s="440"/>
      <c r="V1655" s="440"/>
      <c r="W1655" s="440"/>
      <c r="X1655" s="442"/>
    </row>
    <row r="1656" spans="1:24" x14ac:dyDescent="0.25">
      <c r="A1656" s="862">
        <v>2374</v>
      </c>
      <c r="B1656" s="863" t="s">
        <v>8906</v>
      </c>
      <c r="C1656" s="862">
        <v>2374</v>
      </c>
      <c r="D1656" s="165" t="s">
        <v>2160</v>
      </c>
      <c r="E1656" s="165" t="s">
        <v>8907</v>
      </c>
      <c r="F1656" s="163">
        <v>1</v>
      </c>
      <c r="G1656" s="864"/>
      <c r="H1656" s="864">
        <v>40666.324199782255</v>
      </c>
      <c r="I1656" s="864">
        <v>0</v>
      </c>
      <c r="J1656" s="864">
        <v>0</v>
      </c>
      <c r="K1656" s="864">
        <v>0</v>
      </c>
      <c r="L1656" s="18" t="s">
        <v>2053</v>
      </c>
      <c r="M1656" s="442"/>
      <c r="N1656" s="433"/>
      <c r="P1656" s="433"/>
      <c r="T1656" s="443"/>
      <c r="U1656" s="440"/>
      <c r="V1656" s="440"/>
      <c r="W1656" s="440"/>
      <c r="X1656" s="442"/>
    </row>
    <row r="1657" spans="1:24" x14ac:dyDescent="0.25">
      <c r="A1657" s="862">
        <v>2375</v>
      </c>
      <c r="B1657" s="863" t="s">
        <v>8908</v>
      </c>
      <c r="C1657" s="862">
        <v>2375</v>
      </c>
      <c r="D1657" s="165" t="s">
        <v>2160</v>
      </c>
      <c r="E1657" s="165" t="s">
        <v>8909</v>
      </c>
      <c r="F1657" s="163">
        <v>1</v>
      </c>
      <c r="G1657" s="864"/>
      <c r="H1657" s="864">
        <v>0</v>
      </c>
      <c r="I1657" s="864">
        <v>31945.676646133976</v>
      </c>
      <c r="J1657" s="864">
        <v>33177.554265067192</v>
      </c>
      <c r="K1657" s="864">
        <v>34474.238585759289</v>
      </c>
      <c r="L1657" s="18" t="s">
        <v>4009</v>
      </c>
      <c r="M1657" s="442"/>
      <c r="N1657" s="433"/>
      <c r="P1657" s="433"/>
      <c r="T1657" s="443"/>
      <c r="U1657" s="440"/>
      <c r="V1657" s="440"/>
      <c r="W1657" s="440"/>
      <c r="X1657" s="442"/>
    </row>
    <row r="1658" spans="1:24" x14ac:dyDescent="0.25">
      <c r="A1658" s="862">
        <v>2376</v>
      </c>
      <c r="B1658" s="863" t="s">
        <v>8910</v>
      </c>
      <c r="C1658" s="862">
        <v>2376</v>
      </c>
      <c r="D1658" s="165" t="s">
        <v>2160</v>
      </c>
      <c r="E1658" s="165" t="s">
        <v>8911</v>
      </c>
      <c r="F1658" s="163">
        <v>1</v>
      </c>
      <c r="G1658" s="864"/>
      <c r="H1658" s="864">
        <v>0</v>
      </c>
      <c r="I1658" s="864">
        <v>0</v>
      </c>
      <c r="J1658" s="864">
        <v>32567.417349516927</v>
      </c>
      <c r="K1658" s="864">
        <v>33832.777725531327</v>
      </c>
      <c r="L1658" s="18" t="s">
        <v>4732</v>
      </c>
      <c r="M1658" s="442"/>
      <c r="N1658" s="433"/>
      <c r="P1658" s="433"/>
      <c r="T1658" s="443"/>
      <c r="U1658" s="440"/>
      <c r="V1658" s="440"/>
      <c r="W1658" s="440"/>
      <c r="X1658" s="442"/>
    </row>
    <row r="1659" spans="1:24" x14ac:dyDescent="0.25">
      <c r="A1659" s="862">
        <v>2377</v>
      </c>
      <c r="B1659" s="863" t="s">
        <v>8912</v>
      </c>
      <c r="C1659" s="862">
        <v>2377</v>
      </c>
      <c r="D1659" s="165" t="s">
        <v>2160</v>
      </c>
      <c r="E1659" s="165" t="s">
        <v>8913</v>
      </c>
      <c r="F1659" s="163">
        <v>1</v>
      </c>
      <c r="G1659" s="864"/>
      <c r="H1659" s="864">
        <v>0</v>
      </c>
      <c r="I1659" s="864">
        <v>46355.089630562121</v>
      </c>
      <c r="J1659" s="864">
        <v>48110.2464442329</v>
      </c>
      <c r="K1659" s="864">
        <v>49957.766565047954</v>
      </c>
      <c r="L1659" s="18" t="s">
        <v>2054</v>
      </c>
      <c r="M1659" s="442"/>
      <c r="N1659" s="433"/>
      <c r="P1659" s="433"/>
      <c r="T1659" s="443"/>
      <c r="U1659" s="440"/>
      <c r="V1659" s="440"/>
      <c r="W1659" s="440"/>
      <c r="X1659" s="442"/>
    </row>
    <row r="1660" spans="1:24" x14ac:dyDescent="0.25">
      <c r="A1660" s="862">
        <v>2378</v>
      </c>
      <c r="B1660" s="863" t="s">
        <v>8914</v>
      </c>
      <c r="C1660" s="862">
        <v>2378</v>
      </c>
      <c r="D1660" s="165" t="s">
        <v>2160</v>
      </c>
      <c r="E1660" s="165" t="s">
        <v>8915</v>
      </c>
      <c r="F1660" s="163">
        <v>1</v>
      </c>
      <c r="G1660" s="864"/>
      <c r="H1660" s="864">
        <v>0</v>
      </c>
      <c r="I1660" s="864">
        <v>41205.369145537094</v>
      </c>
      <c r="J1660" s="864">
        <v>44044.52662050318</v>
      </c>
      <c r="K1660" s="864">
        <v>45538.82440399217</v>
      </c>
      <c r="L1660" s="18" t="s">
        <v>4733</v>
      </c>
      <c r="M1660" s="442"/>
      <c r="N1660" s="433"/>
      <c r="P1660" s="433"/>
      <c r="T1660" s="443"/>
      <c r="U1660" s="440"/>
      <c r="V1660" s="440"/>
      <c r="W1660" s="440"/>
      <c r="X1660" s="442"/>
    </row>
    <row r="1661" spans="1:24" x14ac:dyDescent="0.25">
      <c r="A1661" s="862">
        <v>2379</v>
      </c>
      <c r="B1661" s="863" t="s">
        <v>8916</v>
      </c>
      <c r="C1661" s="862">
        <v>2379</v>
      </c>
      <c r="D1661" s="165" t="s">
        <v>2160</v>
      </c>
      <c r="E1661" s="165" t="s">
        <v>8917</v>
      </c>
      <c r="F1661" s="163">
        <v>1</v>
      </c>
      <c r="G1661" s="864"/>
      <c r="H1661" s="864">
        <v>0</v>
      </c>
      <c r="I1661" s="864">
        <v>41551.711549158688</v>
      </c>
      <c r="J1661" s="864">
        <v>44413.315914162733</v>
      </c>
      <c r="K1661" s="864">
        <v>45919.419099079067</v>
      </c>
      <c r="L1661" s="18" t="s">
        <v>4734</v>
      </c>
      <c r="M1661" s="442"/>
      <c r="N1661" s="433"/>
      <c r="P1661" s="433"/>
      <c r="T1661" s="443"/>
      <c r="U1661" s="440"/>
      <c r="V1661" s="440"/>
      <c r="W1661" s="440"/>
      <c r="X1661" s="442"/>
    </row>
    <row r="1662" spans="1:24" x14ac:dyDescent="0.25">
      <c r="A1662" s="862">
        <v>2380</v>
      </c>
      <c r="B1662" s="863" t="s">
        <v>8918</v>
      </c>
      <c r="C1662" s="862">
        <v>2380</v>
      </c>
      <c r="D1662" s="165" t="s">
        <v>2160</v>
      </c>
      <c r="E1662" s="165" t="s">
        <v>8919</v>
      </c>
      <c r="F1662" s="163">
        <v>1</v>
      </c>
      <c r="G1662" s="864"/>
      <c r="H1662" s="864">
        <v>0</v>
      </c>
      <c r="I1662" s="864">
        <v>0</v>
      </c>
      <c r="J1662" s="864">
        <v>44947.022990652025</v>
      </c>
      <c r="K1662" s="864">
        <v>46470.834277709422</v>
      </c>
      <c r="L1662" s="18" t="s">
        <v>4735</v>
      </c>
      <c r="M1662" s="442"/>
      <c r="N1662" s="433"/>
      <c r="P1662" s="433"/>
      <c r="T1662" s="443"/>
      <c r="U1662" s="440"/>
      <c r="V1662" s="440"/>
      <c r="W1662" s="440"/>
      <c r="X1662" s="442"/>
    </row>
    <row r="1663" spans="1:24" x14ac:dyDescent="0.25">
      <c r="A1663" s="862">
        <v>2381</v>
      </c>
      <c r="B1663" s="863" t="s">
        <v>8920</v>
      </c>
      <c r="C1663" s="862">
        <v>2381</v>
      </c>
      <c r="D1663" s="165" t="s">
        <v>2160</v>
      </c>
      <c r="E1663" s="165" t="s">
        <v>8921</v>
      </c>
      <c r="F1663" s="163">
        <v>1</v>
      </c>
      <c r="G1663" s="864"/>
      <c r="H1663" s="864">
        <v>0</v>
      </c>
      <c r="I1663" s="864">
        <v>37453.195874204182</v>
      </c>
      <c r="J1663" s="864">
        <v>40015.508372035627</v>
      </c>
      <c r="K1663" s="864">
        <v>41364.109211852396</v>
      </c>
      <c r="L1663" s="18" t="s">
        <v>4736</v>
      </c>
      <c r="M1663" s="442"/>
      <c r="N1663" s="433"/>
      <c r="P1663" s="433"/>
      <c r="T1663" s="443"/>
      <c r="U1663" s="440"/>
      <c r="V1663" s="440"/>
      <c r="W1663" s="440"/>
      <c r="X1663" s="442"/>
    </row>
    <row r="1664" spans="1:24" x14ac:dyDescent="0.25">
      <c r="A1664" s="862">
        <v>2382</v>
      </c>
      <c r="B1664" s="863" t="s">
        <v>8922</v>
      </c>
      <c r="C1664" s="862">
        <v>2382</v>
      </c>
      <c r="D1664" s="165" t="s">
        <v>2160</v>
      </c>
      <c r="E1664" s="165" t="s">
        <v>8923</v>
      </c>
      <c r="F1664" s="163">
        <v>1</v>
      </c>
      <c r="G1664" s="864"/>
      <c r="H1664" s="864">
        <v>0</v>
      </c>
      <c r="I1664" s="864">
        <v>37850.769723762714</v>
      </c>
      <c r="J1664" s="864">
        <v>40439.270259971752</v>
      </c>
      <c r="K1664" s="864">
        <v>41801.63021201548</v>
      </c>
      <c r="L1664" s="18" t="s">
        <v>4737</v>
      </c>
      <c r="M1664" s="442"/>
      <c r="N1664" s="433"/>
      <c r="P1664" s="433"/>
      <c r="T1664" s="443"/>
      <c r="U1664" s="440"/>
      <c r="V1664" s="440"/>
      <c r="W1664" s="440"/>
      <c r="X1664" s="442"/>
    </row>
    <row r="1665" spans="1:24" x14ac:dyDescent="0.25">
      <c r="A1665" s="862">
        <v>2383</v>
      </c>
      <c r="B1665" s="863" t="s">
        <v>8924</v>
      </c>
      <c r="C1665" s="862">
        <v>2383</v>
      </c>
      <c r="D1665" s="165" t="s">
        <v>2160</v>
      </c>
      <c r="E1665" s="165" t="s">
        <v>8925</v>
      </c>
      <c r="F1665" s="163">
        <v>2</v>
      </c>
      <c r="G1665" s="864"/>
      <c r="H1665" s="864">
        <v>23269.133123169908</v>
      </c>
      <c r="I1665" s="864">
        <v>0</v>
      </c>
      <c r="J1665" s="864">
        <v>0</v>
      </c>
      <c r="K1665" s="864">
        <v>0</v>
      </c>
      <c r="L1665" s="18" t="s">
        <v>4738</v>
      </c>
      <c r="M1665" s="442"/>
      <c r="N1665" s="433"/>
      <c r="P1665" s="433"/>
      <c r="T1665" s="443"/>
      <c r="U1665" s="440"/>
      <c r="V1665" s="440"/>
      <c r="W1665" s="440"/>
      <c r="X1665" s="442"/>
    </row>
    <row r="1666" spans="1:24" x14ac:dyDescent="0.25">
      <c r="A1666" s="862">
        <v>2384</v>
      </c>
      <c r="B1666" s="863" t="s">
        <v>8926</v>
      </c>
      <c r="C1666" s="862">
        <v>2384</v>
      </c>
      <c r="D1666" s="165" t="s">
        <v>2160</v>
      </c>
      <c r="E1666" s="165" t="s">
        <v>8927</v>
      </c>
      <c r="F1666" s="163">
        <v>1</v>
      </c>
      <c r="G1666" s="864"/>
      <c r="H1666" s="864">
        <v>24925.339283654943</v>
      </c>
      <c r="I1666" s="864">
        <v>25820.018871098167</v>
      </c>
      <c r="J1666" s="864">
        <v>26761.811364522859</v>
      </c>
      <c r="K1666" s="864">
        <v>27753.171883917264</v>
      </c>
      <c r="L1666" s="18" t="s">
        <v>2055</v>
      </c>
      <c r="M1666" s="442"/>
      <c r="N1666" s="433"/>
      <c r="P1666" s="433"/>
      <c r="T1666" s="443"/>
      <c r="U1666" s="440"/>
      <c r="V1666" s="440"/>
      <c r="W1666" s="440"/>
      <c r="X1666" s="442"/>
    </row>
    <row r="1667" spans="1:24" x14ac:dyDescent="0.25">
      <c r="A1667" s="862">
        <v>2385</v>
      </c>
      <c r="B1667" s="863" t="s">
        <v>8928</v>
      </c>
      <c r="C1667" s="862">
        <v>2385</v>
      </c>
      <c r="D1667" s="165" t="s">
        <v>2160</v>
      </c>
      <c r="E1667" s="165" t="s">
        <v>8929</v>
      </c>
      <c r="F1667" s="163">
        <v>1</v>
      </c>
      <c r="G1667" s="864"/>
      <c r="H1667" s="864">
        <v>33794.167040486267</v>
      </c>
      <c r="I1667" s="864">
        <v>0</v>
      </c>
      <c r="J1667" s="864">
        <v>0</v>
      </c>
      <c r="K1667" s="864">
        <v>0</v>
      </c>
      <c r="L1667" s="18" t="s">
        <v>3080</v>
      </c>
      <c r="M1667" s="442"/>
      <c r="N1667" s="433"/>
      <c r="P1667" s="433"/>
      <c r="T1667" s="443"/>
      <c r="U1667" s="440"/>
      <c r="V1667" s="440"/>
      <c r="W1667" s="440"/>
      <c r="X1667" s="442"/>
    </row>
    <row r="1668" spans="1:24" x14ac:dyDescent="0.25">
      <c r="A1668" s="862">
        <v>2386</v>
      </c>
      <c r="B1668" s="863" t="s">
        <v>8930</v>
      </c>
      <c r="C1668" s="862">
        <v>2386</v>
      </c>
      <c r="D1668" s="165" t="s">
        <v>2161</v>
      </c>
      <c r="E1668" s="165" t="s">
        <v>8931</v>
      </c>
      <c r="F1668" s="163">
        <v>1</v>
      </c>
      <c r="G1668" s="864"/>
      <c r="H1668" s="864">
        <v>0</v>
      </c>
      <c r="I1668" s="864">
        <v>0</v>
      </c>
      <c r="J1668" s="864">
        <v>18746.96324515259</v>
      </c>
      <c r="K1668" s="864">
        <v>19176.2561474994</v>
      </c>
      <c r="L1668" s="18" t="s">
        <v>4739</v>
      </c>
      <c r="M1668" s="442"/>
      <c r="N1668" s="433"/>
      <c r="P1668" s="433"/>
      <c r="T1668" s="443"/>
      <c r="U1668" s="440"/>
      <c r="V1668" s="440"/>
      <c r="W1668" s="440"/>
      <c r="X1668" s="442"/>
    </row>
    <row r="1669" spans="1:24" x14ac:dyDescent="0.25">
      <c r="A1669" s="862">
        <v>2387</v>
      </c>
      <c r="B1669" s="863" t="s">
        <v>8932</v>
      </c>
      <c r="C1669" s="862">
        <v>2387</v>
      </c>
      <c r="D1669" s="165" t="s">
        <v>2161</v>
      </c>
      <c r="E1669" s="165" t="s">
        <v>8933</v>
      </c>
      <c r="F1669" s="163">
        <v>1</v>
      </c>
      <c r="G1669" s="864"/>
      <c r="H1669" s="864">
        <v>0</v>
      </c>
      <c r="I1669" s="864">
        <v>20318.762902476185</v>
      </c>
      <c r="J1669" s="864">
        <v>20789.058398774418</v>
      </c>
      <c r="K1669" s="864">
        <v>21284.12570442877</v>
      </c>
      <c r="L1669" s="18" t="s">
        <v>4010</v>
      </c>
      <c r="M1669" s="442"/>
      <c r="N1669" s="433"/>
      <c r="P1669" s="433"/>
      <c r="T1669" s="443"/>
      <c r="U1669" s="440"/>
      <c r="V1669" s="440"/>
      <c r="W1669" s="440"/>
      <c r="X1669" s="442"/>
    </row>
    <row r="1670" spans="1:24" x14ac:dyDescent="0.25">
      <c r="A1670" s="862">
        <v>2388</v>
      </c>
      <c r="B1670" s="863" t="s">
        <v>8934</v>
      </c>
      <c r="C1670" s="862">
        <v>2388</v>
      </c>
      <c r="D1670" s="165" t="s">
        <v>2161</v>
      </c>
      <c r="E1670" s="165" t="s">
        <v>8935</v>
      </c>
      <c r="F1670" s="163">
        <v>1</v>
      </c>
      <c r="G1670" s="864"/>
      <c r="H1670" s="864">
        <v>0</v>
      </c>
      <c r="I1670" s="864">
        <v>0</v>
      </c>
      <c r="J1670" s="864">
        <v>22508.975539730363</v>
      </c>
      <c r="K1670" s="864">
        <v>23036.39091258515</v>
      </c>
      <c r="L1670" s="18" t="s">
        <v>4740</v>
      </c>
      <c r="M1670" s="442"/>
      <c r="N1670" s="433"/>
      <c r="P1670" s="433"/>
      <c r="T1670" s="443"/>
      <c r="U1670" s="440"/>
      <c r="V1670" s="440"/>
      <c r="W1670" s="440"/>
      <c r="X1670" s="442"/>
    </row>
    <row r="1671" spans="1:24" x14ac:dyDescent="0.25">
      <c r="A1671" s="862">
        <v>2389</v>
      </c>
      <c r="B1671" s="863" t="s">
        <v>8936</v>
      </c>
      <c r="C1671" s="862">
        <v>2389</v>
      </c>
      <c r="D1671" s="165" t="s">
        <v>2161</v>
      </c>
      <c r="E1671" s="165" t="s">
        <v>8937</v>
      </c>
      <c r="F1671" s="163">
        <v>2</v>
      </c>
      <c r="G1671" s="864"/>
      <c r="H1671" s="864">
        <v>21017.911367887435</v>
      </c>
      <c r="I1671" s="864">
        <v>21735.961031467472</v>
      </c>
      <c r="J1671" s="864">
        <v>22491.826907779938</v>
      </c>
      <c r="K1671" s="864">
        <v>23287.45710475347</v>
      </c>
      <c r="L1671" s="18" t="s">
        <v>2056</v>
      </c>
      <c r="M1671" s="442"/>
      <c r="N1671" s="433"/>
      <c r="P1671" s="433"/>
      <c r="T1671" s="443"/>
      <c r="U1671" s="440"/>
      <c r="V1671" s="440"/>
      <c r="W1671" s="440"/>
      <c r="X1671" s="442"/>
    </row>
    <row r="1672" spans="1:24" x14ac:dyDescent="0.25">
      <c r="A1672" s="862">
        <v>2390</v>
      </c>
      <c r="B1672" s="863" t="s">
        <v>8938</v>
      </c>
      <c r="C1672" s="862">
        <v>2390</v>
      </c>
      <c r="D1672" s="165" t="s">
        <v>2161</v>
      </c>
      <c r="E1672" s="165" t="s">
        <v>8939</v>
      </c>
      <c r="F1672" s="163">
        <v>2</v>
      </c>
      <c r="G1672" s="864"/>
      <c r="H1672" s="864">
        <v>24233.95582859014</v>
      </c>
      <c r="I1672" s="864">
        <v>25085.680074450116</v>
      </c>
      <c r="J1672" s="864">
        <v>25982.268099960842</v>
      </c>
      <c r="K1672" s="864">
        <v>26926.011796803068</v>
      </c>
      <c r="L1672" s="18" t="s">
        <v>2057</v>
      </c>
      <c r="M1672" s="442"/>
      <c r="N1672" s="433"/>
      <c r="P1672" s="433"/>
      <c r="T1672" s="443"/>
      <c r="U1672" s="440"/>
      <c r="V1672" s="440"/>
      <c r="W1672" s="440"/>
      <c r="X1672" s="442"/>
    </row>
    <row r="1673" spans="1:24" x14ac:dyDescent="0.25">
      <c r="A1673" s="862">
        <v>2391</v>
      </c>
      <c r="B1673" s="863" t="s">
        <v>8940</v>
      </c>
      <c r="C1673" s="862">
        <v>2391</v>
      </c>
      <c r="D1673" s="165" t="s">
        <v>2161</v>
      </c>
      <c r="E1673" s="165" t="s">
        <v>8941</v>
      </c>
      <c r="F1673" s="163">
        <v>2</v>
      </c>
      <c r="G1673" s="864"/>
      <c r="H1673" s="864">
        <v>26777.852096464976</v>
      </c>
      <c r="I1673" s="864">
        <v>27735.289846099702</v>
      </c>
      <c r="J1673" s="864">
        <v>28743.149212711003</v>
      </c>
      <c r="K1673" s="864">
        <v>29804.065871731738</v>
      </c>
      <c r="L1673" s="18" t="s">
        <v>2058</v>
      </c>
      <c r="M1673" s="442"/>
      <c r="N1673" s="433"/>
      <c r="P1673" s="433"/>
      <c r="T1673" s="443"/>
      <c r="U1673" s="440"/>
      <c r="V1673" s="440"/>
      <c r="W1673" s="440"/>
      <c r="X1673" s="442"/>
    </row>
    <row r="1674" spans="1:24" x14ac:dyDescent="0.25">
      <c r="A1674" s="862">
        <v>2392</v>
      </c>
      <c r="B1674" s="863" t="s">
        <v>8942</v>
      </c>
      <c r="C1674" s="862">
        <v>2392</v>
      </c>
      <c r="D1674" s="165" t="s">
        <v>2161</v>
      </c>
      <c r="E1674" s="165" t="s">
        <v>8943</v>
      </c>
      <c r="F1674" s="163">
        <v>2</v>
      </c>
      <c r="G1674" s="864"/>
      <c r="H1674" s="864">
        <v>0</v>
      </c>
      <c r="I1674" s="864">
        <v>0</v>
      </c>
      <c r="J1674" s="864">
        <v>0</v>
      </c>
      <c r="K1674" s="864">
        <v>24619.68714468287</v>
      </c>
      <c r="L1674" s="18" t="s">
        <v>11017</v>
      </c>
      <c r="M1674" s="442"/>
      <c r="N1674" s="433"/>
      <c r="P1674" s="433"/>
      <c r="T1674" s="443"/>
      <c r="U1674" s="440"/>
      <c r="V1674" s="440"/>
      <c r="W1674" s="440"/>
      <c r="X1674" s="442"/>
    </row>
    <row r="1675" spans="1:24" x14ac:dyDescent="0.25">
      <c r="A1675" s="862">
        <v>2393</v>
      </c>
      <c r="B1675" s="863" t="s">
        <v>8944</v>
      </c>
      <c r="C1675" s="862">
        <v>2393</v>
      </c>
      <c r="D1675" s="165" t="s">
        <v>2161</v>
      </c>
      <c r="E1675" s="165" t="s">
        <v>8945</v>
      </c>
      <c r="F1675" s="163">
        <v>2</v>
      </c>
      <c r="G1675" s="864"/>
      <c r="H1675" s="864">
        <v>18651.061930740208</v>
      </c>
      <c r="I1675" s="864">
        <v>19274.227278737053</v>
      </c>
      <c r="J1675" s="864">
        <v>19930.223975060686</v>
      </c>
      <c r="K1675" s="864">
        <v>20620.713641179664</v>
      </c>
      <c r="L1675" s="18" t="s">
        <v>2059</v>
      </c>
      <c r="M1675" s="442"/>
      <c r="N1675" s="433"/>
      <c r="P1675" s="433"/>
      <c r="T1675" s="443"/>
      <c r="U1675" s="440"/>
      <c r="V1675" s="440"/>
      <c r="W1675" s="440"/>
      <c r="X1675" s="442"/>
    </row>
    <row r="1676" spans="1:24" x14ac:dyDescent="0.25">
      <c r="A1676" s="862">
        <v>2394</v>
      </c>
      <c r="B1676" s="863" t="s">
        <v>8946</v>
      </c>
      <c r="C1676" s="862">
        <v>2394</v>
      </c>
      <c r="D1676" s="165" t="s">
        <v>2161</v>
      </c>
      <c r="E1676" s="165" t="s">
        <v>8947</v>
      </c>
      <c r="F1676" s="163">
        <v>2</v>
      </c>
      <c r="G1676" s="864"/>
      <c r="H1676" s="864">
        <v>22140.511138166439</v>
      </c>
      <c r="I1676" s="864">
        <v>22908.695932262952</v>
      </c>
      <c r="J1676" s="864">
        <v>23717.332614524767</v>
      </c>
      <c r="K1676" s="864">
        <v>24568.541184756577</v>
      </c>
      <c r="L1676" s="18" t="s">
        <v>2060</v>
      </c>
      <c r="M1676" s="442"/>
      <c r="N1676" s="433"/>
      <c r="P1676" s="433"/>
      <c r="T1676" s="443"/>
      <c r="U1676" s="440"/>
      <c r="V1676" s="440"/>
      <c r="W1676" s="440"/>
      <c r="X1676" s="442"/>
    </row>
    <row r="1677" spans="1:24" x14ac:dyDescent="0.25">
      <c r="A1677" s="862">
        <v>2395</v>
      </c>
      <c r="B1677" s="863" t="s">
        <v>8948</v>
      </c>
      <c r="C1677" s="862">
        <v>2395</v>
      </c>
      <c r="D1677" s="165" t="s">
        <v>2161</v>
      </c>
      <c r="E1677" s="165" t="s">
        <v>8949</v>
      </c>
      <c r="F1677" s="163">
        <v>2</v>
      </c>
      <c r="G1677" s="864"/>
      <c r="H1677" s="864">
        <v>23880.410615188601</v>
      </c>
      <c r="I1677" s="864">
        <v>24720.904591812883</v>
      </c>
      <c r="J1677" s="864">
        <v>25605.632077875711</v>
      </c>
      <c r="K1677" s="864">
        <v>26536.942262349843</v>
      </c>
      <c r="L1677" s="18" t="s">
        <v>2061</v>
      </c>
      <c r="M1677" s="442"/>
      <c r="N1677" s="433"/>
      <c r="P1677" s="433"/>
      <c r="T1677" s="443"/>
      <c r="U1677" s="440"/>
      <c r="V1677" s="440"/>
      <c r="W1677" s="440"/>
      <c r="X1677" s="442"/>
    </row>
    <row r="1678" spans="1:24" x14ac:dyDescent="0.25">
      <c r="A1678" s="862">
        <v>2396</v>
      </c>
      <c r="B1678" s="863" t="s">
        <v>8950</v>
      </c>
      <c r="C1678" s="862">
        <v>2396</v>
      </c>
      <c r="D1678" s="165" t="s">
        <v>2161</v>
      </c>
      <c r="E1678" s="165" t="s">
        <v>8951</v>
      </c>
      <c r="F1678" s="163">
        <v>1</v>
      </c>
      <c r="G1678" s="864"/>
      <c r="H1678" s="864">
        <v>10826.273492052404</v>
      </c>
      <c r="I1678" s="864">
        <v>0</v>
      </c>
      <c r="J1678" s="864">
        <v>0</v>
      </c>
      <c r="K1678" s="864">
        <v>0</v>
      </c>
      <c r="L1678" s="18" t="s">
        <v>2062</v>
      </c>
      <c r="M1678" s="442"/>
      <c r="N1678" s="433"/>
      <c r="P1678" s="433"/>
      <c r="T1678" s="443"/>
      <c r="U1678" s="440"/>
      <c r="V1678" s="440"/>
      <c r="W1678" s="440"/>
      <c r="X1678" s="442"/>
    </row>
    <row r="1679" spans="1:24" x14ac:dyDescent="0.25">
      <c r="A1679" s="862">
        <v>2397</v>
      </c>
      <c r="B1679" s="863" t="s">
        <v>8952</v>
      </c>
      <c r="C1679" s="862">
        <v>2397</v>
      </c>
      <c r="D1679" s="165" t="s">
        <v>2161</v>
      </c>
      <c r="E1679" s="165" t="s">
        <v>8953</v>
      </c>
      <c r="F1679" s="163">
        <v>1</v>
      </c>
      <c r="G1679" s="864"/>
      <c r="H1679" s="864">
        <v>0</v>
      </c>
      <c r="I1679" s="864">
        <v>10693.31583201775</v>
      </c>
      <c r="J1679" s="864">
        <v>10989.617169902162</v>
      </c>
      <c r="K1679" s="864">
        <v>11301.49850691806</v>
      </c>
      <c r="L1679" s="18" t="s">
        <v>4011</v>
      </c>
      <c r="M1679" s="442"/>
      <c r="N1679" s="433"/>
      <c r="P1679" s="433"/>
      <c r="T1679" s="443"/>
      <c r="U1679" s="440"/>
      <c r="V1679" s="440"/>
      <c r="W1679" s="440"/>
      <c r="X1679" s="442"/>
    </row>
    <row r="1680" spans="1:24" x14ac:dyDescent="0.25">
      <c r="A1680" s="862">
        <v>2398</v>
      </c>
      <c r="B1680" s="863" t="s">
        <v>8954</v>
      </c>
      <c r="C1680" s="862">
        <v>2398</v>
      </c>
      <c r="D1680" s="165" t="s">
        <v>2161</v>
      </c>
      <c r="E1680" s="165" t="s">
        <v>8955</v>
      </c>
      <c r="F1680" s="163">
        <v>1</v>
      </c>
      <c r="G1680" s="864"/>
      <c r="H1680" s="864">
        <v>12204.029592275892</v>
      </c>
      <c r="I1680" s="864">
        <v>12553.54207843557</v>
      </c>
      <c r="J1680" s="864">
        <v>12921.48327688622</v>
      </c>
      <c r="K1680" s="864">
        <v>13308.767589382736</v>
      </c>
      <c r="L1680" s="18" t="s">
        <v>2063</v>
      </c>
      <c r="M1680" s="442"/>
      <c r="N1680" s="433"/>
      <c r="P1680" s="433"/>
      <c r="T1680" s="443"/>
      <c r="U1680" s="440"/>
      <c r="V1680" s="440"/>
      <c r="W1680" s="440"/>
      <c r="X1680" s="442"/>
    </row>
    <row r="1681" spans="1:24" x14ac:dyDescent="0.25">
      <c r="A1681" s="862">
        <v>2399</v>
      </c>
      <c r="B1681" s="863" t="s">
        <v>8956</v>
      </c>
      <c r="C1681" s="862">
        <v>2399</v>
      </c>
      <c r="D1681" s="165" t="s">
        <v>2161</v>
      </c>
      <c r="E1681" s="165" t="s">
        <v>8957</v>
      </c>
      <c r="F1681" s="163">
        <v>1</v>
      </c>
      <c r="G1681" s="864"/>
      <c r="H1681" s="864">
        <v>11603.707076417624</v>
      </c>
      <c r="I1681" s="864">
        <v>11932.047645021645</v>
      </c>
      <c r="J1681" s="864">
        <v>12277.691508372149</v>
      </c>
      <c r="K1681" s="864">
        <v>12641.55306822403</v>
      </c>
      <c r="L1681" s="18" t="s">
        <v>2064</v>
      </c>
      <c r="M1681" s="442"/>
      <c r="N1681" s="433"/>
      <c r="P1681" s="433"/>
      <c r="T1681" s="443"/>
      <c r="U1681" s="440"/>
      <c r="V1681" s="440"/>
      <c r="W1681" s="440"/>
      <c r="X1681" s="442"/>
    </row>
    <row r="1682" spans="1:24" x14ac:dyDescent="0.25">
      <c r="A1682" s="862">
        <v>2400</v>
      </c>
      <c r="B1682" s="863" t="s">
        <v>8958</v>
      </c>
      <c r="C1682" s="862">
        <v>2400</v>
      </c>
      <c r="D1682" s="165" t="s">
        <v>2161</v>
      </c>
      <c r="E1682" s="165" t="s">
        <v>8959</v>
      </c>
      <c r="F1682" s="163">
        <v>1</v>
      </c>
      <c r="G1682" s="864"/>
      <c r="H1682" s="864">
        <v>0</v>
      </c>
      <c r="I1682" s="864">
        <v>0</v>
      </c>
      <c r="J1682" s="864">
        <v>36008.423260210169</v>
      </c>
      <c r="K1682" s="864">
        <v>37091.110107304725</v>
      </c>
      <c r="L1682" s="18" t="s">
        <v>4741</v>
      </c>
      <c r="M1682" s="442"/>
      <c r="N1682" s="433"/>
      <c r="P1682" s="433"/>
      <c r="T1682" s="443"/>
      <c r="U1682" s="440"/>
      <c r="V1682" s="440"/>
      <c r="W1682" s="440"/>
      <c r="X1682" s="442"/>
    </row>
    <row r="1683" spans="1:24" x14ac:dyDescent="0.25">
      <c r="A1683" s="862">
        <v>2401</v>
      </c>
      <c r="B1683" s="863" t="s">
        <v>8960</v>
      </c>
      <c r="C1683" s="862">
        <v>2401</v>
      </c>
      <c r="D1683" s="165" t="s">
        <v>2161</v>
      </c>
      <c r="E1683" s="165" t="s">
        <v>8961</v>
      </c>
      <c r="F1683" s="163">
        <v>1</v>
      </c>
      <c r="G1683" s="864"/>
      <c r="H1683" s="864">
        <v>0</v>
      </c>
      <c r="I1683" s="864">
        <v>14862.424887442603</v>
      </c>
      <c r="J1683" s="864">
        <v>15305.663553479069</v>
      </c>
      <c r="K1683" s="864">
        <v>15772.219464265379</v>
      </c>
      <c r="L1683" s="18" t="s">
        <v>4012</v>
      </c>
      <c r="M1683" s="442"/>
      <c r="N1683" s="433"/>
      <c r="P1683" s="433"/>
      <c r="T1683" s="443"/>
      <c r="U1683" s="440"/>
      <c r="V1683" s="440"/>
      <c r="W1683" s="440"/>
      <c r="X1683" s="442"/>
    </row>
    <row r="1684" spans="1:24" x14ac:dyDescent="0.25">
      <c r="A1684" s="862">
        <v>2402</v>
      </c>
      <c r="B1684" s="863" t="s">
        <v>8962</v>
      </c>
      <c r="C1684" s="862">
        <v>2402</v>
      </c>
      <c r="D1684" s="165" t="s">
        <v>2161</v>
      </c>
      <c r="E1684" s="165" t="s">
        <v>8963</v>
      </c>
      <c r="F1684" s="163">
        <v>1</v>
      </c>
      <c r="G1684" s="864"/>
      <c r="H1684" s="864">
        <v>15187.336679763202</v>
      </c>
      <c r="I1684" s="864">
        <v>0</v>
      </c>
      <c r="J1684" s="864">
        <v>0</v>
      </c>
      <c r="K1684" s="864">
        <v>0</v>
      </c>
      <c r="L1684" s="18" t="s">
        <v>2065</v>
      </c>
      <c r="M1684" s="442"/>
      <c r="N1684" s="433"/>
      <c r="P1684" s="433"/>
      <c r="T1684" s="443"/>
      <c r="U1684" s="440"/>
      <c r="V1684" s="440"/>
      <c r="W1684" s="440"/>
      <c r="X1684" s="442"/>
    </row>
    <row r="1685" spans="1:24" x14ac:dyDescent="0.25">
      <c r="A1685" s="862">
        <v>2403</v>
      </c>
      <c r="B1685" s="863" t="s">
        <v>8964</v>
      </c>
      <c r="C1685" s="862">
        <v>2403</v>
      </c>
      <c r="D1685" s="165" t="s">
        <v>2161</v>
      </c>
      <c r="E1685" s="165" t="s">
        <v>8965</v>
      </c>
      <c r="F1685" s="163">
        <v>1</v>
      </c>
      <c r="G1685" s="864"/>
      <c r="H1685" s="864">
        <v>0</v>
      </c>
      <c r="I1685" s="864">
        <v>0</v>
      </c>
      <c r="J1685" s="864">
        <v>0</v>
      </c>
      <c r="K1685" s="864">
        <v>12889.477011266177</v>
      </c>
      <c r="L1685" s="18" t="s">
        <v>11018</v>
      </c>
      <c r="M1685" s="442"/>
      <c r="N1685" s="433"/>
      <c r="P1685" s="433"/>
      <c r="T1685" s="443"/>
      <c r="U1685" s="440"/>
      <c r="V1685" s="440"/>
      <c r="W1685" s="440"/>
      <c r="X1685" s="442"/>
    </row>
    <row r="1686" spans="1:24" x14ac:dyDescent="0.25">
      <c r="A1686" s="862">
        <v>2404</v>
      </c>
      <c r="B1686" s="863" t="s">
        <v>8966</v>
      </c>
      <c r="C1686" s="862">
        <v>2404</v>
      </c>
      <c r="D1686" s="165" t="s">
        <v>2161</v>
      </c>
      <c r="E1686" s="165" t="s">
        <v>8967</v>
      </c>
      <c r="F1686" s="163">
        <v>1</v>
      </c>
      <c r="G1686" s="864"/>
      <c r="H1686" s="864">
        <v>0</v>
      </c>
      <c r="I1686" s="864">
        <v>0</v>
      </c>
      <c r="J1686" s="864">
        <v>0</v>
      </c>
      <c r="K1686" s="864">
        <v>11669.567376193032</v>
      </c>
      <c r="L1686" s="18" t="s">
        <v>11019</v>
      </c>
      <c r="M1686" s="442"/>
      <c r="N1686" s="433"/>
      <c r="P1686" s="433"/>
      <c r="T1686" s="443"/>
      <c r="U1686" s="440"/>
      <c r="V1686" s="440"/>
      <c r="W1686" s="440"/>
      <c r="X1686" s="442"/>
    </row>
    <row r="1687" spans="1:24" x14ac:dyDescent="0.25">
      <c r="A1687" s="862">
        <v>2405</v>
      </c>
      <c r="B1687" s="863" t="s">
        <v>8968</v>
      </c>
      <c r="C1687" s="862">
        <v>2405</v>
      </c>
      <c r="D1687" s="165" t="s">
        <v>2161</v>
      </c>
      <c r="E1687" s="165" t="s">
        <v>8969</v>
      </c>
      <c r="F1687" s="163">
        <v>1</v>
      </c>
      <c r="G1687" s="864"/>
      <c r="H1687" s="864">
        <v>0</v>
      </c>
      <c r="I1687" s="864">
        <v>0</v>
      </c>
      <c r="J1687" s="864">
        <v>0</v>
      </c>
      <c r="K1687" s="864">
        <v>11298.290530735989</v>
      </c>
      <c r="L1687" s="18" t="s">
        <v>11020</v>
      </c>
      <c r="M1687" s="442"/>
      <c r="N1687" s="433"/>
      <c r="P1687" s="433"/>
      <c r="T1687" s="443"/>
      <c r="U1687" s="440"/>
      <c r="V1687" s="440"/>
      <c r="W1687" s="440"/>
      <c r="X1687" s="442"/>
    </row>
    <row r="1688" spans="1:24" x14ac:dyDescent="0.25">
      <c r="A1688" s="862">
        <v>2406</v>
      </c>
      <c r="B1688" s="863" t="s">
        <v>8970</v>
      </c>
      <c r="C1688" s="862">
        <v>2406</v>
      </c>
      <c r="D1688" s="165" t="s">
        <v>2161</v>
      </c>
      <c r="E1688" s="165" t="s">
        <v>8971</v>
      </c>
      <c r="F1688" s="163">
        <v>1</v>
      </c>
      <c r="G1688" s="864"/>
      <c r="H1688" s="864">
        <v>0</v>
      </c>
      <c r="I1688" s="864">
        <v>0</v>
      </c>
      <c r="J1688" s="864">
        <v>0</v>
      </c>
      <c r="K1688" s="864">
        <v>10237.49954371586</v>
      </c>
      <c r="L1688" s="18" t="s">
        <v>11021</v>
      </c>
      <c r="M1688" s="442"/>
      <c r="N1688" s="433"/>
      <c r="P1688" s="433"/>
      <c r="T1688" s="443"/>
      <c r="U1688" s="440"/>
      <c r="V1688" s="440"/>
      <c r="W1688" s="440"/>
      <c r="X1688" s="442"/>
    </row>
    <row r="1689" spans="1:24" x14ac:dyDescent="0.25">
      <c r="A1689" s="862">
        <v>2407</v>
      </c>
      <c r="B1689" s="863" t="s">
        <v>8972</v>
      </c>
      <c r="C1689" s="862">
        <v>2407</v>
      </c>
      <c r="D1689" s="165" t="s">
        <v>2161</v>
      </c>
      <c r="E1689" s="165" t="s">
        <v>8973</v>
      </c>
      <c r="F1689" s="163">
        <v>1</v>
      </c>
      <c r="G1689" s="864"/>
      <c r="H1689" s="864">
        <v>24586.698591786917</v>
      </c>
      <c r="I1689" s="864">
        <v>28798.506921132244</v>
      </c>
      <c r="J1689" s="864">
        <v>29778.408264964346</v>
      </c>
      <c r="K1689" s="864">
        <v>30809.890267158997</v>
      </c>
      <c r="L1689" s="18" t="s">
        <v>2066</v>
      </c>
      <c r="M1689" s="442"/>
      <c r="N1689" s="433"/>
      <c r="P1689" s="433"/>
      <c r="T1689" s="443"/>
      <c r="U1689" s="440"/>
      <c r="V1689" s="440"/>
      <c r="W1689" s="440"/>
      <c r="X1689" s="442"/>
    </row>
    <row r="1690" spans="1:24" x14ac:dyDescent="0.25">
      <c r="A1690" s="862">
        <v>2408</v>
      </c>
      <c r="B1690" s="863" t="s">
        <v>8974</v>
      </c>
      <c r="C1690" s="862">
        <v>2408</v>
      </c>
      <c r="D1690" s="165" t="s">
        <v>2161</v>
      </c>
      <c r="E1690" s="165" t="s">
        <v>8975</v>
      </c>
      <c r="F1690" s="163">
        <v>1</v>
      </c>
      <c r="G1690" s="864"/>
      <c r="H1690" s="864">
        <v>23284.130846200278</v>
      </c>
      <c r="I1690" s="864">
        <v>23999.734601728433</v>
      </c>
      <c r="J1690" s="864">
        <v>24753.015519658729</v>
      </c>
      <c r="K1690" s="864">
        <v>25545.941075834624</v>
      </c>
      <c r="L1690" s="18" t="s">
        <v>4013</v>
      </c>
      <c r="M1690" s="442"/>
      <c r="N1690" s="433"/>
      <c r="P1690" s="433"/>
      <c r="T1690" s="443"/>
      <c r="U1690" s="440"/>
      <c r="V1690" s="440"/>
      <c r="W1690" s="440"/>
      <c r="X1690" s="442"/>
    </row>
    <row r="1691" spans="1:24" x14ac:dyDescent="0.25">
      <c r="A1691" s="862">
        <v>2409</v>
      </c>
      <c r="B1691" s="863" t="s">
        <v>8976</v>
      </c>
      <c r="C1691" s="862">
        <v>2409</v>
      </c>
      <c r="D1691" s="165" t="s">
        <v>2161</v>
      </c>
      <c r="E1691" s="165" t="s">
        <v>8977</v>
      </c>
      <c r="F1691" s="163">
        <v>1</v>
      </c>
      <c r="G1691" s="864"/>
      <c r="H1691" s="864">
        <v>24489.143135342467</v>
      </c>
      <c r="I1691" s="864">
        <v>0</v>
      </c>
      <c r="J1691" s="864">
        <v>0</v>
      </c>
      <c r="K1691" s="864">
        <v>0</v>
      </c>
      <c r="L1691" s="18" t="s">
        <v>2067</v>
      </c>
      <c r="M1691" s="442"/>
      <c r="N1691" s="433"/>
      <c r="P1691" s="433"/>
      <c r="T1691" s="443"/>
      <c r="U1691" s="440"/>
      <c r="V1691" s="440"/>
      <c r="W1691" s="440"/>
      <c r="X1691" s="442"/>
    </row>
    <row r="1692" spans="1:24" x14ac:dyDescent="0.25">
      <c r="A1692" s="862">
        <v>2410</v>
      </c>
      <c r="B1692" s="863" t="s">
        <v>8978</v>
      </c>
      <c r="C1692" s="862">
        <v>2410</v>
      </c>
      <c r="D1692" s="165" t="s">
        <v>2161</v>
      </c>
      <c r="E1692" s="165" t="s">
        <v>8979</v>
      </c>
      <c r="F1692" s="163">
        <v>1</v>
      </c>
      <c r="G1692" s="864"/>
      <c r="H1692" s="864">
        <v>0</v>
      </c>
      <c r="I1692" s="864">
        <v>0</v>
      </c>
      <c r="J1692" s="864">
        <v>15712.342542597564</v>
      </c>
      <c r="K1692" s="864">
        <v>16170.363702785913</v>
      </c>
      <c r="L1692" s="18" t="s">
        <v>11022</v>
      </c>
      <c r="M1692" s="442"/>
      <c r="N1692" s="433"/>
      <c r="P1692" s="433"/>
      <c r="T1692" s="443"/>
      <c r="U1692" s="440"/>
      <c r="V1692" s="440"/>
      <c r="W1692" s="440"/>
      <c r="X1692" s="442"/>
    </row>
    <row r="1693" spans="1:24" x14ac:dyDescent="0.25">
      <c r="A1693" s="862">
        <v>2411</v>
      </c>
      <c r="B1693" s="863" t="s">
        <v>8980</v>
      </c>
      <c r="C1693" s="862">
        <v>2411</v>
      </c>
      <c r="D1693" s="165" t="s">
        <v>2161</v>
      </c>
      <c r="E1693" s="165" t="s">
        <v>8981</v>
      </c>
      <c r="F1693" s="163">
        <v>1</v>
      </c>
      <c r="G1693" s="864"/>
      <c r="H1693" s="864">
        <v>20052.917089067014</v>
      </c>
      <c r="I1693" s="864">
        <v>20612.229974812937</v>
      </c>
      <c r="J1693" s="864">
        <v>21200.988129616278</v>
      </c>
      <c r="K1693" s="864">
        <v>21820.722707468038</v>
      </c>
      <c r="L1693" s="18" t="s">
        <v>2068</v>
      </c>
      <c r="M1693" s="442"/>
      <c r="N1693" s="433"/>
      <c r="P1693" s="433"/>
      <c r="T1693" s="443"/>
      <c r="U1693" s="440"/>
      <c r="V1693" s="440"/>
      <c r="W1693" s="440"/>
      <c r="X1693" s="442"/>
    </row>
    <row r="1694" spans="1:24" x14ac:dyDescent="0.25">
      <c r="A1694" s="862">
        <v>2412</v>
      </c>
      <c r="B1694" s="863" t="s">
        <v>8982</v>
      </c>
      <c r="C1694" s="862">
        <v>2412</v>
      </c>
      <c r="D1694" s="165" t="s">
        <v>2161</v>
      </c>
      <c r="E1694" s="165" t="s">
        <v>8983</v>
      </c>
      <c r="F1694" s="163">
        <v>1</v>
      </c>
      <c r="G1694" s="864"/>
      <c r="H1694" s="864">
        <v>0</v>
      </c>
      <c r="I1694" s="864">
        <v>0</v>
      </c>
      <c r="J1694" s="864">
        <v>21161.849923507678</v>
      </c>
      <c r="K1694" s="864">
        <v>21743.335096853836</v>
      </c>
      <c r="L1694" s="18" t="s">
        <v>11023</v>
      </c>
      <c r="M1694" s="442"/>
      <c r="N1694" s="433"/>
      <c r="P1694" s="433"/>
      <c r="T1694" s="443"/>
      <c r="U1694" s="440"/>
      <c r="V1694" s="440"/>
      <c r="W1694" s="440"/>
      <c r="X1694" s="442"/>
    </row>
    <row r="1695" spans="1:24" x14ac:dyDescent="0.25">
      <c r="A1695" s="862">
        <v>2413</v>
      </c>
      <c r="B1695" s="863" t="s">
        <v>8984</v>
      </c>
      <c r="C1695" s="862">
        <v>2413</v>
      </c>
      <c r="D1695" s="165" t="s">
        <v>2161</v>
      </c>
      <c r="E1695" s="165" t="s">
        <v>8985</v>
      </c>
      <c r="F1695" s="163">
        <v>1</v>
      </c>
      <c r="G1695" s="864"/>
      <c r="H1695" s="864">
        <v>13922.532214388433</v>
      </c>
      <c r="I1695" s="864">
        <v>14312.652584130345</v>
      </c>
      <c r="J1695" s="864">
        <v>14723.325751674347</v>
      </c>
      <c r="K1695" s="864">
        <v>15155.611746706501</v>
      </c>
      <c r="L1695" s="18" t="s">
        <v>2069</v>
      </c>
      <c r="M1695" s="442"/>
      <c r="N1695" s="433"/>
      <c r="P1695" s="433"/>
      <c r="T1695" s="443"/>
      <c r="U1695" s="440"/>
      <c r="V1695" s="440"/>
      <c r="W1695" s="440"/>
      <c r="X1695" s="442"/>
    </row>
    <row r="1696" spans="1:24" x14ac:dyDescent="0.25">
      <c r="A1696" s="862">
        <v>2414</v>
      </c>
      <c r="B1696" s="863" t="s">
        <v>8986</v>
      </c>
      <c r="C1696" s="862">
        <v>2414</v>
      </c>
      <c r="D1696" s="165" t="s">
        <v>2161</v>
      </c>
      <c r="E1696" s="165" t="s">
        <v>8987</v>
      </c>
      <c r="F1696" s="163">
        <v>1</v>
      </c>
      <c r="G1696" s="864"/>
      <c r="H1696" s="864">
        <v>0</v>
      </c>
      <c r="I1696" s="864">
        <v>0</v>
      </c>
      <c r="J1696" s="864">
        <v>18739.380914813028</v>
      </c>
      <c r="K1696" s="864">
        <v>19248.342390470738</v>
      </c>
      <c r="L1696" s="18" t="s">
        <v>4742</v>
      </c>
      <c r="M1696" s="442"/>
      <c r="N1696" s="433"/>
      <c r="P1696" s="433"/>
      <c r="T1696" s="443"/>
      <c r="U1696" s="440"/>
      <c r="V1696" s="440"/>
      <c r="W1696" s="440"/>
      <c r="X1696" s="442"/>
    </row>
    <row r="1697" spans="1:24" x14ac:dyDescent="0.25">
      <c r="A1697" s="862">
        <v>2415</v>
      </c>
      <c r="B1697" s="863" t="s">
        <v>8988</v>
      </c>
      <c r="C1697" s="862">
        <v>2415</v>
      </c>
      <c r="D1697" s="165" t="s">
        <v>2161</v>
      </c>
      <c r="E1697" s="165" t="s">
        <v>8989</v>
      </c>
      <c r="F1697" s="163">
        <v>1</v>
      </c>
      <c r="G1697" s="864"/>
      <c r="H1697" s="864">
        <v>14741.9590697559</v>
      </c>
      <c r="I1697" s="864">
        <v>15159.551875528397</v>
      </c>
      <c r="J1697" s="864">
        <v>15599.140297286796</v>
      </c>
      <c r="K1697" s="864">
        <v>16061.872700524338</v>
      </c>
      <c r="L1697" s="18" t="s">
        <v>2070</v>
      </c>
      <c r="M1697" s="442"/>
      <c r="N1697" s="433"/>
      <c r="P1697" s="433"/>
      <c r="T1697" s="443"/>
      <c r="U1697" s="440"/>
      <c r="V1697" s="440"/>
      <c r="W1697" s="440"/>
      <c r="X1697" s="442"/>
    </row>
    <row r="1698" spans="1:24" x14ac:dyDescent="0.25">
      <c r="A1698" s="862">
        <v>2416</v>
      </c>
      <c r="B1698" s="863" t="s">
        <v>8990</v>
      </c>
      <c r="C1698" s="862">
        <v>2416</v>
      </c>
      <c r="D1698" s="165" t="s">
        <v>2162</v>
      </c>
      <c r="E1698" s="165" t="s">
        <v>8991</v>
      </c>
      <c r="F1698" s="163">
        <v>1</v>
      </c>
      <c r="G1698" s="864"/>
      <c r="H1698" s="864">
        <v>35472.757247975089</v>
      </c>
      <c r="I1698" s="864">
        <v>36619.637160651342</v>
      </c>
      <c r="J1698" s="864">
        <v>37826.886036443691</v>
      </c>
      <c r="K1698" s="864">
        <v>39097.66574869027</v>
      </c>
      <c r="L1698" s="18" t="s">
        <v>4014</v>
      </c>
      <c r="M1698" s="442"/>
      <c r="N1698" s="433"/>
      <c r="P1698" s="433"/>
      <c r="T1698" s="443"/>
      <c r="U1698" s="440"/>
      <c r="V1698" s="440"/>
      <c r="W1698" s="440"/>
      <c r="X1698" s="442"/>
    </row>
    <row r="1699" spans="1:24" x14ac:dyDescent="0.25">
      <c r="A1699" s="862">
        <v>2417</v>
      </c>
      <c r="B1699" s="863" t="s">
        <v>8992</v>
      </c>
      <c r="C1699" s="862">
        <v>2417</v>
      </c>
      <c r="D1699" s="165" t="s">
        <v>2162</v>
      </c>
      <c r="E1699" s="165" t="s">
        <v>8993</v>
      </c>
      <c r="F1699" s="163">
        <v>1</v>
      </c>
      <c r="G1699" s="864"/>
      <c r="H1699" s="864">
        <v>0</v>
      </c>
      <c r="I1699" s="864">
        <v>0</v>
      </c>
      <c r="J1699" s="864">
        <v>0</v>
      </c>
      <c r="K1699" s="864">
        <v>37237.527767074302</v>
      </c>
      <c r="L1699" s="18" t="s">
        <v>11024</v>
      </c>
      <c r="M1699" s="442"/>
      <c r="N1699" s="433"/>
      <c r="P1699" s="433"/>
      <c r="T1699" s="443"/>
      <c r="U1699" s="440"/>
      <c r="V1699" s="440"/>
      <c r="W1699" s="440"/>
      <c r="X1699" s="442"/>
    </row>
    <row r="1700" spans="1:24" x14ac:dyDescent="0.25">
      <c r="A1700" s="862">
        <v>2418</v>
      </c>
      <c r="B1700" s="863" t="s">
        <v>8994</v>
      </c>
      <c r="C1700" s="862">
        <v>2418</v>
      </c>
      <c r="D1700" s="165" t="s">
        <v>2162</v>
      </c>
      <c r="E1700" s="165" t="s">
        <v>8995</v>
      </c>
      <c r="F1700" s="163">
        <v>1</v>
      </c>
      <c r="G1700" s="864"/>
      <c r="H1700" s="864">
        <v>0</v>
      </c>
      <c r="I1700" s="864">
        <v>19227.685842848674</v>
      </c>
      <c r="J1700" s="864">
        <v>19831.250107330867</v>
      </c>
      <c r="K1700" s="864">
        <v>20466.573433169571</v>
      </c>
      <c r="L1700" s="18" t="s">
        <v>4015</v>
      </c>
      <c r="M1700" s="442"/>
      <c r="N1700" s="433"/>
      <c r="P1700" s="433"/>
      <c r="T1700" s="443"/>
      <c r="U1700" s="440"/>
      <c r="V1700" s="440"/>
      <c r="W1700" s="440"/>
      <c r="X1700" s="442"/>
    </row>
    <row r="1701" spans="1:24" x14ac:dyDescent="0.25">
      <c r="A1701" s="862">
        <v>2419</v>
      </c>
      <c r="B1701" s="863" t="s">
        <v>8996</v>
      </c>
      <c r="C1701" s="862">
        <v>2419</v>
      </c>
      <c r="D1701" s="165" t="s">
        <v>2162</v>
      </c>
      <c r="E1701" s="165" t="s">
        <v>8997</v>
      </c>
      <c r="F1701" s="163">
        <v>1</v>
      </c>
      <c r="G1701" s="864"/>
      <c r="H1701" s="864">
        <v>0</v>
      </c>
      <c r="I1701" s="864">
        <v>20204.848788811694</v>
      </c>
      <c r="J1701" s="864">
        <v>20843.227236883798</v>
      </c>
      <c r="K1701" s="864">
        <v>21515.2120295233</v>
      </c>
      <c r="L1701" s="18" t="s">
        <v>4016</v>
      </c>
      <c r="M1701" s="442"/>
      <c r="N1701" s="433"/>
      <c r="P1701" s="433"/>
      <c r="T1701" s="443"/>
      <c r="U1701" s="440"/>
      <c r="V1701" s="440"/>
      <c r="W1701" s="440"/>
      <c r="X1701" s="442"/>
    </row>
    <row r="1702" spans="1:24" x14ac:dyDescent="0.25">
      <c r="A1702" s="862">
        <v>2420</v>
      </c>
      <c r="B1702" s="863" t="s">
        <v>8998</v>
      </c>
      <c r="C1702" s="862">
        <v>2420</v>
      </c>
      <c r="D1702" s="165" t="s">
        <v>2162</v>
      </c>
      <c r="E1702" s="165" t="s">
        <v>8999</v>
      </c>
      <c r="F1702" s="163">
        <v>1</v>
      </c>
      <c r="G1702" s="864"/>
      <c r="H1702" s="864">
        <v>21423.809601664387</v>
      </c>
      <c r="I1702" s="864">
        <v>0</v>
      </c>
      <c r="J1702" s="864">
        <v>0</v>
      </c>
      <c r="K1702" s="864">
        <v>0</v>
      </c>
      <c r="L1702" s="18" t="s">
        <v>2071</v>
      </c>
      <c r="M1702" s="442"/>
      <c r="N1702" s="433"/>
      <c r="P1702" s="433"/>
      <c r="T1702" s="443"/>
      <c r="U1702" s="440"/>
      <c r="V1702" s="440"/>
      <c r="W1702" s="440"/>
      <c r="X1702" s="442"/>
    </row>
    <row r="1703" spans="1:24" x14ac:dyDescent="0.25">
      <c r="A1703" s="862">
        <v>2421</v>
      </c>
      <c r="B1703" s="863" t="s">
        <v>9000</v>
      </c>
      <c r="C1703" s="862">
        <v>2421</v>
      </c>
      <c r="D1703" s="165" t="s">
        <v>2162</v>
      </c>
      <c r="E1703" s="165" t="s">
        <v>9001</v>
      </c>
      <c r="F1703" s="163">
        <v>1</v>
      </c>
      <c r="G1703" s="864"/>
      <c r="H1703" s="864">
        <v>0</v>
      </c>
      <c r="I1703" s="864">
        <v>22368.56674058695</v>
      </c>
      <c r="J1703" s="864">
        <v>23084.033738036709</v>
      </c>
      <c r="K1703" s="864">
        <v>23837.156893246978</v>
      </c>
      <c r="L1703" s="18" t="s">
        <v>4017</v>
      </c>
      <c r="M1703" s="442"/>
      <c r="N1703" s="433"/>
      <c r="P1703" s="433"/>
      <c r="T1703" s="443"/>
      <c r="U1703" s="440"/>
      <c r="V1703" s="440"/>
      <c r="W1703" s="440"/>
      <c r="X1703" s="442"/>
    </row>
    <row r="1704" spans="1:24" x14ac:dyDescent="0.25">
      <c r="A1704" s="862">
        <v>2422</v>
      </c>
      <c r="B1704" s="863" t="s">
        <v>9002</v>
      </c>
      <c r="C1704" s="862">
        <v>2422</v>
      </c>
      <c r="D1704" s="165" t="s">
        <v>2162</v>
      </c>
      <c r="E1704" s="165" t="s">
        <v>9003</v>
      </c>
      <c r="F1704" s="163">
        <v>1</v>
      </c>
      <c r="G1704" s="864"/>
      <c r="H1704" s="864">
        <v>15486.791234721015</v>
      </c>
      <c r="I1704" s="864">
        <v>0</v>
      </c>
      <c r="J1704" s="864">
        <v>0</v>
      </c>
      <c r="K1704" s="864">
        <v>0</v>
      </c>
      <c r="L1704" s="18" t="s">
        <v>2072</v>
      </c>
      <c r="M1704" s="442"/>
      <c r="N1704" s="433"/>
      <c r="P1704" s="433"/>
      <c r="T1704" s="443"/>
      <c r="U1704" s="440"/>
      <c r="V1704" s="440"/>
      <c r="W1704" s="440"/>
      <c r="X1704" s="442"/>
    </row>
    <row r="1705" spans="1:24" x14ac:dyDescent="0.25">
      <c r="A1705" s="862">
        <v>2423</v>
      </c>
      <c r="B1705" s="863" t="s">
        <v>9004</v>
      </c>
      <c r="C1705" s="862">
        <v>2423</v>
      </c>
      <c r="D1705" s="165" t="s">
        <v>2162</v>
      </c>
      <c r="E1705" s="165" t="s">
        <v>9005</v>
      </c>
      <c r="F1705" s="163">
        <v>1</v>
      </c>
      <c r="G1705" s="864"/>
      <c r="H1705" s="864">
        <v>0</v>
      </c>
      <c r="I1705" s="864">
        <v>17751.970373435139</v>
      </c>
      <c r="J1705" s="864">
        <v>18302.958115761139</v>
      </c>
      <c r="K1705" s="864">
        <v>18882.933994627318</v>
      </c>
      <c r="L1705" s="18" t="s">
        <v>4018</v>
      </c>
      <c r="M1705" s="442"/>
      <c r="N1705" s="433"/>
      <c r="P1705" s="433"/>
      <c r="T1705" s="443"/>
      <c r="U1705" s="440"/>
      <c r="V1705" s="440"/>
      <c r="W1705" s="440"/>
      <c r="X1705" s="442"/>
    </row>
    <row r="1706" spans="1:24" x14ac:dyDescent="0.25">
      <c r="A1706" s="862">
        <v>2424</v>
      </c>
      <c r="B1706" s="863" t="s">
        <v>9006</v>
      </c>
      <c r="C1706" s="862">
        <v>2424</v>
      </c>
      <c r="D1706" s="165" t="s">
        <v>2162</v>
      </c>
      <c r="E1706" s="165" t="s">
        <v>9007</v>
      </c>
      <c r="F1706" s="163">
        <v>1</v>
      </c>
      <c r="G1706" s="864"/>
      <c r="H1706" s="864">
        <v>16666.411375554624</v>
      </c>
      <c r="I1706" s="864">
        <v>0</v>
      </c>
      <c r="J1706" s="864">
        <v>0</v>
      </c>
      <c r="K1706" s="864">
        <v>0</v>
      </c>
      <c r="L1706" s="18" t="s">
        <v>2073</v>
      </c>
      <c r="M1706" s="442"/>
      <c r="N1706" s="433"/>
      <c r="P1706" s="433"/>
      <c r="T1706" s="443"/>
      <c r="U1706" s="440"/>
      <c r="V1706" s="440"/>
      <c r="W1706" s="440"/>
      <c r="X1706" s="442"/>
    </row>
    <row r="1707" spans="1:24" x14ac:dyDescent="0.25">
      <c r="A1707" s="862">
        <v>2425</v>
      </c>
      <c r="B1707" s="863" t="s">
        <v>9008</v>
      </c>
      <c r="C1707" s="862">
        <v>2425</v>
      </c>
      <c r="D1707" s="165" t="s">
        <v>2162</v>
      </c>
      <c r="E1707" s="165" t="s">
        <v>9009</v>
      </c>
      <c r="F1707" s="163">
        <v>1</v>
      </c>
      <c r="G1707" s="864"/>
      <c r="H1707" s="864">
        <v>18392.624100496498</v>
      </c>
      <c r="I1707" s="864">
        <v>0</v>
      </c>
      <c r="J1707" s="864">
        <v>0</v>
      </c>
      <c r="K1707" s="864">
        <v>0</v>
      </c>
      <c r="L1707" s="18" t="s">
        <v>2074</v>
      </c>
      <c r="M1707" s="442"/>
      <c r="N1707" s="433"/>
      <c r="P1707" s="433"/>
      <c r="T1707" s="443"/>
      <c r="U1707" s="440"/>
      <c r="V1707" s="440"/>
      <c r="W1707" s="440"/>
      <c r="X1707" s="442"/>
    </row>
    <row r="1708" spans="1:24" x14ac:dyDescent="0.25">
      <c r="A1708" s="862">
        <v>2426</v>
      </c>
      <c r="B1708" s="863" t="s">
        <v>9010</v>
      </c>
      <c r="C1708" s="862">
        <v>2426</v>
      </c>
      <c r="D1708" s="165" t="s">
        <v>2162</v>
      </c>
      <c r="E1708" s="165" t="s">
        <v>9011</v>
      </c>
      <c r="F1708" s="163">
        <v>1</v>
      </c>
      <c r="G1708" s="864"/>
      <c r="H1708" s="864">
        <v>21376.447218920417</v>
      </c>
      <c r="I1708" s="864">
        <v>0</v>
      </c>
      <c r="J1708" s="864">
        <v>0</v>
      </c>
      <c r="K1708" s="864">
        <v>0</v>
      </c>
      <c r="L1708" s="18" t="s">
        <v>2075</v>
      </c>
      <c r="M1708" s="442"/>
      <c r="N1708" s="433"/>
      <c r="P1708" s="433"/>
      <c r="T1708" s="443"/>
      <c r="U1708" s="440"/>
      <c r="V1708" s="440"/>
      <c r="W1708" s="440"/>
      <c r="X1708" s="442"/>
    </row>
    <row r="1709" spans="1:24" x14ac:dyDescent="0.25">
      <c r="A1709" s="862">
        <v>2427</v>
      </c>
      <c r="B1709" s="863" t="s">
        <v>9012</v>
      </c>
      <c r="C1709" s="862">
        <v>2427</v>
      </c>
      <c r="D1709" s="165" t="s">
        <v>2162</v>
      </c>
      <c r="E1709" s="165" t="s">
        <v>9013</v>
      </c>
      <c r="F1709" s="163">
        <v>1</v>
      </c>
      <c r="G1709" s="864"/>
      <c r="H1709" s="864">
        <v>27096.988103312415</v>
      </c>
      <c r="I1709" s="864">
        <v>27703.423829843192</v>
      </c>
      <c r="J1709" s="864">
        <v>28341.788945118456</v>
      </c>
      <c r="K1709" s="864">
        <v>29013.753396248285</v>
      </c>
      <c r="L1709" s="18" t="s">
        <v>3081</v>
      </c>
      <c r="M1709" s="442"/>
      <c r="N1709" s="433"/>
      <c r="P1709" s="433"/>
      <c r="T1709" s="443"/>
      <c r="U1709" s="440"/>
      <c r="V1709" s="440"/>
      <c r="W1709" s="440"/>
      <c r="X1709" s="442"/>
    </row>
    <row r="1710" spans="1:24" x14ac:dyDescent="0.25">
      <c r="A1710" s="862">
        <v>2428</v>
      </c>
      <c r="B1710" s="863" t="s">
        <v>9014</v>
      </c>
      <c r="C1710" s="862">
        <v>2428</v>
      </c>
      <c r="D1710" s="165" t="s">
        <v>2162</v>
      </c>
      <c r="E1710" s="165" t="s">
        <v>9015</v>
      </c>
      <c r="F1710" s="163">
        <v>1</v>
      </c>
      <c r="G1710" s="864"/>
      <c r="H1710" s="864">
        <v>29596.375040558985</v>
      </c>
      <c r="I1710" s="864">
        <v>30264.198022855857</v>
      </c>
      <c r="J1710" s="864">
        <v>30967.178958310018</v>
      </c>
      <c r="K1710" s="864">
        <v>31707.165921723288</v>
      </c>
      <c r="L1710" s="18" t="s">
        <v>3082</v>
      </c>
      <c r="M1710" s="442"/>
      <c r="N1710" s="433"/>
      <c r="P1710" s="433"/>
      <c r="T1710" s="443"/>
      <c r="U1710" s="440"/>
      <c r="V1710" s="440"/>
      <c r="W1710" s="440"/>
      <c r="X1710" s="442"/>
    </row>
    <row r="1711" spans="1:24" x14ac:dyDescent="0.25">
      <c r="A1711" s="862">
        <v>2429</v>
      </c>
      <c r="B1711" s="863" t="s">
        <v>9016</v>
      </c>
      <c r="C1711" s="862">
        <v>2429</v>
      </c>
      <c r="D1711" s="165" t="s">
        <v>2162</v>
      </c>
      <c r="E1711" s="165" t="s">
        <v>9017</v>
      </c>
      <c r="F1711" s="163">
        <v>2</v>
      </c>
      <c r="G1711" s="864"/>
      <c r="H1711" s="864">
        <v>25547.096886317599</v>
      </c>
      <c r="I1711" s="864">
        <v>26462.22736637378</v>
      </c>
      <c r="J1711" s="864">
        <v>27425.476614136889</v>
      </c>
      <c r="K1711" s="864">
        <v>28439.46631048085</v>
      </c>
      <c r="L1711" s="18" t="s">
        <v>2076</v>
      </c>
      <c r="M1711" s="442"/>
      <c r="N1711" s="433"/>
      <c r="P1711" s="433"/>
      <c r="T1711" s="443"/>
      <c r="U1711" s="440"/>
      <c r="V1711" s="440"/>
      <c r="W1711" s="440"/>
      <c r="X1711" s="442"/>
    </row>
    <row r="1712" spans="1:24" x14ac:dyDescent="0.25">
      <c r="A1712" s="862">
        <v>2430</v>
      </c>
      <c r="B1712" s="863" t="s">
        <v>9018</v>
      </c>
      <c r="C1712" s="862">
        <v>2430</v>
      </c>
      <c r="D1712" s="165" t="s">
        <v>2162</v>
      </c>
      <c r="E1712" s="165" t="s">
        <v>9019</v>
      </c>
      <c r="F1712" s="163">
        <v>2</v>
      </c>
      <c r="G1712" s="864"/>
      <c r="H1712" s="864">
        <v>24969.296496543102</v>
      </c>
      <c r="I1712" s="864">
        <v>25859.903336757739</v>
      </c>
      <c r="J1712" s="864">
        <v>26797.372722593867</v>
      </c>
      <c r="K1712" s="864">
        <v>27784.1624798708</v>
      </c>
      <c r="L1712" s="18" t="s">
        <v>2077</v>
      </c>
      <c r="M1712" s="442"/>
      <c r="N1712" s="433"/>
      <c r="P1712" s="433"/>
      <c r="T1712" s="443"/>
      <c r="U1712" s="440"/>
      <c r="V1712" s="440"/>
      <c r="W1712" s="440"/>
      <c r="X1712" s="442"/>
    </row>
    <row r="1713" spans="1:24" x14ac:dyDescent="0.25">
      <c r="A1713" s="862">
        <v>2431</v>
      </c>
      <c r="B1713" s="863" t="s">
        <v>9020</v>
      </c>
      <c r="C1713" s="862">
        <v>2431</v>
      </c>
      <c r="D1713" s="165" t="s">
        <v>2162</v>
      </c>
      <c r="E1713" s="165" t="s">
        <v>9021</v>
      </c>
      <c r="F1713" s="163">
        <v>2</v>
      </c>
      <c r="G1713" s="864"/>
      <c r="H1713" s="864">
        <v>14313.912023069575</v>
      </c>
      <c r="I1713" s="864">
        <v>14784.722213346169</v>
      </c>
      <c r="J1713" s="864">
        <v>15280.329135222013</v>
      </c>
      <c r="K1713" s="864">
        <v>15802.043629134081</v>
      </c>
      <c r="L1713" s="18" t="s">
        <v>2078</v>
      </c>
      <c r="M1713" s="442"/>
      <c r="N1713" s="433"/>
      <c r="P1713" s="433"/>
      <c r="T1713" s="443"/>
      <c r="U1713" s="440"/>
      <c r="V1713" s="440"/>
      <c r="W1713" s="440"/>
      <c r="X1713" s="442"/>
    </row>
    <row r="1714" spans="1:24" x14ac:dyDescent="0.25">
      <c r="A1714" s="862">
        <v>2432</v>
      </c>
      <c r="B1714" s="863" t="s">
        <v>9022</v>
      </c>
      <c r="C1714" s="862">
        <v>2432</v>
      </c>
      <c r="D1714" s="165" t="s">
        <v>2162</v>
      </c>
      <c r="E1714" s="165" t="s">
        <v>9023</v>
      </c>
      <c r="F1714" s="163">
        <v>2</v>
      </c>
      <c r="G1714" s="864"/>
      <c r="H1714" s="864">
        <v>14684.09129720324</v>
      </c>
      <c r="I1714" s="864">
        <v>15171.23237459035</v>
      </c>
      <c r="J1714" s="864">
        <v>15684.044077201366</v>
      </c>
      <c r="K1714" s="864">
        <v>16223.837245473243</v>
      </c>
      <c r="L1714" s="18" t="s">
        <v>2079</v>
      </c>
      <c r="M1714" s="442"/>
      <c r="N1714" s="433"/>
      <c r="P1714" s="433"/>
      <c r="T1714" s="443"/>
      <c r="U1714" s="440"/>
      <c r="V1714" s="440"/>
      <c r="W1714" s="440"/>
      <c r="X1714" s="442"/>
    </row>
    <row r="1715" spans="1:24" x14ac:dyDescent="0.25">
      <c r="A1715" s="862">
        <v>2433</v>
      </c>
      <c r="B1715" s="863" t="s">
        <v>9024</v>
      </c>
      <c r="C1715" s="862">
        <v>2433</v>
      </c>
      <c r="D1715" s="165" t="s">
        <v>2162</v>
      </c>
      <c r="E1715" s="165" t="s">
        <v>9025</v>
      </c>
      <c r="F1715" s="163">
        <v>2</v>
      </c>
      <c r="G1715" s="864"/>
      <c r="H1715" s="864">
        <v>14979.352169876372</v>
      </c>
      <c r="I1715" s="864">
        <v>15478.891613063115</v>
      </c>
      <c r="J1715" s="864">
        <v>16004.757101692237</v>
      </c>
      <c r="K1715" s="864">
        <v>16558.314094552239</v>
      </c>
      <c r="L1715" s="18" t="s">
        <v>2080</v>
      </c>
      <c r="M1715" s="442"/>
      <c r="N1715" s="433"/>
      <c r="P1715" s="433"/>
      <c r="T1715" s="443"/>
      <c r="U1715" s="440"/>
      <c r="V1715" s="440"/>
      <c r="W1715" s="440"/>
      <c r="X1715" s="442"/>
    </row>
    <row r="1716" spans="1:24" x14ac:dyDescent="0.25">
      <c r="A1716" s="862">
        <v>2434</v>
      </c>
      <c r="B1716" s="863" t="s">
        <v>9026</v>
      </c>
      <c r="C1716" s="862">
        <v>2434</v>
      </c>
      <c r="D1716" s="165" t="s">
        <v>2162</v>
      </c>
      <c r="E1716" s="165" t="s">
        <v>9027</v>
      </c>
      <c r="F1716" s="163">
        <v>2</v>
      </c>
      <c r="G1716" s="864"/>
      <c r="H1716" s="864">
        <v>11326.125836836638</v>
      </c>
      <c r="I1716" s="864">
        <v>11641.546816981338</v>
      </c>
      <c r="J1716" s="864">
        <v>11973.571775994262</v>
      </c>
      <c r="K1716" s="864">
        <v>12323.074607500055</v>
      </c>
      <c r="L1716" s="18" t="s">
        <v>2081</v>
      </c>
      <c r="M1716" s="442"/>
      <c r="N1716" s="433"/>
      <c r="P1716" s="433"/>
      <c r="T1716" s="443"/>
      <c r="U1716" s="440"/>
      <c r="V1716" s="440"/>
      <c r="W1716" s="440"/>
      <c r="X1716" s="442"/>
    </row>
    <row r="1717" spans="1:24" x14ac:dyDescent="0.25">
      <c r="A1717" s="862">
        <v>2435</v>
      </c>
      <c r="B1717" s="863" t="s">
        <v>9028</v>
      </c>
      <c r="C1717" s="862">
        <v>2435</v>
      </c>
      <c r="D1717" s="165" t="s">
        <v>2162</v>
      </c>
      <c r="E1717" s="165" t="s">
        <v>9029</v>
      </c>
      <c r="F1717" s="163">
        <v>2</v>
      </c>
      <c r="G1717" s="864"/>
      <c r="H1717" s="864">
        <v>15452.856542012765</v>
      </c>
      <c r="I1717" s="864">
        <v>15973.205577136327</v>
      </c>
      <c r="J1717" s="864">
        <v>16520.97302473307</v>
      </c>
      <c r="K1717" s="864">
        <v>17097.578961943047</v>
      </c>
      <c r="L1717" s="18" t="s">
        <v>2082</v>
      </c>
      <c r="M1717" s="442"/>
      <c r="N1717" s="433"/>
      <c r="P1717" s="433"/>
      <c r="T1717" s="443"/>
      <c r="U1717" s="440"/>
      <c r="V1717" s="440"/>
      <c r="W1717" s="440"/>
      <c r="X1717" s="442"/>
    </row>
    <row r="1718" spans="1:24" x14ac:dyDescent="0.25">
      <c r="A1718" s="862">
        <v>2436</v>
      </c>
      <c r="B1718" s="863" t="s">
        <v>9030</v>
      </c>
      <c r="C1718" s="862">
        <v>2436</v>
      </c>
      <c r="D1718" s="165" t="s">
        <v>2162</v>
      </c>
      <c r="E1718" s="165" t="s">
        <v>9031</v>
      </c>
      <c r="F1718" s="163">
        <v>2</v>
      </c>
      <c r="G1718" s="864"/>
      <c r="H1718" s="864">
        <v>14778.915228274607</v>
      </c>
      <c r="I1718" s="864">
        <v>15270.261918730319</v>
      </c>
      <c r="J1718" s="864">
        <v>15787.497707816088</v>
      </c>
      <c r="K1718" s="864">
        <v>16331.933435968876</v>
      </c>
      <c r="L1718" s="18" t="s">
        <v>2083</v>
      </c>
      <c r="M1718" s="442"/>
      <c r="N1718" s="433"/>
      <c r="P1718" s="433"/>
      <c r="T1718" s="443"/>
      <c r="U1718" s="440"/>
      <c r="V1718" s="440"/>
      <c r="W1718" s="440"/>
      <c r="X1718" s="442"/>
    </row>
    <row r="1719" spans="1:24" x14ac:dyDescent="0.25">
      <c r="A1719" s="862">
        <v>2437</v>
      </c>
      <c r="B1719" s="863" t="s">
        <v>9032</v>
      </c>
      <c r="C1719" s="862">
        <v>2437</v>
      </c>
      <c r="D1719" s="165" t="s">
        <v>2162</v>
      </c>
      <c r="E1719" s="165" t="s">
        <v>9033</v>
      </c>
      <c r="F1719" s="163">
        <v>2</v>
      </c>
      <c r="G1719" s="864"/>
      <c r="H1719" s="864">
        <v>15158.538662669331</v>
      </c>
      <c r="I1719" s="864">
        <v>15666.653187047885</v>
      </c>
      <c r="J1719" s="864">
        <v>16201.530703681137</v>
      </c>
      <c r="K1719" s="864">
        <v>16764.591289709144</v>
      </c>
      <c r="L1719" s="18" t="s">
        <v>2084</v>
      </c>
      <c r="M1719" s="442"/>
      <c r="N1719" s="433"/>
      <c r="P1719" s="433"/>
      <c r="T1719" s="443"/>
      <c r="U1719" s="440"/>
      <c r="V1719" s="440"/>
      <c r="W1719" s="440"/>
      <c r="X1719" s="442"/>
    </row>
    <row r="1720" spans="1:24" x14ac:dyDescent="0.25">
      <c r="A1720" s="862">
        <v>2438</v>
      </c>
      <c r="B1720" s="863" t="s">
        <v>9034</v>
      </c>
      <c r="C1720" s="862">
        <v>2438</v>
      </c>
      <c r="D1720" s="165" t="s">
        <v>2162</v>
      </c>
      <c r="E1720" s="165" t="s">
        <v>9035</v>
      </c>
      <c r="F1720" s="163">
        <v>2</v>
      </c>
      <c r="G1720" s="864"/>
      <c r="H1720" s="864">
        <v>0</v>
      </c>
      <c r="I1720" s="864">
        <v>0</v>
      </c>
      <c r="J1720" s="864">
        <v>30766.35709220661</v>
      </c>
      <c r="K1720" s="864">
        <v>31556.076603764726</v>
      </c>
      <c r="L1720" s="18" t="s">
        <v>11025</v>
      </c>
      <c r="M1720" s="442"/>
      <c r="N1720" s="433"/>
      <c r="P1720" s="433"/>
      <c r="T1720" s="443"/>
      <c r="U1720" s="440"/>
      <c r="V1720" s="440"/>
      <c r="W1720" s="440"/>
      <c r="X1720" s="442"/>
    </row>
    <row r="1721" spans="1:24" x14ac:dyDescent="0.25">
      <c r="A1721" s="862">
        <v>2439</v>
      </c>
      <c r="B1721" s="863" t="s">
        <v>9036</v>
      </c>
      <c r="C1721" s="862">
        <v>2439</v>
      </c>
      <c r="D1721" s="165" t="s">
        <v>2162</v>
      </c>
      <c r="E1721" s="165" t="s">
        <v>9037</v>
      </c>
      <c r="F1721" s="163">
        <v>2</v>
      </c>
      <c r="G1721" s="864"/>
      <c r="H1721" s="864">
        <v>0</v>
      </c>
      <c r="I1721" s="864">
        <v>0</v>
      </c>
      <c r="J1721" s="864">
        <v>33544.66723621104</v>
      </c>
      <c r="K1721" s="864">
        <v>34415.60579085561</v>
      </c>
      <c r="L1721" s="18" t="s">
        <v>11026</v>
      </c>
      <c r="M1721" s="442"/>
      <c r="N1721" s="433"/>
      <c r="P1721" s="433"/>
      <c r="T1721" s="443"/>
      <c r="U1721" s="440"/>
      <c r="V1721" s="440"/>
      <c r="W1721" s="440"/>
      <c r="X1721" s="442"/>
    </row>
    <row r="1722" spans="1:24" x14ac:dyDescent="0.25">
      <c r="A1722" s="862">
        <v>2440</v>
      </c>
      <c r="B1722" s="863" t="s">
        <v>9038</v>
      </c>
      <c r="C1722" s="862">
        <v>2440</v>
      </c>
      <c r="D1722" s="165" t="s">
        <v>2162</v>
      </c>
      <c r="E1722" s="165" t="s">
        <v>9039</v>
      </c>
      <c r="F1722" s="163">
        <v>2</v>
      </c>
      <c r="G1722" s="864"/>
      <c r="H1722" s="864">
        <v>30427.683401612474</v>
      </c>
      <c r="I1722" s="864">
        <v>31345.706149464848</v>
      </c>
      <c r="J1722" s="864">
        <v>32312.050895402073</v>
      </c>
      <c r="K1722" s="864">
        <v>33329.240857058132</v>
      </c>
      <c r="L1722" s="18" t="s">
        <v>2085</v>
      </c>
      <c r="M1722" s="442"/>
      <c r="N1722" s="433"/>
      <c r="P1722" s="433"/>
      <c r="T1722" s="443"/>
      <c r="U1722" s="440"/>
      <c r="V1722" s="440"/>
      <c r="W1722" s="440"/>
      <c r="X1722" s="442"/>
    </row>
    <row r="1723" spans="1:24" x14ac:dyDescent="0.25">
      <c r="A1723" s="862">
        <v>2441</v>
      </c>
      <c r="B1723" s="863" t="s">
        <v>9040</v>
      </c>
      <c r="C1723" s="862">
        <v>2441</v>
      </c>
      <c r="D1723" s="165" t="s">
        <v>2162</v>
      </c>
      <c r="E1723" s="165" t="s">
        <v>9041</v>
      </c>
      <c r="F1723" s="163">
        <v>2</v>
      </c>
      <c r="G1723" s="864"/>
      <c r="H1723" s="864">
        <v>21822.036767731988</v>
      </c>
      <c r="I1723" s="864">
        <v>22421.610407023218</v>
      </c>
      <c r="J1723" s="864">
        <v>23052.748070679234</v>
      </c>
      <c r="K1723" s="864">
        <v>23717.116034496063</v>
      </c>
      <c r="L1723" s="18" t="s">
        <v>2086</v>
      </c>
      <c r="M1723" s="442"/>
      <c r="N1723" s="433"/>
      <c r="P1723" s="433"/>
      <c r="T1723" s="443"/>
      <c r="U1723" s="440"/>
      <c r="V1723" s="440"/>
      <c r="W1723" s="440"/>
      <c r="X1723" s="442"/>
    </row>
    <row r="1724" spans="1:24" x14ac:dyDescent="0.25">
      <c r="A1724" s="862">
        <v>2442</v>
      </c>
      <c r="B1724" s="863" t="s">
        <v>9042</v>
      </c>
      <c r="C1724" s="862">
        <v>2442</v>
      </c>
      <c r="D1724" s="165" t="s">
        <v>2162</v>
      </c>
      <c r="E1724" s="165" t="s">
        <v>9043</v>
      </c>
      <c r="F1724" s="163">
        <v>2</v>
      </c>
      <c r="G1724" s="864"/>
      <c r="H1724" s="864">
        <v>32747.931765679106</v>
      </c>
      <c r="I1724" s="864">
        <v>33745.745320221336</v>
      </c>
      <c r="J1724" s="864">
        <v>34796.117974158326</v>
      </c>
      <c r="K1724" s="864">
        <v>35901.763376643597</v>
      </c>
      <c r="L1724" s="18" t="s">
        <v>2087</v>
      </c>
      <c r="M1724" s="442"/>
      <c r="N1724" s="433"/>
      <c r="P1724" s="433"/>
      <c r="T1724" s="443"/>
      <c r="U1724" s="440"/>
      <c r="V1724" s="440"/>
      <c r="W1724" s="440"/>
      <c r="X1724" s="442"/>
    </row>
    <row r="1725" spans="1:24" x14ac:dyDescent="0.25">
      <c r="A1725" s="862">
        <v>2443</v>
      </c>
      <c r="B1725" s="863" t="s">
        <v>9044</v>
      </c>
      <c r="C1725" s="862">
        <v>2443</v>
      </c>
      <c r="D1725" s="165" t="s">
        <v>2162</v>
      </c>
      <c r="E1725" s="165" t="s">
        <v>9045</v>
      </c>
      <c r="F1725" s="163">
        <v>2</v>
      </c>
      <c r="G1725" s="864"/>
      <c r="H1725" s="864">
        <v>20152.042812279004</v>
      </c>
      <c r="I1725" s="864">
        <v>20696.20087938229</v>
      </c>
      <c r="J1725" s="864">
        <v>21269.018890177282</v>
      </c>
      <c r="K1725" s="864">
        <v>21872.020296820341</v>
      </c>
      <c r="L1725" s="18" t="s">
        <v>2088</v>
      </c>
      <c r="M1725" s="442"/>
      <c r="N1725" s="433"/>
      <c r="P1725" s="433"/>
      <c r="T1725" s="443"/>
      <c r="U1725" s="440"/>
      <c r="V1725" s="440"/>
      <c r="W1725" s="440"/>
      <c r="X1725" s="442"/>
    </row>
    <row r="1726" spans="1:24" x14ac:dyDescent="0.25">
      <c r="A1726" s="862">
        <v>2444</v>
      </c>
      <c r="B1726" s="863" t="s">
        <v>9046</v>
      </c>
      <c r="C1726" s="862">
        <v>2444</v>
      </c>
      <c r="D1726" s="165" t="s">
        <v>2162</v>
      </c>
      <c r="E1726" s="165" t="s">
        <v>9047</v>
      </c>
      <c r="F1726" s="163">
        <v>2</v>
      </c>
      <c r="G1726" s="864"/>
      <c r="H1726" s="864">
        <v>24024.054525515901</v>
      </c>
      <c r="I1726" s="864">
        <v>24729.698521194368</v>
      </c>
      <c r="J1726" s="864">
        <v>25472.524271064234</v>
      </c>
      <c r="K1726" s="864">
        <v>26254.436090320956</v>
      </c>
      <c r="L1726" s="18" t="s">
        <v>2089</v>
      </c>
      <c r="M1726" s="442"/>
      <c r="N1726" s="433"/>
      <c r="P1726" s="433"/>
      <c r="T1726" s="443"/>
      <c r="U1726" s="440"/>
      <c r="V1726" s="440"/>
      <c r="W1726" s="440"/>
      <c r="X1726" s="442"/>
    </row>
    <row r="1727" spans="1:24" x14ac:dyDescent="0.25">
      <c r="A1727" s="862">
        <v>2445</v>
      </c>
      <c r="B1727" s="863" t="s">
        <v>9048</v>
      </c>
      <c r="C1727" s="862">
        <v>2445</v>
      </c>
      <c r="D1727" s="165" t="s">
        <v>2162</v>
      </c>
      <c r="E1727" s="165" t="s">
        <v>9049</v>
      </c>
      <c r="F1727" s="163">
        <v>2</v>
      </c>
      <c r="G1727" s="864"/>
      <c r="H1727" s="864">
        <v>22916.614375265977</v>
      </c>
      <c r="I1727" s="864">
        <v>23583.88641975588</v>
      </c>
      <c r="J1727" s="864">
        <v>24286.293079602066</v>
      </c>
      <c r="K1727" s="864">
        <v>25025.691062120099</v>
      </c>
      <c r="L1727" s="18" t="s">
        <v>2090</v>
      </c>
      <c r="M1727" s="442"/>
      <c r="N1727" s="433"/>
      <c r="P1727" s="433"/>
      <c r="T1727" s="443"/>
      <c r="U1727" s="440"/>
      <c r="V1727" s="440"/>
      <c r="W1727" s="440"/>
      <c r="X1727" s="442"/>
    </row>
    <row r="1728" spans="1:24" x14ac:dyDescent="0.25">
      <c r="A1728" s="862">
        <v>2446</v>
      </c>
      <c r="B1728" s="863" t="s">
        <v>9050</v>
      </c>
      <c r="C1728" s="862">
        <v>2446</v>
      </c>
      <c r="D1728" s="165" t="s">
        <v>2162</v>
      </c>
      <c r="E1728" s="165" t="s">
        <v>9051</v>
      </c>
      <c r="F1728" s="163">
        <v>2</v>
      </c>
      <c r="G1728" s="864"/>
      <c r="H1728" s="864">
        <v>25187.783601778527</v>
      </c>
      <c r="I1728" s="864">
        <v>25829.537822649239</v>
      </c>
      <c r="J1728" s="864">
        <v>26505.046030359521</v>
      </c>
      <c r="K1728" s="864">
        <v>27216.117324345054</v>
      </c>
      <c r="L1728" s="18" t="s">
        <v>2091</v>
      </c>
      <c r="M1728" s="442"/>
      <c r="N1728" s="433"/>
      <c r="P1728" s="433"/>
      <c r="T1728" s="443"/>
      <c r="U1728" s="440"/>
      <c r="V1728" s="440"/>
      <c r="W1728" s="440"/>
      <c r="X1728" s="442"/>
    </row>
    <row r="1729" spans="1:24" x14ac:dyDescent="0.25">
      <c r="A1729" s="862">
        <v>2447</v>
      </c>
      <c r="B1729" s="863" t="s">
        <v>9052</v>
      </c>
      <c r="C1729" s="862">
        <v>2447</v>
      </c>
      <c r="D1729" s="165" t="s">
        <v>2162</v>
      </c>
      <c r="E1729" s="165" t="s">
        <v>9053</v>
      </c>
      <c r="F1729" s="163">
        <v>2</v>
      </c>
      <c r="G1729" s="864"/>
      <c r="H1729" s="864">
        <v>0</v>
      </c>
      <c r="I1729" s="864">
        <v>0</v>
      </c>
      <c r="J1729" s="864">
        <v>29629.763391947545</v>
      </c>
      <c r="K1729" s="864">
        <v>30386.300211224738</v>
      </c>
      <c r="L1729" s="18" t="s">
        <v>4743</v>
      </c>
      <c r="M1729" s="442"/>
      <c r="N1729" s="433"/>
      <c r="P1729" s="433"/>
      <c r="T1729" s="443"/>
      <c r="U1729" s="440"/>
      <c r="V1729" s="440"/>
      <c r="W1729" s="440"/>
      <c r="X1729" s="442"/>
    </row>
    <row r="1730" spans="1:24" x14ac:dyDescent="0.25">
      <c r="A1730" s="862">
        <v>2448</v>
      </c>
      <c r="B1730" s="863" t="s">
        <v>9054</v>
      </c>
      <c r="C1730" s="862">
        <v>2448</v>
      </c>
      <c r="D1730" s="165" t="s">
        <v>2162</v>
      </c>
      <c r="E1730" s="165" t="s">
        <v>9055</v>
      </c>
      <c r="F1730" s="163">
        <v>2</v>
      </c>
      <c r="G1730" s="864"/>
      <c r="H1730" s="864">
        <v>33175.014551418935</v>
      </c>
      <c r="I1730" s="864">
        <v>34015.436455056239</v>
      </c>
      <c r="J1730" s="864">
        <v>34900.086079108129</v>
      </c>
      <c r="K1730" s="864">
        <v>35831.343817568966</v>
      </c>
      <c r="L1730" s="18" t="s">
        <v>4019</v>
      </c>
      <c r="M1730" s="442"/>
      <c r="N1730" s="433"/>
      <c r="P1730" s="433"/>
      <c r="T1730" s="443"/>
      <c r="U1730" s="440"/>
      <c r="V1730" s="440"/>
      <c r="W1730" s="440"/>
      <c r="X1730" s="442"/>
    </row>
    <row r="1731" spans="1:24" x14ac:dyDescent="0.25">
      <c r="A1731" s="862">
        <v>2449</v>
      </c>
      <c r="B1731" s="863" t="s">
        <v>9056</v>
      </c>
      <c r="C1731" s="862">
        <v>2449</v>
      </c>
      <c r="D1731" s="165" t="s">
        <v>2162</v>
      </c>
      <c r="E1731" s="165" t="s">
        <v>9057</v>
      </c>
      <c r="F1731" s="163">
        <v>2</v>
      </c>
      <c r="G1731" s="864"/>
      <c r="H1731" s="864">
        <v>36018.738687714918</v>
      </c>
      <c r="I1731" s="864">
        <v>36940.379634438672</v>
      </c>
      <c r="J1731" s="864">
        <v>37910.48540288693</v>
      </c>
      <c r="K1731" s="864">
        <v>38931.674426453465</v>
      </c>
      <c r="L1731" s="18" t="s">
        <v>4020</v>
      </c>
      <c r="M1731" s="442"/>
      <c r="N1731" s="433"/>
      <c r="P1731" s="433"/>
      <c r="T1731" s="443"/>
      <c r="U1731" s="440"/>
      <c r="V1731" s="440"/>
      <c r="W1731" s="440"/>
      <c r="X1731" s="442"/>
    </row>
    <row r="1732" spans="1:24" x14ac:dyDescent="0.25">
      <c r="A1732" s="862">
        <v>2450</v>
      </c>
      <c r="B1732" s="863" t="s">
        <v>9058</v>
      </c>
      <c r="C1732" s="862">
        <v>2450</v>
      </c>
      <c r="D1732" s="165" t="s">
        <v>2162</v>
      </c>
      <c r="E1732" s="165" t="s">
        <v>9059</v>
      </c>
      <c r="F1732" s="163">
        <v>2</v>
      </c>
      <c r="G1732" s="864"/>
      <c r="H1732" s="864">
        <v>22832.935598920565</v>
      </c>
      <c r="I1732" s="864">
        <v>23404.230157559181</v>
      </c>
      <c r="J1732" s="864">
        <v>24005.612896286104</v>
      </c>
      <c r="K1732" s="864">
        <v>24638.607267257692</v>
      </c>
      <c r="L1732" s="18" t="s">
        <v>2092</v>
      </c>
      <c r="M1732" s="442"/>
      <c r="N1732" s="433"/>
      <c r="P1732" s="433"/>
      <c r="T1732" s="443"/>
      <c r="U1732" s="440"/>
      <c r="V1732" s="440"/>
      <c r="W1732" s="440"/>
      <c r="X1732" s="442"/>
    </row>
    <row r="1733" spans="1:24" x14ac:dyDescent="0.25">
      <c r="A1733" s="862">
        <v>2451</v>
      </c>
      <c r="B1733" s="863" t="s">
        <v>9060</v>
      </c>
      <c r="C1733" s="862">
        <v>2451</v>
      </c>
      <c r="D1733" s="165" t="s">
        <v>2162</v>
      </c>
      <c r="E1733" s="165" t="s">
        <v>9061</v>
      </c>
      <c r="F1733" s="163">
        <v>1</v>
      </c>
      <c r="G1733" s="864"/>
      <c r="H1733" s="864">
        <v>18463.523962684405</v>
      </c>
      <c r="I1733" s="864">
        <v>18885.410860172167</v>
      </c>
      <c r="J1733" s="864">
        <v>19329.515772237068</v>
      </c>
      <c r="K1733" s="864">
        <v>19797.002094278421</v>
      </c>
      <c r="L1733" s="18" t="s">
        <v>3083</v>
      </c>
      <c r="M1733" s="442"/>
      <c r="N1733" s="433"/>
      <c r="P1733" s="433"/>
      <c r="T1733" s="443"/>
      <c r="U1733" s="440"/>
      <c r="V1733" s="440"/>
      <c r="W1733" s="440"/>
      <c r="X1733" s="442"/>
    </row>
    <row r="1734" spans="1:24" x14ac:dyDescent="0.25">
      <c r="A1734" s="862">
        <v>2452</v>
      </c>
      <c r="B1734" s="863" t="s">
        <v>9062</v>
      </c>
      <c r="C1734" s="862">
        <v>2452</v>
      </c>
      <c r="D1734" s="165" t="s">
        <v>2162</v>
      </c>
      <c r="E1734" s="165" t="s">
        <v>9063</v>
      </c>
      <c r="F1734" s="163">
        <v>1</v>
      </c>
      <c r="G1734" s="864"/>
      <c r="H1734" s="864">
        <v>17716.274945268273</v>
      </c>
      <c r="I1734" s="864">
        <v>0</v>
      </c>
      <c r="J1734" s="864">
        <v>0</v>
      </c>
      <c r="K1734" s="864">
        <v>0</v>
      </c>
      <c r="L1734" s="18" t="s">
        <v>3084</v>
      </c>
      <c r="M1734" s="442"/>
      <c r="N1734" s="433"/>
      <c r="P1734" s="433"/>
      <c r="T1734" s="443"/>
      <c r="U1734" s="440"/>
      <c r="V1734" s="440"/>
      <c r="W1734" s="440"/>
      <c r="X1734" s="442"/>
    </row>
    <row r="1735" spans="1:24" x14ac:dyDescent="0.25">
      <c r="A1735" s="862">
        <v>2453</v>
      </c>
      <c r="B1735" s="863" t="s">
        <v>9064</v>
      </c>
      <c r="C1735" s="862">
        <v>2453</v>
      </c>
      <c r="D1735" s="165" t="s">
        <v>2162</v>
      </c>
      <c r="E1735" s="165" t="s">
        <v>9065</v>
      </c>
      <c r="F1735" s="163">
        <v>1</v>
      </c>
      <c r="G1735" s="864"/>
      <c r="H1735" s="864">
        <v>0</v>
      </c>
      <c r="I1735" s="864">
        <v>18978.868112626566</v>
      </c>
      <c r="J1735" s="864">
        <v>19414.233371447841</v>
      </c>
      <c r="K1735" s="864">
        <v>19872.49765678732</v>
      </c>
      <c r="L1735" s="18" t="s">
        <v>4021</v>
      </c>
      <c r="M1735" s="442"/>
      <c r="N1735" s="433"/>
      <c r="P1735" s="433"/>
      <c r="T1735" s="443"/>
      <c r="U1735" s="440"/>
      <c r="V1735" s="440"/>
      <c r="W1735" s="440"/>
      <c r="X1735" s="442"/>
    </row>
    <row r="1736" spans="1:24" x14ac:dyDescent="0.25">
      <c r="A1736" s="862">
        <v>2454</v>
      </c>
      <c r="B1736" s="863" t="s">
        <v>9066</v>
      </c>
      <c r="C1736" s="862">
        <v>2454</v>
      </c>
      <c r="D1736" s="165" t="s">
        <v>2162</v>
      </c>
      <c r="E1736" s="165" t="s">
        <v>9067</v>
      </c>
      <c r="F1736" s="163">
        <v>1</v>
      </c>
      <c r="G1736" s="864"/>
      <c r="H1736" s="864">
        <v>0</v>
      </c>
      <c r="I1736" s="864">
        <v>19906.487582522459</v>
      </c>
      <c r="J1736" s="864">
        <v>20366.028765251416</v>
      </c>
      <c r="K1736" s="864">
        <v>20849.774247385623</v>
      </c>
      <c r="L1736" s="18" t="s">
        <v>4022</v>
      </c>
      <c r="M1736" s="442"/>
      <c r="N1736" s="433"/>
      <c r="P1736" s="433"/>
      <c r="T1736" s="443"/>
      <c r="U1736" s="440"/>
      <c r="V1736" s="440"/>
      <c r="W1736" s="440"/>
      <c r="X1736" s="442"/>
    </row>
    <row r="1737" spans="1:24" x14ac:dyDescent="0.25">
      <c r="A1737" s="862">
        <v>2455</v>
      </c>
      <c r="B1737" s="863" t="s">
        <v>9068</v>
      </c>
      <c r="C1737" s="862">
        <v>2455</v>
      </c>
      <c r="D1737" s="165" t="s">
        <v>2162</v>
      </c>
      <c r="E1737" s="165" t="s">
        <v>9069</v>
      </c>
      <c r="F1737" s="163">
        <v>1</v>
      </c>
      <c r="G1737" s="864"/>
      <c r="H1737" s="864">
        <v>0</v>
      </c>
      <c r="I1737" s="864">
        <v>0</v>
      </c>
      <c r="J1737" s="864">
        <v>19772.498103537491</v>
      </c>
      <c r="K1737" s="864">
        <v>20228.549100068518</v>
      </c>
      <c r="L1737" s="18" t="s">
        <v>4744</v>
      </c>
      <c r="M1737" s="442"/>
      <c r="N1737" s="433"/>
      <c r="P1737" s="433"/>
      <c r="T1737" s="443"/>
      <c r="U1737" s="440"/>
      <c r="V1737" s="440"/>
      <c r="W1737" s="440"/>
      <c r="X1737" s="442"/>
    </row>
    <row r="1738" spans="1:24" x14ac:dyDescent="0.25">
      <c r="A1738" s="862">
        <v>2456</v>
      </c>
      <c r="B1738" s="863" t="s">
        <v>9070</v>
      </c>
      <c r="C1738" s="862">
        <v>2456</v>
      </c>
      <c r="D1738" s="165" t="s">
        <v>2162</v>
      </c>
      <c r="E1738" s="165" t="s">
        <v>9071</v>
      </c>
      <c r="F1738" s="163">
        <v>1</v>
      </c>
      <c r="G1738" s="864"/>
      <c r="H1738" s="864">
        <v>0</v>
      </c>
      <c r="I1738" s="864">
        <v>0</v>
      </c>
      <c r="J1738" s="864">
        <v>0</v>
      </c>
      <c r="K1738" s="864">
        <v>33066.935914897178</v>
      </c>
      <c r="L1738" s="18" t="s">
        <v>11027</v>
      </c>
      <c r="M1738" s="442"/>
      <c r="N1738" s="433"/>
      <c r="P1738" s="433"/>
      <c r="T1738" s="443"/>
      <c r="U1738" s="440"/>
      <c r="V1738" s="440"/>
      <c r="W1738" s="440"/>
      <c r="X1738" s="442"/>
    </row>
    <row r="1739" spans="1:24" x14ac:dyDescent="0.25">
      <c r="A1739" s="862">
        <v>2457</v>
      </c>
      <c r="B1739" s="863" t="s">
        <v>9072</v>
      </c>
      <c r="C1739" s="862">
        <v>2457</v>
      </c>
      <c r="D1739" s="165" t="s">
        <v>2162</v>
      </c>
      <c r="E1739" s="165" t="s">
        <v>9073</v>
      </c>
      <c r="F1739" s="163">
        <v>1</v>
      </c>
      <c r="G1739" s="864"/>
      <c r="H1739" s="864">
        <v>36503.606248057673</v>
      </c>
      <c r="I1739" s="864">
        <v>0</v>
      </c>
      <c r="J1739" s="864">
        <v>0</v>
      </c>
      <c r="K1739" s="864">
        <v>0</v>
      </c>
      <c r="L1739" s="18" t="s">
        <v>3085</v>
      </c>
      <c r="M1739" s="442"/>
      <c r="N1739" s="433"/>
      <c r="P1739" s="433"/>
      <c r="T1739" s="443"/>
      <c r="U1739" s="440"/>
      <c r="V1739" s="440"/>
      <c r="W1739" s="440"/>
      <c r="X1739" s="442"/>
    </row>
    <row r="1740" spans="1:24" x14ac:dyDescent="0.25">
      <c r="A1740" s="862">
        <v>2458</v>
      </c>
      <c r="B1740" s="863" t="s">
        <v>9074</v>
      </c>
      <c r="C1740" s="862">
        <v>2458</v>
      </c>
      <c r="D1740" s="165" t="s">
        <v>2162</v>
      </c>
      <c r="E1740" s="165" t="s">
        <v>9075</v>
      </c>
      <c r="F1740" s="163">
        <v>1</v>
      </c>
      <c r="G1740" s="864"/>
      <c r="H1740" s="864">
        <v>0</v>
      </c>
      <c r="I1740" s="864">
        <v>0</v>
      </c>
      <c r="J1740" s="864">
        <v>8837.2554408492906</v>
      </c>
      <c r="K1740" s="864">
        <v>9055.6207243796744</v>
      </c>
      <c r="L1740" s="18" t="s">
        <v>4745</v>
      </c>
      <c r="M1740" s="442"/>
      <c r="N1740" s="433"/>
      <c r="P1740" s="433"/>
      <c r="T1740" s="443"/>
      <c r="U1740" s="440"/>
      <c r="V1740" s="440"/>
      <c r="W1740" s="440"/>
      <c r="X1740" s="442"/>
    </row>
    <row r="1741" spans="1:24" x14ac:dyDescent="0.25">
      <c r="A1741" s="862">
        <v>2459</v>
      </c>
      <c r="B1741" s="863" t="s">
        <v>9076</v>
      </c>
      <c r="C1741" s="862">
        <v>2459</v>
      </c>
      <c r="D1741" s="165" t="s">
        <v>2162</v>
      </c>
      <c r="E1741" s="165" t="s">
        <v>9077</v>
      </c>
      <c r="F1741" s="163">
        <v>1</v>
      </c>
      <c r="G1741" s="864"/>
      <c r="H1741" s="864">
        <v>0</v>
      </c>
      <c r="I1741" s="864">
        <v>0</v>
      </c>
      <c r="J1741" s="864">
        <v>0</v>
      </c>
      <c r="K1741" s="864">
        <v>9176.7085566957339</v>
      </c>
      <c r="L1741" s="18" t="s">
        <v>11028</v>
      </c>
      <c r="M1741" s="442"/>
      <c r="N1741" s="433"/>
      <c r="P1741" s="433"/>
      <c r="T1741" s="443"/>
      <c r="U1741" s="440"/>
      <c r="V1741" s="440"/>
      <c r="W1741" s="440"/>
      <c r="X1741" s="442"/>
    </row>
    <row r="1742" spans="1:24" x14ac:dyDescent="0.25">
      <c r="A1742" s="862">
        <v>2460</v>
      </c>
      <c r="B1742" s="863" t="s">
        <v>9078</v>
      </c>
      <c r="C1742" s="862">
        <v>2460</v>
      </c>
      <c r="D1742" s="165" t="s">
        <v>2162</v>
      </c>
      <c r="E1742" s="165" t="s">
        <v>9079</v>
      </c>
      <c r="F1742" s="163">
        <v>1</v>
      </c>
      <c r="G1742" s="864"/>
      <c r="H1742" s="864">
        <v>0</v>
      </c>
      <c r="I1742" s="864">
        <v>0</v>
      </c>
      <c r="J1742" s="864">
        <v>0</v>
      </c>
      <c r="K1742" s="864">
        <v>9744.2317347515036</v>
      </c>
      <c r="L1742" s="18" t="s">
        <v>11029</v>
      </c>
      <c r="M1742" s="442"/>
      <c r="N1742" s="433"/>
      <c r="P1742" s="433"/>
      <c r="T1742" s="443"/>
      <c r="U1742" s="440"/>
      <c r="V1742" s="440"/>
      <c r="W1742" s="440"/>
      <c r="X1742" s="442"/>
    </row>
    <row r="1743" spans="1:24" x14ac:dyDescent="0.25">
      <c r="A1743" s="862">
        <v>2461</v>
      </c>
      <c r="B1743" s="863" t="s">
        <v>9080</v>
      </c>
      <c r="C1743" s="862">
        <v>2461</v>
      </c>
      <c r="D1743" s="165" t="s">
        <v>2162</v>
      </c>
      <c r="E1743" s="165" t="s">
        <v>9081</v>
      </c>
      <c r="F1743" s="163">
        <v>1</v>
      </c>
      <c r="G1743" s="864"/>
      <c r="H1743" s="864">
        <v>10714.855487874922</v>
      </c>
      <c r="I1743" s="864">
        <v>10995.781491951779</v>
      </c>
      <c r="J1743" s="864">
        <v>11291.526473389597</v>
      </c>
      <c r="K1743" s="864">
        <v>11602.836980166241</v>
      </c>
      <c r="L1743" s="18" t="s">
        <v>3086</v>
      </c>
      <c r="M1743" s="442"/>
      <c r="N1743" s="433"/>
      <c r="P1743" s="433"/>
      <c r="T1743" s="443"/>
      <c r="U1743" s="440"/>
      <c r="V1743" s="440"/>
      <c r="W1743" s="440"/>
      <c r="X1743" s="442"/>
    </row>
    <row r="1744" spans="1:24" x14ac:dyDescent="0.25">
      <c r="A1744" s="862">
        <v>2462</v>
      </c>
      <c r="B1744" s="863" t="s">
        <v>9082</v>
      </c>
      <c r="C1744" s="862">
        <v>2462</v>
      </c>
      <c r="D1744" s="165" t="s">
        <v>2162</v>
      </c>
      <c r="E1744" s="165" t="s">
        <v>9083</v>
      </c>
      <c r="F1744" s="163">
        <v>1</v>
      </c>
      <c r="G1744" s="864"/>
      <c r="H1744" s="864">
        <v>10025.341346311834</v>
      </c>
      <c r="I1744" s="864">
        <v>10283.311000068838</v>
      </c>
      <c r="J1744" s="864">
        <v>10554.867827023287</v>
      </c>
      <c r="K1744" s="864">
        <v>10840.721047754165</v>
      </c>
      <c r="L1744" s="18" t="s">
        <v>3087</v>
      </c>
      <c r="M1744" s="442"/>
      <c r="N1744" s="433"/>
      <c r="P1744" s="433"/>
      <c r="T1744" s="443"/>
      <c r="U1744" s="440"/>
      <c r="V1744" s="440"/>
      <c r="W1744" s="440"/>
      <c r="X1744" s="442"/>
    </row>
    <row r="1745" spans="1:24" x14ac:dyDescent="0.25">
      <c r="A1745" s="862">
        <v>2463</v>
      </c>
      <c r="B1745" s="863" t="s">
        <v>9084</v>
      </c>
      <c r="C1745" s="862">
        <v>2463</v>
      </c>
      <c r="D1745" s="165" t="s">
        <v>2162</v>
      </c>
      <c r="E1745" s="165" t="s">
        <v>9085</v>
      </c>
      <c r="F1745" s="163">
        <v>1</v>
      </c>
      <c r="G1745" s="864"/>
      <c r="H1745" s="864">
        <v>0</v>
      </c>
      <c r="I1745" s="864">
        <v>0</v>
      </c>
      <c r="J1745" s="864">
        <v>12862.957236590677</v>
      </c>
      <c r="K1745" s="864">
        <v>13215.514519145285</v>
      </c>
      <c r="L1745" s="18" t="s">
        <v>4746</v>
      </c>
      <c r="M1745" s="442"/>
      <c r="N1745" s="433"/>
      <c r="P1745" s="433"/>
      <c r="T1745" s="443"/>
      <c r="U1745" s="440"/>
      <c r="V1745" s="440"/>
      <c r="W1745" s="440"/>
      <c r="X1745" s="442"/>
    </row>
    <row r="1746" spans="1:24" x14ac:dyDescent="0.25">
      <c r="A1746" s="862">
        <v>2464</v>
      </c>
      <c r="B1746" s="863" t="s">
        <v>9086</v>
      </c>
      <c r="C1746" s="862">
        <v>2464</v>
      </c>
      <c r="D1746" s="165" t="s">
        <v>2162</v>
      </c>
      <c r="E1746" s="165" t="s">
        <v>9087</v>
      </c>
      <c r="F1746" s="163">
        <v>1</v>
      </c>
      <c r="G1746" s="864"/>
      <c r="H1746" s="864">
        <v>0</v>
      </c>
      <c r="I1746" s="864">
        <v>0</v>
      </c>
      <c r="J1746" s="864">
        <v>12120.403545676587</v>
      </c>
      <c r="K1746" s="864">
        <v>12448.212762764415</v>
      </c>
      <c r="L1746" s="18" t="s">
        <v>4747</v>
      </c>
      <c r="M1746" s="442"/>
      <c r="N1746" s="433"/>
      <c r="P1746" s="433"/>
      <c r="T1746" s="443"/>
      <c r="U1746" s="440"/>
      <c r="V1746" s="440"/>
      <c r="W1746" s="440"/>
      <c r="X1746" s="442"/>
    </row>
    <row r="1747" spans="1:24" x14ac:dyDescent="0.25">
      <c r="A1747" s="862">
        <v>2465</v>
      </c>
      <c r="B1747" s="863" t="s">
        <v>9088</v>
      </c>
      <c r="C1747" s="862">
        <v>2465</v>
      </c>
      <c r="D1747" s="165" t="s">
        <v>2162</v>
      </c>
      <c r="E1747" s="165" t="s">
        <v>9089</v>
      </c>
      <c r="F1747" s="163">
        <v>1</v>
      </c>
      <c r="G1747" s="864"/>
      <c r="H1747" s="864">
        <v>0</v>
      </c>
      <c r="I1747" s="864">
        <v>0</v>
      </c>
      <c r="J1747" s="864">
        <v>0</v>
      </c>
      <c r="K1747" s="864">
        <v>9208.5322863063338</v>
      </c>
      <c r="L1747" s="18" t="s">
        <v>11030</v>
      </c>
      <c r="M1747" s="442"/>
      <c r="N1747" s="433"/>
      <c r="P1747" s="433"/>
      <c r="T1747" s="443"/>
      <c r="U1747" s="440"/>
      <c r="V1747" s="440"/>
      <c r="W1747" s="440"/>
      <c r="X1747" s="442"/>
    </row>
    <row r="1748" spans="1:24" x14ac:dyDescent="0.25">
      <c r="A1748" s="862">
        <v>2466</v>
      </c>
      <c r="B1748" s="863" t="s">
        <v>9090</v>
      </c>
      <c r="C1748" s="862">
        <v>2466</v>
      </c>
      <c r="D1748" s="165" t="s">
        <v>2162</v>
      </c>
      <c r="E1748" s="165" t="s">
        <v>9091</v>
      </c>
      <c r="F1748" s="163">
        <v>1</v>
      </c>
      <c r="G1748" s="864"/>
      <c r="H1748" s="864">
        <v>8487.1944151326497</v>
      </c>
      <c r="I1748" s="864">
        <v>8693.8762228091819</v>
      </c>
      <c r="J1748" s="864">
        <v>8911.4576309627919</v>
      </c>
      <c r="K1748" s="864">
        <v>9140.4985505768782</v>
      </c>
      <c r="L1748" s="18" t="s">
        <v>3088</v>
      </c>
      <c r="M1748" s="442"/>
      <c r="N1748" s="433"/>
      <c r="P1748" s="433"/>
      <c r="T1748" s="443"/>
      <c r="U1748" s="440"/>
      <c r="V1748" s="440"/>
      <c r="W1748" s="440"/>
      <c r="X1748" s="442"/>
    </row>
    <row r="1749" spans="1:24" x14ac:dyDescent="0.25">
      <c r="A1749" s="862">
        <v>2467</v>
      </c>
      <c r="B1749" s="863" t="s">
        <v>9092</v>
      </c>
      <c r="C1749" s="862">
        <v>2467</v>
      </c>
      <c r="D1749" s="165" t="s">
        <v>2162</v>
      </c>
      <c r="E1749" s="165" t="s">
        <v>9093</v>
      </c>
      <c r="F1749" s="163">
        <v>1</v>
      </c>
      <c r="G1749" s="864"/>
      <c r="H1749" s="864">
        <v>0</v>
      </c>
      <c r="I1749" s="864">
        <v>10534.521020081496</v>
      </c>
      <c r="J1749" s="864">
        <v>10809.474640335304</v>
      </c>
      <c r="K1749" s="864">
        <v>11098.911291360018</v>
      </c>
      <c r="L1749" s="18" t="s">
        <v>4023</v>
      </c>
      <c r="M1749" s="442"/>
      <c r="N1749" s="433"/>
      <c r="P1749" s="433"/>
      <c r="T1749" s="443"/>
      <c r="U1749" s="440"/>
      <c r="V1749" s="440"/>
      <c r="W1749" s="440"/>
      <c r="X1749" s="442"/>
    </row>
    <row r="1750" spans="1:24" x14ac:dyDescent="0.25">
      <c r="A1750" s="862">
        <v>2468</v>
      </c>
      <c r="B1750" s="863" t="s">
        <v>9094</v>
      </c>
      <c r="C1750" s="862">
        <v>2468</v>
      </c>
      <c r="D1750" s="165" t="s">
        <v>2162</v>
      </c>
      <c r="E1750" s="165" t="s">
        <v>9095</v>
      </c>
      <c r="F1750" s="163">
        <v>1</v>
      </c>
      <c r="G1750" s="864"/>
      <c r="H1750" s="864">
        <v>9330.5232498136484</v>
      </c>
      <c r="I1750" s="864">
        <v>9565.3125888574286</v>
      </c>
      <c r="J1750" s="864">
        <v>9812.4946243340419</v>
      </c>
      <c r="K1750" s="864">
        <v>10072.666594625793</v>
      </c>
      <c r="L1750" s="18" t="s">
        <v>3089</v>
      </c>
      <c r="M1750" s="442"/>
      <c r="N1750" s="433"/>
      <c r="P1750" s="433"/>
      <c r="T1750" s="443"/>
      <c r="U1750" s="440"/>
      <c r="V1750" s="440"/>
      <c r="W1750" s="440"/>
      <c r="X1750" s="442"/>
    </row>
    <row r="1751" spans="1:24" x14ac:dyDescent="0.25">
      <c r="A1751" s="862">
        <v>2469</v>
      </c>
      <c r="B1751" s="863" t="s">
        <v>9096</v>
      </c>
      <c r="C1751" s="862">
        <v>2469</v>
      </c>
      <c r="D1751" s="165" t="s">
        <v>2162</v>
      </c>
      <c r="E1751" s="165" t="s">
        <v>9097</v>
      </c>
      <c r="F1751" s="163">
        <v>1</v>
      </c>
      <c r="G1751" s="864"/>
      <c r="H1751" s="864">
        <v>11510.448728140014</v>
      </c>
      <c r="I1751" s="864">
        <v>11817.914512830574</v>
      </c>
      <c r="J1751" s="864">
        <v>12141.580388641158</v>
      </c>
      <c r="K1751" s="864">
        <v>12482.267558347448</v>
      </c>
      <c r="L1751" s="18" t="s">
        <v>3090</v>
      </c>
      <c r="M1751" s="442"/>
      <c r="N1751" s="433"/>
      <c r="P1751" s="433"/>
      <c r="T1751" s="443"/>
      <c r="U1751" s="440"/>
      <c r="V1751" s="440"/>
      <c r="W1751" s="440"/>
      <c r="X1751" s="442"/>
    </row>
    <row r="1752" spans="1:24" x14ac:dyDescent="0.25">
      <c r="A1752" s="862">
        <v>2470</v>
      </c>
      <c r="B1752" s="863" t="s">
        <v>9098</v>
      </c>
      <c r="C1752" s="862">
        <v>2470</v>
      </c>
      <c r="D1752" s="165" t="s">
        <v>2162</v>
      </c>
      <c r="E1752" s="165" t="s">
        <v>9099</v>
      </c>
      <c r="F1752" s="163">
        <v>1</v>
      </c>
      <c r="G1752" s="864"/>
      <c r="H1752" s="864">
        <v>10820.934586576932</v>
      </c>
      <c r="I1752" s="864">
        <v>11105.406693548732</v>
      </c>
      <c r="J1752" s="864">
        <v>11404.884414875954</v>
      </c>
      <c r="K1752" s="864">
        <v>11720.11429853648</v>
      </c>
      <c r="L1752" s="18" t="s">
        <v>3091</v>
      </c>
      <c r="M1752" s="442"/>
      <c r="N1752" s="433"/>
      <c r="P1752" s="433"/>
      <c r="T1752" s="443"/>
      <c r="U1752" s="440"/>
      <c r="V1752" s="440"/>
      <c r="W1752" s="440"/>
      <c r="X1752" s="442"/>
    </row>
    <row r="1753" spans="1:24" x14ac:dyDescent="0.25">
      <c r="A1753" s="862">
        <v>2471</v>
      </c>
      <c r="B1753" s="863" t="s">
        <v>9100</v>
      </c>
      <c r="C1753" s="862">
        <v>2471</v>
      </c>
      <c r="D1753" s="165" t="s">
        <v>2162</v>
      </c>
      <c r="E1753" s="165" t="s">
        <v>9101</v>
      </c>
      <c r="F1753" s="163">
        <v>1</v>
      </c>
      <c r="G1753" s="864"/>
      <c r="H1753" s="864">
        <v>0</v>
      </c>
      <c r="I1753" s="864">
        <v>0</v>
      </c>
      <c r="J1753" s="864">
        <v>13594.903017634562</v>
      </c>
      <c r="K1753" s="864">
        <v>13971.870454465961</v>
      </c>
      <c r="L1753" s="18" t="s">
        <v>4748</v>
      </c>
      <c r="M1753" s="442"/>
      <c r="N1753" s="433"/>
      <c r="P1753" s="433"/>
      <c r="T1753" s="443"/>
      <c r="U1753" s="440"/>
      <c r="V1753" s="440"/>
      <c r="W1753" s="440"/>
      <c r="X1753" s="442"/>
    </row>
    <row r="1754" spans="1:24" x14ac:dyDescent="0.25">
      <c r="A1754" s="862">
        <v>2472</v>
      </c>
      <c r="B1754" s="863" t="s">
        <v>9102</v>
      </c>
      <c r="C1754" s="862">
        <v>2472</v>
      </c>
      <c r="D1754" s="165" t="s">
        <v>2162</v>
      </c>
      <c r="E1754" s="165" t="s">
        <v>9103</v>
      </c>
      <c r="F1754" s="163">
        <v>1</v>
      </c>
      <c r="G1754" s="864"/>
      <c r="H1754" s="864">
        <v>0</v>
      </c>
      <c r="I1754" s="864">
        <v>0</v>
      </c>
      <c r="J1754" s="864">
        <v>12836.437461915175</v>
      </c>
      <c r="K1754" s="864">
        <v>13188.098886896325</v>
      </c>
      <c r="L1754" s="18" t="s">
        <v>4749</v>
      </c>
      <c r="M1754" s="442"/>
      <c r="N1754" s="433"/>
      <c r="P1754" s="433"/>
      <c r="T1754" s="443"/>
      <c r="U1754" s="440"/>
      <c r="V1754" s="440"/>
      <c r="W1754" s="440"/>
      <c r="X1754" s="442"/>
    </row>
    <row r="1755" spans="1:24" x14ac:dyDescent="0.25">
      <c r="A1755" s="862">
        <v>2473</v>
      </c>
      <c r="B1755" s="863" t="s">
        <v>9104</v>
      </c>
      <c r="C1755" s="862">
        <v>2473</v>
      </c>
      <c r="D1755" s="165" t="s">
        <v>2162</v>
      </c>
      <c r="E1755" s="165" t="s">
        <v>9105</v>
      </c>
      <c r="F1755" s="163">
        <v>1</v>
      </c>
      <c r="G1755" s="864"/>
      <c r="H1755" s="864">
        <v>29530.796691568306</v>
      </c>
      <c r="I1755" s="864">
        <v>30604.95355703653</v>
      </c>
      <c r="J1755" s="864">
        <v>31735.654832459379</v>
      </c>
      <c r="K1755" s="864">
        <v>32925.844565627842</v>
      </c>
      <c r="L1755" s="18" t="s">
        <v>4024</v>
      </c>
      <c r="M1755" s="442"/>
      <c r="N1755" s="433"/>
      <c r="P1755" s="433"/>
      <c r="T1755" s="443"/>
      <c r="U1755" s="440"/>
      <c r="V1755" s="440"/>
      <c r="W1755" s="440"/>
      <c r="X1755" s="442"/>
    </row>
    <row r="1756" spans="1:24" x14ac:dyDescent="0.25">
      <c r="A1756" s="862">
        <v>2474</v>
      </c>
      <c r="B1756" s="863" t="s">
        <v>9106</v>
      </c>
      <c r="C1756" s="862">
        <v>2474</v>
      </c>
      <c r="D1756" s="165" t="s">
        <v>2162</v>
      </c>
      <c r="E1756" s="165" t="s">
        <v>9107</v>
      </c>
      <c r="F1756" s="163">
        <v>1</v>
      </c>
      <c r="G1756" s="864"/>
      <c r="H1756" s="864">
        <v>30481.510034566123</v>
      </c>
      <c r="I1756" s="864">
        <v>0</v>
      </c>
      <c r="J1756" s="864">
        <v>0</v>
      </c>
      <c r="K1756" s="864">
        <v>0</v>
      </c>
      <c r="L1756" s="18" t="s">
        <v>2093</v>
      </c>
      <c r="M1756" s="442"/>
      <c r="N1756" s="433"/>
      <c r="P1756" s="433"/>
      <c r="T1756" s="443"/>
      <c r="U1756" s="440"/>
      <c r="V1756" s="440"/>
      <c r="W1756" s="440"/>
      <c r="X1756" s="442"/>
    </row>
    <row r="1757" spans="1:24" x14ac:dyDescent="0.25">
      <c r="A1757" s="862">
        <v>2475</v>
      </c>
      <c r="B1757" s="863" t="s">
        <v>9108</v>
      </c>
      <c r="C1757" s="862">
        <v>2475</v>
      </c>
      <c r="D1757" s="165" t="s">
        <v>2162</v>
      </c>
      <c r="E1757" s="165" t="s">
        <v>9109</v>
      </c>
      <c r="F1757" s="163">
        <v>1</v>
      </c>
      <c r="G1757" s="864"/>
      <c r="H1757" s="864">
        <v>0</v>
      </c>
      <c r="I1757" s="864">
        <v>30078.286009307783</v>
      </c>
      <c r="J1757" s="864">
        <v>31187.958371937584</v>
      </c>
      <c r="K1757" s="864">
        <v>32356.04438121471</v>
      </c>
      <c r="L1757" s="18" t="s">
        <v>4025</v>
      </c>
      <c r="M1757" s="442"/>
      <c r="N1757" s="433"/>
      <c r="P1757" s="433"/>
      <c r="T1757" s="443"/>
      <c r="U1757" s="440"/>
      <c r="V1757" s="440"/>
      <c r="W1757" s="440"/>
      <c r="X1757" s="442"/>
    </row>
    <row r="1758" spans="1:24" x14ac:dyDescent="0.25">
      <c r="A1758" s="862">
        <v>2476</v>
      </c>
      <c r="B1758" s="863" t="s">
        <v>9110</v>
      </c>
      <c r="C1758" s="862">
        <v>2476</v>
      </c>
      <c r="D1758" s="165" t="s">
        <v>2162</v>
      </c>
      <c r="E1758" s="165" t="s">
        <v>9111</v>
      </c>
      <c r="F1758" s="163">
        <v>1</v>
      </c>
      <c r="G1758" s="864"/>
      <c r="H1758" s="864">
        <v>23464.391982115711</v>
      </c>
      <c r="I1758" s="864">
        <v>24002.804423925267</v>
      </c>
      <c r="J1758" s="864">
        <v>24569.544835861972</v>
      </c>
      <c r="K1758" s="864">
        <v>25166.129171598757</v>
      </c>
      <c r="L1758" s="18" t="s">
        <v>4026</v>
      </c>
      <c r="M1758" s="442"/>
      <c r="N1758" s="433"/>
      <c r="P1758" s="433"/>
      <c r="T1758" s="443"/>
      <c r="U1758" s="440"/>
      <c r="V1758" s="440"/>
      <c r="W1758" s="440"/>
      <c r="X1758" s="442"/>
    </row>
    <row r="1759" spans="1:24" x14ac:dyDescent="0.25">
      <c r="A1759" s="862">
        <v>2477</v>
      </c>
      <c r="B1759" s="863" t="s">
        <v>9112</v>
      </c>
      <c r="C1759" s="862">
        <v>2477</v>
      </c>
      <c r="D1759" s="165" t="s">
        <v>2162</v>
      </c>
      <c r="E1759" s="165" t="s">
        <v>9113</v>
      </c>
      <c r="F1759" s="163">
        <v>1</v>
      </c>
      <c r="G1759" s="864"/>
      <c r="H1759" s="864">
        <v>24994.235586218627</v>
      </c>
      <c r="I1759" s="864">
        <v>25571.542421517453</v>
      </c>
      <c r="J1759" s="864">
        <v>26179.236208797705</v>
      </c>
      <c r="K1759" s="864">
        <v>26818.900780255011</v>
      </c>
      <c r="L1759" s="18" t="s">
        <v>4027</v>
      </c>
      <c r="M1759" s="442"/>
      <c r="N1759" s="433"/>
      <c r="P1759" s="433"/>
      <c r="T1759" s="443"/>
      <c r="U1759" s="440"/>
      <c r="V1759" s="440"/>
      <c r="W1759" s="440"/>
      <c r="X1759" s="442"/>
    </row>
    <row r="1760" spans="1:24" x14ac:dyDescent="0.25">
      <c r="A1760" s="862">
        <v>2478</v>
      </c>
      <c r="B1760" s="863" t="s">
        <v>9114</v>
      </c>
      <c r="C1760" s="862">
        <v>2478</v>
      </c>
      <c r="D1760" s="165" t="s">
        <v>2162</v>
      </c>
      <c r="E1760" s="165" t="s">
        <v>9115</v>
      </c>
      <c r="F1760" s="163">
        <v>1</v>
      </c>
      <c r="G1760" s="864"/>
      <c r="H1760" s="864">
        <v>21305.771211640684</v>
      </c>
      <c r="I1760" s="864">
        <v>0</v>
      </c>
      <c r="J1760" s="864">
        <v>0</v>
      </c>
      <c r="K1760" s="864">
        <v>0</v>
      </c>
      <c r="L1760" s="18" t="s">
        <v>2094</v>
      </c>
      <c r="M1760" s="442"/>
      <c r="N1760" s="433"/>
      <c r="P1760" s="433"/>
      <c r="T1760" s="443"/>
      <c r="U1760" s="440"/>
      <c r="V1760" s="440"/>
      <c r="W1760" s="440"/>
      <c r="X1760" s="442"/>
    </row>
    <row r="1761" spans="1:24" x14ac:dyDescent="0.25">
      <c r="A1761" s="862">
        <v>2479</v>
      </c>
      <c r="B1761" s="863" t="s">
        <v>9116</v>
      </c>
      <c r="C1761" s="862">
        <v>2479</v>
      </c>
      <c r="D1761" s="165" t="s">
        <v>2162</v>
      </c>
      <c r="E1761" s="165" t="s">
        <v>9117</v>
      </c>
      <c r="F1761" s="163">
        <v>1</v>
      </c>
      <c r="G1761" s="864"/>
      <c r="H1761" s="864">
        <v>0</v>
      </c>
      <c r="I1761" s="864">
        <v>0</v>
      </c>
      <c r="J1761" s="864">
        <v>15385.691588800475</v>
      </c>
      <c r="K1761" s="864">
        <v>15789.320873828707</v>
      </c>
      <c r="L1761" s="18" t="s">
        <v>4750</v>
      </c>
      <c r="M1761" s="442"/>
      <c r="N1761" s="433"/>
      <c r="P1761" s="433"/>
      <c r="T1761" s="443"/>
      <c r="U1761" s="440"/>
      <c r="V1761" s="440"/>
      <c r="W1761" s="440"/>
      <c r="X1761" s="442"/>
    </row>
    <row r="1762" spans="1:24" x14ac:dyDescent="0.25">
      <c r="A1762" s="862">
        <v>2480</v>
      </c>
      <c r="B1762" s="863" t="s">
        <v>9118</v>
      </c>
      <c r="C1762" s="862">
        <v>2480</v>
      </c>
      <c r="D1762" s="165" t="s">
        <v>2162</v>
      </c>
      <c r="E1762" s="165" t="s">
        <v>9119</v>
      </c>
      <c r="F1762" s="163">
        <v>1</v>
      </c>
      <c r="G1762" s="864"/>
      <c r="H1762" s="864">
        <v>0</v>
      </c>
      <c r="I1762" s="864">
        <v>0</v>
      </c>
      <c r="J1762" s="864">
        <v>16148.565086008441</v>
      </c>
      <c r="K1762" s="864">
        <v>16575.68427205061</v>
      </c>
      <c r="L1762" s="18" t="s">
        <v>4751</v>
      </c>
      <c r="M1762" s="442"/>
      <c r="N1762" s="433"/>
      <c r="P1762" s="433"/>
      <c r="T1762" s="443"/>
      <c r="U1762" s="440"/>
      <c r="V1762" s="440"/>
      <c r="W1762" s="440"/>
      <c r="X1762" s="442"/>
    </row>
    <row r="1763" spans="1:24" x14ac:dyDescent="0.25">
      <c r="A1763" s="862">
        <v>2481</v>
      </c>
      <c r="B1763" s="863" t="s">
        <v>9120</v>
      </c>
      <c r="C1763" s="862">
        <v>2481</v>
      </c>
      <c r="D1763" s="165" t="s">
        <v>2162</v>
      </c>
      <c r="E1763" s="165" t="s">
        <v>9121</v>
      </c>
      <c r="F1763" s="163">
        <v>1</v>
      </c>
      <c r="G1763" s="864"/>
      <c r="H1763" s="864">
        <v>0</v>
      </c>
      <c r="I1763" s="864">
        <v>0</v>
      </c>
      <c r="J1763" s="864">
        <v>0</v>
      </c>
      <c r="K1763" s="864">
        <v>12859.732675822988</v>
      </c>
      <c r="L1763" s="18" t="s">
        <v>11031</v>
      </c>
      <c r="M1763" s="442"/>
      <c r="N1763" s="433"/>
      <c r="P1763" s="433"/>
      <c r="T1763" s="443"/>
      <c r="U1763" s="440"/>
      <c r="V1763" s="440"/>
      <c r="W1763" s="440"/>
      <c r="X1763" s="442"/>
    </row>
    <row r="1764" spans="1:24" x14ac:dyDescent="0.25">
      <c r="A1764" s="862">
        <v>2482</v>
      </c>
      <c r="B1764" s="863" t="s">
        <v>9122</v>
      </c>
      <c r="C1764" s="862">
        <v>2482</v>
      </c>
      <c r="D1764" s="165" t="s">
        <v>2162</v>
      </c>
      <c r="E1764" s="165" t="s">
        <v>9123</v>
      </c>
      <c r="F1764" s="163">
        <v>1</v>
      </c>
      <c r="G1764" s="864"/>
      <c r="H1764" s="864">
        <v>0</v>
      </c>
      <c r="I1764" s="864">
        <v>0</v>
      </c>
      <c r="J1764" s="864">
        <v>14136.839419297063</v>
      </c>
      <c r="K1764" s="864">
        <v>14501.980556654569</v>
      </c>
      <c r="L1764" s="18" t="s">
        <v>4752</v>
      </c>
      <c r="M1764" s="442"/>
      <c r="N1764" s="433"/>
      <c r="P1764" s="433"/>
      <c r="T1764" s="443"/>
      <c r="U1764" s="440"/>
      <c r="V1764" s="440"/>
      <c r="W1764" s="440"/>
      <c r="X1764" s="442"/>
    </row>
    <row r="1765" spans="1:24" x14ac:dyDescent="0.25">
      <c r="A1765" s="862">
        <v>2483</v>
      </c>
      <c r="B1765" s="863" t="s">
        <v>9124</v>
      </c>
      <c r="C1765" s="862">
        <v>2483</v>
      </c>
      <c r="D1765" s="165" t="s">
        <v>2162</v>
      </c>
      <c r="E1765" s="165" t="s">
        <v>9125</v>
      </c>
      <c r="F1765" s="163">
        <v>1</v>
      </c>
      <c r="G1765" s="864"/>
      <c r="H1765" s="864">
        <v>0</v>
      </c>
      <c r="I1765" s="864">
        <v>0</v>
      </c>
      <c r="J1765" s="864">
        <v>14899.712916505032</v>
      </c>
      <c r="K1765" s="864">
        <v>15288.380715284944</v>
      </c>
      <c r="L1765" s="18" t="s">
        <v>4753</v>
      </c>
      <c r="M1765" s="442"/>
      <c r="N1765" s="433"/>
      <c r="P1765" s="433"/>
      <c r="T1765" s="443"/>
      <c r="U1765" s="440"/>
      <c r="V1765" s="440"/>
      <c r="W1765" s="440"/>
      <c r="X1765" s="442"/>
    </row>
    <row r="1766" spans="1:24" x14ac:dyDescent="0.25">
      <c r="A1766" s="862">
        <v>2484</v>
      </c>
      <c r="B1766" s="863" t="s">
        <v>9126</v>
      </c>
      <c r="C1766" s="862">
        <v>2484</v>
      </c>
      <c r="D1766" s="165" t="s">
        <v>2162</v>
      </c>
      <c r="E1766" s="165" t="s">
        <v>9127</v>
      </c>
      <c r="F1766" s="163">
        <v>1</v>
      </c>
      <c r="G1766" s="864"/>
      <c r="H1766" s="864">
        <v>0</v>
      </c>
      <c r="I1766" s="864">
        <v>0</v>
      </c>
      <c r="J1766" s="864">
        <v>0</v>
      </c>
      <c r="K1766" s="864">
        <v>16854.929435275077</v>
      </c>
      <c r="L1766" s="18" t="s">
        <v>11032</v>
      </c>
      <c r="M1766" s="442"/>
      <c r="N1766" s="433"/>
      <c r="P1766" s="433"/>
      <c r="T1766" s="443"/>
      <c r="U1766" s="440"/>
      <c r="V1766" s="440"/>
      <c r="W1766" s="440"/>
      <c r="X1766" s="442"/>
    </row>
    <row r="1767" spans="1:24" x14ac:dyDescent="0.25">
      <c r="A1767" s="862">
        <v>2485</v>
      </c>
      <c r="B1767" s="863" t="s">
        <v>9128</v>
      </c>
      <c r="C1767" s="862">
        <v>2485</v>
      </c>
      <c r="D1767" s="165" t="s">
        <v>2162</v>
      </c>
      <c r="E1767" s="165" t="s">
        <v>9129</v>
      </c>
      <c r="F1767" s="163">
        <v>2</v>
      </c>
      <c r="G1767" s="864"/>
      <c r="H1767" s="864">
        <v>17086.435414376097</v>
      </c>
      <c r="I1767" s="864">
        <v>17650.752222489526</v>
      </c>
      <c r="J1767" s="864">
        <v>18244.781413840821</v>
      </c>
      <c r="K1767" s="864">
        <v>18870.106920624665</v>
      </c>
      <c r="L1767" s="18" t="s">
        <v>2095</v>
      </c>
      <c r="M1767" s="442"/>
      <c r="N1767" s="433"/>
      <c r="P1767" s="433"/>
      <c r="T1767" s="443"/>
      <c r="U1767" s="440"/>
      <c r="V1767" s="440"/>
      <c r="W1767" s="440"/>
      <c r="X1767" s="442"/>
    </row>
    <row r="1768" spans="1:24" x14ac:dyDescent="0.25">
      <c r="A1768" s="862">
        <v>2486</v>
      </c>
      <c r="B1768" s="863" t="s">
        <v>9130</v>
      </c>
      <c r="C1768" s="862">
        <v>2486</v>
      </c>
      <c r="D1768" s="165" t="s">
        <v>2162</v>
      </c>
      <c r="E1768" s="165" t="s">
        <v>9131</v>
      </c>
      <c r="F1768" s="163">
        <v>2</v>
      </c>
      <c r="G1768" s="864"/>
      <c r="H1768" s="864">
        <v>17691.330821712909</v>
      </c>
      <c r="I1768" s="864">
        <v>18281.099781644072</v>
      </c>
      <c r="J1768" s="864">
        <v>18901.891965250077</v>
      </c>
      <c r="K1768" s="864">
        <v>19555.345923077119</v>
      </c>
      <c r="L1768" s="18" t="s">
        <v>2096</v>
      </c>
      <c r="M1768" s="442"/>
      <c r="N1768" s="433"/>
      <c r="P1768" s="433"/>
      <c r="T1768" s="443"/>
      <c r="U1768" s="440"/>
      <c r="V1768" s="440"/>
      <c r="W1768" s="440"/>
      <c r="X1768" s="442"/>
    </row>
    <row r="1769" spans="1:24" x14ac:dyDescent="0.25">
      <c r="A1769" s="862">
        <v>2487</v>
      </c>
      <c r="B1769" s="863" t="s">
        <v>9132</v>
      </c>
      <c r="C1769" s="862">
        <v>2487</v>
      </c>
      <c r="D1769" s="165" t="s">
        <v>2162</v>
      </c>
      <c r="E1769" s="165" t="s">
        <v>9133</v>
      </c>
      <c r="F1769" s="163">
        <v>2</v>
      </c>
      <c r="G1769" s="864"/>
      <c r="H1769" s="864">
        <v>18931.661350562612</v>
      </c>
      <c r="I1769" s="864">
        <v>20209.566921548852</v>
      </c>
      <c r="J1769" s="864">
        <v>20919.550873220014</v>
      </c>
      <c r="K1769" s="864">
        <v>21629.480206539636</v>
      </c>
      <c r="L1769" s="18" t="s">
        <v>3092</v>
      </c>
      <c r="M1769" s="442"/>
      <c r="N1769" s="433"/>
      <c r="P1769" s="433"/>
      <c r="T1769" s="443"/>
      <c r="U1769" s="440"/>
      <c r="V1769" s="440"/>
      <c r="W1769" s="440"/>
      <c r="X1769" s="442"/>
    </row>
    <row r="1770" spans="1:24" x14ac:dyDescent="0.25">
      <c r="A1770" s="862">
        <v>2488</v>
      </c>
      <c r="B1770" s="863" t="s">
        <v>9134</v>
      </c>
      <c r="C1770" s="862">
        <v>2488</v>
      </c>
      <c r="D1770" s="165" t="s">
        <v>2162</v>
      </c>
      <c r="E1770" s="165" t="s">
        <v>9135</v>
      </c>
      <c r="F1770" s="163">
        <v>2</v>
      </c>
      <c r="G1770" s="864"/>
      <c r="H1770" s="864">
        <v>18119.541241682375</v>
      </c>
      <c r="I1770" s="864">
        <v>19329.501583352605</v>
      </c>
      <c r="J1770" s="864">
        <v>20001.744254109479</v>
      </c>
      <c r="K1770" s="864">
        <v>20673.932306514816</v>
      </c>
      <c r="L1770" s="18" t="s">
        <v>3093</v>
      </c>
      <c r="M1770" s="442"/>
      <c r="N1770" s="433"/>
      <c r="P1770" s="433"/>
      <c r="T1770" s="443"/>
      <c r="U1770" s="440"/>
      <c r="V1770" s="440"/>
      <c r="W1770" s="440"/>
      <c r="X1770" s="442"/>
    </row>
    <row r="1771" spans="1:24" x14ac:dyDescent="0.25">
      <c r="A1771" s="862">
        <v>2489</v>
      </c>
      <c r="B1771" s="863" t="s">
        <v>9136</v>
      </c>
      <c r="C1771" s="862">
        <v>2489</v>
      </c>
      <c r="D1771" s="165" t="s">
        <v>2162</v>
      </c>
      <c r="E1771" s="165" t="s">
        <v>9137</v>
      </c>
      <c r="F1771" s="163">
        <v>2</v>
      </c>
      <c r="G1771" s="864"/>
      <c r="H1771" s="864">
        <v>14313.912023069575</v>
      </c>
      <c r="I1771" s="864">
        <v>14784.722213346169</v>
      </c>
      <c r="J1771" s="864">
        <v>15280.329135222013</v>
      </c>
      <c r="K1771" s="864">
        <v>15802.043629134081</v>
      </c>
      <c r="L1771" s="18" t="s">
        <v>4754</v>
      </c>
      <c r="M1771" s="442"/>
      <c r="N1771" s="433"/>
      <c r="P1771" s="433"/>
      <c r="T1771" s="443"/>
      <c r="U1771" s="440"/>
      <c r="V1771" s="440"/>
      <c r="W1771" s="440"/>
      <c r="X1771" s="442"/>
    </row>
    <row r="1772" spans="1:24" x14ac:dyDescent="0.25">
      <c r="A1772" s="862">
        <v>2490</v>
      </c>
      <c r="B1772" s="863" t="s">
        <v>9138</v>
      </c>
      <c r="C1772" s="862">
        <v>2490</v>
      </c>
      <c r="D1772" s="165" t="s">
        <v>2162</v>
      </c>
      <c r="E1772" s="165" t="s">
        <v>9139</v>
      </c>
      <c r="F1772" s="163">
        <v>2</v>
      </c>
      <c r="G1772" s="864"/>
      <c r="H1772" s="864">
        <v>14684.09129720324</v>
      </c>
      <c r="I1772" s="864">
        <v>15171.23237459035</v>
      </c>
      <c r="J1772" s="864">
        <v>15684.044077201366</v>
      </c>
      <c r="K1772" s="864">
        <v>16223.837245473243</v>
      </c>
      <c r="L1772" s="18" t="s">
        <v>4755</v>
      </c>
      <c r="M1772" s="442"/>
      <c r="N1772" s="433"/>
      <c r="P1772" s="433"/>
      <c r="T1772" s="443"/>
      <c r="U1772" s="440"/>
      <c r="V1772" s="440"/>
      <c r="W1772" s="440"/>
      <c r="X1772" s="442"/>
    </row>
    <row r="1773" spans="1:24" x14ac:dyDescent="0.25">
      <c r="A1773" s="862">
        <v>2491</v>
      </c>
      <c r="B1773" s="863" t="s">
        <v>9140</v>
      </c>
      <c r="C1773" s="862">
        <v>2491</v>
      </c>
      <c r="D1773" s="165" t="s">
        <v>2162</v>
      </c>
      <c r="E1773" s="165" t="s">
        <v>9141</v>
      </c>
      <c r="F1773" s="163">
        <v>2</v>
      </c>
      <c r="G1773" s="864"/>
      <c r="H1773" s="864">
        <v>14979.352169876372</v>
      </c>
      <c r="I1773" s="864">
        <v>15478.891613063115</v>
      </c>
      <c r="J1773" s="864">
        <v>16004.757101692237</v>
      </c>
      <c r="K1773" s="864">
        <v>16558.314094552239</v>
      </c>
      <c r="L1773" s="18" t="s">
        <v>4756</v>
      </c>
      <c r="M1773" s="442"/>
      <c r="N1773" s="433"/>
      <c r="P1773" s="433"/>
      <c r="T1773" s="443"/>
      <c r="U1773" s="440"/>
      <c r="V1773" s="440"/>
      <c r="W1773" s="440"/>
      <c r="X1773" s="442"/>
    </row>
    <row r="1774" spans="1:24" x14ac:dyDescent="0.25">
      <c r="A1774" s="862">
        <v>2492</v>
      </c>
      <c r="B1774" s="863" t="s">
        <v>9142</v>
      </c>
      <c r="C1774" s="862">
        <v>2492</v>
      </c>
      <c r="D1774" s="165" t="s">
        <v>2162</v>
      </c>
      <c r="E1774" s="165" t="s">
        <v>9143</v>
      </c>
      <c r="F1774" s="163">
        <v>2</v>
      </c>
      <c r="G1774" s="864"/>
      <c r="H1774" s="864">
        <v>15158.538662669331</v>
      </c>
      <c r="I1774" s="864">
        <v>15666.653187047885</v>
      </c>
      <c r="J1774" s="864">
        <v>16201.530703681137</v>
      </c>
      <c r="K1774" s="864">
        <v>16764.591289709144</v>
      </c>
      <c r="L1774" s="18" t="s">
        <v>4757</v>
      </c>
      <c r="M1774" s="442"/>
      <c r="N1774" s="433"/>
      <c r="P1774" s="433"/>
      <c r="T1774" s="443"/>
      <c r="U1774" s="440"/>
      <c r="V1774" s="440"/>
      <c r="W1774" s="440"/>
      <c r="X1774" s="442"/>
    </row>
    <row r="1775" spans="1:24" x14ac:dyDescent="0.25">
      <c r="A1775" s="862">
        <v>2493</v>
      </c>
      <c r="B1775" s="863" t="s">
        <v>9144</v>
      </c>
      <c r="C1775" s="862">
        <v>2493</v>
      </c>
      <c r="D1775" s="165" t="s">
        <v>2162</v>
      </c>
      <c r="E1775" s="165" t="s">
        <v>9145</v>
      </c>
      <c r="F1775" s="163">
        <v>2</v>
      </c>
      <c r="G1775" s="864"/>
      <c r="H1775" s="864">
        <v>0</v>
      </c>
      <c r="I1775" s="864">
        <v>0</v>
      </c>
      <c r="J1775" s="864">
        <v>17302.104612424646</v>
      </c>
      <c r="K1775" s="864">
        <v>0</v>
      </c>
      <c r="L1775" s="18" t="s">
        <v>4758</v>
      </c>
      <c r="M1775" s="442"/>
      <c r="N1775" s="433"/>
      <c r="P1775" s="433"/>
      <c r="T1775" s="443"/>
      <c r="U1775" s="440"/>
      <c r="V1775" s="440"/>
      <c r="W1775" s="440"/>
      <c r="X1775" s="442"/>
    </row>
    <row r="1776" spans="1:24" x14ac:dyDescent="0.25">
      <c r="A1776" s="862">
        <v>2494</v>
      </c>
      <c r="B1776" s="863" t="s">
        <v>9146</v>
      </c>
      <c r="C1776" s="862">
        <v>2494</v>
      </c>
      <c r="D1776" s="165" t="s">
        <v>2162</v>
      </c>
      <c r="E1776" s="165" t="s">
        <v>9147</v>
      </c>
      <c r="F1776" s="163">
        <v>2</v>
      </c>
      <c r="G1776" s="864"/>
      <c r="H1776" s="864">
        <v>20527.649201830605</v>
      </c>
      <c r="I1776" s="864">
        <v>21054.620824294845</v>
      </c>
      <c r="J1776" s="864">
        <v>21609.347840732946</v>
      </c>
      <c r="K1776" s="864">
        <v>22193.258487541498</v>
      </c>
      <c r="L1776" s="18" t="s">
        <v>2097</v>
      </c>
      <c r="M1776" s="442"/>
      <c r="N1776" s="433"/>
      <c r="P1776" s="433"/>
      <c r="T1776" s="443"/>
      <c r="U1776" s="440"/>
      <c r="V1776" s="440"/>
      <c r="W1776" s="440"/>
      <c r="X1776" s="442"/>
    </row>
    <row r="1777" spans="1:24" x14ac:dyDescent="0.25">
      <c r="A1777" s="862">
        <v>2495</v>
      </c>
      <c r="B1777" s="863" t="s">
        <v>9148</v>
      </c>
      <c r="C1777" s="862">
        <v>2495</v>
      </c>
      <c r="D1777" s="165" t="s">
        <v>2162</v>
      </c>
      <c r="E1777" s="165" t="s">
        <v>9149</v>
      </c>
      <c r="F1777" s="163">
        <v>2</v>
      </c>
      <c r="G1777" s="864"/>
      <c r="H1777" s="864">
        <v>21135.632290626811</v>
      </c>
      <c r="I1777" s="864">
        <v>21681.599457165787</v>
      </c>
      <c r="J1777" s="864">
        <v>22256.321783156236</v>
      </c>
      <c r="K1777" s="864">
        <v>22861.275112874649</v>
      </c>
      <c r="L1777" s="18" t="s">
        <v>2098</v>
      </c>
      <c r="M1777" s="442"/>
      <c r="N1777" s="433"/>
      <c r="P1777" s="433"/>
      <c r="T1777" s="443"/>
      <c r="U1777" s="440"/>
      <c r="V1777" s="440"/>
      <c r="W1777" s="440"/>
      <c r="X1777" s="442"/>
    </row>
    <row r="1778" spans="1:24" x14ac:dyDescent="0.25">
      <c r="A1778" s="862">
        <v>2496</v>
      </c>
      <c r="B1778" s="863" t="s">
        <v>9150</v>
      </c>
      <c r="C1778" s="862">
        <v>2496</v>
      </c>
      <c r="D1778" s="165" t="s">
        <v>2162</v>
      </c>
      <c r="E1778" s="165" t="s">
        <v>9151</v>
      </c>
      <c r="F1778" s="163">
        <v>2</v>
      </c>
      <c r="G1778" s="864"/>
      <c r="H1778" s="864">
        <v>20298.183887244919</v>
      </c>
      <c r="I1778" s="864">
        <v>20867.288483408753</v>
      </c>
      <c r="J1778" s="864">
        <v>21466.338436021237</v>
      </c>
      <c r="K1778" s="864">
        <v>22096.9524129985</v>
      </c>
      <c r="L1778" s="18" t="s">
        <v>4759</v>
      </c>
      <c r="M1778" s="442"/>
      <c r="N1778" s="433"/>
      <c r="P1778" s="433"/>
      <c r="T1778" s="443"/>
      <c r="U1778" s="440"/>
      <c r="V1778" s="440"/>
      <c r="W1778" s="440"/>
      <c r="X1778" s="442"/>
    </row>
    <row r="1779" spans="1:24" x14ac:dyDescent="0.25">
      <c r="A1779" s="862">
        <v>2497</v>
      </c>
      <c r="B1779" s="863" t="s">
        <v>9152</v>
      </c>
      <c r="C1779" s="862">
        <v>2497</v>
      </c>
      <c r="D1779" s="165" t="s">
        <v>2162</v>
      </c>
      <c r="E1779" s="165" t="s">
        <v>9153</v>
      </c>
      <c r="F1779" s="163">
        <v>2</v>
      </c>
      <c r="G1779" s="864"/>
      <c r="H1779" s="864">
        <v>19908.615686243469</v>
      </c>
      <c r="I1779" s="864">
        <v>20464.770939078164</v>
      </c>
      <c r="J1779" s="864">
        <v>21050.252645922974</v>
      </c>
      <c r="K1779" s="864">
        <v>21666.53665105439</v>
      </c>
      <c r="L1779" s="18" t="s">
        <v>4760</v>
      </c>
      <c r="M1779" s="442"/>
      <c r="N1779" s="433"/>
      <c r="P1779" s="433"/>
      <c r="T1779" s="443"/>
      <c r="U1779" s="440"/>
      <c r="V1779" s="440"/>
      <c r="W1779" s="440"/>
      <c r="X1779" s="442"/>
    </row>
    <row r="1780" spans="1:24" x14ac:dyDescent="0.25">
      <c r="A1780" s="862">
        <v>2498</v>
      </c>
      <c r="B1780" s="863" t="s">
        <v>9154</v>
      </c>
      <c r="C1780" s="862">
        <v>2498</v>
      </c>
      <c r="D1780" s="165" t="s">
        <v>2162</v>
      </c>
      <c r="E1780" s="165" t="s">
        <v>9155</v>
      </c>
      <c r="F1780" s="163">
        <v>2</v>
      </c>
      <c r="G1780" s="864"/>
      <c r="H1780" s="864">
        <v>18643.707192153157</v>
      </c>
      <c r="I1780" s="864">
        <v>19160.062257402693</v>
      </c>
      <c r="J1780" s="864">
        <v>19703.601422067451</v>
      </c>
      <c r="K1780" s="864">
        <v>20275.75292254403</v>
      </c>
      <c r="L1780" s="18" t="s">
        <v>4761</v>
      </c>
      <c r="M1780" s="442"/>
      <c r="N1780" s="433"/>
      <c r="P1780" s="433"/>
      <c r="T1780" s="443"/>
      <c r="U1780" s="440"/>
      <c r="V1780" s="440"/>
      <c r="W1780" s="440"/>
      <c r="X1780" s="442"/>
    </row>
    <row r="1781" spans="1:24" x14ac:dyDescent="0.25">
      <c r="A1781" s="862">
        <v>2499</v>
      </c>
      <c r="B1781" s="863" t="s">
        <v>9156</v>
      </c>
      <c r="C1781" s="862">
        <v>2499</v>
      </c>
      <c r="D1781" s="165" t="s">
        <v>2162</v>
      </c>
      <c r="E1781" s="165" t="s">
        <v>9157</v>
      </c>
      <c r="F1781" s="163">
        <v>2</v>
      </c>
      <c r="G1781" s="864"/>
      <c r="H1781" s="864">
        <v>26501.413594735001</v>
      </c>
      <c r="I1781" s="864">
        <v>27970.926023193188</v>
      </c>
      <c r="J1781" s="864">
        <v>29603.68587178236</v>
      </c>
      <c r="K1781" s="864">
        <v>31417.87935061918</v>
      </c>
      <c r="L1781" s="18" t="s">
        <v>4762</v>
      </c>
      <c r="M1781" s="442"/>
      <c r="N1781" s="433"/>
      <c r="P1781" s="433"/>
      <c r="T1781" s="443"/>
      <c r="U1781" s="440"/>
      <c r="V1781" s="440"/>
      <c r="W1781" s="440"/>
      <c r="X1781" s="442"/>
    </row>
    <row r="1782" spans="1:24" x14ac:dyDescent="0.25">
      <c r="A1782" s="862">
        <v>2500</v>
      </c>
      <c r="B1782" s="863" t="s">
        <v>9158</v>
      </c>
      <c r="C1782" s="862">
        <v>2500</v>
      </c>
      <c r="D1782" s="165" t="s">
        <v>2162</v>
      </c>
      <c r="E1782" s="165" t="s">
        <v>9159</v>
      </c>
      <c r="F1782" s="163">
        <v>2</v>
      </c>
      <c r="G1782" s="864"/>
      <c r="H1782" s="864">
        <v>28104.540483797715</v>
      </c>
      <c r="I1782" s="864">
        <v>28833.559948500482</v>
      </c>
      <c r="J1782" s="864">
        <v>29600.951364391804</v>
      </c>
      <c r="K1782" s="864">
        <v>30408.714262426922</v>
      </c>
      <c r="L1782" s="18" t="s">
        <v>2099</v>
      </c>
      <c r="M1782" s="442"/>
      <c r="N1782" s="433"/>
      <c r="P1782" s="433"/>
      <c r="T1782" s="443"/>
      <c r="U1782" s="440"/>
      <c r="V1782" s="440"/>
      <c r="W1782" s="440"/>
      <c r="X1782" s="442"/>
    </row>
    <row r="1783" spans="1:24" x14ac:dyDescent="0.25">
      <c r="A1783" s="862">
        <v>2501</v>
      </c>
      <c r="B1783" s="863" t="s">
        <v>9160</v>
      </c>
      <c r="C1783" s="862">
        <v>2501</v>
      </c>
      <c r="D1783" s="165" t="s">
        <v>2162</v>
      </c>
      <c r="E1783" s="165" t="s">
        <v>9161</v>
      </c>
      <c r="F1783" s="163">
        <v>2</v>
      </c>
      <c r="G1783" s="864"/>
      <c r="H1783" s="864">
        <v>17073.074482992637</v>
      </c>
      <c r="I1783" s="864">
        <v>17537.91782220493</v>
      </c>
      <c r="J1783" s="864">
        <v>18027.231611678904</v>
      </c>
      <c r="K1783" s="864">
        <v>18542.30126417151</v>
      </c>
      <c r="L1783" s="18" t="s">
        <v>4763</v>
      </c>
      <c r="M1783" s="442"/>
      <c r="N1783" s="433"/>
      <c r="P1783" s="433"/>
      <c r="T1783" s="443"/>
      <c r="U1783" s="440"/>
      <c r="V1783" s="440"/>
      <c r="W1783" s="440"/>
      <c r="X1783" s="442"/>
    </row>
    <row r="1784" spans="1:24" x14ac:dyDescent="0.25">
      <c r="A1784" s="862">
        <v>2502</v>
      </c>
      <c r="B1784" s="863" t="s">
        <v>9162</v>
      </c>
      <c r="C1784" s="862">
        <v>2502</v>
      </c>
      <c r="D1784" s="165" t="s">
        <v>2162</v>
      </c>
      <c r="E1784" s="165" t="s">
        <v>9163</v>
      </c>
      <c r="F1784" s="163">
        <v>2</v>
      </c>
      <c r="G1784" s="864"/>
      <c r="H1784" s="864">
        <v>17425.39958298883</v>
      </c>
      <c r="I1784" s="864">
        <v>17901.002303055484</v>
      </c>
      <c r="J1784" s="864">
        <v>18401.64676794246</v>
      </c>
      <c r="K1784" s="864">
        <v>18928.665998286586</v>
      </c>
      <c r="L1784" s="18" t="s">
        <v>2114</v>
      </c>
      <c r="M1784" s="442"/>
      <c r="N1784" s="433"/>
      <c r="P1784" s="433"/>
      <c r="T1784" s="443"/>
      <c r="U1784" s="440"/>
      <c r="V1784" s="440"/>
      <c r="W1784" s="440"/>
      <c r="X1784" s="442"/>
    </row>
    <row r="1785" spans="1:24" x14ac:dyDescent="0.25">
      <c r="A1785" s="862">
        <v>2503</v>
      </c>
      <c r="B1785" s="863" t="s">
        <v>9164</v>
      </c>
      <c r="C1785" s="862">
        <v>2503</v>
      </c>
      <c r="D1785" s="165" t="s">
        <v>2162</v>
      </c>
      <c r="E1785" s="165" t="s">
        <v>9165</v>
      </c>
      <c r="F1785" s="163">
        <v>2</v>
      </c>
      <c r="G1785" s="864"/>
      <c r="H1785" s="864">
        <v>0</v>
      </c>
      <c r="I1785" s="864">
        <v>0</v>
      </c>
      <c r="J1785" s="864">
        <v>25457.341410955178</v>
      </c>
      <c r="K1785" s="864">
        <v>26094.382451717123</v>
      </c>
      <c r="L1785" s="18" t="s">
        <v>4764</v>
      </c>
      <c r="M1785" s="442"/>
      <c r="N1785" s="433"/>
      <c r="P1785" s="433"/>
      <c r="T1785" s="443"/>
      <c r="U1785" s="440"/>
      <c r="V1785" s="440"/>
      <c r="W1785" s="440"/>
      <c r="X1785" s="442"/>
    </row>
    <row r="1786" spans="1:24" x14ac:dyDescent="0.25">
      <c r="A1786" s="862">
        <v>2504</v>
      </c>
      <c r="B1786" s="863" t="s">
        <v>9166</v>
      </c>
      <c r="C1786" s="862">
        <v>2504</v>
      </c>
      <c r="D1786" s="165" t="s">
        <v>2162</v>
      </c>
      <c r="E1786" s="165" t="s">
        <v>9167</v>
      </c>
      <c r="F1786" s="163">
        <v>2</v>
      </c>
      <c r="G1786" s="864"/>
      <c r="H1786" s="864">
        <v>0</v>
      </c>
      <c r="I1786" s="864">
        <v>0</v>
      </c>
      <c r="J1786" s="864">
        <v>24222.209158229703</v>
      </c>
      <c r="K1786" s="864">
        <v>24823.163426037638</v>
      </c>
      <c r="L1786" s="18" t="s">
        <v>4765</v>
      </c>
      <c r="M1786" s="442"/>
      <c r="N1786" s="433"/>
      <c r="P1786" s="433"/>
      <c r="T1786" s="443"/>
      <c r="U1786" s="440"/>
      <c r="V1786" s="440"/>
      <c r="W1786" s="440"/>
      <c r="X1786" s="442"/>
    </row>
    <row r="1787" spans="1:24" x14ac:dyDescent="0.25">
      <c r="A1787" s="862">
        <v>2505</v>
      </c>
      <c r="B1787" s="863" t="s">
        <v>9168</v>
      </c>
      <c r="C1787" s="862">
        <v>2505</v>
      </c>
      <c r="D1787" s="165" t="s">
        <v>2162</v>
      </c>
      <c r="E1787" s="165" t="s">
        <v>9169</v>
      </c>
      <c r="F1787" s="163">
        <v>2</v>
      </c>
      <c r="G1787" s="864"/>
      <c r="H1787" s="864">
        <v>20898.149065536592</v>
      </c>
      <c r="I1787" s="864">
        <v>21434.070969419507</v>
      </c>
      <c r="J1787" s="864">
        <v>21998.224346075138</v>
      </c>
      <c r="K1787" s="864">
        <v>22592.085039779984</v>
      </c>
      <c r="L1787" s="18" t="s">
        <v>2100</v>
      </c>
      <c r="M1787" s="442"/>
      <c r="N1787" s="433"/>
      <c r="P1787" s="433"/>
      <c r="T1787" s="443"/>
      <c r="U1787" s="440"/>
      <c r="V1787" s="440"/>
      <c r="W1787" s="440"/>
      <c r="X1787" s="442"/>
    </row>
    <row r="1788" spans="1:24" x14ac:dyDescent="0.25">
      <c r="A1788" s="862">
        <v>2506</v>
      </c>
      <c r="B1788" s="863" t="s">
        <v>9170</v>
      </c>
      <c r="C1788" s="862">
        <v>2506</v>
      </c>
      <c r="D1788" s="165" t="s">
        <v>2162</v>
      </c>
      <c r="E1788" s="165" t="s">
        <v>9171</v>
      </c>
      <c r="F1788" s="163">
        <v>2</v>
      </c>
      <c r="G1788" s="864"/>
      <c r="H1788" s="864">
        <v>0</v>
      </c>
      <c r="I1788" s="864">
        <v>30157.944913256699</v>
      </c>
      <c r="J1788" s="864">
        <v>0</v>
      </c>
      <c r="K1788" s="864">
        <v>0</v>
      </c>
      <c r="L1788" s="18" t="s">
        <v>4766</v>
      </c>
      <c r="M1788" s="442"/>
      <c r="N1788" s="433"/>
      <c r="P1788" s="433"/>
      <c r="T1788" s="443"/>
      <c r="U1788" s="440"/>
      <c r="V1788" s="440"/>
      <c r="W1788" s="440"/>
      <c r="X1788" s="442"/>
    </row>
    <row r="1789" spans="1:24" x14ac:dyDescent="0.25">
      <c r="A1789" s="862">
        <v>2507</v>
      </c>
      <c r="B1789" s="863" t="s">
        <v>9172</v>
      </c>
      <c r="C1789" s="862">
        <v>2507</v>
      </c>
      <c r="D1789" s="165" t="s">
        <v>2162</v>
      </c>
      <c r="E1789" s="165" t="s">
        <v>9173</v>
      </c>
      <c r="F1789" s="163">
        <v>2</v>
      </c>
      <c r="G1789" s="864"/>
      <c r="H1789" s="864">
        <v>0</v>
      </c>
      <c r="I1789" s="864">
        <v>31113.078271582177</v>
      </c>
      <c r="J1789" s="864">
        <v>0</v>
      </c>
      <c r="K1789" s="864">
        <v>0</v>
      </c>
      <c r="L1789" s="18" t="s">
        <v>4767</v>
      </c>
      <c r="M1789" s="442"/>
      <c r="N1789" s="433"/>
      <c r="P1789" s="433"/>
      <c r="T1789" s="443"/>
      <c r="U1789" s="440"/>
      <c r="V1789" s="440"/>
      <c r="W1789" s="440"/>
      <c r="X1789" s="442"/>
    </row>
    <row r="1790" spans="1:24" x14ac:dyDescent="0.25">
      <c r="A1790" s="862">
        <v>2508</v>
      </c>
      <c r="B1790" s="863" t="s">
        <v>9174</v>
      </c>
      <c r="C1790" s="862">
        <v>2508</v>
      </c>
      <c r="D1790" s="165" t="s">
        <v>2162</v>
      </c>
      <c r="E1790" s="165" t="s">
        <v>9175</v>
      </c>
      <c r="F1790" s="163">
        <v>2</v>
      </c>
      <c r="G1790" s="864"/>
      <c r="H1790" s="864">
        <v>0</v>
      </c>
      <c r="I1790" s="864">
        <v>32227.4005229619</v>
      </c>
      <c r="J1790" s="864">
        <v>0</v>
      </c>
      <c r="K1790" s="864">
        <v>0</v>
      </c>
      <c r="L1790" s="18" t="s">
        <v>4768</v>
      </c>
      <c r="M1790" s="442"/>
      <c r="N1790" s="433"/>
      <c r="P1790" s="433"/>
      <c r="T1790" s="443"/>
      <c r="U1790" s="440"/>
      <c r="V1790" s="440"/>
      <c r="W1790" s="440"/>
      <c r="X1790" s="442"/>
    </row>
    <row r="1791" spans="1:24" x14ac:dyDescent="0.25">
      <c r="A1791" s="862">
        <v>2509</v>
      </c>
      <c r="B1791" s="863" t="s">
        <v>9176</v>
      </c>
      <c r="C1791" s="862">
        <v>2509</v>
      </c>
      <c r="D1791" s="165" t="s">
        <v>2162</v>
      </c>
      <c r="E1791" s="165" t="s">
        <v>9177</v>
      </c>
      <c r="F1791" s="163">
        <v>2</v>
      </c>
      <c r="G1791" s="864"/>
      <c r="H1791" s="864">
        <v>0</v>
      </c>
      <c r="I1791" s="864">
        <v>33188.901437009554</v>
      </c>
      <c r="J1791" s="864">
        <v>0</v>
      </c>
      <c r="K1791" s="864">
        <v>0</v>
      </c>
      <c r="L1791" s="18" t="s">
        <v>4769</v>
      </c>
      <c r="M1791" s="442"/>
      <c r="N1791" s="433"/>
      <c r="P1791" s="433"/>
      <c r="T1791" s="443"/>
      <c r="U1791" s="440"/>
      <c r="V1791" s="440"/>
      <c r="W1791" s="440"/>
      <c r="X1791" s="442"/>
    </row>
    <row r="1792" spans="1:24" x14ac:dyDescent="0.25">
      <c r="A1792" s="862">
        <v>2510</v>
      </c>
      <c r="B1792" s="863" t="s">
        <v>9178</v>
      </c>
      <c r="C1792" s="862">
        <v>2510</v>
      </c>
      <c r="D1792" s="165" t="s">
        <v>2162</v>
      </c>
      <c r="E1792" s="165" t="s">
        <v>9179</v>
      </c>
      <c r="F1792" s="163">
        <v>1</v>
      </c>
      <c r="G1792" s="864"/>
      <c r="H1792" s="864">
        <v>0</v>
      </c>
      <c r="I1792" s="864">
        <v>0</v>
      </c>
      <c r="J1792" s="864">
        <v>22183.623415950107</v>
      </c>
      <c r="K1792" s="864">
        <v>22708.696917516689</v>
      </c>
      <c r="L1792" s="18" t="s">
        <v>4770</v>
      </c>
      <c r="M1792" s="442"/>
      <c r="N1792" s="433"/>
      <c r="P1792" s="433"/>
      <c r="T1792" s="443"/>
      <c r="U1792" s="440"/>
      <c r="V1792" s="440"/>
      <c r="W1792" s="440"/>
      <c r="X1792" s="442"/>
    </row>
    <row r="1793" spans="1:24" x14ac:dyDescent="0.25">
      <c r="A1793" s="862">
        <v>2511</v>
      </c>
      <c r="B1793" s="863" t="s">
        <v>9180</v>
      </c>
      <c r="C1793" s="862">
        <v>2511</v>
      </c>
      <c r="D1793" s="165" t="s">
        <v>2162</v>
      </c>
      <c r="E1793" s="165" t="s">
        <v>9181</v>
      </c>
      <c r="F1793" s="163">
        <v>1</v>
      </c>
      <c r="G1793" s="864"/>
      <c r="H1793" s="864">
        <v>0</v>
      </c>
      <c r="I1793" s="864">
        <v>0</v>
      </c>
      <c r="J1793" s="864">
        <v>20426.130848322664</v>
      </c>
      <c r="K1793" s="864">
        <v>20904.194159135273</v>
      </c>
      <c r="L1793" s="18" t="s">
        <v>4771</v>
      </c>
      <c r="M1793" s="442"/>
      <c r="N1793" s="433"/>
      <c r="P1793" s="433"/>
      <c r="T1793" s="443"/>
      <c r="U1793" s="440"/>
      <c r="V1793" s="440"/>
      <c r="W1793" s="440"/>
      <c r="X1793" s="442"/>
    </row>
    <row r="1794" spans="1:24" x14ac:dyDescent="0.25">
      <c r="A1794" s="862">
        <v>2512</v>
      </c>
      <c r="B1794" s="863" t="s">
        <v>9182</v>
      </c>
      <c r="C1794" s="862">
        <v>2512</v>
      </c>
      <c r="D1794" s="165" t="s">
        <v>2162</v>
      </c>
      <c r="E1794" s="165" t="s">
        <v>9183</v>
      </c>
      <c r="F1794" s="163">
        <v>1</v>
      </c>
      <c r="G1794" s="864"/>
      <c r="H1794" s="864">
        <v>0</v>
      </c>
      <c r="I1794" s="864">
        <v>0</v>
      </c>
      <c r="J1794" s="864">
        <v>21295.647027484738</v>
      </c>
      <c r="K1794" s="864">
        <v>21793.857562906192</v>
      </c>
      <c r="L1794" s="18" t="s">
        <v>4772</v>
      </c>
      <c r="M1794" s="442"/>
      <c r="N1794" s="433"/>
      <c r="P1794" s="433"/>
      <c r="T1794" s="443"/>
      <c r="U1794" s="440"/>
      <c r="V1794" s="440"/>
      <c r="W1794" s="440"/>
      <c r="X1794" s="442"/>
    </row>
    <row r="1795" spans="1:24" x14ac:dyDescent="0.25">
      <c r="A1795" s="862">
        <v>2513</v>
      </c>
      <c r="B1795" s="863" t="s">
        <v>9184</v>
      </c>
      <c r="C1795" s="862">
        <v>2513</v>
      </c>
      <c r="D1795" s="165" t="s">
        <v>2162</v>
      </c>
      <c r="E1795" s="165" t="s">
        <v>9185</v>
      </c>
      <c r="F1795" s="163">
        <v>1</v>
      </c>
      <c r="G1795" s="864"/>
      <c r="H1795" s="864">
        <v>0</v>
      </c>
      <c r="I1795" s="864">
        <v>0</v>
      </c>
      <c r="J1795" s="864">
        <v>23510.396836183492</v>
      </c>
      <c r="K1795" s="864">
        <v>24067.857542900852</v>
      </c>
      <c r="L1795" s="18" t="s">
        <v>4773</v>
      </c>
      <c r="M1795" s="442"/>
      <c r="N1795" s="433"/>
      <c r="P1795" s="433"/>
      <c r="T1795" s="443"/>
      <c r="U1795" s="440"/>
      <c r="V1795" s="440"/>
      <c r="W1795" s="440"/>
      <c r="X1795" s="442"/>
    </row>
    <row r="1796" spans="1:24" x14ac:dyDescent="0.25">
      <c r="A1796" s="862">
        <v>2514</v>
      </c>
      <c r="B1796" s="863" t="s">
        <v>9186</v>
      </c>
      <c r="C1796" s="862">
        <v>2514</v>
      </c>
      <c r="D1796" s="165" t="s">
        <v>2162</v>
      </c>
      <c r="E1796" s="165" t="s">
        <v>9187</v>
      </c>
      <c r="F1796" s="163">
        <v>1</v>
      </c>
      <c r="G1796" s="864"/>
      <c r="H1796" s="864">
        <v>0</v>
      </c>
      <c r="I1796" s="864">
        <v>0</v>
      </c>
      <c r="J1796" s="864">
        <v>25140.299292801614</v>
      </c>
      <c r="K1796" s="864">
        <v>25741.358160298878</v>
      </c>
      <c r="L1796" s="18" t="s">
        <v>4774</v>
      </c>
      <c r="M1796" s="442"/>
      <c r="N1796" s="433"/>
      <c r="P1796" s="433"/>
      <c r="T1796" s="443"/>
      <c r="U1796" s="440"/>
      <c r="V1796" s="440"/>
      <c r="W1796" s="440"/>
      <c r="X1796" s="442"/>
    </row>
    <row r="1797" spans="1:24" x14ac:dyDescent="0.25">
      <c r="A1797" s="862">
        <v>2515</v>
      </c>
      <c r="B1797" s="863" t="s">
        <v>9188</v>
      </c>
      <c r="C1797" s="862">
        <v>2515</v>
      </c>
      <c r="D1797" s="165" t="s">
        <v>2162</v>
      </c>
      <c r="E1797" s="165" t="s">
        <v>9189</v>
      </c>
      <c r="F1797" s="163">
        <v>2</v>
      </c>
      <c r="G1797" s="864"/>
      <c r="H1797" s="864">
        <v>0</v>
      </c>
      <c r="I1797" s="864">
        <v>0</v>
      </c>
      <c r="J1797" s="864">
        <v>24352.977620921858</v>
      </c>
      <c r="K1797" s="864">
        <v>25182.794235872236</v>
      </c>
      <c r="L1797" s="18" t="s">
        <v>4775</v>
      </c>
      <c r="M1797" s="442"/>
      <c r="N1797" s="433"/>
      <c r="P1797" s="433"/>
      <c r="T1797" s="443"/>
      <c r="U1797" s="440"/>
      <c r="V1797" s="440"/>
      <c r="W1797" s="440"/>
      <c r="X1797" s="442"/>
    </row>
    <row r="1798" spans="1:24" x14ac:dyDescent="0.25">
      <c r="A1798" s="862">
        <v>2516</v>
      </c>
      <c r="B1798" s="863" t="s">
        <v>9190</v>
      </c>
      <c r="C1798" s="862">
        <v>2516</v>
      </c>
      <c r="D1798" s="165" t="s">
        <v>2162</v>
      </c>
      <c r="E1798" s="165" t="s">
        <v>9191</v>
      </c>
      <c r="F1798" s="163">
        <v>2</v>
      </c>
      <c r="G1798" s="864"/>
      <c r="H1798" s="864">
        <v>0</v>
      </c>
      <c r="I1798" s="864">
        <v>0</v>
      </c>
      <c r="J1798" s="864">
        <v>24846.629202043838</v>
      </c>
      <c r="K1798" s="864">
        <v>25696.217660251768</v>
      </c>
      <c r="L1798" s="18" t="s">
        <v>4776</v>
      </c>
      <c r="M1798" s="442"/>
      <c r="N1798" s="433"/>
      <c r="P1798" s="433"/>
      <c r="T1798" s="443"/>
      <c r="U1798" s="440"/>
      <c r="V1798" s="440"/>
      <c r="W1798" s="440"/>
      <c r="X1798" s="442"/>
    </row>
    <row r="1799" spans="1:24" x14ac:dyDescent="0.25">
      <c r="A1799" s="862">
        <v>2517</v>
      </c>
      <c r="B1799" s="863" t="s">
        <v>9192</v>
      </c>
      <c r="C1799" s="862">
        <v>2517</v>
      </c>
      <c r="D1799" s="165" t="s">
        <v>2162</v>
      </c>
      <c r="E1799" s="165" t="s">
        <v>9193</v>
      </c>
      <c r="F1799" s="163">
        <v>2</v>
      </c>
      <c r="G1799" s="864"/>
      <c r="H1799" s="864">
        <v>0</v>
      </c>
      <c r="I1799" s="864">
        <v>0</v>
      </c>
      <c r="J1799" s="864">
        <v>27050.577720837809</v>
      </c>
      <c r="K1799" s="864">
        <v>28001.100892692044</v>
      </c>
      <c r="L1799" s="18" t="s">
        <v>4777</v>
      </c>
      <c r="M1799" s="442"/>
      <c r="N1799" s="433"/>
      <c r="P1799" s="433"/>
      <c r="T1799" s="443"/>
      <c r="U1799" s="440"/>
      <c r="V1799" s="440"/>
      <c r="W1799" s="440"/>
      <c r="X1799" s="442"/>
    </row>
    <row r="1800" spans="1:24" x14ac:dyDescent="0.25">
      <c r="A1800" s="862">
        <v>2518</v>
      </c>
      <c r="B1800" s="863" t="s">
        <v>9194</v>
      </c>
      <c r="C1800" s="862">
        <v>2518</v>
      </c>
      <c r="D1800" s="165" t="s">
        <v>2162</v>
      </c>
      <c r="E1800" s="165" t="s">
        <v>9195</v>
      </c>
      <c r="F1800" s="163">
        <v>2</v>
      </c>
      <c r="G1800" s="864"/>
      <c r="H1800" s="864">
        <v>0</v>
      </c>
      <c r="I1800" s="864">
        <v>0</v>
      </c>
      <c r="J1800" s="864">
        <v>27559.982178611397</v>
      </c>
      <c r="K1800" s="864">
        <v>28531.205705699376</v>
      </c>
      <c r="L1800" s="18" t="s">
        <v>4778</v>
      </c>
      <c r="M1800" s="442"/>
      <c r="N1800" s="433"/>
      <c r="P1800" s="433"/>
      <c r="T1800" s="443"/>
      <c r="U1800" s="440"/>
      <c r="V1800" s="440"/>
      <c r="W1800" s="440"/>
      <c r="X1800" s="442"/>
    </row>
    <row r="1801" spans="1:24" x14ac:dyDescent="0.25">
      <c r="A1801" s="862">
        <v>2519</v>
      </c>
      <c r="B1801" s="863" t="s">
        <v>9196</v>
      </c>
      <c r="C1801" s="862">
        <v>2519</v>
      </c>
      <c r="D1801" s="165" t="s">
        <v>2162</v>
      </c>
      <c r="E1801" s="165" t="s">
        <v>9197</v>
      </c>
      <c r="F1801" s="163">
        <v>2</v>
      </c>
      <c r="G1801" s="864"/>
      <c r="H1801" s="864">
        <v>0</v>
      </c>
      <c r="I1801" s="864">
        <v>0</v>
      </c>
      <c r="J1801" s="864">
        <v>0</v>
      </c>
      <c r="K1801" s="864">
        <v>28254.045752327911</v>
      </c>
      <c r="L1801" s="18" t="s">
        <v>11033</v>
      </c>
      <c r="M1801" s="442"/>
      <c r="N1801" s="433"/>
      <c r="P1801" s="433"/>
      <c r="T1801" s="443"/>
      <c r="U1801" s="440"/>
      <c r="V1801" s="440"/>
      <c r="W1801" s="440"/>
      <c r="X1801" s="442"/>
    </row>
    <row r="1802" spans="1:24" x14ac:dyDescent="0.25">
      <c r="A1802" s="862">
        <v>2520</v>
      </c>
      <c r="B1802" s="863" t="s">
        <v>9198</v>
      </c>
      <c r="C1802" s="862">
        <v>2520</v>
      </c>
      <c r="D1802" s="165" t="s">
        <v>2162</v>
      </c>
      <c r="E1802" s="165" t="s">
        <v>9199</v>
      </c>
      <c r="F1802" s="163">
        <v>2</v>
      </c>
      <c r="G1802" s="864"/>
      <c r="H1802" s="864">
        <v>0</v>
      </c>
      <c r="I1802" s="864">
        <v>0</v>
      </c>
      <c r="J1802" s="864">
        <v>27509.041732834037</v>
      </c>
      <c r="K1802" s="864">
        <v>28478.189762563485</v>
      </c>
      <c r="L1802" s="18" t="s">
        <v>4779</v>
      </c>
      <c r="M1802" s="442"/>
      <c r="N1802" s="433"/>
      <c r="P1802" s="433"/>
      <c r="T1802" s="443"/>
      <c r="U1802" s="440"/>
      <c r="V1802" s="440"/>
      <c r="W1802" s="440"/>
      <c r="X1802" s="442"/>
    </row>
    <row r="1803" spans="1:24" x14ac:dyDescent="0.25">
      <c r="A1803" s="862">
        <v>2521</v>
      </c>
      <c r="B1803" s="863" t="s">
        <v>9200</v>
      </c>
      <c r="C1803" s="862">
        <v>2521</v>
      </c>
      <c r="D1803" s="165" t="s">
        <v>2162</v>
      </c>
      <c r="E1803" s="165" t="s">
        <v>9201</v>
      </c>
      <c r="F1803" s="163">
        <v>2</v>
      </c>
      <c r="G1803" s="864"/>
      <c r="H1803" s="864">
        <v>0</v>
      </c>
      <c r="I1803" s="864">
        <v>0</v>
      </c>
      <c r="J1803" s="864">
        <v>24797.873490328086</v>
      </c>
      <c r="K1803" s="864">
        <v>25645.495687880568</v>
      </c>
      <c r="L1803" s="18" t="s">
        <v>4780</v>
      </c>
      <c r="M1803" s="442"/>
      <c r="N1803" s="433"/>
      <c r="P1803" s="433"/>
      <c r="T1803" s="443"/>
      <c r="U1803" s="440"/>
      <c r="V1803" s="440"/>
      <c r="W1803" s="440"/>
      <c r="X1803" s="442"/>
    </row>
    <row r="1804" spans="1:24" x14ac:dyDescent="0.25">
      <c r="A1804" s="862">
        <v>2522</v>
      </c>
      <c r="B1804" s="863" t="s">
        <v>9202</v>
      </c>
      <c r="C1804" s="862">
        <v>2522</v>
      </c>
      <c r="D1804" s="165" t="s">
        <v>2162</v>
      </c>
      <c r="E1804" s="165" t="s">
        <v>9203</v>
      </c>
      <c r="F1804" s="163">
        <v>2</v>
      </c>
      <c r="G1804" s="864"/>
      <c r="H1804" s="864">
        <v>0</v>
      </c>
      <c r="I1804" s="864">
        <v>0</v>
      </c>
      <c r="J1804" s="864">
        <v>23487.563737967288</v>
      </c>
      <c r="K1804" s="864">
        <v>24282.643081338094</v>
      </c>
      <c r="L1804" s="18" t="s">
        <v>4781</v>
      </c>
      <c r="M1804" s="442"/>
      <c r="N1804" s="433"/>
      <c r="P1804" s="433"/>
      <c r="T1804" s="443"/>
      <c r="U1804" s="440"/>
      <c r="V1804" s="440"/>
      <c r="W1804" s="440"/>
      <c r="X1804" s="442"/>
    </row>
    <row r="1805" spans="1:24" x14ac:dyDescent="0.25">
      <c r="A1805" s="862">
        <v>2523</v>
      </c>
      <c r="B1805" s="863" t="s">
        <v>9204</v>
      </c>
      <c r="C1805" s="862">
        <v>2523</v>
      </c>
      <c r="D1805" s="165" t="s">
        <v>2162</v>
      </c>
      <c r="E1805" s="165" t="s">
        <v>9205</v>
      </c>
      <c r="F1805" s="163">
        <v>2</v>
      </c>
      <c r="G1805" s="864"/>
      <c r="H1805" s="864">
        <v>0</v>
      </c>
      <c r="I1805" s="864">
        <v>0</v>
      </c>
      <c r="J1805" s="864">
        <v>25029.463120977896</v>
      </c>
      <c r="K1805" s="864">
        <v>25886.370438292219</v>
      </c>
      <c r="L1805" s="18" t="s">
        <v>4782</v>
      </c>
      <c r="M1805" s="442"/>
      <c r="N1805" s="433"/>
      <c r="P1805" s="433"/>
      <c r="T1805" s="443"/>
      <c r="U1805" s="440"/>
      <c r="V1805" s="440"/>
      <c r="W1805" s="440"/>
      <c r="X1805" s="442"/>
    </row>
    <row r="1806" spans="1:24" x14ac:dyDescent="0.25">
      <c r="A1806" s="862">
        <v>2524</v>
      </c>
      <c r="B1806" s="863" t="s">
        <v>9206</v>
      </c>
      <c r="C1806" s="862">
        <v>2524</v>
      </c>
      <c r="D1806" s="165" t="s">
        <v>2162</v>
      </c>
      <c r="E1806" s="165" t="s">
        <v>9207</v>
      </c>
      <c r="F1806" s="163">
        <v>2</v>
      </c>
      <c r="G1806" s="864"/>
      <c r="H1806" s="864">
        <v>0</v>
      </c>
      <c r="I1806" s="864">
        <v>0</v>
      </c>
      <c r="J1806" s="864">
        <v>27757.376405998664</v>
      </c>
      <c r="K1806" s="864">
        <v>28736.628830763053</v>
      </c>
      <c r="L1806" s="18" t="s">
        <v>4783</v>
      </c>
      <c r="M1806" s="442"/>
      <c r="N1806" s="433"/>
      <c r="P1806" s="433"/>
      <c r="T1806" s="443"/>
      <c r="U1806" s="440"/>
      <c r="V1806" s="440"/>
      <c r="W1806" s="440"/>
      <c r="X1806" s="442"/>
    </row>
    <row r="1807" spans="1:24" x14ac:dyDescent="0.25">
      <c r="A1807" s="862">
        <v>2525</v>
      </c>
      <c r="B1807" s="863" t="s">
        <v>9208</v>
      </c>
      <c r="C1807" s="862">
        <v>2525</v>
      </c>
      <c r="D1807" s="165" t="s">
        <v>2162</v>
      </c>
      <c r="E1807" s="165" t="s">
        <v>9209</v>
      </c>
      <c r="F1807" s="163">
        <v>2</v>
      </c>
      <c r="G1807" s="864"/>
      <c r="H1807" s="864">
        <v>0</v>
      </c>
      <c r="I1807" s="864">
        <v>0</v>
      </c>
      <c r="J1807" s="864">
        <v>26108.179473956669</v>
      </c>
      <c r="K1807" s="864">
        <v>27020.41518138122</v>
      </c>
      <c r="L1807" s="18" t="s">
        <v>4784</v>
      </c>
      <c r="M1807" s="442"/>
      <c r="N1807" s="433"/>
      <c r="P1807" s="433"/>
      <c r="T1807" s="443"/>
      <c r="U1807" s="440"/>
      <c r="V1807" s="440"/>
      <c r="W1807" s="440"/>
      <c r="X1807" s="442"/>
    </row>
    <row r="1808" spans="1:24" x14ac:dyDescent="0.25">
      <c r="A1808" s="862">
        <v>2526</v>
      </c>
      <c r="B1808" s="863" t="s">
        <v>9210</v>
      </c>
      <c r="C1808" s="862">
        <v>2526</v>
      </c>
      <c r="D1808" s="165" t="s">
        <v>2162</v>
      </c>
      <c r="E1808" s="165" t="s">
        <v>9211</v>
      </c>
      <c r="F1808" s="163">
        <v>1</v>
      </c>
      <c r="G1808" s="864"/>
      <c r="H1808" s="864">
        <v>23068.463130119857</v>
      </c>
      <c r="I1808" s="864">
        <v>23576.928626193316</v>
      </c>
      <c r="J1808" s="864">
        <v>24112.157807950796</v>
      </c>
      <c r="K1808" s="864">
        <v>24675.553430964756</v>
      </c>
      <c r="L1808" s="18" t="s">
        <v>3094</v>
      </c>
      <c r="M1808" s="442"/>
      <c r="N1808" s="433"/>
      <c r="P1808" s="433"/>
      <c r="T1808" s="443"/>
      <c r="U1808" s="440"/>
      <c r="V1808" s="440"/>
      <c r="W1808" s="440"/>
      <c r="X1808" s="442"/>
    </row>
    <row r="1809" spans="1:24" x14ac:dyDescent="0.25">
      <c r="A1809" s="862">
        <v>2527</v>
      </c>
      <c r="B1809" s="863" t="s">
        <v>9212</v>
      </c>
      <c r="C1809" s="862">
        <v>2527</v>
      </c>
      <c r="D1809" s="165" t="s">
        <v>2162</v>
      </c>
      <c r="E1809" s="165" t="s">
        <v>9213</v>
      </c>
      <c r="F1809" s="163">
        <v>1</v>
      </c>
      <c r="G1809" s="864"/>
      <c r="H1809" s="864">
        <v>0</v>
      </c>
      <c r="I1809" s="864">
        <v>22539.706570071816</v>
      </c>
      <c r="J1809" s="864">
        <v>23021.653306037402</v>
      </c>
      <c r="K1809" s="864">
        <v>23528.983238076016</v>
      </c>
      <c r="L1809" s="18" t="s">
        <v>4785</v>
      </c>
      <c r="M1809" s="442"/>
      <c r="N1809" s="433"/>
      <c r="P1809" s="433"/>
      <c r="T1809" s="443"/>
      <c r="U1809" s="440"/>
      <c r="V1809" s="440"/>
      <c r="W1809" s="440"/>
      <c r="X1809" s="442"/>
    </row>
    <row r="1810" spans="1:24" x14ac:dyDescent="0.25">
      <c r="A1810" s="862">
        <v>2528</v>
      </c>
      <c r="B1810" s="863" t="s">
        <v>9214</v>
      </c>
      <c r="C1810" s="862">
        <v>2528</v>
      </c>
      <c r="D1810" s="165" t="s">
        <v>2162</v>
      </c>
      <c r="E1810" s="165" t="s">
        <v>9215</v>
      </c>
      <c r="F1810" s="163">
        <v>1</v>
      </c>
      <c r="G1810" s="864"/>
      <c r="H1810" s="864">
        <v>24958.034010512452</v>
      </c>
      <c r="I1810" s="864">
        <v>25512.901770284338</v>
      </c>
      <c r="J1810" s="864">
        <v>26096.982471501666</v>
      </c>
      <c r="K1810" s="864">
        <v>26711.812465505711</v>
      </c>
      <c r="L1810" s="18" t="s">
        <v>3095</v>
      </c>
      <c r="M1810" s="442"/>
      <c r="N1810" s="433"/>
      <c r="P1810" s="433"/>
      <c r="T1810" s="443"/>
      <c r="U1810" s="440"/>
      <c r="V1810" s="440"/>
      <c r="W1810" s="440"/>
      <c r="X1810" s="442"/>
    </row>
    <row r="1811" spans="1:24" x14ac:dyDescent="0.25">
      <c r="A1811" s="862">
        <v>2529</v>
      </c>
      <c r="B1811" s="863" t="s">
        <v>9216</v>
      </c>
      <c r="C1811" s="862">
        <v>2529</v>
      </c>
      <c r="D1811" s="165" t="s">
        <v>2162</v>
      </c>
      <c r="E1811" s="165" t="s">
        <v>9217</v>
      </c>
      <c r="F1811" s="163">
        <v>1</v>
      </c>
      <c r="G1811" s="864"/>
      <c r="H1811" s="864">
        <v>21934.720601884295</v>
      </c>
      <c r="I1811" s="864">
        <v>22415.331380161824</v>
      </c>
      <c r="J1811" s="864">
        <v>22921.258556627981</v>
      </c>
      <c r="K1811" s="864">
        <v>23453.81582300935</v>
      </c>
      <c r="L1811" s="18" t="s">
        <v>3096</v>
      </c>
      <c r="M1811" s="442"/>
      <c r="N1811" s="433"/>
      <c r="P1811" s="433"/>
      <c r="T1811" s="443"/>
      <c r="U1811" s="440"/>
      <c r="V1811" s="440"/>
      <c r="W1811" s="440"/>
      <c r="X1811" s="442"/>
    </row>
    <row r="1812" spans="1:24" x14ac:dyDescent="0.25">
      <c r="A1812" s="862">
        <v>2530</v>
      </c>
      <c r="B1812" s="863" t="s">
        <v>9218</v>
      </c>
      <c r="C1812" s="862">
        <v>2530</v>
      </c>
      <c r="D1812" s="165" t="s">
        <v>2162</v>
      </c>
      <c r="E1812" s="165" t="s">
        <v>9219</v>
      </c>
      <c r="F1812" s="163">
        <v>2</v>
      </c>
      <c r="G1812" s="864"/>
      <c r="H1812" s="864">
        <v>15205.453099872791</v>
      </c>
      <c r="I1812" s="864">
        <v>15602.740857526063</v>
      </c>
      <c r="J1812" s="864">
        <v>16020.928474449533</v>
      </c>
      <c r="K1812" s="864">
        <v>16461.11093188059</v>
      </c>
      <c r="L1812" s="18" t="s">
        <v>2101</v>
      </c>
      <c r="M1812" s="442"/>
      <c r="N1812" s="433"/>
      <c r="P1812" s="433"/>
      <c r="T1812" s="443"/>
      <c r="U1812" s="440"/>
      <c r="V1812" s="440"/>
      <c r="W1812" s="440"/>
      <c r="X1812" s="442"/>
    </row>
    <row r="1813" spans="1:24" x14ac:dyDescent="0.25">
      <c r="A1813" s="862">
        <v>2531</v>
      </c>
      <c r="B1813" s="863" t="s">
        <v>9220</v>
      </c>
      <c r="C1813" s="862">
        <v>2531</v>
      </c>
      <c r="D1813" s="165" t="s">
        <v>2162</v>
      </c>
      <c r="E1813" s="165" t="s">
        <v>9221</v>
      </c>
      <c r="F1813" s="163">
        <v>2</v>
      </c>
      <c r="G1813" s="864"/>
      <c r="H1813" s="864">
        <v>19552.781036081211</v>
      </c>
      <c r="I1813" s="864">
        <v>20106.317855522149</v>
      </c>
      <c r="J1813" s="864">
        <v>20688.990697453653</v>
      </c>
      <c r="K1813" s="864">
        <v>21302.323014032096</v>
      </c>
      <c r="L1813" s="18" t="s">
        <v>2102</v>
      </c>
      <c r="M1813" s="442"/>
      <c r="N1813" s="433"/>
      <c r="P1813" s="433"/>
      <c r="T1813" s="443"/>
      <c r="U1813" s="440"/>
      <c r="V1813" s="440"/>
      <c r="W1813" s="440"/>
      <c r="X1813" s="442"/>
    </row>
    <row r="1814" spans="1:24" x14ac:dyDescent="0.25">
      <c r="A1814" s="862">
        <v>2532</v>
      </c>
      <c r="B1814" s="863" t="s">
        <v>9222</v>
      </c>
      <c r="C1814" s="862">
        <v>2532</v>
      </c>
      <c r="D1814" s="165" t="s">
        <v>2162</v>
      </c>
      <c r="E1814" s="165" t="s">
        <v>9223</v>
      </c>
      <c r="F1814" s="163">
        <v>2</v>
      </c>
      <c r="G1814" s="864"/>
      <c r="H1814" s="864">
        <v>18221.784423398996</v>
      </c>
      <c r="I1814" s="864">
        <v>18723.523869523364</v>
      </c>
      <c r="J1814" s="864">
        <v>19251.685688984762</v>
      </c>
      <c r="K1814" s="864">
        <v>19807.650510299911</v>
      </c>
      <c r="L1814" s="18" t="s">
        <v>2103</v>
      </c>
      <c r="M1814" s="442"/>
      <c r="N1814" s="433"/>
      <c r="P1814" s="433"/>
      <c r="T1814" s="443"/>
      <c r="U1814" s="440"/>
      <c r="V1814" s="440"/>
      <c r="W1814" s="440"/>
      <c r="X1814" s="442"/>
    </row>
    <row r="1815" spans="1:24" x14ac:dyDescent="0.25">
      <c r="A1815" s="862">
        <v>2533</v>
      </c>
      <c r="B1815" s="863" t="s">
        <v>9224</v>
      </c>
      <c r="C1815" s="862">
        <v>2533</v>
      </c>
      <c r="D1815" s="165" t="s">
        <v>2162</v>
      </c>
      <c r="E1815" s="165" t="s">
        <v>9225</v>
      </c>
      <c r="F1815" s="163">
        <v>2</v>
      </c>
      <c r="G1815" s="864"/>
      <c r="H1815" s="864">
        <v>21481.317428576971</v>
      </c>
      <c r="I1815" s="864">
        <v>22102.362221697033</v>
      </c>
      <c r="J1815" s="864">
        <v>22756.113628299161</v>
      </c>
      <c r="K1815" s="864">
        <v>23444.237924179375</v>
      </c>
      <c r="L1815" s="18" t="s">
        <v>2104</v>
      </c>
      <c r="M1815" s="442"/>
      <c r="N1815" s="433"/>
      <c r="P1815" s="433"/>
      <c r="T1815" s="443"/>
      <c r="U1815" s="440"/>
      <c r="V1815" s="440"/>
      <c r="W1815" s="440"/>
      <c r="X1815" s="442"/>
    </row>
    <row r="1816" spans="1:24" x14ac:dyDescent="0.25">
      <c r="A1816" s="862">
        <v>2534</v>
      </c>
      <c r="B1816" s="863" t="s">
        <v>9226</v>
      </c>
      <c r="C1816" s="862">
        <v>2534</v>
      </c>
      <c r="D1816" s="165" t="s">
        <v>2162</v>
      </c>
      <c r="E1816" s="165" t="s">
        <v>9227</v>
      </c>
      <c r="F1816" s="163">
        <v>2</v>
      </c>
      <c r="G1816" s="864"/>
      <c r="H1816" s="864">
        <v>19908.615686243469</v>
      </c>
      <c r="I1816" s="864">
        <v>20464.770939078164</v>
      </c>
      <c r="J1816" s="864">
        <v>21050.252645922974</v>
      </c>
      <c r="K1816" s="864">
        <v>21666.53665105439</v>
      </c>
      <c r="L1816" s="18" t="s">
        <v>2105</v>
      </c>
      <c r="M1816" s="442"/>
      <c r="N1816" s="433"/>
      <c r="P1816" s="433"/>
      <c r="T1816" s="443"/>
      <c r="U1816" s="440"/>
      <c r="V1816" s="440"/>
      <c r="W1816" s="440"/>
      <c r="X1816" s="442"/>
    </row>
    <row r="1817" spans="1:24" x14ac:dyDescent="0.25">
      <c r="A1817" s="862">
        <v>2535</v>
      </c>
      <c r="B1817" s="863" t="s">
        <v>9228</v>
      </c>
      <c r="C1817" s="862">
        <v>2535</v>
      </c>
      <c r="D1817" s="165" t="s">
        <v>2162</v>
      </c>
      <c r="E1817" s="165" t="s">
        <v>9229</v>
      </c>
      <c r="F1817" s="163">
        <v>2</v>
      </c>
      <c r="G1817" s="864"/>
      <c r="H1817" s="864">
        <v>20298.183887244919</v>
      </c>
      <c r="I1817" s="864">
        <v>20867.288483408753</v>
      </c>
      <c r="J1817" s="864">
        <v>21466.338436021237</v>
      </c>
      <c r="K1817" s="864">
        <v>22096.9524129985</v>
      </c>
      <c r="L1817" s="18" t="s">
        <v>2106</v>
      </c>
      <c r="M1817" s="442"/>
      <c r="N1817" s="433"/>
      <c r="P1817" s="433"/>
      <c r="T1817" s="443"/>
      <c r="U1817" s="440"/>
      <c r="V1817" s="440"/>
      <c r="W1817" s="440"/>
      <c r="X1817" s="442"/>
    </row>
    <row r="1818" spans="1:24" x14ac:dyDescent="0.25">
      <c r="A1818" s="862">
        <v>2536</v>
      </c>
      <c r="B1818" s="863" t="s">
        <v>9230</v>
      </c>
      <c r="C1818" s="862">
        <v>2536</v>
      </c>
      <c r="D1818" s="165" t="s">
        <v>2162</v>
      </c>
      <c r="E1818" s="165" t="s">
        <v>9231</v>
      </c>
      <c r="F1818" s="163">
        <v>2</v>
      </c>
      <c r="G1818" s="864"/>
      <c r="H1818" s="864">
        <v>19978.879750687025</v>
      </c>
      <c r="I1818" s="864">
        <v>20547.317836532449</v>
      </c>
      <c r="J1818" s="864">
        <v>21145.70127882652</v>
      </c>
      <c r="K1818" s="864">
        <v>21775.553529725599</v>
      </c>
      <c r="L1818" s="18" t="s">
        <v>2107</v>
      </c>
      <c r="M1818" s="442"/>
      <c r="N1818" s="433"/>
      <c r="P1818" s="433"/>
      <c r="T1818" s="443"/>
      <c r="U1818" s="440"/>
      <c r="V1818" s="440"/>
      <c r="W1818" s="440"/>
      <c r="X1818" s="442"/>
    </row>
    <row r="1819" spans="1:24" x14ac:dyDescent="0.25">
      <c r="A1819" s="862">
        <v>2537</v>
      </c>
      <c r="B1819" s="863" t="s">
        <v>9232</v>
      </c>
      <c r="C1819" s="862">
        <v>2537</v>
      </c>
      <c r="D1819" s="165" t="s">
        <v>2162</v>
      </c>
      <c r="E1819" s="165" t="s">
        <v>9233</v>
      </c>
      <c r="F1819" s="163">
        <v>2</v>
      </c>
      <c r="G1819" s="864"/>
      <c r="H1819" s="864">
        <v>18643.707192153157</v>
      </c>
      <c r="I1819" s="864">
        <v>19160.062257402693</v>
      </c>
      <c r="J1819" s="864">
        <v>19703.601422067451</v>
      </c>
      <c r="K1819" s="864">
        <v>20275.75292254403</v>
      </c>
      <c r="L1819" s="18" t="s">
        <v>2108</v>
      </c>
      <c r="M1819" s="442"/>
      <c r="N1819" s="433"/>
      <c r="P1819" s="433"/>
      <c r="T1819" s="443"/>
      <c r="U1819" s="440"/>
      <c r="V1819" s="440"/>
      <c r="W1819" s="440"/>
      <c r="X1819" s="442"/>
    </row>
    <row r="1820" spans="1:24" x14ac:dyDescent="0.25">
      <c r="A1820" s="862">
        <v>2538</v>
      </c>
      <c r="B1820" s="863" t="s">
        <v>9234</v>
      </c>
      <c r="C1820" s="862">
        <v>2538</v>
      </c>
      <c r="D1820" s="165" t="s">
        <v>2162</v>
      </c>
      <c r="E1820" s="165" t="s">
        <v>9235</v>
      </c>
      <c r="F1820" s="163">
        <v>2</v>
      </c>
      <c r="G1820" s="864"/>
      <c r="H1820" s="864">
        <v>18771.368376290004</v>
      </c>
      <c r="I1820" s="864">
        <v>19295.05505504207</v>
      </c>
      <c r="J1820" s="864">
        <v>19846.306696248452</v>
      </c>
      <c r="K1820" s="864">
        <v>20426.551536305742</v>
      </c>
      <c r="L1820" s="18" t="s">
        <v>2109</v>
      </c>
      <c r="M1820" s="442"/>
      <c r="N1820" s="433"/>
      <c r="P1820" s="433"/>
      <c r="T1820" s="443"/>
      <c r="U1820" s="440"/>
      <c r="V1820" s="440"/>
      <c r="W1820" s="440"/>
      <c r="X1820" s="442"/>
    </row>
    <row r="1821" spans="1:24" x14ac:dyDescent="0.25">
      <c r="A1821" s="862">
        <v>2539</v>
      </c>
      <c r="B1821" s="863" t="s">
        <v>9236</v>
      </c>
      <c r="C1821" s="862">
        <v>2539</v>
      </c>
      <c r="D1821" s="165" t="s">
        <v>2162</v>
      </c>
      <c r="E1821" s="165" t="s">
        <v>9237</v>
      </c>
      <c r="F1821" s="163">
        <v>2</v>
      </c>
      <c r="G1821" s="864"/>
      <c r="H1821" s="864">
        <v>17505.55246214764</v>
      </c>
      <c r="I1821" s="864">
        <v>17985.392283524194</v>
      </c>
      <c r="J1821" s="864">
        <v>18490.464281240616</v>
      </c>
      <c r="K1821" s="864">
        <v>19022.149083813623</v>
      </c>
      <c r="L1821" s="18" t="s">
        <v>2110</v>
      </c>
      <c r="M1821" s="442"/>
      <c r="N1821" s="433"/>
      <c r="P1821" s="433"/>
      <c r="T1821" s="443"/>
      <c r="U1821" s="440"/>
      <c r="V1821" s="440"/>
      <c r="W1821" s="440"/>
      <c r="X1821" s="442"/>
    </row>
    <row r="1822" spans="1:24" x14ac:dyDescent="0.25">
      <c r="A1822" s="862">
        <v>2540</v>
      </c>
      <c r="B1822" s="863" t="s">
        <v>9238</v>
      </c>
      <c r="C1822" s="862">
        <v>2540</v>
      </c>
      <c r="D1822" s="165" t="s">
        <v>2162</v>
      </c>
      <c r="E1822" s="165" t="s">
        <v>9239</v>
      </c>
      <c r="F1822" s="163">
        <v>2</v>
      </c>
      <c r="G1822" s="864"/>
      <c r="H1822" s="864">
        <v>17730.210564783632</v>
      </c>
      <c r="I1822" s="864">
        <v>18222.856905849669</v>
      </c>
      <c r="J1822" s="864">
        <v>18741.449541453876</v>
      </c>
      <c r="K1822" s="864">
        <v>19287.321492233074</v>
      </c>
      <c r="L1822" s="18" t="s">
        <v>2111</v>
      </c>
      <c r="M1822" s="442"/>
      <c r="N1822" s="433"/>
      <c r="P1822" s="433"/>
      <c r="T1822" s="443"/>
      <c r="U1822" s="440"/>
      <c r="V1822" s="440"/>
      <c r="W1822" s="440"/>
      <c r="X1822" s="442"/>
    </row>
    <row r="1823" spans="1:24" x14ac:dyDescent="0.25">
      <c r="A1823" s="862">
        <v>2541</v>
      </c>
      <c r="B1823" s="863" t="s">
        <v>9240</v>
      </c>
      <c r="C1823" s="862">
        <v>2541</v>
      </c>
      <c r="D1823" s="165" t="s">
        <v>2162</v>
      </c>
      <c r="E1823" s="165" t="s">
        <v>9241</v>
      </c>
      <c r="F1823" s="163">
        <v>2</v>
      </c>
      <c r="G1823" s="864"/>
      <c r="H1823" s="864">
        <v>15465.442410579264</v>
      </c>
      <c r="I1823" s="864">
        <v>15864.396444028564</v>
      </c>
      <c r="J1823" s="864">
        <v>16284.345552507837</v>
      </c>
      <c r="K1823" s="864">
        <v>16726.384717254467</v>
      </c>
      <c r="L1823" s="18" t="s">
        <v>2112</v>
      </c>
      <c r="M1823" s="442"/>
      <c r="N1823" s="433"/>
      <c r="P1823" s="433"/>
      <c r="T1823" s="443"/>
      <c r="U1823" s="440"/>
      <c r="V1823" s="440"/>
      <c r="W1823" s="440"/>
      <c r="X1823" s="442"/>
    </row>
    <row r="1824" spans="1:24" x14ac:dyDescent="0.25">
      <c r="A1824" s="862">
        <v>2542</v>
      </c>
      <c r="B1824" s="863" t="s">
        <v>9242</v>
      </c>
      <c r="C1824" s="862">
        <v>2542</v>
      </c>
      <c r="D1824" s="165" t="s">
        <v>2162</v>
      </c>
      <c r="E1824" s="165" t="s">
        <v>9243</v>
      </c>
      <c r="F1824" s="163">
        <v>2</v>
      </c>
      <c r="G1824" s="864"/>
      <c r="H1824" s="864">
        <v>17073.074482992637</v>
      </c>
      <c r="I1824" s="864">
        <v>17537.91782220493</v>
      </c>
      <c r="J1824" s="864">
        <v>18027.231611678904</v>
      </c>
      <c r="K1824" s="864">
        <v>18542.30126417151</v>
      </c>
      <c r="L1824" s="18" t="s">
        <v>2113</v>
      </c>
      <c r="M1824" s="442"/>
      <c r="N1824" s="433"/>
      <c r="P1824" s="433"/>
      <c r="T1824" s="443"/>
      <c r="U1824" s="440"/>
      <c r="V1824" s="440"/>
      <c r="W1824" s="440"/>
      <c r="X1824" s="442"/>
    </row>
    <row r="1825" spans="1:24" x14ac:dyDescent="0.25">
      <c r="A1825" s="862">
        <v>2543</v>
      </c>
      <c r="B1825" s="863" t="s">
        <v>9244</v>
      </c>
      <c r="C1825" s="862">
        <v>2543</v>
      </c>
      <c r="D1825" s="165" t="s">
        <v>2162</v>
      </c>
      <c r="E1825" s="165" t="s">
        <v>9245</v>
      </c>
      <c r="F1825" s="163">
        <v>1</v>
      </c>
      <c r="G1825" s="864"/>
      <c r="H1825" s="864">
        <v>20092.011476501637</v>
      </c>
      <c r="I1825" s="864">
        <v>20556.376493813121</v>
      </c>
      <c r="J1825" s="864">
        <v>21045.201190007741</v>
      </c>
      <c r="K1825" s="864">
        <v>21559.762462474991</v>
      </c>
      <c r="L1825" s="18" t="s">
        <v>3097</v>
      </c>
      <c r="M1825" s="442"/>
      <c r="N1825" s="433"/>
      <c r="P1825" s="433"/>
      <c r="T1825" s="443"/>
      <c r="U1825" s="440"/>
      <c r="V1825" s="440"/>
      <c r="W1825" s="440"/>
      <c r="X1825" s="442"/>
    </row>
    <row r="1826" spans="1:24" x14ac:dyDescent="0.25">
      <c r="A1826" s="862">
        <v>2544</v>
      </c>
      <c r="B1826" s="863" t="s">
        <v>9246</v>
      </c>
      <c r="C1826" s="862">
        <v>2544</v>
      </c>
      <c r="D1826" s="165" t="s">
        <v>2162</v>
      </c>
      <c r="E1826" s="165" t="s">
        <v>9247</v>
      </c>
      <c r="F1826" s="163">
        <v>1</v>
      </c>
      <c r="G1826" s="864"/>
      <c r="H1826" s="864">
        <v>21715.345548819441</v>
      </c>
      <c r="I1826" s="864">
        <v>22222.075183964476</v>
      </c>
      <c r="J1826" s="864">
        <v>22755.449411303558</v>
      </c>
      <c r="K1826" s="864">
        <v>23316.915381211431</v>
      </c>
      <c r="L1826" s="18" t="s">
        <v>3098</v>
      </c>
      <c r="M1826" s="442"/>
      <c r="N1826" s="433"/>
      <c r="P1826" s="433"/>
      <c r="T1826" s="443"/>
      <c r="U1826" s="440"/>
      <c r="V1826" s="440"/>
      <c r="W1826" s="440"/>
      <c r="X1826" s="442"/>
    </row>
    <row r="1827" spans="1:24" x14ac:dyDescent="0.25">
      <c r="A1827" s="862">
        <v>2545</v>
      </c>
      <c r="B1827" s="863" t="s">
        <v>9248</v>
      </c>
      <c r="C1827" s="862">
        <v>2545</v>
      </c>
      <c r="D1827" s="165" t="s">
        <v>2162</v>
      </c>
      <c r="E1827" s="165" t="s">
        <v>9249</v>
      </c>
      <c r="F1827" s="163">
        <v>1</v>
      </c>
      <c r="G1827" s="864"/>
      <c r="H1827" s="864">
        <v>18783.037335648543</v>
      </c>
      <c r="I1827" s="864">
        <v>19213.266629414309</v>
      </c>
      <c r="J1827" s="864">
        <v>19666.139570220381</v>
      </c>
      <c r="K1827" s="864">
        <v>20142.876304461162</v>
      </c>
      <c r="L1827" s="18" t="s">
        <v>3099</v>
      </c>
      <c r="M1827" s="442"/>
      <c r="N1827" s="433"/>
      <c r="P1827" s="433"/>
      <c r="T1827" s="443"/>
      <c r="U1827" s="440"/>
      <c r="V1827" s="440"/>
      <c r="W1827" s="440"/>
      <c r="X1827" s="442"/>
    </row>
    <row r="1828" spans="1:24" x14ac:dyDescent="0.25">
      <c r="A1828" s="862">
        <v>2546</v>
      </c>
      <c r="B1828" s="863" t="s">
        <v>9250</v>
      </c>
      <c r="C1828" s="862">
        <v>2546</v>
      </c>
      <c r="D1828" s="165" t="s">
        <v>2162</v>
      </c>
      <c r="E1828" s="165" t="s">
        <v>9251</v>
      </c>
      <c r="F1828" s="163">
        <v>1</v>
      </c>
      <c r="G1828" s="864"/>
      <c r="H1828" s="864">
        <v>0</v>
      </c>
      <c r="I1828" s="864">
        <v>17684.124260219203</v>
      </c>
      <c r="J1828" s="864">
        <v>18207.424008503476</v>
      </c>
      <c r="K1828" s="864">
        <v>18758.254182379464</v>
      </c>
      <c r="L1828" s="18" t="s">
        <v>4028</v>
      </c>
      <c r="M1828" s="442"/>
      <c r="N1828" s="433"/>
      <c r="P1828" s="433"/>
      <c r="T1828" s="443"/>
      <c r="U1828" s="440"/>
      <c r="V1828" s="440"/>
      <c r="W1828" s="440"/>
      <c r="X1828" s="442"/>
    </row>
    <row r="1829" spans="1:24" x14ac:dyDescent="0.25">
      <c r="A1829" s="862">
        <v>2547</v>
      </c>
      <c r="B1829" s="863" t="s">
        <v>9252</v>
      </c>
      <c r="C1829" s="862">
        <v>2547</v>
      </c>
      <c r="D1829" s="165" t="s">
        <v>2162</v>
      </c>
      <c r="E1829" s="165" t="s">
        <v>9253</v>
      </c>
      <c r="F1829" s="163">
        <v>1</v>
      </c>
      <c r="G1829" s="864"/>
      <c r="H1829" s="864">
        <v>0</v>
      </c>
      <c r="I1829" s="864">
        <v>16788.216672413517</v>
      </c>
      <c r="J1829" s="864">
        <v>17281.060056154303</v>
      </c>
      <c r="K1829" s="864">
        <v>17799.858898347691</v>
      </c>
      <c r="L1829" s="18" t="s">
        <v>4029</v>
      </c>
      <c r="M1829" s="442"/>
      <c r="N1829" s="433"/>
      <c r="P1829" s="433"/>
      <c r="T1829" s="443"/>
      <c r="U1829" s="440"/>
      <c r="V1829" s="440"/>
      <c r="W1829" s="440"/>
      <c r="X1829" s="442"/>
    </row>
    <row r="1830" spans="1:24" x14ac:dyDescent="0.25">
      <c r="A1830" s="862">
        <v>2548</v>
      </c>
      <c r="B1830" s="863" t="s">
        <v>9254</v>
      </c>
      <c r="C1830" s="862">
        <v>2548</v>
      </c>
      <c r="D1830" s="165" t="s">
        <v>2162</v>
      </c>
      <c r="E1830" s="165" t="s">
        <v>9255</v>
      </c>
      <c r="F1830" s="163">
        <v>1</v>
      </c>
      <c r="G1830" s="864"/>
      <c r="H1830" s="864">
        <v>14761.197104037326</v>
      </c>
      <c r="I1830" s="864">
        <v>0</v>
      </c>
      <c r="J1830" s="864">
        <v>0</v>
      </c>
      <c r="K1830" s="864">
        <v>0</v>
      </c>
      <c r="L1830" s="18" t="s">
        <v>1250</v>
      </c>
      <c r="M1830" s="442"/>
      <c r="N1830" s="433"/>
      <c r="P1830" s="433"/>
      <c r="T1830" s="443"/>
      <c r="U1830" s="440"/>
      <c r="V1830" s="440"/>
      <c r="W1830" s="440"/>
      <c r="X1830" s="442"/>
    </row>
    <row r="1831" spans="1:24" x14ac:dyDescent="0.25">
      <c r="A1831" s="862">
        <v>2549</v>
      </c>
      <c r="B1831" s="863" t="s">
        <v>9256</v>
      </c>
      <c r="C1831" s="862">
        <v>2549</v>
      </c>
      <c r="D1831" s="165" t="s">
        <v>2162</v>
      </c>
      <c r="E1831" s="165" t="s">
        <v>9257</v>
      </c>
      <c r="F1831" s="163">
        <v>1</v>
      </c>
      <c r="G1831" s="864"/>
      <c r="H1831" s="864">
        <v>15717.903394295927</v>
      </c>
      <c r="I1831" s="864">
        <v>0</v>
      </c>
      <c r="J1831" s="864">
        <v>0</v>
      </c>
      <c r="K1831" s="864">
        <v>0</v>
      </c>
      <c r="L1831" s="18" t="s">
        <v>1251</v>
      </c>
      <c r="M1831" s="442"/>
      <c r="N1831" s="433"/>
      <c r="P1831" s="433"/>
      <c r="T1831" s="443"/>
      <c r="U1831" s="440"/>
      <c r="V1831" s="440"/>
      <c r="W1831" s="440"/>
      <c r="X1831" s="442"/>
    </row>
    <row r="1832" spans="1:24" x14ac:dyDescent="0.25">
      <c r="A1832" s="862">
        <v>2550</v>
      </c>
      <c r="B1832" s="863" t="s">
        <v>9258</v>
      </c>
      <c r="C1832" s="862">
        <v>2550</v>
      </c>
      <c r="D1832" s="165" t="s">
        <v>2162</v>
      </c>
      <c r="E1832" s="165" t="s">
        <v>9259</v>
      </c>
      <c r="F1832" s="163">
        <v>1</v>
      </c>
      <c r="G1832" s="864"/>
      <c r="H1832" s="864">
        <v>18793.335218707918</v>
      </c>
      <c r="I1832" s="864">
        <v>0</v>
      </c>
      <c r="J1832" s="864">
        <v>0</v>
      </c>
      <c r="K1832" s="864">
        <v>0</v>
      </c>
      <c r="L1832" s="18" t="s">
        <v>1252</v>
      </c>
      <c r="M1832" s="442"/>
      <c r="N1832" s="433"/>
      <c r="P1832" s="433"/>
      <c r="T1832" s="443"/>
      <c r="U1832" s="440"/>
      <c r="V1832" s="440"/>
      <c r="W1832" s="440"/>
      <c r="X1832" s="442"/>
    </row>
    <row r="1833" spans="1:24" x14ac:dyDescent="0.25">
      <c r="A1833" s="862">
        <v>2551</v>
      </c>
      <c r="B1833" s="863" t="s">
        <v>9260</v>
      </c>
      <c r="C1833" s="862">
        <v>2551</v>
      </c>
      <c r="D1833" s="165" t="s">
        <v>2162</v>
      </c>
      <c r="E1833" s="165" t="s">
        <v>9261</v>
      </c>
      <c r="F1833" s="163">
        <v>1</v>
      </c>
      <c r="G1833" s="864"/>
      <c r="H1833" s="864">
        <v>15901.895603747589</v>
      </c>
      <c r="I1833" s="864">
        <v>0</v>
      </c>
      <c r="J1833" s="864">
        <v>0</v>
      </c>
      <c r="K1833" s="864">
        <v>0</v>
      </c>
      <c r="L1833" s="18" t="s">
        <v>1253</v>
      </c>
      <c r="M1833" s="442"/>
      <c r="N1833" s="433"/>
      <c r="P1833" s="433"/>
      <c r="T1833" s="443"/>
      <c r="U1833" s="440"/>
      <c r="V1833" s="440"/>
      <c r="W1833" s="440"/>
      <c r="X1833" s="442"/>
    </row>
    <row r="1834" spans="1:24" x14ac:dyDescent="0.25">
      <c r="A1834" s="862">
        <v>2552</v>
      </c>
      <c r="B1834" s="863" t="s">
        <v>9262</v>
      </c>
      <c r="C1834" s="862">
        <v>2552</v>
      </c>
      <c r="D1834" s="165" t="s">
        <v>2162</v>
      </c>
      <c r="E1834" s="165" t="s">
        <v>9263</v>
      </c>
      <c r="F1834" s="163">
        <v>1</v>
      </c>
      <c r="G1834" s="864"/>
      <c r="H1834" s="864">
        <v>16858.646226414552</v>
      </c>
      <c r="I1834" s="864">
        <v>0</v>
      </c>
      <c r="J1834" s="864">
        <v>0</v>
      </c>
      <c r="K1834" s="864">
        <v>0</v>
      </c>
      <c r="L1834" s="18" t="s">
        <v>1254</v>
      </c>
      <c r="M1834" s="442"/>
      <c r="N1834" s="433"/>
      <c r="P1834" s="433"/>
      <c r="T1834" s="443"/>
      <c r="U1834" s="440"/>
      <c r="V1834" s="440"/>
      <c r="W1834" s="440"/>
      <c r="X1834" s="442"/>
    </row>
    <row r="1835" spans="1:24" x14ac:dyDescent="0.25">
      <c r="A1835" s="862">
        <v>2553</v>
      </c>
      <c r="B1835" s="863" t="s">
        <v>9264</v>
      </c>
      <c r="C1835" s="862">
        <v>2553</v>
      </c>
      <c r="D1835" s="165" t="s">
        <v>2162</v>
      </c>
      <c r="E1835" s="165" t="s">
        <v>9265</v>
      </c>
      <c r="F1835" s="163">
        <v>1</v>
      </c>
      <c r="G1835" s="864"/>
      <c r="H1835" s="864">
        <v>0</v>
      </c>
      <c r="I1835" s="864">
        <v>18963.109575224578</v>
      </c>
      <c r="J1835" s="864">
        <v>19529.899416110238</v>
      </c>
      <c r="K1835" s="864">
        <v>20126.480635413998</v>
      </c>
      <c r="L1835" s="18" t="s">
        <v>4030</v>
      </c>
      <c r="M1835" s="442"/>
      <c r="N1835" s="433"/>
      <c r="P1835" s="433"/>
      <c r="T1835" s="443"/>
      <c r="U1835" s="440"/>
      <c r="V1835" s="440"/>
      <c r="W1835" s="440"/>
      <c r="X1835" s="442"/>
    </row>
    <row r="1836" spans="1:24" x14ac:dyDescent="0.25">
      <c r="A1836" s="862">
        <v>2554</v>
      </c>
      <c r="B1836" s="863" t="s">
        <v>9266</v>
      </c>
      <c r="C1836" s="862">
        <v>2554</v>
      </c>
      <c r="D1836" s="165" t="s">
        <v>2162</v>
      </c>
      <c r="E1836" s="165" t="s">
        <v>9267</v>
      </c>
      <c r="F1836" s="163">
        <v>1</v>
      </c>
      <c r="G1836" s="864"/>
      <c r="H1836" s="864">
        <v>0</v>
      </c>
      <c r="I1836" s="864">
        <v>20025.841334552708</v>
      </c>
      <c r="J1836" s="864">
        <v>20628.717755843609</v>
      </c>
      <c r="K1836" s="864">
        <v>21263.336181520444</v>
      </c>
      <c r="L1836" s="18" t="s">
        <v>4031</v>
      </c>
      <c r="M1836" s="442"/>
      <c r="N1836" s="433"/>
      <c r="P1836" s="433"/>
      <c r="T1836" s="443"/>
      <c r="U1836" s="440"/>
      <c r="V1836" s="440"/>
      <c r="W1836" s="440"/>
      <c r="X1836" s="442"/>
    </row>
    <row r="1837" spans="1:24" x14ac:dyDescent="0.25">
      <c r="A1837" s="862">
        <v>2555</v>
      </c>
      <c r="B1837" s="863" t="s">
        <v>9268</v>
      </c>
      <c r="C1837" s="862">
        <v>2555</v>
      </c>
      <c r="D1837" s="165" t="s">
        <v>2162</v>
      </c>
      <c r="E1837" s="165" t="s">
        <v>9269</v>
      </c>
      <c r="F1837" s="163">
        <v>1</v>
      </c>
      <c r="G1837" s="864"/>
      <c r="H1837" s="864">
        <v>0</v>
      </c>
      <c r="I1837" s="864">
        <v>16584.32046277498</v>
      </c>
      <c r="J1837" s="864">
        <v>17070.247990811571</v>
      </c>
      <c r="K1837" s="864">
        <v>17581.755318472016</v>
      </c>
      <c r="L1837" s="18" t="s">
        <v>4032</v>
      </c>
      <c r="M1837" s="442"/>
      <c r="N1837" s="433"/>
      <c r="P1837" s="433"/>
      <c r="T1837" s="443"/>
      <c r="U1837" s="440"/>
      <c r="V1837" s="440"/>
      <c r="W1837" s="440"/>
      <c r="X1837" s="442"/>
    </row>
    <row r="1838" spans="1:24" x14ac:dyDescent="0.25">
      <c r="A1838" s="862">
        <v>2556</v>
      </c>
      <c r="B1838" s="863" t="s">
        <v>9270</v>
      </c>
      <c r="C1838" s="862">
        <v>2556</v>
      </c>
      <c r="D1838" s="165" t="s">
        <v>2162</v>
      </c>
      <c r="E1838" s="165" t="s">
        <v>9271</v>
      </c>
      <c r="F1838" s="163">
        <v>1</v>
      </c>
      <c r="G1838" s="864"/>
      <c r="H1838" s="864">
        <v>0</v>
      </c>
      <c r="I1838" s="864">
        <v>15873.773065549776</v>
      </c>
      <c r="J1838" s="864">
        <v>16335.539431030038</v>
      </c>
      <c r="K1838" s="864">
        <v>16821.599956291702</v>
      </c>
      <c r="L1838" s="18" t="s">
        <v>4033</v>
      </c>
      <c r="M1838" s="442"/>
      <c r="N1838" s="433"/>
      <c r="P1838" s="433"/>
      <c r="T1838" s="443"/>
      <c r="U1838" s="440"/>
      <c r="V1838" s="440"/>
      <c r="W1838" s="440"/>
      <c r="X1838" s="442"/>
    </row>
    <row r="1839" spans="1:24" x14ac:dyDescent="0.25">
      <c r="A1839" s="862">
        <v>2557</v>
      </c>
      <c r="B1839" s="863" t="s">
        <v>9272</v>
      </c>
      <c r="C1839" s="862">
        <v>2557</v>
      </c>
      <c r="D1839" s="165" t="s">
        <v>2162</v>
      </c>
      <c r="E1839" s="165" t="s">
        <v>9273</v>
      </c>
      <c r="F1839" s="163">
        <v>1</v>
      </c>
      <c r="G1839" s="864"/>
      <c r="H1839" s="864">
        <v>20635.69512181243</v>
      </c>
      <c r="I1839" s="864">
        <v>0</v>
      </c>
      <c r="J1839" s="864">
        <v>0</v>
      </c>
      <c r="K1839" s="864">
        <v>0</v>
      </c>
      <c r="L1839" s="18" t="s">
        <v>1255</v>
      </c>
      <c r="M1839" s="442"/>
      <c r="N1839" s="433"/>
      <c r="P1839" s="433"/>
      <c r="T1839" s="443"/>
      <c r="U1839" s="440"/>
      <c r="V1839" s="440"/>
      <c r="W1839" s="440"/>
      <c r="X1839" s="442"/>
    </row>
    <row r="1840" spans="1:24" x14ac:dyDescent="0.25">
      <c r="A1840" s="862">
        <v>2558</v>
      </c>
      <c r="B1840" s="863" t="s">
        <v>9274</v>
      </c>
      <c r="C1840" s="862">
        <v>2558</v>
      </c>
      <c r="D1840" s="165" t="s">
        <v>2162</v>
      </c>
      <c r="E1840" s="165" t="s">
        <v>9275</v>
      </c>
      <c r="F1840" s="163">
        <v>1</v>
      </c>
      <c r="G1840" s="864"/>
      <c r="H1840" s="864">
        <v>17033.243076891449</v>
      </c>
      <c r="I1840" s="864">
        <v>17543.952421201411</v>
      </c>
      <c r="J1840" s="864">
        <v>18081.527204977676</v>
      </c>
      <c r="K1840" s="864">
        <v>18647.386065287788</v>
      </c>
      <c r="L1840" s="18" t="s">
        <v>1256</v>
      </c>
      <c r="M1840" s="442"/>
      <c r="N1840" s="433"/>
      <c r="P1840" s="433"/>
      <c r="T1840" s="443"/>
      <c r="U1840" s="440"/>
      <c r="V1840" s="440"/>
      <c r="W1840" s="440"/>
      <c r="X1840" s="442"/>
    </row>
    <row r="1841" spans="1:24" x14ac:dyDescent="0.25">
      <c r="A1841" s="862">
        <v>2559</v>
      </c>
      <c r="B1841" s="863" t="s">
        <v>9276</v>
      </c>
      <c r="C1841" s="862">
        <v>2559</v>
      </c>
      <c r="D1841" s="165" t="s">
        <v>2162</v>
      </c>
      <c r="E1841" s="165" t="s">
        <v>9277</v>
      </c>
      <c r="F1841" s="163">
        <v>1</v>
      </c>
      <c r="G1841" s="864"/>
      <c r="H1841" s="864">
        <v>16361.20789547061</v>
      </c>
      <c r="I1841" s="864">
        <v>0</v>
      </c>
      <c r="J1841" s="864">
        <v>0</v>
      </c>
      <c r="K1841" s="864">
        <v>0</v>
      </c>
      <c r="L1841" s="18" t="s">
        <v>1257</v>
      </c>
      <c r="M1841" s="442"/>
      <c r="N1841" s="433"/>
      <c r="P1841" s="433"/>
      <c r="T1841" s="443"/>
      <c r="U1841" s="440"/>
      <c r="V1841" s="440"/>
      <c r="W1841" s="440"/>
      <c r="X1841" s="442"/>
    </row>
    <row r="1842" spans="1:24" x14ac:dyDescent="0.25">
      <c r="A1842" s="862">
        <v>2560</v>
      </c>
      <c r="B1842" s="863" t="s">
        <v>9278</v>
      </c>
      <c r="C1842" s="862">
        <v>2560</v>
      </c>
      <c r="D1842" s="165" t="s">
        <v>2162</v>
      </c>
      <c r="E1842" s="165" t="s">
        <v>9279</v>
      </c>
      <c r="F1842" s="163">
        <v>1</v>
      </c>
      <c r="G1842" s="864"/>
      <c r="H1842" s="864">
        <v>0</v>
      </c>
      <c r="I1842" s="864">
        <v>18345.242273289608</v>
      </c>
      <c r="J1842" s="864">
        <v>18891.018552612528</v>
      </c>
      <c r="K1842" s="864">
        <v>19465.522232552881</v>
      </c>
      <c r="L1842" s="18" t="s">
        <v>4034</v>
      </c>
      <c r="M1842" s="442"/>
      <c r="N1842" s="433"/>
      <c r="P1842" s="433"/>
      <c r="T1842" s="443"/>
      <c r="U1842" s="440"/>
      <c r="V1842" s="440"/>
      <c r="W1842" s="440"/>
      <c r="X1842" s="442"/>
    </row>
    <row r="1843" spans="1:24" x14ac:dyDescent="0.25">
      <c r="A1843" s="862">
        <v>2561</v>
      </c>
      <c r="B1843" s="863" t="s">
        <v>9280</v>
      </c>
      <c r="C1843" s="862">
        <v>2561</v>
      </c>
      <c r="D1843" s="165" t="s">
        <v>2162</v>
      </c>
      <c r="E1843" s="165" t="s">
        <v>9281</v>
      </c>
      <c r="F1843" s="163">
        <v>1</v>
      </c>
      <c r="G1843" s="864"/>
      <c r="H1843" s="864">
        <v>0</v>
      </c>
      <c r="I1843" s="864">
        <v>19401.7953595984</v>
      </c>
      <c r="J1843" s="864">
        <v>19983.480889693106</v>
      </c>
      <c r="K1843" s="864">
        <v>20595.755781556378</v>
      </c>
      <c r="L1843" s="18" t="s">
        <v>4035</v>
      </c>
      <c r="M1843" s="442"/>
      <c r="N1843" s="433"/>
      <c r="P1843" s="433"/>
      <c r="T1843" s="443"/>
      <c r="U1843" s="440"/>
      <c r="V1843" s="440"/>
      <c r="W1843" s="440"/>
      <c r="X1843" s="442"/>
    </row>
    <row r="1844" spans="1:24" x14ac:dyDescent="0.25">
      <c r="A1844" s="862">
        <v>2562</v>
      </c>
      <c r="B1844" s="863" t="s">
        <v>9282</v>
      </c>
      <c r="C1844" s="862">
        <v>2562</v>
      </c>
      <c r="D1844" s="165" t="s">
        <v>2162</v>
      </c>
      <c r="E1844" s="165" t="s">
        <v>9283</v>
      </c>
      <c r="F1844" s="163">
        <v>1</v>
      </c>
      <c r="G1844" s="864"/>
      <c r="H1844" s="864">
        <v>13002.563910552435</v>
      </c>
      <c r="I1844" s="864">
        <v>13353.846373915811</v>
      </c>
      <c r="J1844" s="864">
        <v>13723.656083149321</v>
      </c>
      <c r="K1844" s="864">
        <v>14112.912048464794</v>
      </c>
      <c r="L1844" s="18" t="s">
        <v>1258</v>
      </c>
      <c r="M1844" s="442"/>
      <c r="N1844" s="433"/>
      <c r="P1844" s="433"/>
      <c r="T1844" s="443"/>
      <c r="U1844" s="440"/>
      <c r="V1844" s="440"/>
      <c r="W1844" s="440"/>
      <c r="X1844" s="442"/>
    </row>
    <row r="1845" spans="1:24" x14ac:dyDescent="0.25">
      <c r="A1845" s="862">
        <v>2563</v>
      </c>
      <c r="B1845" s="863" t="s">
        <v>9284</v>
      </c>
      <c r="C1845" s="862">
        <v>2563</v>
      </c>
      <c r="D1845" s="165" t="s">
        <v>2162</v>
      </c>
      <c r="E1845" s="165" t="s">
        <v>9285</v>
      </c>
      <c r="F1845" s="163">
        <v>1</v>
      </c>
      <c r="G1845" s="864"/>
      <c r="H1845" s="864">
        <v>12381.376047810079</v>
      </c>
      <c r="I1845" s="864">
        <v>12712.293244879662</v>
      </c>
      <c r="J1845" s="864">
        <v>13060.6716359737</v>
      </c>
      <c r="K1845" s="864">
        <v>13427.356710487053</v>
      </c>
      <c r="L1845" s="18" t="s">
        <v>1259</v>
      </c>
      <c r="M1845" s="442"/>
      <c r="N1845" s="433"/>
      <c r="P1845" s="433"/>
      <c r="T1845" s="443"/>
      <c r="U1845" s="440"/>
      <c r="V1845" s="440"/>
      <c r="W1845" s="440"/>
      <c r="X1845" s="442"/>
    </row>
    <row r="1846" spans="1:24" x14ac:dyDescent="0.25">
      <c r="A1846" s="862">
        <v>2564</v>
      </c>
      <c r="B1846" s="863" t="s">
        <v>9286</v>
      </c>
      <c r="C1846" s="862">
        <v>2564</v>
      </c>
      <c r="D1846" s="165" t="s">
        <v>2162</v>
      </c>
      <c r="E1846" s="165" t="s">
        <v>9287</v>
      </c>
      <c r="F1846" s="163">
        <v>1</v>
      </c>
      <c r="G1846" s="864"/>
      <c r="H1846" s="864">
        <v>14182.842906008023</v>
      </c>
      <c r="I1846" s="864">
        <v>0</v>
      </c>
      <c r="J1846" s="864">
        <v>0</v>
      </c>
      <c r="K1846" s="864">
        <v>0</v>
      </c>
      <c r="L1846" s="18" t="s">
        <v>1260</v>
      </c>
      <c r="M1846" s="442"/>
      <c r="N1846" s="433"/>
      <c r="P1846" s="433"/>
      <c r="T1846" s="443"/>
      <c r="U1846" s="440"/>
      <c r="V1846" s="440"/>
      <c r="W1846" s="440"/>
      <c r="X1846" s="442"/>
    </row>
    <row r="1847" spans="1:24" x14ac:dyDescent="0.25">
      <c r="A1847" s="862">
        <v>2565</v>
      </c>
      <c r="B1847" s="863" t="s">
        <v>9288</v>
      </c>
      <c r="C1847" s="862">
        <v>2565</v>
      </c>
      <c r="D1847" s="165" t="s">
        <v>2162</v>
      </c>
      <c r="E1847" s="165" t="s">
        <v>9289</v>
      </c>
      <c r="F1847" s="163">
        <v>1</v>
      </c>
      <c r="G1847" s="864"/>
      <c r="H1847" s="864">
        <v>13561.655043265655</v>
      </c>
      <c r="I1847" s="864">
        <v>0</v>
      </c>
      <c r="J1847" s="864">
        <v>0</v>
      </c>
      <c r="K1847" s="864">
        <v>0</v>
      </c>
      <c r="L1847" s="18" t="s">
        <v>1261</v>
      </c>
      <c r="M1847" s="442"/>
      <c r="N1847" s="433"/>
      <c r="P1847" s="433"/>
      <c r="T1847" s="443"/>
      <c r="U1847" s="440"/>
      <c r="V1847" s="440"/>
      <c r="W1847" s="440"/>
      <c r="X1847" s="442"/>
    </row>
    <row r="1848" spans="1:24" x14ac:dyDescent="0.25">
      <c r="A1848" s="862">
        <v>2566</v>
      </c>
      <c r="B1848" s="863" t="s">
        <v>9290</v>
      </c>
      <c r="C1848" s="862">
        <v>2566</v>
      </c>
      <c r="D1848" s="165" t="s">
        <v>2162</v>
      </c>
      <c r="E1848" s="165" t="s">
        <v>9291</v>
      </c>
      <c r="F1848" s="163">
        <v>1</v>
      </c>
      <c r="G1848" s="864"/>
      <c r="H1848" s="864">
        <v>0</v>
      </c>
      <c r="I1848" s="864">
        <v>12995.354630882179</v>
      </c>
      <c r="J1848" s="864">
        <v>13325.316057331489</v>
      </c>
      <c r="K1848" s="864">
        <v>13672.628396579821</v>
      </c>
      <c r="L1848" s="18" t="s">
        <v>4036</v>
      </c>
      <c r="M1848" s="442"/>
      <c r="N1848" s="433"/>
      <c r="P1848" s="433"/>
      <c r="T1848" s="443"/>
      <c r="U1848" s="440"/>
      <c r="V1848" s="440"/>
      <c r="W1848" s="440"/>
      <c r="X1848" s="442"/>
    </row>
    <row r="1849" spans="1:24" x14ac:dyDescent="0.25">
      <c r="A1849" s="862">
        <v>2567</v>
      </c>
      <c r="B1849" s="863" t="s">
        <v>9292</v>
      </c>
      <c r="C1849" s="862">
        <v>2567</v>
      </c>
      <c r="D1849" s="165" t="s">
        <v>2162</v>
      </c>
      <c r="E1849" s="165" t="s">
        <v>9293</v>
      </c>
      <c r="F1849" s="163">
        <v>1</v>
      </c>
      <c r="G1849" s="864"/>
      <c r="H1849" s="864">
        <v>0</v>
      </c>
      <c r="I1849" s="864">
        <v>12204.226559703551</v>
      </c>
      <c r="J1849" s="864">
        <v>12509.815835335579</v>
      </c>
      <c r="K1849" s="864">
        <v>12831.469409470097</v>
      </c>
      <c r="L1849" s="18" t="s">
        <v>4037</v>
      </c>
      <c r="M1849" s="442"/>
      <c r="N1849" s="433"/>
      <c r="P1849" s="433"/>
      <c r="T1849" s="443"/>
      <c r="U1849" s="440"/>
      <c r="V1849" s="440"/>
      <c r="W1849" s="440"/>
      <c r="X1849" s="442"/>
    </row>
    <row r="1850" spans="1:24" x14ac:dyDescent="0.25">
      <c r="A1850" s="862">
        <v>2568</v>
      </c>
      <c r="B1850" s="863" t="s">
        <v>9294</v>
      </c>
      <c r="C1850" s="862">
        <v>2568</v>
      </c>
      <c r="D1850" s="165" t="s">
        <v>2162</v>
      </c>
      <c r="E1850" s="165" t="s">
        <v>9295</v>
      </c>
      <c r="F1850" s="163">
        <v>1</v>
      </c>
      <c r="G1850" s="864"/>
      <c r="H1850" s="864">
        <v>10929.464206040431</v>
      </c>
      <c r="I1850" s="864">
        <v>11207.262612867238</v>
      </c>
      <c r="J1850" s="864">
        <v>11499.728422674581</v>
      </c>
      <c r="K1850" s="864">
        <v>11807.56008322343</v>
      </c>
      <c r="L1850" s="18" t="s">
        <v>1262</v>
      </c>
      <c r="M1850" s="442"/>
      <c r="N1850" s="433"/>
      <c r="P1850" s="433"/>
      <c r="T1850" s="443"/>
      <c r="U1850" s="440"/>
      <c r="V1850" s="440"/>
      <c r="W1850" s="440"/>
      <c r="X1850" s="442"/>
    </row>
    <row r="1851" spans="1:24" x14ac:dyDescent="0.25">
      <c r="A1851" s="862">
        <v>2569</v>
      </c>
      <c r="B1851" s="863" t="s">
        <v>9296</v>
      </c>
      <c r="C1851" s="862">
        <v>2569</v>
      </c>
      <c r="D1851" s="165" t="s">
        <v>2162</v>
      </c>
      <c r="E1851" s="165" t="s">
        <v>9297</v>
      </c>
      <c r="F1851" s="163">
        <v>1</v>
      </c>
      <c r="G1851" s="864"/>
      <c r="H1851" s="864">
        <v>12331.779104814403</v>
      </c>
      <c r="I1851" s="864">
        <v>0</v>
      </c>
      <c r="J1851" s="864">
        <v>0</v>
      </c>
      <c r="K1851" s="864">
        <v>0</v>
      </c>
      <c r="L1851" s="18" t="s">
        <v>1263</v>
      </c>
      <c r="M1851" s="442"/>
      <c r="N1851" s="433"/>
      <c r="P1851" s="433"/>
      <c r="T1851" s="443"/>
      <c r="U1851" s="440"/>
      <c r="V1851" s="440"/>
      <c r="W1851" s="440"/>
      <c r="X1851" s="442"/>
    </row>
    <row r="1852" spans="1:24" x14ac:dyDescent="0.25">
      <c r="A1852" s="862">
        <v>2570</v>
      </c>
      <c r="B1852" s="863" t="s">
        <v>9298</v>
      </c>
      <c r="C1852" s="862">
        <v>2570</v>
      </c>
      <c r="D1852" s="165" t="s">
        <v>2162</v>
      </c>
      <c r="E1852" s="165" t="s">
        <v>9299</v>
      </c>
      <c r="F1852" s="163">
        <v>1</v>
      </c>
      <c r="G1852" s="864"/>
      <c r="H1852" s="864">
        <v>11549.371650562833</v>
      </c>
      <c r="I1852" s="864">
        <v>0</v>
      </c>
      <c r="J1852" s="864">
        <v>0</v>
      </c>
      <c r="K1852" s="864">
        <v>0</v>
      </c>
      <c r="L1852" s="18" t="s">
        <v>1264</v>
      </c>
      <c r="M1852" s="442"/>
      <c r="N1852" s="433"/>
      <c r="P1852" s="433"/>
      <c r="T1852" s="443"/>
      <c r="U1852" s="440"/>
      <c r="V1852" s="440"/>
      <c r="W1852" s="440"/>
      <c r="X1852" s="442"/>
    </row>
    <row r="1853" spans="1:24" x14ac:dyDescent="0.25">
      <c r="A1853" s="862">
        <v>2571</v>
      </c>
      <c r="B1853" s="863" t="s">
        <v>9300</v>
      </c>
      <c r="C1853" s="862">
        <v>2571</v>
      </c>
      <c r="D1853" s="165" t="s">
        <v>2162</v>
      </c>
      <c r="E1853" s="165" t="s">
        <v>9301</v>
      </c>
      <c r="F1853" s="163">
        <v>1</v>
      </c>
      <c r="G1853" s="864"/>
      <c r="H1853" s="864">
        <v>12994.347458970204</v>
      </c>
      <c r="I1853" s="864">
        <v>0</v>
      </c>
      <c r="J1853" s="864">
        <v>0</v>
      </c>
      <c r="K1853" s="864">
        <v>0</v>
      </c>
      <c r="L1853" s="18" t="s">
        <v>1265</v>
      </c>
      <c r="M1853" s="442"/>
      <c r="N1853" s="433"/>
      <c r="P1853" s="433"/>
      <c r="T1853" s="443"/>
      <c r="U1853" s="440"/>
      <c r="V1853" s="440"/>
      <c r="W1853" s="440"/>
      <c r="X1853" s="442"/>
    </row>
    <row r="1854" spans="1:24" x14ac:dyDescent="0.25">
      <c r="A1854" s="862">
        <v>2572</v>
      </c>
      <c r="B1854" s="863" t="s">
        <v>9302</v>
      </c>
      <c r="C1854" s="862">
        <v>2572</v>
      </c>
      <c r="D1854" s="165" t="s">
        <v>2162</v>
      </c>
      <c r="E1854" s="165" t="s">
        <v>9303</v>
      </c>
      <c r="F1854" s="163">
        <v>1</v>
      </c>
      <c r="G1854" s="864"/>
      <c r="H1854" s="864">
        <v>12364.506720092106</v>
      </c>
      <c r="I1854" s="864">
        <v>12707.48133114068</v>
      </c>
      <c r="J1854" s="864">
        <v>13068.542063157734</v>
      </c>
      <c r="K1854" s="864">
        <v>13448.607926355076</v>
      </c>
      <c r="L1854" s="18" t="s">
        <v>1266</v>
      </c>
      <c r="M1854" s="442"/>
      <c r="N1854" s="433"/>
      <c r="P1854" s="433"/>
      <c r="T1854" s="443"/>
      <c r="U1854" s="440"/>
      <c r="V1854" s="440"/>
      <c r="W1854" s="440"/>
      <c r="X1854" s="442"/>
    </row>
    <row r="1855" spans="1:24" x14ac:dyDescent="0.25">
      <c r="A1855" s="862">
        <v>2573</v>
      </c>
      <c r="B1855" s="863" t="s">
        <v>9304</v>
      </c>
      <c r="C1855" s="862">
        <v>2573</v>
      </c>
      <c r="D1855" s="165" t="s">
        <v>2162</v>
      </c>
      <c r="E1855" s="165" t="s">
        <v>9305</v>
      </c>
      <c r="F1855" s="163">
        <v>1</v>
      </c>
      <c r="G1855" s="864"/>
      <c r="H1855" s="864">
        <v>0</v>
      </c>
      <c r="I1855" s="864">
        <v>11633.484165496107</v>
      </c>
      <c r="J1855" s="864">
        <v>11921.501965878277</v>
      </c>
      <c r="K1855" s="864">
        <v>12224.665054551115</v>
      </c>
      <c r="L1855" s="18" t="s">
        <v>4038</v>
      </c>
      <c r="M1855" s="442"/>
      <c r="N1855" s="433"/>
      <c r="P1855" s="433"/>
      <c r="T1855" s="443"/>
      <c r="U1855" s="440"/>
      <c r="V1855" s="440"/>
      <c r="W1855" s="440"/>
      <c r="X1855" s="442"/>
    </row>
    <row r="1856" spans="1:24" x14ac:dyDescent="0.25">
      <c r="A1856" s="862">
        <v>2574</v>
      </c>
      <c r="B1856" s="863" t="s">
        <v>9306</v>
      </c>
      <c r="C1856" s="862">
        <v>2574</v>
      </c>
      <c r="D1856" s="165" t="s">
        <v>2162</v>
      </c>
      <c r="E1856" s="165" t="s">
        <v>9307</v>
      </c>
      <c r="F1856" s="163">
        <v>1</v>
      </c>
      <c r="G1856" s="864"/>
      <c r="H1856" s="864">
        <v>0</v>
      </c>
      <c r="I1856" s="864">
        <v>10814.101520346812</v>
      </c>
      <c r="J1856" s="864">
        <v>11076.864920108359</v>
      </c>
      <c r="K1856" s="864">
        <v>11353.450233455569</v>
      </c>
      <c r="L1856" s="18" t="s">
        <v>4039</v>
      </c>
      <c r="M1856" s="442"/>
      <c r="N1856" s="433"/>
      <c r="P1856" s="433"/>
      <c r="T1856" s="443"/>
      <c r="U1856" s="440"/>
      <c r="V1856" s="440"/>
      <c r="W1856" s="440"/>
      <c r="X1856" s="442"/>
    </row>
    <row r="1857" spans="1:24" x14ac:dyDescent="0.25">
      <c r="A1857" s="862">
        <v>2575</v>
      </c>
      <c r="B1857" s="863" t="s">
        <v>9308</v>
      </c>
      <c r="C1857" s="862">
        <v>2575</v>
      </c>
      <c r="D1857" s="165" t="s">
        <v>2162</v>
      </c>
      <c r="E1857" s="165" t="s">
        <v>9309</v>
      </c>
      <c r="F1857" s="163">
        <v>1</v>
      </c>
      <c r="G1857" s="864"/>
      <c r="H1857" s="864">
        <v>13206.533360809524</v>
      </c>
      <c r="I1857" s="864">
        <v>0</v>
      </c>
      <c r="J1857" s="864">
        <v>0</v>
      </c>
      <c r="K1857" s="864">
        <v>0</v>
      </c>
      <c r="L1857" s="18" t="s">
        <v>1267</v>
      </c>
      <c r="M1857" s="442"/>
      <c r="N1857" s="433"/>
      <c r="P1857" s="433"/>
      <c r="T1857" s="443"/>
      <c r="U1857" s="440"/>
      <c r="V1857" s="440"/>
      <c r="W1857" s="440"/>
      <c r="X1857" s="442"/>
    </row>
    <row r="1858" spans="1:24" x14ac:dyDescent="0.25">
      <c r="A1858" s="862">
        <v>2576</v>
      </c>
      <c r="B1858" s="863" t="s">
        <v>9310</v>
      </c>
      <c r="C1858" s="862">
        <v>2576</v>
      </c>
      <c r="D1858" s="165" t="s">
        <v>2162</v>
      </c>
      <c r="E1858" s="165" t="s">
        <v>9311</v>
      </c>
      <c r="F1858" s="163">
        <v>1</v>
      </c>
      <c r="G1858" s="864"/>
      <c r="H1858" s="864">
        <v>0</v>
      </c>
      <c r="I1858" s="864">
        <v>12187.27381532115</v>
      </c>
      <c r="J1858" s="864">
        <v>12492.348445234564</v>
      </c>
      <c r="K1858" s="864">
        <v>12813.487373650469</v>
      </c>
      <c r="L1858" s="18" t="s">
        <v>4040</v>
      </c>
      <c r="M1858" s="442"/>
      <c r="N1858" s="433"/>
      <c r="P1858" s="433"/>
      <c r="T1858" s="443"/>
      <c r="U1858" s="440"/>
      <c r="V1858" s="440"/>
      <c r="W1858" s="440"/>
      <c r="X1858" s="442"/>
    </row>
    <row r="1859" spans="1:24" x14ac:dyDescent="0.25">
      <c r="A1859" s="862">
        <v>2577</v>
      </c>
      <c r="B1859" s="863" t="s">
        <v>9312</v>
      </c>
      <c r="C1859" s="862">
        <v>2577</v>
      </c>
      <c r="D1859" s="165" t="s">
        <v>2162</v>
      </c>
      <c r="E1859" s="165" t="s">
        <v>9313</v>
      </c>
      <c r="F1859" s="163">
        <v>1</v>
      </c>
      <c r="G1859" s="864"/>
      <c r="H1859" s="864">
        <v>0</v>
      </c>
      <c r="I1859" s="864">
        <v>11396.145744142523</v>
      </c>
      <c r="J1859" s="864">
        <v>11676.811462830183</v>
      </c>
      <c r="K1859" s="864">
        <v>11972.254865723795</v>
      </c>
      <c r="L1859" s="18" t="s">
        <v>4041</v>
      </c>
      <c r="M1859" s="442"/>
      <c r="N1859" s="433"/>
      <c r="P1859" s="433"/>
      <c r="T1859" s="443"/>
      <c r="U1859" s="440"/>
      <c r="V1859" s="440"/>
      <c r="W1859" s="440"/>
      <c r="X1859" s="442"/>
    </row>
    <row r="1860" spans="1:24" x14ac:dyDescent="0.25">
      <c r="A1860" s="862">
        <v>2578</v>
      </c>
      <c r="B1860" s="863" t="s">
        <v>9314</v>
      </c>
      <c r="C1860" s="862">
        <v>2578</v>
      </c>
      <c r="D1860" s="165" t="s">
        <v>2162</v>
      </c>
      <c r="E1860" s="165" t="s">
        <v>9315</v>
      </c>
      <c r="F1860" s="163">
        <v>1</v>
      </c>
      <c r="G1860" s="864"/>
      <c r="H1860" s="864">
        <v>0</v>
      </c>
      <c r="I1860" s="864">
        <v>16566.732780774288</v>
      </c>
      <c r="J1860" s="864">
        <v>17006.754870190314</v>
      </c>
      <c r="K1860" s="864">
        <v>17469.936016944015</v>
      </c>
      <c r="L1860" s="18" t="s">
        <v>4042</v>
      </c>
      <c r="M1860" s="442"/>
      <c r="N1860" s="433"/>
      <c r="P1860" s="433"/>
      <c r="T1860" s="443"/>
      <c r="U1860" s="440"/>
      <c r="V1860" s="440"/>
      <c r="W1860" s="440"/>
      <c r="X1860" s="442"/>
    </row>
    <row r="1861" spans="1:24" x14ac:dyDescent="0.25">
      <c r="A1861" s="862">
        <v>2579</v>
      </c>
      <c r="B1861" s="863" t="s">
        <v>9316</v>
      </c>
      <c r="C1861" s="862">
        <v>2579</v>
      </c>
      <c r="D1861" s="165" t="s">
        <v>2162</v>
      </c>
      <c r="E1861" s="165" t="s">
        <v>9317</v>
      </c>
      <c r="F1861" s="163">
        <v>1</v>
      </c>
      <c r="G1861" s="864"/>
      <c r="H1861" s="864">
        <v>0</v>
      </c>
      <c r="I1861" s="864">
        <v>15945.132153419645</v>
      </c>
      <c r="J1861" s="864">
        <v>16366.002070021488</v>
      </c>
      <c r="K1861" s="864">
        <v>16809.038512932257</v>
      </c>
      <c r="L1861" s="18" t="s">
        <v>4043</v>
      </c>
      <c r="M1861" s="442"/>
      <c r="N1861" s="433"/>
      <c r="P1861" s="433"/>
      <c r="T1861" s="443"/>
      <c r="U1861" s="440"/>
      <c r="V1861" s="440"/>
      <c r="W1861" s="440"/>
      <c r="X1861" s="442"/>
    </row>
    <row r="1862" spans="1:24" x14ac:dyDescent="0.25">
      <c r="A1862" s="862">
        <v>2580</v>
      </c>
      <c r="B1862" s="863" t="s">
        <v>9318</v>
      </c>
      <c r="C1862" s="862">
        <v>2580</v>
      </c>
      <c r="D1862" s="165" t="s">
        <v>2162</v>
      </c>
      <c r="E1862" s="165" t="s">
        <v>9319</v>
      </c>
      <c r="F1862" s="163">
        <v>2</v>
      </c>
      <c r="G1862" s="864"/>
      <c r="H1862" s="864">
        <v>50150.316250465199</v>
      </c>
      <c r="I1862" s="864">
        <v>51758.272393633466</v>
      </c>
      <c r="J1862" s="864">
        <v>53450.875347240042</v>
      </c>
      <c r="K1862" s="864">
        <v>55232.552644114352</v>
      </c>
      <c r="L1862" s="18" t="s">
        <v>1268</v>
      </c>
      <c r="M1862" s="442"/>
      <c r="N1862" s="433"/>
      <c r="P1862" s="433"/>
      <c r="T1862" s="443"/>
      <c r="U1862" s="440"/>
      <c r="V1862" s="440"/>
      <c r="W1862" s="440"/>
      <c r="X1862" s="442"/>
    </row>
    <row r="1863" spans="1:24" x14ac:dyDescent="0.25">
      <c r="A1863" s="862">
        <v>2581</v>
      </c>
      <c r="B1863" s="863" t="s">
        <v>9320</v>
      </c>
      <c r="C1863" s="862">
        <v>2581</v>
      </c>
      <c r="D1863" s="165" t="s">
        <v>2162</v>
      </c>
      <c r="E1863" s="165" t="s">
        <v>9321</v>
      </c>
      <c r="F1863" s="163">
        <v>2</v>
      </c>
      <c r="G1863" s="864"/>
      <c r="H1863" s="864">
        <v>42977.676789524361</v>
      </c>
      <c r="I1863" s="864">
        <v>44337.119799684842</v>
      </c>
      <c r="J1863" s="864">
        <v>45768.117453314808</v>
      </c>
      <c r="K1863" s="864">
        <v>47274.430772925298</v>
      </c>
      <c r="L1863" s="18" t="s">
        <v>1269</v>
      </c>
      <c r="M1863" s="442"/>
      <c r="N1863" s="433"/>
      <c r="P1863" s="433"/>
      <c r="T1863" s="443"/>
      <c r="U1863" s="440"/>
      <c r="V1863" s="440"/>
      <c r="W1863" s="440"/>
      <c r="X1863" s="442"/>
    </row>
    <row r="1864" spans="1:24" x14ac:dyDescent="0.25">
      <c r="A1864" s="862">
        <v>2582</v>
      </c>
      <c r="B1864" s="863" t="s">
        <v>9322</v>
      </c>
      <c r="C1864" s="862">
        <v>2582</v>
      </c>
      <c r="D1864" s="165" t="s">
        <v>2162</v>
      </c>
      <c r="E1864" s="165" t="s">
        <v>9323</v>
      </c>
      <c r="F1864" s="163">
        <v>2</v>
      </c>
      <c r="G1864" s="864"/>
      <c r="H1864" s="864">
        <v>45614.670290297916</v>
      </c>
      <c r="I1864" s="864">
        <v>47065.472821960684</v>
      </c>
      <c r="J1864" s="864">
        <v>48592.638392961497</v>
      </c>
      <c r="K1864" s="864">
        <v>50200.166065210797</v>
      </c>
      <c r="L1864" s="18" t="s">
        <v>1270</v>
      </c>
      <c r="M1864" s="442"/>
      <c r="N1864" s="433"/>
      <c r="P1864" s="433"/>
      <c r="T1864" s="443"/>
      <c r="U1864" s="440"/>
      <c r="V1864" s="440"/>
      <c r="W1864" s="440"/>
      <c r="X1864" s="442"/>
    </row>
    <row r="1865" spans="1:24" x14ac:dyDescent="0.25">
      <c r="A1865" s="862">
        <v>2583</v>
      </c>
      <c r="B1865" s="863" t="s">
        <v>9324</v>
      </c>
      <c r="C1865" s="862">
        <v>2583</v>
      </c>
      <c r="D1865" s="165" t="s">
        <v>2162</v>
      </c>
      <c r="E1865" s="165" t="s">
        <v>9325</v>
      </c>
      <c r="F1865" s="163">
        <v>2</v>
      </c>
      <c r="G1865" s="864"/>
      <c r="H1865" s="864">
        <v>38020.298492122471</v>
      </c>
      <c r="I1865" s="864">
        <v>39207.972271652266</v>
      </c>
      <c r="J1865" s="864">
        <v>40458.155197473112</v>
      </c>
      <c r="K1865" s="864">
        <v>41774.179821177058</v>
      </c>
      <c r="L1865" s="18" t="s">
        <v>1271</v>
      </c>
      <c r="M1865" s="442"/>
      <c r="N1865" s="433"/>
      <c r="P1865" s="433"/>
      <c r="T1865" s="443"/>
      <c r="U1865" s="440"/>
      <c r="V1865" s="440"/>
      <c r="W1865" s="440"/>
      <c r="X1865" s="442"/>
    </row>
    <row r="1866" spans="1:24" x14ac:dyDescent="0.25">
      <c r="A1866" s="862">
        <v>2584</v>
      </c>
      <c r="B1866" s="863" t="s">
        <v>9326</v>
      </c>
      <c r="C1866" s="862">
        <v>2584</v>
      </c>
      <c r="D1866" s="165" t="s">
        <v>2162</v>
      </c>
      <c r="E1866" s="165" t="s">
        <v>9327</v>
      </c>
      <c r="F1866" s="163">
        <v>2</v>
      </c>
      <c r="G1866" s="864"/>
      <c r="H1866" s="864">
        <v>34328.545677343398</v>
      </c>
      <c r="I1866" s="864">
        <v>35388.344691497914</v>
      </c>
      <c r="J1866" s="864">
        <v>36503.892532999598</v>
      </c>
      <c r="K1866" s="864">
        <v>37678.188498281277</v>
      </c>
      <c r="L1866" s="18" t="s">
        <v>1272</v>
      </c>
      <c r="M1866" s="442"/>
      <c r="N1866" s="433"/>
      <c r="P1866" s="433"/>
      <c r="T1866" s="443"/>
      <c r="U1866" s="440"/>
      <c r="V1866" s="440"/>
      <c r="W1866" s="440"/>
      <c r="X1866" s="442"/>
    </row>
    <row r="1867" spans="1:24" x14ac:dyDescent="0.25">
      <c r="A1867" s="862">
        <v>2585</v>
      </c>
      <c r="B1867" s="863" t="s">
        <v>9328</v>
      </c>
      <c r="C1867" s="862">
        <v>2585</v>
      </c>
      <c r="D1867" s="165" t="s">
        <v>2162</v>
      </c>
      <c r="E1867" s="165" t="s">
        <v>9329</v>
      </c>
      <c r="F1867" s="163">
        <v>1</v>
      </c>
      <c r="G1867" s="864"/>
      <c r="H1867" s="864">
        <v>12361.455867424547</v>
      </c>
      <c r="I1867" s="864">
        <v>12736.474555721563</v>
      </c>
      <c r="J1867" s="864">
        <v>13131.251526957009</v>
      </c>
      <c r="K1867" s="864">
        <v>13546.82328121946</v>
      </c>
      <c r="L1867" s="18" t="s">
        <v>1273</v>
      </c>
      <c r="M1867" s="442"/>
      <c r="N1867" s="433"/>
      <c r="P1867" s="433"/>
      <c r="T1867" s="443"/>
      <c r="U1867" s="440"/>
      <c r="V1867" s="440"/>
      <c r="W1867" s="440"/>
      <c r="X1867" s="442"/>
    </row>
    <row r="1868" spans="1:24" x14ac:dyDescent="0.25">
      <c r="A1868" s="862">
        <v>2586</v>
      </c>
      <c r="B1868" s="863" t="s">
        <v>9330</v>
      </c>
      <c r="C1868" s="862">
        <v>2586</v>
      </c>
      <c r="D1868" s="165" t="s">
        <v>2162</v>
      </c>
      <c r="E1868" s="165" t="s">
        <v>9331</v>
      </c>
      <c r="F1868" s="163">
        <v>1</v>
      </c>
      <c r="G1868" s="864"/>
      <c r="H1868" s="864">
        <v>12621.749324735891</v>
      </c>
      <c r="I1868" s="864">
        <v>13006.485201363281</v>
      </c>
      <c r="J1868" s="864">
        <v>13411.432829717856</v>
      </c>
      <c r="K1868" s="864">
        <v>13837.693491143724</v>
      </c>
      <c r="L1868" s="18" t="s">
        <v>1274</v>
      </c>
      <c r="M1868" s="442"/>
      <c r="N1868" s="433"/>
      <c r="P1868" s="433"/>
      <c r="T1868" s="443"/>
      <c r="U1868" s="440"/>
      <c r="V1868" s="440"/>
      <c r="W1868" s="440"/>
      <c r="X1868" s="442"/>
    </row>
    <row r="1869" spans="1:24" x14ac:dyDescent="0.25">
      <c r="A1869" s="862">
        <v>2587</v>
      </c>
      <c r="B1869" s="863" t="s">
        <v>9332</v>
      </c>
      <c r="C1869" s="862">
        <v>2587</v>
      </c>
      <c r="D1869" s="165" t="s">
        <v>2162</v>
      </c>
      <c r="E1869" s="165" t="s">
        <v>9333</v>
      </c>
      <c r="F1869" s="163">
        <v>1</v>
      </c>
      <c r="G1869" s="864"/>
      <c r="H1869" s="864">
        <v>13913.592908013992</v>
      </c>
      <c r="I1869" s="864">
        <v>14346.39647624898</v>
      </c>
      <c r="J1869" s="864">
        <v>14802.003046432588</v>
      </c>
      <c r="K1869" s="864">
        <v>15281.578681164459</v>
      </c>
      <c r="L1869" s="18" t="s">
        <v>1275</v>
      </c>
      <c r="M1869" s="442"/>
      <c r="N1869" s="433"/>
      <c r="P1869" s="433"/>
      <c r="T1869" s="443"/>
      <c r="U1869" s="440"/>
      <c r="V1869" s="440"/>
      <c r="W1869" s="440"/>
      <c r="X1869" s="442"/>
    </row>
    <row r="1870" spans="1:24" x14ac:dyDescent="0.25">
      <c r="A1870" s="862">
        <v>2588</v>
      </c>
      <c r="B1870" s="863" t="s">
        <v>9334</v>
      </c>
      <c r="C1870" s="862">
        <v>2588</v>
      </c>
      <c r="D1870" s="165" t="s">
        <v>2162</v>
      </c>
      <c r="E1870" s="165" t="s">
        <v>9335</v>
      </c>
      <c r="F1870" s="163">
        <v>1</v>
      </c>
      <c r="G1870" s="864"/>
      <c r="H1870" s="864">
        <v>14308.505344368043</v>
      </c>
      <c r="I1870" s="864">
        <v>14756.079038865206</v>
      </c>
      <c r="J1870" s="864">
        <v>15227.168329121883</v>
      </c>
      <c r="K1870" s="864">
        <v>15723.004058993252</v>
      </c>
      <c r="L1870" s="18" t="s">
        <v>1276</v>
      </c>
      <c r="M1870" s="442"/>
      <c r="N1870" s="433"/>
      <c r="P1870" s="433"/>
      <c r="T1870" s="443"/>
      <c r="U1870" s="440"/>
      <c r="V1870" s="440"/>
      <c r="W1870" s="440"/>
      <c r="X1870" s="442"/>
    </row>
    <row r="1871" spans="1:24" x14ac:dyDescent="0.25">
      <c r="A1871" s="862">
        <v>2589</v>
      </c>
      <c r="B1871" s="863" t="s">
        <v>9336</v>
      </c>
      <c r="C1871" s="862">
        <v>2589</v>
      </c>
      <c r="D1871" s="165" t="s">
        <v>2162</v>
      </c>
      <c r="E1871" s="165" t="s">
        <v>9337</v>
      </c>
      <c r="F1871" s="163">
        <v>1</v>
      </c>
      <c r="G1871" s="864"/>
      <c r="H1871" s="864">
        <v>13026.657456248593</v>
      </c>
      <c r="I1871" s="864">
        <v>13426.48736541584</v>
      </c>
      <c r="J1871" s="864">
        <v>13847.306401376693</v>
      </c>
      <c r="K1871" s="864">
        <v>14782.488606292174</v>
      </c>
      <c r="L1871" s="18" t="s">
        <v>1277</v>
      </c>
      <c r="M1871" s="442"/>
      <c r="N1871" s="433"/>
      <c r="P1871" s="433"/>
      <c r="T1871" s="443"/>
      <c r="U1871" s="440"/>
      <c r="V1871" s="440"/>
      <c r="W1871" s="440"/>
      <c r="X1871" s="442"/>
    </row>
    <row r="1872" spans="1:24" x14ac:dyDescent="0.25">
      <c r="A1872" s="862">
        <v>2590</v>
      </c>
      <c r="B1872" s="863" t="s">
        <v>9338</v>
      </c>
      <c r="C1872" s="862">
        <v>2590</v>
      </c>
      <c r="D1872" s="165" t="s">
        <v>2162</v>
      </c>
      <c r="E1872" s="165" t="s">
        <v>9339</v>
      </c>
      <c r="F1872" s="163">
        <v>1</v>
      </c>
      <c r="G1872" s="864"/>
      <c r="H1872" s="864">
        <v>14038.960175658125</v>
      </c>
      <c r="I1872" s="864">
        <v>14476.427994291695</v>
      </c>
      <c r="J1872" s="864">
        <v>14936.893158640492</v>
      </c>
      <c r="K1872" s="864">
        <v>15421.65129381523</v>
      </c>
      <c r="L1872" s="18" t="s">
        <v>1278</v>
      </c>
      <c r="M1872" s="442"/>
      <c r="N1872" s="433"/>
      <c r="P1872" s="433"/>
      <c r="T1872" s="443"/>
      <c r="U1872" s="440"/>
      <c r="V1872" s="440"/>
      <c r="W1872" s="440"/>
      <c r="X1872" s="442"/>
    </row>
    <row r="1873" spans="1:24" x14ac:dyDescent="0.25">
      <c r="A1873" s="862">
        <v>2591</v>
      </c>
      <c r="B1873" s="863" t="s">
        <v>9340</v>
      </c>
      <c r="C1873" s="862">
        <v>2591</v>
      </c>
      <c r="D1873" s="165" t="s">
        <v>2162</v>
      </c>
      <c r="E1873" s="165" t="s">
        <v>9341</v>
      </c>
      <c r="F1873" s="163">
        <v>1</v>
      </c>
      <c r="G1873" s="864"/>
      <c r="H1873" s="864">
        <v>15520.146057383396</v>
      </c>
      <c r="I1873" s="864">
        <v>15893.546702721284</v>
      </c>
      <c r="J1873" s="864">
        <v>16286.607139814578</v>
      </c>
      <c r="K1873" s="864">
        <v>16700.356393576098</v>
      </c>
      <c r="L1873" s="18" t="s">
        <v>1279</v>
      </c>
      <c r="M1873" s="442"/>
      <c r="N1873" s="433"/>
      <c r="P1873" s="433"/>
      <c r="T1873" s="443"/>
      <c r="U1873" s="440"/>
      <c r="V1873" s="440"/>
      <c r="W1873" s="440"/>
      <c r="X1873" s="442"/>
    </row>
    <row r="1874" spans="1:24" x14ac:dyDescent="0.25">
      <c r="A1874" s="862">
        <v>2592</v>
      </c>
      <c r="B1874" s="863" t="s">
        <v>9342</v>
      </c>
      <c r="C1874" s="862">
        <v>2592</v>
      </c>
      <c r="D1874" s="165" t="s">
        <v>2162</v>
      </c>
      <c r="E1874" s="165" t="s">
        <v>9343</v>
      </c>
      <c r="F1874" s="163">
        <v>1</v>
      </c>
      <c r="G1874" s="864"/>
      <c r="H1874" s="864">
        <v>15506.817064180312</v>
      </c>
      <c r="I1874" s="864">
        <v>15876.480724308489</v>
      </c>
      <c r="J1874" s="864">
        <v>16265.587539368325</v>
      </c>
      <c r="K1874" s="864">
        <v>16675.166534272637</v>
      </c>
      <c r="L1874" s="18" t="s">
        <v>1280</v>
      </c>
      <c r="M1874" s="442"/>
      <c r="N1874" s="433"/>
      <c r="P1874" s="433"/>
      <c r="T1874" s="443"/>
      <c r="U1874" s="440"/>
      <c r="V1874" s="440"/>
      <c r="W1874" s="440"/>
      <c r="X1874" s="442"/>
    </row>
    <row r="1875" spans="1:24" x14ac:dyDescent="0.25">
      <c r="A1875" s="862">
        <v>2593</v>
      </c>
      <c r="B1875" s="863" t="s">
        <v>9344</v>
      </c>
      <c r="C1875" s="862">
        <v>2593</v>
      </c>
      <c r="D1875" s="165" t="s">
        <v>2162</v>
      </c>
      <c r="E1875" s="165" t="s">
        <v>9345</v>
      </c>
      <c r="F1875" s="163">
        <v>1</v>
      </c>
      <c r="G1875" s="864"/>
      <c r="H1875" s="864">
        <v>16334.758350592498</v>
      </c>
      <c r="I1875" s="864">
        <v>16728.279140936262</v>
      </c>
      <c r="J1875" s="864">
        <v>17142.488747948253</v>
      </c>
      <c r="K1875" s="864">
        <v>17578.497435350189</v>
      </c>
      <c r="L1875" s="18" t="s">
        <v>1281</v>
      </c>
      <c r="M1875" s="442"/>
      <c r="N1875" s="433"/>
      <c r="P1875" s="433"/>
      <c r="T1875" s="443"/>
      <c r="U1875" s="440"/>
      <c r="V1875" s="440"/>
      <c r="W1875" s="440"/>
      <c r="X1875" s="442"/>
    </row>
    <row r="1876" spans="1:24" x14ac:dyDescent="0.25">
      <c r="A1876" s="862">
        <v>2594</v>
      </c>
      <c r="B1876" s="863" t="s">
        <v>9346</v>
      </c>
      <c r="C1876" s="862">
        <v>2594</v>
      </c>
      <c r="D1876" s="165" t="s">
        <v>2162</v>
      </c>
      <c r="E1876" s="165" t="s">
        <v>9347</v>
      </c>
      <c r="F1876" s="163">
        <v>1</v>
      </c>
      <c r="G1876" s="864"/>
      <c r="H1876" s="864">
        <v>15059.62288337963</v>
      </c>
      <c r="I1876" s="864">
        <v>15423.139473633873</v>
      </c>
      <c r="J1876" s="864">
        <v>15805.774263584146</v>
      </c>
      <c r="K1876" s="864">
        <v>16208.556278143273</v>
      </c>
      <c r="L1876" s="18" t="s">
        <v>1282</v>
      </c>
      <c r="M1876" s="442"/>
      <c r="N1876" s="433"/>
      <c r="P1876" s="433"/>
      <c r="T1876" s="443"/>
      <c r="U1876" s="440"/>
      <c r="V1876" s="440"/>
      <c r="W1876" s="440"/>
      <c r="X1876" s="442"/>
    </row>
    <row r="1877" spans="1:24" x14ac:dyDescent="0.25">
      <c r="A1877" s="862">
        <v>2595</v>
      </c>
      <c r="B1877" s="863" t="s">
        <v>9348</v>
      </c>
      <c r="C1877" s="862">
        <v>2595</v>
      </c>
      <c r="D1877" s="165" t="s">
        <v>2162</v>
      </c>
      <c r="E1877" s="165" t="s">
        <v>9349</v>
      </c>
      <c r="F1877" s="163">
        <v>1</v>
      </c>
      <c r="G1877" s="864"/>
      <c r="H1877" s="864">
        <v>20786.394875523631</v>
      </c>
      <c r="I1877" s="864">
        <v>21283.84718206196</v>
      </c>
      <c r="J1877" s="864">
        <v>21807.485464671194</v>
      </c>
      <c r="K1877" s="864">
        <v>22358.663703499773</v>
      </c>
      <c r="L1877" s="18" t="s">
        <v>1283</v>
      </c>
      <c r="M1877" s="442"/>
      <c r="N1877" s="433"/>
      <c r="P1877" s="433"/>
      <c r="T1877" s="443"/>
      <c r="U1877" s="440"/>
      <c r="V1877" s="440"/>
      <c r="W1877" s="440"/>
      <c r="X1877" s="442"/>
    </row>
    <row r="1878" spans="1:24" x14ac:dyDescent="0.25">
      <c r="A1878" s="862">
        <v>2596</v>
      </c>
      <c r="B1878" s="863" t="s">
        <v>9350</v>
      </c>
      <c r="C1878" s="862">
        <v>2596</v>
      </c>
      <c r="D1878" s="165" t="s">
        <v>2162</v>
      </c>
      <c r="E1878" s="165" t="s">
        <v>9351</v>
      </c>
      <c r="F1878" s="163">
        <v>2</v>
      </c>
      <c r="G1878" s="864"/>
      <c r="H1878" s="864">
        <v>23111.469372678646</v>
      </c>
      <c r="I1878" s="864">
        <v>23970.943752515363</v>
      </c>
      <c r="J1878" s="864">
        <v>24875.64212742736</v>
      </c>
      <c r="K1878" s="864">
        <v>25827.967704882427</v>
      </c>
      <c r="L1878" s="18" t="s">
        <v>1284</v>
      </c>
      <c r="M1878" s="442"/>
      <c r="N1878" s="433"/>
      <c r="P1878" s="433"/>
      <c r="T1878" s="443"/>
      <c r="U1878" s="440"/>
      <c r="V1878" s="440"/>
      <c r="W1878" s="440"/>
      <c r="X1878" s="442"/>
    </row>
    <row r="1879" spans="1:24" x14ac:dyDescent="0.25">
      <c r="A1879" s="862">
        <v>2597</v>
      </c>
      <c r="B1879" s="863" t="s">
        <v>9352</v>
      </c>
      <c r="C1879" s="862">
        <v>2597</v>
      </c>
      <c r="D1879" s="165" t="s">
        <v>2162</v>
      </c>
      <c r="E1879" s="165" t="s">
        <v>9353</v>
      </c>
      <c r="F1879" s="163">
        <v>2</v>
      </c>
      <c r="G1879" s="864"/>
      <c r="H1879" s="864">
        <v>24108.021851728448</v>
      </c>
      <c r="I1879" s="864">
        <v>25011.518622906566</v>
      </c>
      <c r="J1879" s="864">
        <v>25962.587978276206</v>
      </c>
      <c r="K1879" s="864">
        <v>26963.687743656672</v>
      </c>
      <c r="L1879" s="18" t="s">
        <v>1285</v>
      </c>
      <c r="M1879" s="442"/>
      <c r="N1879" s="433"/>
      <c r="P1879" s="433"/>
      <c r="T1879" s="443"/>
      <c r="U1879" s="440"/>
      <c r="V1879" s="440"/>
      <c r="W1879" s="440"/>
      <c r="X1879" s="442"/>
    </row>
    <row r="1880" spans="1:24" x14ac:dyDescent="0.25">
      <c r="A1880" s="862">
        <v>2598</v>
      </c>
      <c r="B1880" s="863" t="s">
        <v>9354</v>
      </c>
      <c r="C1880" s="862">
        <v>2598</v>
      </c>
      <c r="D1880" s="165" t="s">
        <v>2162</v>
      </c>
      <c r="E1880" s="165" t="s">
        <v>9355</v>
      </c>
      <c r="F1880" s="163">
        <v>2</v>
      </c>
      <c r="G1880" s="864"/>
      <c r="H1880" s="864">
        <v>24791.333109968637</v>
      </c>
      <c r="I1880" s="864">
        <v>25725.033829548487</v>
      </c>
      <c r="J1880" s="864">
        <v>26707.89106551453</v>
      </c>
      <c r="K1880" s="864">
        <v>27742.471880389145</v>
      </c>
      <c r="L1880" s="18" t="s">
        <v>1286</v>
      </c>
      <c r="M1880" s="442"/>
      <c r="N1880" s="433"/>
      <c r="P1880" s="433"/>
      <c r="T1880" s="443"/>
      <c r="U1880" s="440"/>
      <c r="V1880" s="440"/>
      <c r="W1880" s="440"/>
      <c r="X1880" s="442"/>
    </row>
    <row r="1881" spans="1:24" x14ac:dyDescent="0.25">
      <c r="A1881" s="862">
        <v>2599</v>
      </c>
      <c r="B1881" s="863" t="s">
        <v>9356</v>
      </c>
      <c r="C1881" s="862">
        <v>2599</v>
      </c>
      <c r="D1881" s="165" t="s">
        <v>2162</v>
      </c>
      <c r="E1881" s="165" t="s">
        <v>9357</v>
      </c>
      <c r="F1881" s="163">
        <v>2</v>
      </c>
      <c r="G1881" s="864"/>
      <c r="H1881" s="864">
        <v>22210.698384179905</v>
      </c>
      <c r="I1881" s="864">
        <v>23005.99620095687</v>
      </c>
      <c r="J1881" s="864">
        <v>23843.131675013636</v>
      </c>
      <c r="K1881" s="864">
        <v>24724.34415876335</v>
      </c>
      <c r="L1881" s="18" t="s">
        <v>1287</v>
      </c>
      <c r="M1881" s="442"/>
      <c r="N1881" s="433"/>
      <c r="P1881" s="433"/>
      <c r="T1881" s="443"/>
      <c r="U1881" s="440"/>
      <c r="V1881" s="440"/>
      <c r="W1881" s="440"/>
      <c r="X1881" s="442"/>
    </row>
    <row r="1882" spans="1:24" x14ac:dyDescent="0.25">
      <c r="A1882" s="862">
        <v>2600</v>
      </c>
      <c r="B1882" s="863" t="s">
        <v>9358</v>
      </c>
      <c r="C1882" s="862">
        <v>2600</v>
      </c>
      <c r="D1882" s="165" t="s">
        <v>2162</v>
      </c>
      <c r="E1882" s="165" t="s">
        <v>9359</v>
      </c>
      <c r="F1882" s="163">
        <v>2</v>
      </c>
      <c r="G1882" s="864"/>
      <c r="H1882" s="864">
        <v>21170.300653624359</v>
      </c>
      <c r="I1882" s="864">
        <v>21920.975277192974</v>
      </c>
      <c r="J1882" s="864">
        <v>22711.193587276703</v>
      </c>
      <c r="K1882" s="864">
        <v>23542.976462882529</v>
      </c>
      <c r="L1882" s="18" t="s">
        <v>1288</v>
      </c>
      <c r="M1882" s="442"/>
      <c r="N1882" s="433"/>
      <c r="P1882" s="433"/>
      <c r="T1882" s="443"/>
      <c r="U1882" s="440"/>
      <c r="V1882" s="440"/>
      <c r="W1882" s="440"/>
      <c r="X1882" s="442"/>
    </row>
    <row r="1883" spans="1:24" x14ac:dyDescent="0.25">
      <c r="A1883" s="862">
        <v>2601</v>
      </c>
      <c r="B1883" s="863" t="s">
        <v>9360</v>
      </c>
      <c r="C1883" s="862">
        <v>2601</v>
      </c>
      <c r="D1883" s="165" t="s">
        <v>2162</v>
      </c>
      <c r="E1883" s="165" t="s">
        <v>9361</v>
      </c>
      <c r="F1883" s="163">
        <v>1</v>
      </c>
      <c r="G1883" s="864"/>
      <c r="H1883" s="864">
        <v>12995.354630882179</v>
      </c>
      <c r="I1883" s="864">
        <v>13325.316057331489</v>
      </c>
      <c r="J1883" s="864">
        <v>13672.628396579821</v>
      </c>
      <c r="K1883" s="864">
        <v>14038.247419247469</v>
      </c>
      <c r="L1883" s="18" t="s">
        <v>3100</v>
      </c>
      <c r="M1883" s="442"/>
      <c r="N1883" s="433"/>
      <c r="P1883" s="433"/>
      <c r="T1883" s="443"/>
      <c r="U1883" s="440"/>
      <c r="V1883" s="440"/>
      <c r="W1883" s="440"/>
      <c r="X1883" s="442"/>
    </row>
    <row r="1884" spans="1:24" x14ac:dyDescent="0.25">
      <c r="A1884" s="862">
        <v>2602</v>
      </c>
      <c r="B1884" s="863" t="s">
        <v>9362</v>
      </c>
      <c r="C1884" s="862">
        <v>2602</v>
      </c>
      <c r="D1884" s="165" t="s">
        <v>2162</v>
      </c>
      <c r="E1884" s="165" t="s">
        <v>9363</v>
      </c>
      <c r="F1884" s="163">
        <v>1</v>
      </c>
      <c r="G1884" s="864"/>
      <c r="H1884" s="864">
        <v>12317.244855586214</v>
      </c>
      <c r="I1884" s="864">
        <v>12626.289609614654</v>
      </c>
      <c r="J1884" s="864">
        <v>12951.619224596427</v>
      </c>
      <c r="K1884" s="864">
        <v>13294.079189926386</v>
      </c>
      <c r="L1884" s="18" t="s">
        <v>3101</v>
      </c>
      <c r="M1884" s="442"/>
      <c r="N1884" s="433"/>
      <c r="P1884" s="433"/>
      <c r="T1884" s="443"/>
      <c r="U1884" s="440"/>
      <c r="V1884" s="440"/>
      <c r="W1884" s="440"/>
      <c r="X1884" s="442"/>
    </row>
    <row r="1885" spans="1:24" x14ac:dyDescent="0.25">
      <c r="A1885" s="862">
        <v>2603</v>
      </c>
      <c r="B1885" s="863" t="s">
        <v>9364</v>
      </c>
      <c r="C1885" s="862">
        <v>2603</v>
      </c>
      <c r="D1885" s="165" t="s">
        <v>2162</v>
      </c>
      <c r="E1885" s="165" t="s">
        <v>9365</v>
      </c>
      <c r="F1885" s="163">
        <v>1</v>
      </c>
      <c r="G1885" s="864"/>
      <c r="H1885" s="864">
        <v>0</v>
      </c>
      <c r="I1885" s="864">
        <v>13826.039105619742</v>
      </c>
      <c r="J1885" s="864">
        <v>14181.585776365924</v>
      </c>
      <c r="K1885" s="864">
        <v>14555.843495024605</v>
      </c>
      <c r="L1885" s="18" t="s">
        <v>4044</v>
      </c>
      <c r="M1885" s="442"/>
      <c r="N1885" s="433"/>
      <c r="P1885" s="433"/>
      <c r="T1885" s="443"/>
      <c r="U1885" s="440"/>
      <c r="V1885" s="440"/>
      <c r="W1885" s="440"/>
      <c r="X1885" s="442"/>
    </row>
    <row r="1886" spans="1:24" x14ac:dyDescent="0.25">
      <c r="A1886" s="862">
        <v>2604</v>
      </c>
      <c r="B1886" s="863" t="s">
        <v>9366</v>
      </c>
      <c r="C1886" s="862">
        <v>2604</v>
      </c>
      <c r="D1886" s="165" t="s">
        <v>2162</v>
      </c>
      <c r="E1886" s="165" t="s">
        <v>9367</v>
      </c>
      <c r="F1886" s="163">
        <v>1</v>
      </c>
      <c r="G1886" s="864"/>
      <c r="H1886" s="864">
        <v>12447.21589585127</v>
      </c>
      <c r="I1886" s="864">
        <v>12760.267534403227</v>
      </c>
      <c r="J1886" s="864">
        <v>13089.824596359331</v>
      </c>
      <c r="K1886" s="864">
        <v>13436.695810705993</v>
      </c>
      <c r="L1886" s="18" t="s">
        <v>3102</v>
      </c>
      <c r="M1886" s="442"/>
      <c r="N1886" s="433"/>
      <c r="P1886" s="433"/>
      <c r="T1886" s="443"/>
      <c r="U1886" s="440"/>
      <c r="V1886" s="440"/>
      <c r="W1886" s="440"/>
      <c r="X1886" s="442"/>
    </row>
    <row r="1887" spans="1:24" x14ac:dyDescent="0.25">
      <c r="A1887" s="862">
        <v>2605</v>
      </c>
      <c r="B1887" s="863" t="s">
        <v>9368</v>
      </c>
      <c r="C1887" s="862">
        <v>2605</v>
      </c>
      <c r="D1887" s="165" t="s">
        <v>2162</v>
      </c>
      <c r="E1887" s="165" t="s">
        <v>9369</v>
      </c>
      <c r="F1887" s="163">
        <v>1</v>
      </c>
      <c r="G1887" s="864"/>
      <c r="H1887" s="864">
        <v>11656.087824672637</v>
      </c>
      <c r="I1887" s="864">
        <v>11944.76731240731</v>
      </c>
      <c r="J1887" s="864">
        <v>12248.665609249605</v>
      </c>
      <c r="K1887" s="864">
        <v>12568.55468377744</v>
      </c>
      <c r="L1887" s="18" t="s">
        <v>3103</v>
      </c>
      <c r="M1887" s="442"/>
      <c r="N1887" s="433"/>
      <c r="P1887" s="433"/>
      <c r="T1887" s="443"/>
      <c r="U1887" s="440"/>
      <c r="V1887" s="440"/>
      <c r="W1887" s="440"/>
      <c r="X1887" s="442"/>
    </row>
    <row r="1888" spans="1:24" x14ac:dyDescent="0.25">
      <c r="A1888" s="862">
        <v>2606</v>
      </c>
      <c r="B1888" s="863" t="s">
        <v>9370</v>
      </c>
      <c r="C1888" s="862">
        <v>2606</v>
      </c>
      <c r="D1888" s="165" t="s">
        <v>2162</v>
      </c>
      <c r="E1888" s="165" t="s">
        <v>9371</v>
      </c>
      <c r="F1888" s="163">
        <v>1</v>
      </c>
      <c r="G1888" s="864"/>
      <c r="H1888" s="864">
        <v>0</v>
      </c>
      <c r="I1888" s="864">
        <v>0</v>
      </c>
      <c r="J1888" s="864">
        <v>0</v>
      </c>
      <c r="K1888" s="864">
        <v>21768.681380264741</v>
      </c>
      <c r="L1888" s="18" t="s">
        <v>11034</v>
      </c>
      <c r="M1888" s="442"/>
      <c r="N1888" s="433"/>
      <c r="P1888" s="433"/>
      <c r="T1888" s="443"/>
      <c r="U1888" s="440"/>
      <c r="V1888" s="440"/>
      <c r="W1888" s="440"/>
      <c r="X1888" s="442"/>
    </row>
    <row r="1889" spans="1:24" x14ac:dyDescent="0.25">
      <c r="A1889" s="862">
        <v>2607</v>
      </c>
      <c r="B1889" s="863" t="s">
        <v>9372</v>
      </c>
      <c r="C1889" s="862">
        <v>2607</v>
      </c>
      <c r="D1889" s="165" t="s">
        <v>2162</v>
      </c>
      <c r="E1889" s="165" t="s">
        <v>9373</v>
      </c>
      <c r="F1889" s="163">
        <v>1</v>
      </c>
      <c r="G1889" s="864"/>
      <c r="H1889" s="864">
        <v>19571.453152960781</v>
      </c>
      <c r="I1889" s="864">
        <v>20251.109664663825</v>
      </c>
      <c r="J1889" s="864">
        <v>20966.553342946441</v>
      </c>
      <c r="K1889" s="864">
        <v>21719.667722891754</v>
      </c>
      <c r="L1889" s="18" t="s">
        <v>3104</v>
      </c>
      <c r="M1889" s="442"/>
      <c r="N1889" s="433"/>
      <c r="P1889" s="433"/>
      <c r="T1889" s="443"/>
      <c r="U1889" s="440"/>
      <c r="V1889" s="440"/>
      <c r="W1889" s="440"/>
      <c r="X1889" s="442"/>
    </row>
    <row r="1890" spans="1:24" x14ac:dyDescent="0.25">
      <c r="A1890" s="862">
        <v>2608</v>
      </c>
      <c r="B1890" s="863" t="s">
        <v>9374</v>
      </c>
      <c r="C1890" s="862">
        <v>2608</v>
      </c>
      <c r="D1890" s="165" t="s">
        <v>2162</v>
      </c>
      <c r="E1890" s="165" t="s">
        <v>9375</v>
      </c>
      <c r="F1890" s="163">
        <v>1</v>
      </c>
      <c r="G1890" s="864"/>
      <c r="H1890" s="864">
        <v>20448.057851553654</v>
      </c>
      <c r="I1890" s="864">
        <v>21162.217301370492</v>
      </c>
      <c r="J1890" s="864">
        <v>21913.961837618979</v>
      </c>
      <c r="K1890" s="864">
        <v>22705.260610613303</v>
      </c>
      <c r="L1890" s="18" t="s">
        <v>3105</v>
      </c>
      <c r="M1890" s="442"/>
      <c r="N1890" s="433"/>
      <c r="P1890" s="433"/>
      <c r="T1890" s="443"/>
      <c r="U1890" s="440"/>
      <c r="V1890" s="440"/>
      <c r="W1890" s="440"/>
      <c r="X1890" s="442"/>
    </row>
    <row r="1891" spans="1:24" x14ac:dyDescent="0.25">
      <c r="A1891" s="862">
        <v>2609</v>
      </c>
      <c r="B1891" s="863" t="s">
        <v>9376</v>
      </c>
      <c r="C1891" s="862">
        <v>2609</v>
      </c>
      <c r="D1891" s="165" t="s">
        <v>2162</v>
      </c>
      <c r="E1891" s="165" t="s">
        <v>9377</v>
      </c>
      <c r="F1891" s="163">
        <v>1</v>
      </c>
      <c r="G1891" s="864"/>
      <c r="H1891" s="864">
        <v>0</v>
      </c>
      <c r="I1891" s="864">
        <v>0</v>
      </c>
      <c r="J1891" s="864">
        <v>22144.545768242231</v>
      </c>
      <c r="K1891" s="864">
        <v>22925.442290663788</v>
      </c>
      <c r="L1891" s="18" t="s">
        <v>4786</v>
      </c>
      <c r="M1891" s="442"/>
      <c r="N1891" s="433"/>
      <c r="P1891" s="433"/>
      <c r="T1891" s="443"/>
      <c r="U1891" s="440"/>
      <c r="V1891" s="440"/>
      <c r="W1891" s="440"/>
      <c r="X1891" s="442"/>
    </row>
    <row r="1892" spans="1:24" x14ac:dyDescent="0.25">
      <c r="A1892" s="862">
        <v>2610</v>
      </c>
      <c r="B1892" s="863" t="s">
        <v>9378</v>
      </c>
      <c r="C1892" s="862">
        <v>2610</v>
      </c>
      <c r="D1892" s="165" t="s">
        <v>2162</v>
      </c>
      <c r="E1892" s="165" t="s">
        <v>9379</v>
      </c>
      <c r="F1892" s="163">
        <v>1</v>
      </c>
      <c r="G1892" s="864"/>
      <c r="H1892" s="864">
        <v>0</v>
      </c>
      <c r="I1892" s="864">
        <v>0</v>
      </c>
      <c r="J1892" s="864">
        <v>0</v>
      </c>
      <c r="K1892" s="864">
        <v>22588.004615765687</v>
      </c>
      <c r="L1892" s="18" t="s">
        <v>11035</v>
      </c>
      <c r="M1892" s="442"/>
      <c r="N1892" s="433"/>
      <c r="P1892" s="433"/>
      <c r="T1892" s="443"/>
      <c r="U1892" s="440"/>
      <c r="V1892" s="440"/>
      <c r="W1892" s="440"/>
      <c r="X1892" s="442"/>
    </row>
    <row r="1893" spans="1:24" x14ac:dyDescent="0.25">
      <c r="A1893" s="862">
        <v>2611</v>
      </c>
      <c r="B1893" s="863" t="s">
        <v>9380</v>
      </c>
      <c r="C1893" s="862">
        <v>2611</v>
      </c>
      <c r="D1893" s="165" t="s">
        <v>2162</v>
      </c>
      <c r="E1893" s="165" t="s">
        <v>9381</v>
      </c>
      <c r="F1893" s="163">
        <v>1</v>
      </c>
      <c r="G1893" s="864"/>
      <c r="H1893" s="864">
        <v>0</v>
      </c>
      <c r="I1893" s="864">
        <v>0</v>
      </c>
      <c r="J1893" s="864">
        <v>0</v>
      </c>
      <c r="K1893" s="864">
        <v>23630.177240217858</v>
      </c>
      <c r="L1893" s="18" t="s">
        <v>11036</v>
      </c>
      <c r="M1893" s="442"/>
      <c r="N1893" s="433"/>
      <c r="P1893" s="433"/>
      <c r="T1893" s="443"/>
      <c r="U1893" s="440"/>
      <c r="V1893" s="440"/>
      <c r="W1893" s="440"/>
      <c r="X1893" s="442"/>
    </row>
    <row r="1894" spans="1:24" x14ac:dyDescent="0.25">
      <c r="A1894" s="862">
        <v>2612</v>
      </c>
      <c r="B1894" s="863" t="s">
        <v>9382</v>
      </c>
      <c r="C1894" s="862">
        <v>2612</v>
      </c>
      <c r="D1894" s="165" t="s">
        <v>2162</v>
      </c>
      <c r="E1894" s="165" t="s">
        <v>9383</v>
      </c>
      <c r="F1894" s="163">
        <v>1</v>
      </c>
      <c r="G1894" s="864"/>
      <c r="H1894" s="864">
        <v>22325.023206187823</v>
      </c>
      <c r="I1894" s="864">
        <v>23112.982985171133</v>
      </c>
      <c r="J1894" s="864">
        <v>23942.423343598934</v>
      </c>
      <c r="K1894" s="864">
        <v>24815.527469863056</v>
      </c>
      <c r="L1894" s="18" t="s">
        <v>3106</v>
      </c>
      <c r="M1894" s="442"/>
      <c r="N1894" s="433"/>
      <c r="P1894" s="433"/>
      <c r="T1894" s="443"/>
      <c r="U1894" s="440"/>
      <c r="V1894" s="440"/>
      <c r="W1894" s="440"/>
      <c r="X1894" s="442"/>
    </row>
    <row r="1895" spans="1:24" x14ac:dyDescent="0.25">
      <c r="A1895" s="862">
        <v>2613</v>
      </c>
      <c r="B1895" s="863" t="s">
        <v>9384</v>
      </c>
      <c r="C1895" s="862">
        <v>2613</v>
      </c>
      <c r="D1895" s="165" t="s">
        <v>2162</v>
      </c>
      <c r="E1895" s="165" t="s">
        <v>9385</v>
      </c>
      <c r="F1895" s="163">
        <v>1</v>
      </c>
      <c r="G1895" s="864"/>
      <c r="H1895" s="864">
        <v>0</v>
      </c>
      <c r="I1895" s="864">
        <v>0</v>
      </c>
      <c r="J1895" s="864">
        <v>0</v>
      </c>
      <c r="K1895" s="864">
        <v>19654.517107187792</v>
      </c>
      <c r="L1895" s="18" t="s">
        <v>11037</v>
      </c>
      <c r="M1895" s="442"/>
      <c r="N1895" s="433"/>
      <c r="P1895" s="433"/>
      <c r="T1895" s="443"/>
      <c r="U1895" s="440"/>
      <c r="V1895" s="440"/>
      <c r="W1895" s="440"/>
      <c r="X1895" s="442"/>
    </row>
    <row r="1896" spans="1:24" x14ac:dyDescent="0.25">
      <c r="A1896" s="862">
        <v>2614</v>
      </c>
      <c r="B1896" s="863" t="s">
        <v>9386</v>
      </c>
      <c r="C1896" s="862">
        <v>2614</v>
      </c>
      <c r="D1896" s="165" t="s">
        <v>2162</v>
      </c>
      <c r="E1896" s="165" t="s">
        <v>9387</v>
      </c>
      <c r="F1896" s="163">
        <v>1</v>
      </c>
      <c r="G1896" s="864"/>
      <c r="H1896" s="864">
        <v>18081.225165352884</v>
      </c>
      <c r="I1896" s="864">
        <v>18702.278051401121</v>
      </c>
      <c r="J1896" s="864">
        <v>19356.035955711064</v>
      </c>
      <c r="K1896" s="864">
        <v>20044.211182903742</v>
      </c>
      <c r="L1896" s="18" t="s">
        <v>3107</v>
      </c>
      <c r="M1896" s="442"/>
      <c r="N1896" s="433"/>
      <c r="P1896" s="433"/>
      <c r="T1896" s="443"/>
      <c r="U1896" s="440"/>
      <c r="V1896" s="440"/>
      <c r="W1896" s="440"/>
      <c r="X1896" s="442"/>
    </row>
    <row r="1897" spans="1:24" x14ac:dyDescent="0.25">
      <c r="A1897" s="862">
        <v>2615</v>
      </c>
      <c r="B1897" s="863" t="s">
        <v>9388</v>
      </c>
      <c r="C1897" s="862">
        <v>2615</v>
      </c>
      <c r="D1897" s="165" t="s">
        <v>2163</v>
      </c>
      <c r="E1897" s="165" t="s">
        <v>9389</v>
      </c>
      <c r="F1897" s="163">
        <v>1</v>
      </c>
      <c r="G1897" s="864"/>
      <c r="H1897" s="864">
        <v>0</v>
      </c>
      <c r="I1897" s="864">
        <v>0</v>
      </c>
      <c r="J1897" s="864">
        <v>17447.517761504718</v>
      </c>
      <c r="K1897" s="864">
        <v>17846.56724670059</v>
      </c>
      <c r="L1897" s="18" t="s">
        <v>4787</v>
      </c>
      <c r="M1897" s="442"/>
      <c r="N1897" s="433"/>
      <c r="P1897" s="433"/>
      <c r="T1897" s="443"/>
      <c r="U1897" s="440"/>
      <c r="V1897" s="440"/>
      <c r="W1897" s="440"/>
      <c r="X1897" s="442"/>
    </row>
    <row r="1898" spans="1:24" x14ac:dyDescent="0.25">
      <c r="A1898" s="862">
        <v>2616</v>
      </c>
      <c r="B1898" s="863" t="s">
        <v>9390</v>
      </c>
      <c r="C1898" s="862">
        <v>2616</v>
      </c>
      <c r="D1898" s="165" t="s">
        <v>2163</v>
      </c>
      <c r="E1898" s="165" t="s">
        <v>9391</v>
      </c>
      <c r="F1898" s="163">
        <v>1</v>
      </c>
      <c r="G1898" s="864"/>
      <c r="H1898" s="864">
        <v>15472.854905211656</v>
      </c>
      <c r="I1898" s="864">
        <v>15825.187734764706</v>
      </c>
      <c r="J1898" s="864">
        <v>16196.083276386336</v>
      </c>
      <c r="K1898" s="864">
        <v>16586.483116920608</v>
      </c>
      <c r="L1898" s="18" t="s">
        <v>3108</v>
      </c>
      <c r="M1898" s="442"/>
      <c r="N1898" s="433"/>
      <c r="P1898" s="433"/>
      <c r="T1898" s="443"/>
      <c r="U1898" s="440"/>
      <c r="V1898" s="440"/>
      <c r="W1898" s="440"/>
      <c r="X1898" s="442"/>
    </row>
    <row r="1899" spans="1:24" x14ac:dyDescent="0.25">
      <c r="A1899" s="862">
        <v>2617</v>
      </c>
      <c r="B1899" s="863" t="s">
        <v>9392</v>
      </c>
      <c r="C1899" s="862">
        <v>2617</v>
      </c>
      <c r="D1899" s="165" t="s">
        <v>2163</v>
      </c>
      <c r="E1899" s="165" t="s">
        <v>9393</v>
      </c>
      <c r="F1899" s="163">
        <v>1</v>
      </c>
      <c r="G1899" s="864"/>
      <c r="H1899" s="864">
        <v>16585.596154934163</v>
      </c>
      <c r="I1899" s="864">
        <v>16967.656226278214</v>
      </c>
      <c r="J1899" s="864">
        <v>17369.848321097601</v>
      </c>
      <c r="K1899" s="864">
        <v>17793.203701173934</v>
      </c>
      <c r="L1899" s="18" t="s">
        <v>3109</v>
      </c>
      <c r="M1899" s="442"/>
      <c r="N1899" s="433"/>
      <c r="P1899" s="433"/>
      <c r="T1899" s="443"/>
      <c r="U1899" s="440"/>
      <c r="V1899" s="440"/>
      <c r="W1899" s="440"/>
      <c r="X1899" s="442"/>
    </row>
    <row r="1900" spans="1:24" x14ac:dyDescent="0.25">
      <c r="A1900" s="862">
        <v>2618</v>
      </c>
      <c r="B1900" s="863" t="s">
        <v>9394</v>
      </c>
      <c r="C1900" s="862">
        <v>2618</v>
      </c>
      <c r="D1900" s="165" t="s">
        <v>2163</v>
      </c>
      <c r="E1900" s="165" t="s">
        <v>9395</v>
      </c>
      <c r="F1900" s="163">
        <v>1</v>
      </c>
      <c r="G1900" s="864"/>
      <c r="H1900" s="864">
        <v>0</v>
      </c>
      <c r="I1900" s="864">
        <v>29700.04659809222</v>
      </c>
      <c r="J1900" s="864">
        <v>30432.556325301193</v>
      </c>
      <c r="K1900" s="864">
        <v>31203.626275647803</v>
      </c>
      <c r="L1900" s="18" t="s">
        <v>4045</v>
      </c>
      <c r="M1900" s="442"/>
      <c r="N1900" s="433"/>
      <c r="P1900" s="433"/>
      <c r="T1900" s="443"/>
      <c r="U1900" s="440"/>
      <c r="V1900" s="440"/>
      <c r="W1900" s="440"/>
      <c r="X1900" s="442"/>
    </row>
    <row r="1901" spans="1:24" x14ac:dyDescent="0.25">
      <c r="A1901" s="862">
        <v>2619</v>
      </c>
      <c r="B1901" s="863" t="s">
        <v>9396</v>
      </c>
      <c r="C1901" s="862">
        <v>2619</v>
      </c>
      <c r="D1901" s="165" t="s">
        <v>2163</v>
      </c>
      <c r="E1901" s="165" t="s">
        <v>9397</v>
      </c>
      <c r="F1901" s="163">
        <v>1</v>
      </c>
      <c r="G1901" s="864"/>
      <c r="H1901" s="864">
        <v>0</v>
      </c>
      <c r="I1901" s="864">
        <v>30256.417222953463</v>
      </c>
      <c r="J1901" s="864">
        <v>31003.812989792317</v>
      </c>
      <c r="K1901" s="864">
        <v>31790.531216737811</v>
      </c>
      <c r="L1901" s="18" t="s">
        <v>4046</v>
      </c>
      <c r="M1901" s="442"/>
      <c r="N1901" s="433"/>
      <c r="P1901" s="433"/>
      <c r="T1901" s="443"/>
      <c r="U1901" s="440"/>
      <c r="V1901" s="440"/>
      <c r="W1901" s="440"/>
      <c r="X1901" s="442"/>
    </row>
    <row r="1902" spans="1:24" x14ac:dyDescent="0.25">
      <c r="A1902" s="862">
        <v>2620</v>
      </c>
      <c r="B1902" s="863" t="s">
        <v>9398</v>
      </c>
      <c r="C1902" s="862">
        <v>2620</v>
      </c>
      <c r="D1902" s="165" t="s">
        <v>2163</v>
      </c>
      <c r="E1902" s="165" t="s">
        <v>9399</v>
      </c>
      <c r="F1902" s="163">
        <v>1</v>
      </c>
      <c r="G1902" s="864"/>
      <c r="H1902" s="864">
        <v>27953.806945569479</v>
      </c>
      <c r="I1902" s="864">
        <v>0</v>
      </c>
      <c r="J1902" s="864">
        <v>0</v>
      </c>
      <c r="K1902" s="864">
        <v>0</v>
      </c>
      <c r="L1902" s="18" t="s">
        <v>3110</v>
      </c>
      <c r="M1902" s="442"/>
      <c r="N1902" s="433"/>
      <c r="P1902" s="433"/>
      <c r="T1902" s="443"/>
      <c r="U1902" s="440"/>
      <c r="V1902" s="440"/>
      <c r="W1902" s="440"/>
      <c r="X1902" s="442"/>
    </row>
    <row r="1903" spans="1:24" x14ac:dyDescent="0.25">
      <c r="A1903" s="862">
        <v>2621</v>
      </c>
      <c r="B1903" s="863" t="s">
        <v>9400</v>
      </c>
      <c r="C1903" s="862">
        <v>2621</v>
      </c>
      <c r="D1903" s="165" t="s">
        <v>2163</v>
      </c>
      <c r="E1903" s="165" t="s">
        <v>9401</v>
      </c>
      <c r="F1903" s="163">
        <v>1</v>
      </c>
      <c r="G1903" s="864"/>
      <c r="H1903" s="864">
        <v>16867.164566008931</v>
      </c>
      <c r="I1903" s="864">
        <v>17286.708761240261</v>
      </c>
      <c r="J1903" s="864">
        <v>17728.3578285726</v>
      </c>
      <c r="K1903" s="864">
        <v>18193.232704725051</v>
      </c>
      <c r="L1903" s="18" t="s">
        <v>1289</v>
      </c>
      <c r="M1903" s="442"/>
      <c r="N1903" s="433"/>
      <c r="P1903" s="433"/>
      <c r="T1903" s="443"/>
      <c r="U1903" s="440"/>
      <c r="V1903" s="440"/>
      <c r="W1903" s="440"/>
      <c r="X1903" s="442"/>
    </row>
    <row r="1904" spans="1:24" x14ac:dyDescent="0.25">
      <c r="A1904" s="862">
        <v>2622</v>
      </c>
      <c r="B1904" s="863" t="s">
        <v>9402</v>
      </c>
      <c r="C1904" s="862">
        <v>2622</v>
      </c>
      <c r="D1904" s="165" t="s">
        <v>2163</v>
      </c>
      <c r="E1904" s="165" t="s">
        <v>9403</v>
      </c>
      <c r="F1904" s="163">
        <v>1</v>
      </c>
      <c r="G1904" s="864"/>
      <c r="H1904" s="864">
        <v>19208.486243565778</v>
      </c>
      <c r="I1904" s="864">
        <v>0</v>
      </c>
      <c r="J1904" s="864">
        <v>0</v>
      </c>
      <c r="K1904" s="864">
        <v>0</v>
      </c>
      <c r="L1904" s="18" t="s">
        <v>3111</v>
      </c>
      <c r="M1904" s="442"/>
      <c r="N1904" s="433"/>
      <c r="P1904" s="433"/>
      <c r="T1904" s="443"/>
      <c r="U1904" s="440"/>
      <c r="V1904" s="440"/>
      <c r="W1904" s="440"/>
      <c r="X1904" s="442"/>
    </row>
    <row r="1905" spans="1:24" x14ac:dyDescent="0.25">
      <c r="A1905" s="862">
        <v>2623</v>
      </c>
      <c r="B1905" s="863" t="s">
        <v>9404</v>
      </c>
      <c r="C1905" s="862">
        <v>2623</v>
      </c>
      <c r="D1905" s="165" t="s">
        <v>2163</v>
      </c>
      <c r="E1905" s="165" t="s">
        <v>9405</v>
      </c>
      <c r="F1905" s="163">
        <v>1</v>
      </c>
      <c r="G1905" s="864"/>
      <c r="H1905" s="864">
        <v>19398.653946743194</v>
      </c>
      <c r="I1905" s="864">
        <v>19844.33838626435</v>
      </c>
      <c r="J1905" s="864">
        <v>20313.517659418208</v>
      </c>
      <c r="K1905" s="864">
        <v>20807.357540392659</v>
      </c>
      <c r="L1905" s="18" t="s">
        <v>4047</v>
      </c>
      <c r="M1905" s="442"/>
      <c r="N1905" s="433"/>
      <c r="P1905" s="433"/>
      <c r="T1905" s="443"/>
      <c r="U1905" s="440"/>
      <c r="V1905" s="440"/>
      <c r="W1905" s="440"/>
      <c r="X1905" s="442"/>
    </row>
    <row r="1906" spans="1:24" x14ac:dyDescent="0.25">
      <c r="A1906" s="862">
        <v>2624</v>
      </c>
      <c r="B1906" s="863" t="s">
        <v>9406</v>
      </c>
      <c r="C1906" s="862">
        <v>2624</v>
      </c>
      <c r="D1906" s="165" t="s">
        <v>2163</v>
      </c>
      <c r="E1906" s="165" t="s">
        <v>9407</v>
      </c>
      <c r="F1906" s="163">
        <v>1</v>
      </c>
      <c r="G1906" s="864"/>
      <c r="H1906" s="864">
        <v>0</v>
      </c>
      <c r="I1906" s="864">
        <v>0</v>
      </c>
      <c r="J1906" s="864">
        <v>19047.699152840905</v>
      </c>
      <c r="K1906" s="864">
        <v>19522.162710707285</v>
      </c>
      <c r="L1906" s="18" t="s">
        <v>4788</v>
      </c>
      <c r="M1906" s="442"/>
      <c r="N1906" s="433"/>
      <c r="P1906" s="433"/>
      <c r="T1906" s="443"/>
      <c r="U1906" s="440"/>
      <c r="V1906" s="440"/>
      <c r="W1906" s="440"/>
      <c r="X1906" s="442"/>
    </row>
    <row r="1907" spans="1:24" x14ac:dyDescent="0.25">
      <c r="A1907" s="862">
        <v>2625</v>
      </c>
      <c r="B1907" s="863" t="s">
        <v>9408</v>
      </c>
      <c r="C1907" s="862">
        <v>2625</v>
      </c>
      <c r="D1907" s="165" t="s">
        <v>2163</v>
      </c>
      <c r="E1907" s="165" t="s">
        <v>9409</v>
      </c>
      <c r="F1907" s="163">
        <v>1</v>
      </c>
      <c r="G1907" s="864"/>
      <c r="H1907" s="864">
        <v>0</v>
      </c>
      <c r="I1907" s="864">
        <v>0</v>
      </c>
      <c r="J1907" s="864">
        <v>20233.407049737172</v>
      </c>
      <c r="K1907" s="864">
        <v>20741.428249897712</v>
      </c>
      <c r="L1907" s="18" t="s">
        <v>4789</v>
      </c>
      <c r="M1907" s="442"/>
      <c r="N1907" s="433"/>
      <c r="P1907" s="433"/>
      <c r="T1907" s="443"/>
      <c r="U1907" s="440"/>
      <c r="V1907" s="440"/>
      <c r="W1907" s="440"/>
      <c r="X1907" s="442"/>
    </row>
    <row r="1908" spans="1:24" x14ac:dyDescent="0.25">
      <c r="A1908" s="862">
        <v>2626</v>
      </c>
      <c r="B1908" s="863" t="s">
        <v>9410</v>
      </c>
      <c r="C1908" s="862">
        <v>2626</v>
      </c>
      <c r="D1908" s="165" t="s">
        <v>2163</v>
      </c>
      <c r="E1908" s="165" t="s">
        <v>9411</v>
      </c>
      <c r="F1908" s="163">
        <v>1</v>
      </c>
      <c r="G1908" s="864"/>
      <c r="H1908" s="864">
        <v>0</v>
      </c>
      <c r="I1908" s="864">
        <v>0</v>
      </c>
      <c r="J1908" s="864">
        <v>20233.407049737172</v>
      </c>
      <c r="K1908" s="864">
        <v>20741.428249897712</v>
      </c>
      <c r="L1908" s="18" t="s">
        <v>4790</v>
      </c>
      <c r="M1908" s="442"/>
      <c r="N1908" s="433"/>
      <c r="P1908" s="433"/>
      <c r="T1908" s="443"/>
      <c r="U1908" s="440"/>
      <c r="V1908" s="440"/>
      <c r="W1908" s="440"/>
      <c r="X1908" s="442"/>
    </row>
    <row r="1909" spans="1:24" x14ac:dyDescent="0.25">
      <c r="A1909" s="862">
        <v>2627</v>
      </c>
      <c r="B1909" s="863" t="s">
        <v>9412</v>
      </c>
      <c r="C1909" s="862">
        <v>2627</v>
      </c>
      <c r="D1909" s="165" t="s">
        <v>2163</v>
      </c>
      <c r="E1909" s="165" t="s">
        <v>9413</v>
      </c>
      <c r="F1909" s="163">
        <v>1</v>
      </c>
      <c r="G1909" s="864"/>
      <c r="H1909" s="864">
        <v>0</v>
      </c>
      <c r="I1909" s="864">
        <v>0</v>
      </c>
      <c r="J1909" s="864">
        <v>22096.662316288464</v>
      </c>
      <c r="K1909" s="864">
        <v>22657.424185031963</v>
      </c>
      <c r="L1909" s="18" t="s">
        <v>4791</v>
      </c>
      <c r="M1909" s="442"/>
      <c r="N1909" s="433"/>
      <c r="P1909" s="433"/>
      <c r="T1909" s="443"/>
      <c r="U1909" s="440"/>
      <c r="V1909" s="440"/>
      <c r="W1909" s="440"/>
      <c r="X1909" s="442"/>
    </row>
    <row r="1910" spans="1:24" x14ac:dyDescent="0.25">
      <c r="A1910" s="862">
        <v>2628</v>
      </c>
      <c r="B1910" s="863" t="s">
        <v>9414</v>
      </c>
      <c r="C1910" s="862">
        <v>2628</v>
      </c>
      <c r="D1910" s="165" t="s">
        <v>2163</v>
      </c>
      <c r="E1910" s="165" t="s">
        <v>9415</v>
      </c>
      <c r="F1910" s="163">
        <v>1</v>
      </c>
      <c r="G1910" s="864"/>
      <c r="H1910" s="864">
        <v>0</v>
      </c>
      <c r="I1910" s="864">
        <v>0</v>
      </c>
      <c r="J1910" s="864">
        <v>21503.808367840327</v>
      </c>
      <c r="K1910" s="864">
        <v>22047.816722859297</v>
      </c>
      <c r="L1910" s="18" t="s">
        <v>4792</v>
      </c>
      <c r="M1910" s="442"/>
      <c r="N1910" s="433"/>
      <c r="P1910" s="433"/>
      <c r="T1910" s="443"/>
      <c r="U1910" s="440"/>
      <c r="V1910" s="440"/>
      <c r="W1910" s="440"/>
      <c r="X1910" s="442"/>
    </row>
    <row r="1911" spans="1:24" x14ac:dyDescent="0.25">
      <c r="A1911" s="862">
        <v>2629</v>
      </c>
      <c r="B1911" s="863" t="s">
        <v>9416</v>
      </c>
      <c r="C1911" s="862">
        <v>2629</v>
      </c>
      <c r="D1911" s="165" t="s">
        <v>2163</v>
      </c>
      <c r="E1911" s="165" t="s">
        <v>9417</v>
      </c>
      <c r="F1911" s="163">
        <v>1</v>
      </c>
      <c r="G1911" s="864"/>
      <c r="H1911" s="864">
        <v>0</v>
      </c>
      <c r="I1911" s="864">
        <v>0</v>
      </c>
      <c r="J1911" s="864">
        <v>24722.158373701644</v>
      </c>
      <c r="K1911" s="864">
        <v>25357.273449881213</v>
      </c>
      <c r="L1911" s="18" t="s">
        <v>4793</v>
      </c>
      <c r="M1911" s="442"/>
      <c r="N1911" s="433"/>
      <c r="P1911" s="433"/>
      <c r="T1911" s="443"/>
      <c r="U1911" s="440"/>
      <c r="V1911" s="440"/>
      <c r="W1911" s="440"/>
      <c r="X1911" s="442"/>
    </row>
    <row r="1912" spans="1:24" x14ac:dyDescent="0.25">
      <c r="A1912" s="862">
        <v>2630</v>
      </c>
      <c r="B1912" s="863" t="s">
        <v>9418</v>
      </c>
      <c r="C1912" s="862">
        <v>2630</v>
      </c>
      <c r="D1912" s="165" t="s">
        <v>2163</v>
      </c>
      <c r="E1912" s="165" t="s">
        <v>9419</v>
      </c>
      <c r="F1912" s="163">
        <v>1</v>
      </c>
      <c r="G1912" s="864"/>
      <c r="H1912" s="864">
        <v>0</v>
      </c>
      <c r="I1912" s="864">
        <v>0</v>
      </c>
      <c r="J1912" s="864">
        <v>22774.209685943479</v>
      </c>
      <c r="K1912" s="864">
        <v>23354.154580975795</v>
      </c>
      <c r="L1912" s="18" t="s">
        <v>4794</v>
      </c>
      <c r="M1912" s="442"/>
      <c r="N1912" s="433"/>
      <c r="P1912" s="433"/>
      <c r="T1912" s="443"/>
      <c r="U1912" s="440"/>
      <c r="V1912" s="440"/>
      <c r="W1912" s="440"/>
      <c r="X1912" s="442"/>
    </row>
    <row r="1913" spans="1:24" x14ac:dyDescent="0.25">
      <c r="A1913" s="862">
        <v>2631</v>
      </c>
      <c r="B1913" s="863" t="s">
        <v>9420</v>
      </c>
      <c r="C1913" s="862">
        <v>2631</v>
      </c>
      <c r="D1913" s="165" t="s">
        <v>2163</v>
      </c>
      <c r="E1913" s="165" t="s">
        <v>9421</v>
      </c>
      <c r="F1913" s="163">
        <v>1</v>
      </c>
      <c r="G1913" s="864"/>
      <c r="H1913" s="864">
        <v>0</v>
      </c>
      <c r="I1913" s="864">
        <v>0</v>
      </c>
      <c r="J1913" s="864">
        <v>23451.757055598493</v>
      </c>
      <c r="K1913" s="864">
        <v>24050.88497691962</v>
      </c>
      <c r="L1913" s="18" t="s">
        <v>4795</v>
      </c>
      <c r="M1913" s="442"/>
      <c r="N1913" s="433"/>
      <c r="P1913" s="433"/>
      <c r="T1913" s="443"/>
      <c r="U1913" s="440"/>
      <c r="V1913" s="440"/>
      <c r="W1913" s="440"/>
      <c r="X1913" s="442"/>
    </row>
    <row r="1914" spans="1:24" x14ac:dyDescent="0.25">
      <c r="A1914" s="862">
        <v>2632</v>
      </c>
      <c r="B1914" s="863" t="s">
        <v>9422</v>
      </c>
      <c r="C1914" s="862">
        <v>2632</v>
      </c>
      <c r="D1914" s="165" t="s">
        <v>2163</v>
      </c>
      <c r="E1914" s="165" t="s">
        <v>9423</v>
      </c>
      <c r="F1914" s="163">
        <v>1</v>
      </c>
      <c r="G1914" s="864"/>
      <c r="H1914" s="864">
        <v>0</v>
      </c>
      <c r="I1914" s="864">
        <v>0</v>
      </c>
      <c r="J1914" s="864">
        <v>30650.697858183001</v>
      </c>
      <c r="K1914" s="864">
        <v>31453.651760678433</v>
      </c>
      <c r="L1914" s="18" t="s">
        <v>4796</v>
      </c>
      <c r="M1914" s="442"/>
      <c r="N1914" s="433"/>
      <c r="P1914" s="433"/>
      <c r="T1914" s="443"/>
      <c r="U1914" s="440"/>
      <c r="V1914" s="440"/>
      <c r="W1914" s="440"/>
      <c r="X1914" s="442"/>
    </row>
    <row r="1915" spans="1:24" x14ac:dyDescent="0.25">
      <c r="A1915" s="862">
        <v>2633</v>
      </c>
      <c r="B1915" s="863" t="s">
        <v>9424</v>
      </c>
      <c r="C1915" s="862">
        <v>2633</v>
      </c>
      <c r="D1915" s="165" t="s">
        <v>2163</v>
      </c>
      <c r="E1915" s="165" t="s">
        <v>9425</v>
      </c>
      <c r="F1915" s="163">
        <v>1</v>
      </c>
      <c r="G1915" s="864"/>
      <c r="H1915" s="864">
        <v>0</v>
      </c>
      <c r="I1915" s="864">
        <v>28059.322374613355</v>
      </c>
      <c r="J1915" s="864">
        <v>28784.535109977289</v>
      </c>
      <c r="K1915" s="864">
        <v>29547.912694487641</v>
      </c>
      <c r="L1915" s="18" t="s">
        <v>4048</v>
      </c>
      <c r="M1915" s="442"/>
      <c r="N1915" s="433"/>
      <c r="P1915" s="433"/>
      <c r="T1915" s="443"/>
      <c r="U1915" s="440"/>
      <c r="V1915" s="440"/>
      <c r="W1915" s="440"/>
      <c r="X1915" s="442"/>
    </row>
    <row r="1916" spans="1:24" x14ac:dyDescent="0.25">
      <c r="A1916" s="862">
        <v>2634</v>
      </c>
      <c r="B1916" s="863" t="s">
        <v>9426</v>
      </c>
      <c r="C1916" s="862">
        <v>2634</v>
      </c>
      <c r="D1916" s="165" t="s">
        <v>2163</v>
      </c>
      <c r="E1916" s="165" t="s">
        <v>9427</v>
      </c>
      <c r="F1916" s="163">
        <v>1</v>
      </c>
      <c r="G1916" s="864"/>
      <c r="H1916" s="864">
        <v>0</v>
      </c>
      <c r="I1916" s="864">
        <v>25888.439403000753</v>
      </c>
      <c r="J1916" s="864">
        <v>26552.556139097574</v>
      </c>
      <c r="K1916" s="864">
        <v>27251.653961846019</v>
      </c>
      <c r="L1916" s="18" t="s">
        <v>4049</v>
      </c>
      <c r="M1916" s="442"/>
      <c r="N1916" s="433"/>
      <c r="P1916" s="433"/>
      <c r="T1916" s="443"/>
      <c r="U1916" s="440"/>
      <c r="V1916" s="440"/>
      <c r="W1916" s="440"/>
      <c r="X1916" s="442"/>
    </row>
    <row r="1917" spans="1:24" x14ac:dyDescent="0.25">
      <c r="A1917" s="862">
        <v>2635</v>
      </c>
      <c r="B1917" s="863" t="s">
        <v>9428</v>
      </c>
      <c r="C1917" s="862">
        <v>2635</v>
      </c>
      <c r="D1917" s="165" t="s">
        <v>2163</v>
      </c>
      <c r="E1917" s="165" t="s">
        <v>9429</v>
      </c>
      <c r="F1917" s="163">
        <v>1</v>
      </c>
      <c r="G1917" s="864"/>
      <c r="H1917" s="864">
        <v>0</v>
      </c>
      <c r="I1917" s="864">
        <v>27041.72098166994</v>
      </c>
      <c r="J1917" s="864">
        <v>27738.320155371839</v>
      </c>
      <c r="K1917" s="864">
        <v>28471.552748159367</v>
      </c>
      <c r="L1917" s="18" t="s">
        <v>4050</v>
      </c>
      <c r="M1917" s="442"/>
      <c r="N1917" s="433"/>
      <c r="P1917" s="433"/>
      <c r="T1917" s="443"/>
      <c r="U1917" s="440"/>
      <c r="V1917" s="440"/>
      <c r="W1917" s="440"/>
      <c r="X1917" s="442"/>
    </row>
    <row r="1918" spans="1:24" x14ac:dyDescent="0.25">
      <c r="A1918" s="862">
        <v>2636</v>
      </c>
      <c r="B1918" s="863" t="s">
        <v>9430</v>
      </c>
      <c r="C1918" s="862">
        <v>2636</v>
      </c>
      <c r="D1918" s="165" t="s">
        <v>2163</v>
      </c>
      <c r="E1918" s="165" t="s">
        <v>9431</v>
      </c>
      <c r="F1918" s="163">
        <v>1</v>
      </c>
      <c r="G1918" s="864"/>
      <c r="H1918" s="864">
        <v>0</v>
      </c>
      <c r="I1918" s="864">
        <v>0</v>
      </c>
      <c r="J1918" s="864">
        <v>29076.923767556749</v>
      </c>
      <c r="K1918" s="864">
        <v>29830.79036537381</v>
      </c>
      <c r="L1918" s="18" t="s">
        <v>4797</v>
      </c>
      <c r="M1918" s="442"/>
      <c r="N1918" s="433"/>
      <c r="P1918" s="433"/>
      <c r="T1918" s="443"/>
      <c r="U1918" s="440"/>
      <c r="V1918" s="440"/>
      <c r="W1918" s="440"/>
      <c r="X1918" s="442"/>
    </row>
    <row r="1919" spans="1:24" x14ac:dyDescent="0.25">
      <c r="A1919" s="862">
        <v>2637</v>
      </c>
      <c r="B1919" s="863" t="s">
        <v>9432</v>
      </c>
      <c r="C1919" s="862">
        <v>2637</v>
      </c>
      <c r="D1919" s="165" t="s">
        <v>2163</v>
      </c>
      <c r="E1919" s="165" t="s">
        <v>9433</v>
      </c>
      <c r="F1919" s="163">
        <v>1</v>
      </c>
      <c r="G1919" s="864"/>
      <c r="H1919" s="864">
        <v>23902.091186375692</v>
      </c>
      <c r="I1919" s="864">
        <v>24524.819010040246</v>
      </c>
      <c r="J1919" s="864">
        <v>25180.311376847381</v>
      </c>
      <c r="K1919" s="864">
        <v>25870.301220813253</v>
      </c>
      <c r="L1919" s="18" t="s">
        <v>1290</v>
      </c>
      <c r="M1919" s="442"/>
      <c r="N1919" s="433"/>
      <c r="P1919" s="433"/>
      <c r="T1919" s="443"/>
      <c r="U1919" s="440"/>
      <c r="V1919" s="440"/>
      <c r="W1919" s="440"/>
      <c r="X1919" s="442"/>
    </row>
    <row r="1920" spans="1:24" x14ac:dyDescent="0.25">
      <c r="A1920" s="862">
        <v>2638</v>
      </c>
      <c r="B1920" s="863" t="s">
        <v>9434</v>
      </c>
      <c r="C1920" s="862">
        <v>2638</v>
      </c>
      <c r="D1920" s="165" t="s">
        <v>2163</v>
      </c>
      <c r="E1920" s="165" t="s">
        <v>9435</v>
      </c>
      <c r="F1920" s="163">
        <v>1</v>
      </c>
      <c r="G1920" s="864"/>
      <c r="H1920" s="864">
        <v>0</v>
      </c>
      <c r="I1920" s="864">
        <v>0</v>
      </c>
      <c r="J1920" s="864">
        <v>12114.178581440552</v>
      </c>
      <c r="K1920" s="864">
        <v>12376.22624565419</v>
      </c>
      <c r="L1920" s="18" t="s">
        <v>4798</v>
      </c>
      <c r="M1920" s="442"/>
      <c r="N1920" s="433"/>
      <c r="P1920" s="433"/>
      <c r="T1920" s="443"/>
      <c r="U1920" s="440"/>
      <c r="V1920" s="440"/>
      <c r="W1920" s="440"/>
      <c r="X1920" s="442"/>
    </row>
    <row r="1921" spans="1:24" x14ac:dyDescent="0.25">
      <c r="A1921" s="862">
        <v>2639</v>
      </c>
      <c r="B1921" s="863" t="s">
        <v>9436</v>
      </c>
      <c r="C1921" s="862">
        <v>2639</v>
      </c>
      <c r="D1921" s="165" t="s">
        <v>2163</v>
      </c>
      <c r="E1921" s="165" t="s">
        <v>9437</v>
      </c>
      <c r="F1921" s="163">
        <v>1</v>
      </c>
      <c r="G1921" s="864"/>
      <c r="H1921" s="864">
        <v>0</v>
      </c>
      <c r="I1921" s="864">
        <v>0</v>
      </c>
      <c r="J1921" s="864">
        <v>0</v>
      </c>
      <c r="K1921" s="864">
        <v>14225.188668759614</v>
      </c>
      <c r="L1921" s="18" t="s">
        <v>11038</v>
      </c>
      <c r="M1921" s="442"/>
      <c r="N1921" s="433"/>
      <c r="P1921" s="433"/>
      <c r="T1921" s="443"/>
      <c r="U1921" s="440"/>
      <c r="V1921" s="440"/>
      <c r="W1921" s="440"/>
      <c r="X1921" s="442"/>
    </row>
    <row r="1922" spans="1:24" x14ac:dyDescent="0.25">
      <c r="A1922" s="862">
        <v>2640</v>
      </c>
      <c r="B1922" s="863" t="s">
        <v>9438</v>
      </c>
      <c r="C1922" s="862">
        <v>2640</v>
      </c>
      <c r="D1922" s="165" t="s">
        <v>2163</v>
      </c>
      <c r="E1922" s="165" t="s">
        <v>9439</v>
      </c>
      <c r="F1922" s="163">
        <v>1</v>
      </c>
      <c r="G1922" s="864"/>
      <c r="H1922" s="864">
        <v>0</v>
      </c>
      <c r="I1922" s="864">
        <v>12558.601757718247</v>
      </c>
      <c r="J1922" s="864">
        <v>12832.502395405687</v>
      </c>
      <c r="K1922" s="864">
        <v>13120.820502147011</v>
      </c>
      <c r="L1922" s="18" t="s">
        <v>4051</v>
      </c>
      <c r="M1922" s="442"/>
      <c r="N1922" s="433"/>
      <c r="P1922" s="433"/>
      <c r="T1922" s="443"/>
      <c r="U1922" s="440"/>
      <c r="V1922" s="440"/>
      <c r="W1922" s="440"/>
      <c r="X1922" s="442"/>
    </row>
    <row r="1923" spans="1:24" x14ac:dyDescent="0.25">
      <c r="A1923" s="862">
        <v>2641</v>
      </c>
      <c r="B1923" s="863" t="s">
        <v>9440</v>
      </c>
      <c r="C1923" s="862">
        <v>2641</v>
      </c>
      <c r="D1923" s="165" t="s">
        <v>2163</v>
      </c>
      <c r="E1923" s="165" t="s">
        <v>9441</v>
      </c>
      <c r="F1923" s="163">
        <v>1</v>
      </c>
      <c r="G1923" s="864"/>
      <c r="H1923" s="864">
        <v>0</v>
      </c>
      <c r="I1923" s="864">
        <v>0</v>
      </c>
      <c r="J1923" s="864">
        <v>0</v>
      </c>
      <c r="K1923" s="864">
        <v>14225.188668759614</v>
      </c>
      <c r="L1923" s="18" t="s">
        <v>11039</v>
      </c>
      <c r="M1923" s="442"/>
      <c r="N1923" s="433"/>
      <c r="P1923" s="433"/>
      <c r="T1923" s="443"/>
      <c r="U1923" s="440"/>
      <c r="V1923" s="440"/>
      <c r="W1923" s="440"/>
      <c r="X1923" s="442"/>
    </row>
    <row r="1924" spans="1:24" x14ac:dyDescent="0.25">
      <c r="A1924" s="862">
        <v>2642</v>
      </c>
      <c r="B1924" s="863" t="s">
        <v>9442</v>
      </c>
      <c r="C1924" s="862">
        <v>2642</v>
      </c>
      <c r="D1924" s="165" t="s">
        <v>2163</v>
      </c>
      <c r="E1924" s="165" t="s">
        <v>9443</v>
      </c>
      <c r="F1924" s="163">
        <v>1</v>
      </c>
      <c r="G1924" s="864"/>
      <c r="H1924" s="864">
        <v>0</v>
      </c>
      <c r="I1924" s="864">
        <v>0</v>
      </c>
      <c r="J1924" s="864">
        <v>0</v>
      </c>
      <c r="K1924" s="864">
        <v>13669.659698412494</v>
      </c>
      <c r="L1924" s="18" t="s">
        <v>11040</v>
      </c>
      <c r="M1924" s="442"/>
      <c r="N1924" s="433"/>
      <c r="P1924" s="433"/>
      <c r="T1924" s="443"/>
      <c r="U1924" s="440"/>
      <c r="V1924" s="440"/>
      <c r="W1924" s="440"/>
      <c r="X1924" s="442"/>
    </row>
    <row r="1925" spans="1:24" x14ac:dyDescent="0.25">
      <c r="A1925" s="862">
        <v>2643</v>
      </c>
      <c r="B1925" s="863" t="s">
        <v>9444</v>
      </c>
      <c r="C1925" s="862">
        <v>2643</v>
      </c>
      <c r="D1925" s="165" t="s">
        <v>2163</v>
      </c>
      <c r="E1925" s="165" t="s">
        <v>9445</v>
      </c>
      <c r="F1925" s="163">
        <v>1</v>
      </c>
      <c r="G1925" s="864"/>
      <c r="H1925" s="864">
        <v>0</v>
      </c>
      <c r="I1925" s="864">
        <v>0</v>
      </c>
      <c r="J1925" s="864">
        <v>0</v>
      </c>
      <c r="K1925" s="864">
        <v>15336.246609453856</v>
      </c>
      <c r="L1925" s="18" t="s">
        <v>11041</v>
      </c>
      <c r="M1925" s="442"/>
      <c r="N1925" s="433"/>
      <c r="P1925" s="433"/>
      <c r="T1925" s="443"/>
      <c r="U1925" s="440"/>
      <c r="V1925" s="440"/>
      <c r="W1925" s="440"/>
      <c r="X1925" s="442"/>
    </row>
    <row r="1926" spans="1:24" x14ac:dyDescent="0.25">
      <c r="A1926" s="862">
        <v>2644</v>
      </c>
      <c r="B1926" s="863" t="s">
        <v>9446</v>
      </c>
      <c r="C1926" s="862">
        <v>2644</v>
      </c>
      <c r="D1926" s="165" t="s">
        <v>2163</v>
      </c>
      <c r="E1926" s="165" t="s">
        <v>9447</v>
      </c>
      <c r="F1926" s="163">
        <v>1</v>
      </c>
      <c r="G1926" s="864"/>
      <c r="H1926" s="864">
        <v>0</v>
      </c>
      <c r="I1926" s="864">
        <v>13669.659698412492</v>
      </c>
      <c r="J1926" s="864">
        <v>13973.177132616258</v>
      </c>
      <c r="K1926" s="864">
        <v>14292.707027027378</v>
      </c>
      <c r="L1926" s="18" t="s">
        <v>4052</v>
      </c>
      <c r="M1926" s="442"/>
      <c r="N1926" s="433"/>
      <c r="P1926" s="433"/>
      <c r="T1926" s="443"/>
      <c r="U1926" s="440"/>
      <c r="V1926" s="440"/>
      <c r="W1926" s="440"/>
      <c r="X1926" s="442"/>
    </row>
    <row r="1927" spans="1:24" x14ac:dyDescent="0.25">
      <c r="A1927" s="862">
        <v>2645</v>
      </c>
      <c r="B1927" s="863" t="s">
        <v>9448</v>
      </c>
      <c r="C1927" s="862">
        <v>2645</v>
      </c>
      <c r="D1927" s="165" t="s">
        <v>2163</v>
      </c>
      <c r="E1927" s="165" t="s">
        <v>9449</v>
      </c>
      <c r="F1927" s="163">
        <v>1</v>
      </c>
      <c r="G1927" s="864"/>
      <c r="H1927" s="864">
        <v>0</v>
      </c>
      <c r="I1927" s="864">
        <v>0</v>
      </c>
      <c r="J1927" s="864">
        <v>14780.717639106737</v>
      </c>
      <c r="K1927" s="864">
        <v>0</v>
      </c>
      <c r="L1927" s="18" t="s">
        <v>11042</v>
      </c>
      <c r="M1927" s="442"/>
      <c r="N1927" s="433"/>
      <c r="P1927" s="433"/>
      <c r="T1927" s="443"/>
      <c r="U1927" s="440"/>
      <c r="V1927" s="440"/>
      <c r="W1927" s="440"/>
      <c r="X1927" s="442"/>
    </row>
    <row r="1928" spans="1:24" x14ac:dyDescent="0.25">
      <c r="A1928" s="862">
        <v>2646</v>
      </c>
      <c r="B1928" s="863" t="s">
        <v>9450</v>
      </c>
      <c r="C1928" s="862">
        <v>2646</v>
      </c>
      <c r="D1928" s="165" t="s">
        <v>2163</v>
      </c>
      <c r="E1928" s="165" t="s">
        <v>9451</v>
      </c>
      <c r="F1928" s="163">
        <v>1</v>
      </c>
      <c r="G1928" s="864"/>
      <c r="H1928" s="864">
        <v>27474.591522585888</v>
      </c>
      <c r="I1928" s="864">
        <v>28182.204656670849</v>
      </c>
      <c r="J1928" s="864">
        <v>28927.065525339687</v>
      </c>
      <c r="K1928" s="864">
        <v>29711.144411781999</v>
      </c>
      <c r="L1928" s="18" t="s">
        <v>1291</v>
      </c>
      <c r="M1928" s="442"/>
      <c r="N1928" s="433"/>
      <c r="P1928" s="433"/>
      <c r="T1928" s="443"/>
      <c r="U1928" s="440"/>
      <c r="V1928" s="440"/>
      <c r="W1928" s="440"/>
      <c r="X1928" s="442"/>
    </row>
    <row r="1929" spans="1:24" x14ac:dyDescent="0.25">
      <c r="A1929" s="862">
        <v>2647</v>
      </c>
      <c r="B1929" s="863" t="s">
        <v>9452</v>
      </c>
      <c r="C1929" s="862">
        <v>2647</v>
      </c>
      <c r="D1929" s="165" t="s">
        <v>2163</v>
      </c>
      <c r="E1929" s="165" t="s">
        <v>9453</v>
      </c>
      <c r="F1929" s="163">
        <v>1</v>
      </c>
      <c r="G1929" s="864"/>
      <c r="H1929" s="864">
        <v>0</v>
      </c>
      <c r="I1929" s="864">
        <v>27557.883957090475</v>
      </c>
      <c r="J1929" s="864">
        <v>28231.783356598236</v>
      </c>
      <c r="K1929" s="864">
        <v>28941.147853518363</v>
      </c>
      <c r="L1929" s="18" t="s">
        <v>4053</v>
      </c>
      <c r="M1929" s="442"/>
      <c r="N1929" s="433"/>
      <c r="P1929" s="433"/>
      <c r="T1929" s="443"/>
      <c r="U1929" s="440"/>
      <c r="V1929" s="440"/>
      <c r="W1929" s="440"/>
      <c r="X1929" s="442"/>
    </row>
    <row r="1930" spans="1:24" x14ac:dyDescent="0.25">
      <c r="A1930" s="862">
        <v>2648</v>
      </c>
      <c r="B1930" s="863" t="s">
        <v>9454</v>
      </c>
      <c r="C1930" s="862">
        <v>2648</v>
      </c>
      <c r="D1930" s="165" t="s">
        <v>2163</v>
      </c>
      <c r="E1930" s="165" t="s">
        <v>9455</v>
      </c>
      <c r="F1930" s="163">
        <v>1</v>
      </c>
      <c r="G1930" s="864"/>
      <c r="H1930" s="864">
        <v>0</v>
      </c>
      <c r="I1930" s="864">
        <v>19502.713887057256</v>
      </c>
      <c r="J1930" s="864">
        <v>19961.789870228517</v>
      </c>
      <c r="K1930" s="864">
        <v>20445.040915392521</v>
      </c>
      <c r="L1930" s="18" t="s">
        <v>4054</v>
      </c>
      <c r="M1930" s="442"/>
      <c r="N1930" s="433"/>
      <c r="P1930" s="433"/>
      <c r="T1930" s="443"/>
      <c r="U1930" s="440"/>
      <c r="V1930" s="440"/>
      <c r="W1930" s="440"/>
      <c r="X1930" s="442"/>
    </row>
    <row r="1931" spans="1:24" x14ac:dyDescent="0.25">
      <c r="A1931" s="862">
        <v>2649</v>
      </c>
      <c r="B1931" s="863" t="s">
        <v>9456</v>
      </c>
      <c r="C1931" s="862">
        <v>2649</v>
      </c>
      <c r="D1931" s="165" t="s">
        <v>2163</v>
      </c>
      <c r="E1931" s="165" t="s">
        <v>9457</v>
      </c>
      <c r="F1931" s="163">
        <v>1</v>
      </c>
      <c r="G1931" s="864"/>
      <c r="H1931" s="864">
        <v>0</v>
      </c>
      <c r="I1931" s="864">
        <v>21447.065283272175</v>
      </c>
      <c r="J1931" s="864">
        <v>21957.994116099271</v>
      </c>
      <c r="K1931" s="864">
        <v>22495.8188781809</v>
      </c>
      <c r="L1931" s="18" t="s">
        <v>4055</v>
      </c>
      <c r="M1931" s="442"/>
      <c r="N1931" s="433"/>
      <c r="P1931" s="433"/>
      <c r="T1931" s="443"/>
      <c r="U1931" s="440"/>
      <c r="V1931" s="440"/>
      <c r="W1931" s="440"/>
      <c r="X1931" s="442"/>
    </row>
    <row r="1932" spans="1:24" x14ac:dyDescent="0.25">
      <c r="A1932" s="862">
        <v>2650</v>
      </c>
      <c r="B1932" s="863" t="s">
        <v>9458</v>
      </c>
      <c r="C1932" s="862">
        <v>2650</v>
      </c>
      <c r="D1932" s="165" t="s">
        <v>2163</v>
      </c>
      <c r="E1932" s="165" t="s">
        <v>9459</v>
      </c>
      <c r="F1932" s="163">
        <v>1</v>
      </c>
      <c r="G1932" s="864"/>
      <c r="H1932" s="864">
        <v>18992.214779882714</v>
      </c>
      <c r="I1932" s="864">
        <v>0</v>
      </c>
      <c r="J1932" s="864">
        <v>0</v>
      </c>
      <c r="K1932" s="864">
        <v>0</v>
      </c>
      <c r="L1932" s="18" t="s">
        <v>1292</v>
      </c>
      <c r="M1932" s="442"/>
      <c r="N1932" s="433"/>
      <c r="P1932" s="433"/>
      <c r="T1932" s="443"/>
      <c r="U1932" s="440"/>
      <c r="V1932" s="440"/>
      <c r="W1932" s="440"/>
      <c r="X1932" s="442"/>
    </row>
    <row r="1933" spans="1:24" x14ac:dyDescent="0.25">
      <c r="A1933" s="862">
        <v>2651</v>
      </c>
      <c r="B1933" s="863" t="s">
        <v>9460</v>
      </c>
      <c r="C1933" s="862">
        <v>2651</v>
      </c>
      <c r="D1933" s="165" t="s">
        <v>2163</v>
      </c>
      <c r="E1933" s="165" t="s">
        <v>9461</v>
      </c>
      <c r="F1933" s="163">
        <v>1</v>
      </c>
      <c r="G1933" s="864"/>
      <c r="H1933" s="864">
        <v>18012.526155942887</v>
      </c>
      <c r="I1933" s="864">
        <v>0</v>
      </c>
      <c r="J1933" s="864">
        <v>0</v>
      </c>
      <c r="K1933" s="864">
        <v>0</v>
      </c>
      <c r="L1933" s="18" t="s">
        <v>1293</v>
      </c>
      <c r="M1933" s="442"/>
      <c r="N1933" s="433"/>
      <c r="P1933" s="433"/>
      <c r="T1933" s="443"/>
      <c r="U1933" s="440"/>
      <c r="V1933" s="440"/>
      <c r="W1933" s="440"/>
      <c r="X1933" s="442"/>
    </row>
    <row r="1934" spans="1:24" x14ac:dyDescent="0.25">
      <c r="A1934" s="862">
        <v>2652</v>
      </c>
      <c r="B1934" s="863" t="s">
        <v>9462</v>
      </c>
      <c r="C1934" s="862">
        <v>2652</v>
      </c>
      <c r="D1934" s="165" t="s">
        <v>2163</v>
      </c>
      <c r="E1934" s="165" t="s">
        <v>9463</v>
      </c>
      <c r="F1934" s="163">
        <v>1</v>
      </c>
      <c r="G1934" s="864"/>
      <c r="H1934" s="864">
        <v>24512.476782836915</v>
      </c>
      <c r="I1934" s="864">
        <v>25335.5258422279</v>
      </c>
      <c r="J1934" s="864">
        <v>26201.934196328679</v>
      </c>
      <c r="K1934" s="864">
        <v>27113.942990118972</v>
      </c>
      <c r="L1934" s="18" t="s">
        <v>4056</v>
      </c>
      <c r="M1934" s="442"/>
      <c r="N1934" s="433"/>
      <c r="P1934" s="433"/>
      <c r="T1934" s="443"/>
      <c r="U1934" s="440"/>
      <c r="V1934" s="440"/>
      <c r="W1934" s="440"/>
      <c r="X1934" s="442"/>
    </row>
    <row r="1935" spans="1:24" x14ac:dyDescent="0.25">
      <c r="A1935" s="862">
        <v>2653</v>
      </c>
      <c r="B1935" s="863" t="s">
        <v>9464</v>
      </c>
      <c r="C1935" s="862">
        <v>2653</v>
      </c>
      <c r="D1935" s="165" t="s">
        <v>2163</v>
      </c>
      <c r="E1935" s="165" t="s">
        <v>9465</v>
      </c>
      <c r="F1935" s="163">
        <v>1</v>
      </c>
      <c r="G1935" s="864"/>
      <c r="H1935" s="864">
        <v>0</v>
      </c>
      <c r="I1935" s="864">
        <v>27064.607218539066</v>
      </c>
      <c r="J1935" s="864">
        <v>27996.008777051877</v>
      </c>
      <c r="K1935" s="864">
        <v>28976.395361550116</v>
      </c>
      <c r="L1935" s="18" t="s">
        <v>4057</v>
      </c>
      <c r="M1935" s="442"/>
      <c r="N1935" s="433"/>
      <c r="P1935" s="433"/>
      <c r="T1935" s="443"/>
      <c r="U1935" s="440"/>
      <c r="V1935" s="440"/>
      <c r="W1935" s="440"/>
      <c r="X1935" s="442"/>
    </row>
    <row r="1936" spans="1:24" x14ac:dyDescent="0.25">
      <c r="A1936" s="862">
        <v>2654</v>
      </c>
      <c r="B1936" s="863" t="s">
        <v>9466</v>
      </c>
      <c r="C1936" s="862">
        <v>2654</v>
      </c>
      <c r="D1936" s="165" t="s">
        <v>2163</v>
      </c>
      <c r="E1936" s="165" t="s">
        <v>9467</v>
      </c>
      <c r="F1936" s="163">
        <v>1</v>
      </c>
      <c r="G1936" s="864"/>
      <c r="H1936" s="864">
        <v>15704.440467647064</v>
      </c>
      <c r="I1936" s="864">
        <v>0</v>
      </c>
      <c r="J1936" s="864">
        <v>0</v>
      </c>
      <c r="K1936" s="864">
        <v>0</v>
      </c>
      <c r="L1936" s="18" t="s">
        <v>1294</v>
      </c>
      <c r="M1936" s="442"/>
      <c r="N1936" s="433"/>
      <c r="P1936" s="433"/>
      <c r="T1936" s="443"/>
      <c r="U1936" s="440"/>
      <c r="V1936" s="440"/>
      <c r="W1936" s="440"/>
      <c r="X1936" s="442"/>
    </row>
    <row r="1937" spans="1:24" x14ac:dyDescent="0.25">
      <c r="A1937" s="862">
        <v>2655</v>
      </c>
      <c r="B1937" s="863" t="s">
        <v>9468</v>
      </c>
      <c r="C1937" s="862">
        <v>2655</v>
      </c>
      <c r="D1937" s="165" t="s">
        <v>2163</v>
      </c>
      <c r="E1937" s="165" t="s">
        <v>9469</v>
      </c>
      <c r="F1937" s="163">
        <v>1</v>
      </c>
      <c r="G1937" s="864"/>
      <c r="H1937" s="864">
        <v>14842.330920662842</v>
      </c>
      <c r="I1937" s="864">
        <v>0</v>
      </c>
      <c r="J1937" s="864">
        <v>0</v>
      </c>
      <c r="K1937" s="864">
        <v>0</v>
      </c>
      <c r="L1937" s="18" t="s">
        <v>1295</v>
      </c>
      <c r="M1937" s="442"/>
      <c r="N1937" s="433"/>
      <c r="P1937" s="433"/>
      <c r="T1937" s="443"/>
      <c r="U1937" s="440"/>
      <c r="V1937" s="440"/>
      <c r="W1937" s="440"/>
      <c r="X1937" s="442"/>
    </row>
    <row r="1938" spans="1:24" x14ac:dyDescent="0.25">
      <c r="A1938" s="862">
        <v>2656</v>
      </c>
      <c r="B1938" s="863" t="s">
        <v>9470</v>
      </c>
      <c r="C1938" s="862">
        <v>2656</v>
      </c>
      <c r="D1938" s="165" t="s">
        <v>2163</v>
      </c>
      <c r="E1938" s="165" t="s">
        <v>9471</v>
      </c>
      <c r="F1938" s="163">
        <v>2</v>
      </c>
      <c r="G1938" s="864"/>
      <c r="H1938" s="864">
        <v>25737.868570569393</v>
      </c>
      <c r="I1938" s="864">
        <v>26748.419063226796</v>
      </c>
      <c r="J1938" s="864">
        <v>27812.148741655721</v>
      </c>
      <c r="K1938" s="864">
        <v>28931.879557159689</v>
      </c>
      <c r="L1938" s="18" t="s">
        <v>1296</v>
      </c>
      <c r="M1938" s="442"/>
      <c r="N1938" s="433"/>
      <c r="P1938" s="433"/>
      <c r="T1938" s="443"/>
      <c r="U1938" s="440"/>
      <c r="V1938" s="440"/>
      <c r="W1938" s="440"/>
      <c r="X1938" s="442"/>
    </row>
    <row r="1939" spans="1:24" x14ac:dyDescent="0.25">
      <c r="A1939" s="862">
        <v>2657</v>
      </c>
      <c r="B1939" s="863" t="s">
        <v>9472</v>
      </c>
      <c r="C1939" s="862">
        <v>2657</v>
      </c>
      <c r="D1939" s="165" t="s">
        <v>2163</v>
      </c>
      <c r="E1939" s="165" t="s">
        <v>9473</v>
      </c>
      <c r="F1939" s="163">
        <v>2</v>
      </c>
      <c r="G1939" s="864"/>
      <c r="H1939" s="864">
        <v>26798.053530231737</v>
      </c>
      <c r="I1939" s="864">
        <v>27857.112392710005</v>
      </c>
      <c r="J1939" s="864">
        <v>28971.929120599227</v>
      </c>
      <c r="K1939" s="864">
        <v>30145.422973868554</v>
      </c>
      <c r="L1939" s="18" t="s">
        <v>1297</v>
      </c>
      <c r="M1939" s="442"/>
      <c r="N1939" s="433"/>
      <c r="P1939" s="433"/>
      <c r="T1939" s="443"/>
      <c r="U1939" s="440"/>
      <c r="V1939" s="440"/>
      <c r="W1939" s="440"/>
      <c r="X1939" s="442"/>
    </row>
    <row r="1940" spans="1:24" x14ac:dyDescent="0.25">
      <c r="A1940" s="862">
        <v>2658</v>
      </c>
      <c r="B1940" s="863" t="s">
        <v>9474</v>
      </c>
      <c r="C1940" s="862">
        <v>2658</v>
      </c>
      <c r="D1940" s="165" t="s">
        <v>2163</v>
      </c>
      <c r="E1940" s="165" t="s">
        <v>9475</v>
      </c>
      <c r="F1940" s="163">
        <v>1</v>
      </c>
      <c r="G1940" s="864"/>
      <c r="H1940" s="864">
        <v>22438.045499483476</v>
      </c>
      <c r="I1940" s="864">
        <v>22881.420589593068</v>
      </c>
      <c r="J1940" s="864">
        <v>23348.136116127953</v>
      </c>
      <c r="K1940" s="864">
        <v>23839.417019277018</v>
      </c>
      <c r="L1940" s="18" t="s">
        <v>1298</v>
      </c>
      <c r="M1940" s="442"/>
      <c r="N1940" s="433"/>
      <c r="P1940" s="433"/>
      <c r="T1940" s="443"/>
      <c r="U1940" s="440"/>
      <c r="V1940" s="440"/>
      <c r="W1940" s="440"/>
      <c r="X1940" s="442"/>
    </row>
    <row r="1941" spans="1:24" x14ac:dyDescent="0.25">
      <c r="A1941" s="862">
        <v>2659</v>
      </c>
      <c r="B1941" s="863" t="s">
        <v>9476</v>
      </c>
      <c r="C1941" s="862">
        <v>2659</v>
      </c>
      <c r="D1941" s="165" t="s">
        <v>2163</v>
      </c>
      <c r="E1941" s="165" t="s">
        <v>9477</v>
      </c>
      <c r="F1941" s="163">
        <v>2</v>
      </c>
      <c r="G1941" s="864"/>
      <c r="H1941" s="864">
        <v>10270.418294900246</v>
      </c>
      <c r="I1941" s="864">
        <v>10584.28739591772</v>
      </c>
      <c r="J1941" s="864">
        <v>10914.698970093761</v>
      </c>
      <c r="K1941" s="864">
        <v>11262.480141086306</v>
      </c>
      <c r="L1941" s="18" t="s">
        <v>1299</v>
      </c>
      <c r="M1941" s="442"/>
      <c r="N1941" s="433"/>
      <c r="P1941" s="433"/>
      <c r="T1941" s="443"/>
      <c r="U1941" s="440"/>
      <c r="V1941" s="440"/>
      <c r="W1941" s="440"/>
      <c r="X1941" s="442"/>
    </row>
    <row r="1942" spans="1:24" x14ac:dyDescent="0.25">
      <c r="A1942" s="862">
        <v>2660</v>
      </c>
      <c r="B1942" s="863" t="s">
        <v>9478</v>
      </c>
      <c r="C1942" s="862">
        <v>2660</v>
      </c>
      <c r="D1942" s="165" t="s">
        <v>2163</v>
      </c>
      <c r="E1942" s="165" t="s">
        <v>9479</v>
      </c>
      <c r="F1942" s="163">
        <v>2</v>
      </c>
      <c r="G1942" s="864"/>
      <c r="H1942" s="864">
        <v>13070.251311084126</v>
      </c>
      <c r="I1942" s="864">
        <v>13516.168271373248</v>
      </c>
      <c r="J1942" s="864">
        <v>13985.53662008129</v>
      </c>
      <c r="K1942" s="864">
        <v>14479.621369861545</v>
      </c>
      <c r="L1942" s="18" t="s">
        <v>1300</v>
      </c>
      <c r="M1942" s="442"/>
      <c r="N1942" s="433"/>
      <c r="P1942" s="433"/>
      <c r="T1942" s="443"/>
      <c r="U1942" s="440"/>
      <c r="V1942" s="440"/>
      <c r="W1942" s="440"/>
      <c r="X1942" s="442"/>
    </row>
    <row r="1943" spans="1:24" x14ac:dyDescent="0.25">
      <c r="A1943" s="862">
        <v>2661</v>
      </c>
      <c r="B1943" s="863" t="s">
        <v>9480</v>
      </c>
      <c r="C1943" s="862">
        <v>2661</v>
      </c>
      <c r="D1943" s="165" t="s">
        <v>2163</v>
      </c>
      <c r="E1943" s="165" t="s">
        <v>9481</v>
      </c>
      <c r="F1943" s="163">
        <v>2</v>
      </c>
      <c r="G1943" s="864"/>
      <c r="H1943" s="864">
        <v>13808.94693138907</v>
      </c>
      <c r="I1943" s="864">
        <v>14289.700393976829</v>
      </c>
      <c r="J1943" s="864">
        <v>14795.754109630641</v>
      </c>
      <c r="K1943" s="864">
        <v>15328.421745336622</v>
      </c>
      <c r="L1943" s="18" t="s">
        <v>1301</v>
      </c>
      <c r="M1943" s="442"/>
      <c r="N1943" s="433"/>
      <c r="P1943" s="433"/>
      <c r="T1943" s="443"/>
      <c r="U1943" s="440"/>
      <c r="V1943" s="440"/>
      <c r="W1943" s="440"/>
      <c r="X1943" s="442"/>
    </row>
    <row r="1944" spans="1:24" x14ac:dyDescent="0.25">
      <c r="A1944" s="862">
        <v>2662</v>
      </c>
      <c r="B1944" s="863" t="s">
        <v>9482</v>
      </c>
      <c r="C1944" s="862">
        <v>2662</v>
      </c>
      <c r="D1944" s="165" t="s">
        <v>2163</v>
      </c>
      <c r="E1944" s="165" t="s">
        <v>9483</v>
      </c>
      <c r="F1944" s="163">
        <v>2</v>
      </c>
      <c r="G1944" s="864"/>
      <c r="H1944" s="864">
        <v>14067.487965779161</v>
      </c>
      <c r="I1944" s="864">
        <v>14560.405011571751</v>
      </c>
      <c r="J1944" s="864">
        <v>15079.254816757044</v>
      </c>
      <c r="K1944" s="864">
        <v>15625.448356986799</v>
      </c>
      <c r="L1944" s="18" t="s">
        <v>1302</v>
      </c>
      <c r="M1944" s="442"/>
      <c r="N1944" s="433"/>
      <c r="P1944" s="433"/>
      <c r="T1944" s="443"/>
      <c r="U1944" s="440"/>
      <c r="V1944" s="440"/>
      <c r="W1944" s="440"/>
      <c r="X1944" s="442"/>
    </row>
    <row r="1945" spans="1:24" x14ac:dyDescent="0.25">
      <c r="A1945" s="862">
        <v>2663</v>
      </c>
      <c r="B1945" s="863" t="s">
        <v>9484</v>
      </c>
      <c r="C1945" s="862">
        <v>2663</v>
      </c>
      <c r="D1945" s="165" t="s">
        <v>2163</v>
      </c>
      <c r="E1945" s="165" t="s">
        <v>9485</v>
      </c>
      <c r="F1945" s="163">
        <v>2</v>
      </c>
      <c r="G1945" s="864"/>
      <c r="H1945" s="864">
        <v>14929.494368350544</v>
      </c>
      <c r="I1945" s="864">
        <v>15440.121591289373</v>
      </c>
      <c r="J1945" s="864">
        <v>15977.60600594447</v>
      </c>
      <c r="K1945" s="864">
        <v>16543.407242300411</v>
      </c>
      <c r="L1945" s="18" t="s">
        <v>3112</v>
      </c>
      <c r="M1945" s="442"/>
      <c r="N1945" s="433"/>
      <c r="P1945" s="433"/>
      <c r="T1945" s="443"/>
      <c r="U1945" s="440"/>
      <c r="V1945" s="440"/>
      <c r="W1945" s="440"/>
      <c r="X1945" s="442"/>
    </row>
    <row r="1946" spans="1:24" x14ac:dyDescent="0.25">
      <c r="A1946" s="862">
        <v>2664</v>
      </c>
      <c r="B1946" s="863" t="s">
        <v>9486</v>
      </c>
      <c r="C1946" s="862">
        <v>2664</v>
      </c>
      <c r="D1946" s="165" t="s">
        <v>2163</v>
      </c>
      <c r="E1946" s="165" t="s">
        <v>9487</v>
      </c>
      <c r="F1946" s="163">
        <v>1</v>
      </c>
      <c r="G1946" s="864"/>
      <c r="H1946" s="864">
        <v>0</v>
      </c>
      <c r="I1946" s="864">
        <v>16447.304550148092</v>
      </c>
      <c r="J1946" s="864">
        <v>16824.910887147198</v>
      </c>
      <c r="K1946" s="864">
        <v>17222.407702060118</v>
      </c>
      <c r="L1946" s="18" t="s">
        <v>4058</v>
      </c>
      <c r="M1946" s="442"/>
      <c r="N1946" s="433"/>
      <c r="P1946" s="433"/>
      <c r="T1946" s="443"/>
      <c r="U1946" s="440"/>
      <c r="V1946" s="440"/>
      <c r="W1946" s="440"/>
      <c r="X1946" s="442"/>
    </row>
    <row r="1947" spans="1:24" x14ac:dyDescent="0.25">
      <c r="A1947" s="862">
        <v>2665</v>
      </c>
      <c r="B1947" s="863" t="s">
        <v>9488</v>
      </c>
      <c r="C1947" s="862">
        <v>2665</v>
      </c>
      <c r="D1947" s="165" t="s">
        <v>2163</v>
      </c>
      <c r="E1947" s="165" t="s">
        <v>9489</v>
      </c>
      <c r="F1947" s="163">
        <v>1</v>
      </c>
      <c r="G1947" s="864"/>
      <c r="H1947" s="864">
        <v>30891.057779173192</v>
      </c>
      <c r="I1947" s="864">
        <v>0</v>
      </c>
      <c r="J1947" s="864">
        <v>0</v>
      </c>
      <c r="K1947" s="864">
        <v>0</v>
      </c>
      <c r="L1947" s="18" t="s">
        <v>3113</v>
      </c>
      <c r="M1947" s="442"/>
      <c r="N1947" s="433"/>
      <c r="P1947" s="433"/>
      <c r="T1947" s="443"/>
      <c r="U1947" s="440"/>
      <c r="V1947" s="440"/>
      <c r="W1947" s="440"/>
      <c r="X1947" s="442"/>
    </row>
    <row r="1948" spans="1:24" x14ac:dyDescent="0.25">
      <c r="A1948" s="862">
        <v>2666</v>
      </c>
      <c r="B1948" s="863" t="s">
        <v>9490</v>
      </c>
      <c r="C1948" s="862">
        <v>2666</v>
      </c>
      <c r="D1948" s="165" t="s">
        <v>2163</v>
      </c>
      <c r="E1948" s="165" t="s">
        <v>9491</v>
      </c>
      <c r="F1948" s="163">
        <v>1</v>
      </c>
      <c r="G1948" s="864"/>
      <c r="H1948" s="864">
        <v>30613.293293999632</v>
      </c>
      <c r="I1948" s="864">
        <v>31368.662339679551</v>
      </c>
      <c r="J1948" s="864">
        <v>32163.781066850777</v>
      </c>
      <c r="K1948" s="864">
        <v>33000.744856048215</v>
      </c>
      <c r="L1948" s="18" t="s">
        <v>3114</v>
      </c>
      <c r="M1948" s="442"/>
      <c r="N1948" s="433"/>
      <c r="P1948" s="433"/>
      <c r="T1948" s="443"/>
      <c r="U1948" s="440"/>
      <c r="V1948" s="440"/>
      <c r="W1948" s="440"/>
      <c r="X1948" s="442"/>
    </row>
    <row r="1949" spans="1:24" x14ac:dyDescent="0.25">
      <c r="A1949" s="862">
        <v>2667</v>
      </c>
      <c r="B1949" s="863" t="s">
        <v>9492</v>
      </c>
      <c r="C1949" s="862">
        <v>2667</v>
      </c>
      <c r="D1949" s="165" t="s">
        <v>2163</v>
      </c>
      <c r="E1949" s="165" t="s">
        <v>9493</v>
      </c>
      <c r="F1949" s="163">
        <v>1</v>
      </c>
      <c r="G1949" s="864"/>
      <c r="H1949" s="864">
        <v>30891.057779173192</v>
      </c>
      <c r="I1949" s="864">
        <v>0</v>
      </c>
      <c r="J1949" s="864">
        <v>0</v>
      </c>
      <c r="K1949" s="864">
        <v>0</v>
      </c>
      <c r="L1949" s="18" t="s">
        <v>3115</v>
      </c>
      <c r="M1949" s="442"/>
      <c r="N1949" s="433"/>
      <c r="P1949" s="433"/>
      <c r="T1949" s="443"/>
      <c r="U1949" s="440"/>
      <c r="V1949" s="440"/>
      <c r="W1949" s="440"/>
      <c r="X1949" s="442"/>
    </row>
    <row r="1950" spans="1:24" x14ac:dyDescent="0.25">
      <c r="A1950" s="862">
        <v>2668</v>
      </c>
      <c r="B1950" s="863" t="s">
        <v>9494</v>
      </c>
      <c r="C1950" s="862">
        <v>2668</v>
      </c>
      <c r="D1950" s="165" t="s">
        <v>2163</v>
      </c>
      <c r="E1950" s="165" t="s">
        <v>9495</v>
      </c>
      <c r="F1950" s="163">
        <v>1</v>
      </c>
      <c r="G1950" s="864"/>
      <c r="H1950" s="864">
        <v>0</v>
      </c>
      <c r="I1950" s="864">
        <v>31168.822264346756</v>
      </c>
      <c r="J1950" s="864">
        <v>31939.015345453019</v>
      </c>
      <c r="K1950" s="864">
        <v>32749.739966459118</v>
      </c>
      <c r="L1950" s="18" t="s">
        <v>4059</v>
      </c>
      <c r="M1950" s="442"/>
      <c r="N1950" s="433"/>
      <c r="P1950" s="433"/>
      <c r="T1950" s="443"/>
      <c r="U1950" s="440"/>
      <c r="V1950" s="440"/>
      <c r="W1950" s="440"/>
      <c r="X1950" s="442"/>
    </row>
    <row r="1951" spans="1:24" x14ac:dyDescent="0.25">
      <c r="A1951" s="862">
        <v>2669</v>
      </c>
      <c r="B1951" s="863" t="s">
        <v>9496</v>
      </c>
      <c r="C1951" s="862">
        <v>2669</v>
      </c>
      <c r="D1951" s="165" t="s">
        <v>2164</v>
      </c>
      <c r="E1951" s="165" t="s">
        <v>9497</v>
      </c>
      <c r="F1951" s="163">
        <v>2</v>
      </c>
      <c r="G1951" s="864"/>
      <c r="H1951" s="864">
        <v>8617.6861388796642</v>
      </c>
      <c r="I1951" s="864">
        <v>8834.7817719194991</v>
      </c>
      <c r="J1951" s="864">
        <v>9063.3111731718709</v>
      </c>
      <c r="K1951" s="864">
        <v>9303.8581946306222</v>
      </c>
      <c r="L1951" s="18" t="s">
        <v>1303</v>
      </c>
      <c r="M1951" s="442"/>
      <c r="N1951" s="433"/>
      <c r="P1951" s="433"/>
      <c r="T1951" s="443"/>
      <c r="U1951" s="440"/>
      <c r="V1951" s="440"/>
      <c r="W1951" s="440"/>
      <c r="X1951" s="442"/>
    </row>
    <row r="1952" spans="1:24" x14ac:dyDescent="0.25">
      <c r="A1952" s="862">
        <v>2670</v>
      </c>
      <c r="B1952" s="863" t="s">
        <v>9498</v>
      </c>
      <c r="C1952" s="862">
        <v>2670</v>
      </c>
      <c r="D1952" s="165" t="s">
        <v>2164</v>
      </c>
      <c r="E1952" s="165" t="s">
        <v>9499</v>
      </c>
      <c r="F1952" s="163">
        <v>2</v>
      </c>
      <c r="G1952" s="864"/>
      <c r="H1952" s="864">
        <v>9739.5793775505681</v>
      </c>
      <c r="I1952" s="864">
        <v>10009.270344368091</v>
      </c>
      <c r="J1952" s="864">
        <v>10293.168376368858</v>
      </c>
      <c r="K1952" s="864">
        <v>10592.00328854516</v>
      </c>
      <c r="L1952" s="18" t="s">
        <v>1304</v>
      </c>
      <c r="M1952" s="442"/>
      <c r="N1952" s="433"/>
      <c r="P1952" s="433"/>
      <c r="T1952" s="443"/>
      <c r="U1952" s="440"/>
      <c r="V1952" s="440"/>
      <c r="W1952" s="440"/>
      <c r="X1952" s="442"/>
    </row>
    <row r="1953" spans="1:24" x14ac:dyDescent="0.25">
      <c r="A1953" s="862">
        <v>2671</v>
      </c>
      <c r="B1953" s="863" t="s">
        <v>9500</v>
      </c>
      <c r="C1953" s="862">
        <v>2671</v>
      </c>
      <c r="D1953" s="165" t="s">
        <v>2164</v>
      </c>
      <c r="E1953" s="165" t="s">
        <v>9501</v>
      </c>
      <c r="F1953" s="163">
        <v>2</v>
      </c>
      <c r="G1953" s="864"/>
      <c r="H1953" s="864">
        <v>9337.337991021308</v>
      </c>
      <c r="I1953" s="864">
        <v>9588.1997310377537</v>
      </c>
      <c r="J1953" s="864">
        <v>9852.2467952482384</v>
      </c>
      <c r="K1953" s="864">
        <v>10130.208998645048</v>
      </c>
      <c r="L1953" s="18" t="s">
        <v>1305</v>
      </c>
      <c r="M1953" s="442"/>
      <c r="N1953" s="433"/>
      <c r="P1953" s="433"/>
      <c r="T1953" s="443"/>
      <c r="U1953" s="440"/>
      <c r="V1953" s="440"/>
      <c r="W1953" s="440"/>
      <c r="X1953" s="442"/>
    </row>
    <row r="1954" spans="1:24" x14ac:dyDescent="0.25">
      <c r="A1954" s="862">
        <v>2672</v>
      </c>
      <c r="B1954" s="863" t="s">
        <v>9502</v>
      </c>
      <c r="C1954" s="862">
        <v>2672</v>
      </c>
      <c r="D1954" s="165" t="s">
        <v>2164</v>
      </c>
      <c r="E1954" s="165" t="s">
        <v>9503</v>
      </c>
      <c r="F1954" s="163">
        <v>2</v>
      </c>
      <c r="G1954" s="864"/>
      <c r="H1954" s="864">
        <v>10165.11121088349</v>
      </c>
      <c r="I1954" s="864">
        <v>10429.767402718486</v>
      </c>
      <c r="J1954" s="864">
        <v>10708.34683651406</v>
      </c>
      <c r="K1954" s="864">
        <v>11001.594377066456</v>
      </c>
      <c r="L1954" s="18" t="s">
        <v>1306</v>
      </c>
      <c r="M1954" s="442"/>
      <c r="N1954" s="433"/>
      <c r="P1954" s="433"/>
      <c r="T1954" s="443"/>
      <c r="U1954" s="440"/>
      <c r="V1954" s="440"/>
      <c r="W1954" s="440"/>
      <c r="X1954" s="442"/>
    </row>
    <row r="1955" spans="1:24" x14ac:dyDescent="0.25">
      <c r="A1955" s="862">
        <v>2673</v>
      </c>
      <c r="B1955" s="863" t="s">
        <v>9504</v>
      </c>
      <c r="C1955" s="862">
        <v>2673</v>
      </c>
      <c r="D1955" s="165" t="s">
        <v>2164</v>
      </c>
      <c r="E1955" s="165" t="s">
        <v>9505</v>
      </c>
      <c r="F1955" s="163">
        <v>2</v>
      </c>
      <c r="G1955" s="864"/>
      <c r="H1955" s="864">
        <v>10992.847308733411</v>
      </c>
      <c r="I1955" s="864">
        <v>11292.913227036048</v>
      </c>
      <c r="J1955" s="864">
        <v>11608.793197935884</v>
      </c>
      <c r="K1955" s="864">
        <v>11941.289383521178</v>
      </c>
      <c r="L1955" s="18" t="s">
        <v>1307</v>
      </c>
      <c r="M1955" s="442"/>
      <c r="N1955" s="433"/>
      <c r="P1955" s="433"/>
      <c r="T1955" s="443"/>
      <c r="U1955" s="440"/>
      <c r="V1955" s="440"/>
      <c r="W1955" s="440"/>
      <c r="X1955" s="442"/>
    </row>
    <row r="1956" spans="1:24" x14ac:dyDescent="0.25">
      <c r="A1956" s="862">
        <v>2674</v>
      </c>
      <c r="B1956" s="863" t="s">
        <v>9506</v>
      </c>
      <c r="C1956" s="862">
        <v>2674</v>
      </c>
      <c r="D1956" s="165" t="s">
        <v>2164</v>
      </c>
      <c r="E1956" s="165" t="s">
        <v>9507</v>
      </c>
      <c r="F1956" s="163">
        <v>2</v>
      </c>
      <c r="G1956" s="864"/>
      <c r="H1956" s="864">
        <v>13521.598625050883</v>
      </c>
      <c r="I1956" s="864">
        <v>13986.247503475446</v>
      </c>
      <c r="J1956" s="864">
        <v>14475.320856975311</v>
      </c>
      <c r="K1956" s="864">
        <v>14990.132352536601</v>
      </c>
      <c r="L1956" s="18" t="s">
        <v>1308</v>
      </c>
      <c r="M1956" s="442"/>
      <c r="N1956" s="433"/>
      <c r="P1956" s="433"/>
      <c r="T1956" s="443"/>
      <c r="U1956" s="440"/>
      <c r="V1956" s="440"/>
      <c r="W1956" s="440"/>
      <c r="X1956" s="442"/>
    </row>
    <row r="1957" spans="1:24" x14ac:dyDescent="0.25">
      <c r="A1957" s="862">
        <v>2675</v>
      </c>
      <c r="B1957" s="863" t="s">
        <v>9508</v>
      </c>
      <c r="C1957" s="862">
        <v>2675</v>
      </c>
      <c r="D1957" s="165" t="s">
        <v>2164</v>
      </c>
      <c r="E1957" s="165" t="s">
        <v>9509</v>
      </c>
      <c r="F1957" s="163">
        <v>2</v>
      </c>
      <c r="G1957" s="864"/>
      <c r="H1957" s="864">
        <v>13676.83005406823</v>
      </c>
      <c r="I1957" s="864">
        <v>14148.728428082875</v>
      </c>
      <c r="J1957" s="864">
        <v>14645.489166168192</v>
      </c>
      <c r="K1957" s="864">
        <v>15168.377280977491</v>
      </c>
      <c r="L1957" s="18" t="s">
        <v>1309</v>
      </c>
      <c r="M1957" s="442"/>
      <c r="N1957" s="433"/>
      <c r="P1957" s="433"/>
      <c r="T1957" s="443"/>
      <c r="U1957" s="440"/>
      <c r="V1957" s="440"/>
      <c r="W1957" s="440"/>
      <c r="X1957" s="442"/>
    </row>
    <row r="1958" spans="1:24" x14ac:dyDescent="0.25">
      <c r="A1958" s="862">
        <v>2676</v>
      </c>
      <c r="B1958" s="863" t="s">
        <v>9510</v>
      </c>
      <c r="C1958" s="862">
        <v>2676</v>
      </c>
      <c r="D1958" s="165" t="s">
        <v>2164</v>
      </c>
      <c r="E1958" s="165" t="s">
        <v>9511</v>
      </c>
      <c r="F1958" s="163">
        <v>2</v>
      </c>
      <c r="G1958" s="864"/>
      <c r="H1958" s="864">
        <v>12639.621773315745</v>
      </c>
      <c r="I1958" s="864">
        <v>13062.914468843879</v>
      </c>
      <c r="J1958" s="864">
        <v>13508.490848803269</v>
      </c>
      <c r="K1958" s="864">
        <v>13977.518617181571</v>
      </c>
      <c r="L1958" s="18" t="s">
        <v>1310</v>
      </c>
      <c r="M1958" s="442"/>
      <c r="N1958" s="433"/>
      <c r="P1958" s="433"/>
      <c r="T1958" s="443"/>
      <c r="U1958" s="440"/>
      <c r="V1958" s="440"/>
      <c r="W1958" s="440"/>
      <c r="X1958" s="442"/>
    </row>
    <row r="1959" spans="1:24" x14ac:dyDescent="0.25">
      <c r="A1959" s="862">
        <v>2677</v>
      </c>
      <c r="B1959" s="863" t="s">
        <v>9512</v>
      </c>
      <c r="C1959" s="862">
        <v>2677</v>
      </c>
      <c r="D1959" s="165" t="s">
        <v>2164</v>
      </c>
      <c r="E1959" s="165" t="s">
        <v>9513</v>
      </c>
      <c r="F1959" s="163">
        <v>2</v>
      </c>
      <c r="G1959" s="864"/>
      <c r="H1959" s="864">
        <v>12801.898118576419</v>
      </c>
      <c r="I1959" s="864">
        <v>13232.780890024371</v>
      </c>
      <c r="J1959" s="864">
        <v>13686.336580566127</v>
      </c>
      <c r="K1959" s="864">
        <v>14163.781548522176</v>
      </c>
      <c r="L1959" s="18" t="s">
        <v>1311</v>
      </c>
      <c r="M1959" s="442"/>
      <c r="N1959" s="433"/>
      <c r="P1959" s="433"/>
      <c r="T1959" s="443"/>
      <c r="U1959" s="440"/>
      <c r="V1959" s="440"/>
      <c r="W1959" s="440"/>
      <c r="X1959" s="442"/>
    </row>
    <row r="1960" spans="1:24" x14ac:dyDescent="0.25">
      <c r="A1960" s="862">
        <v>2678</v>
      </c>
      <c r="B1960" s="863" t="s">
        <v>9514</v>
      </c>
      <c r="C1960" s="862">
        <v>2678</v>
      </c>
      <c r="D1960" s="165" t="s">
        <v>2164</v>
      </c>
      <c r="E1960" s="165" t="s">
        <v>9515</v>
      </c>
      <c r="F1960" s="163">
        <v>2</v>
      </c>
      <c r="G1960" s="864"/>
      <c r="H1960" s="864">
        <v>15867.14633669976</v>
      </c>
      <c r="I1960" s="864">
        <v>16392.104126176324</v>
      </c>
      <c r="J1960" s="864">
        <v>16944.679210405964</v>
      </c>
      <c r="K1960" s="864">
        <v>17526.361318981173</v>
      </c>
      <c r="L1960" s="18" t="s">
        <v>1312</v>
      </c>
      <c r="M1960" s="442"/>
      <c r="N1960" s="433"/>
      <c r="P1960" s="433"/>
      <c r="T1960" s="443"/>
      <c r="U1960" s="440"/>
      <c r="V1960" s="440"/>
      <c r="W1960" s="440"/>
      <c r="X1960" s="442"/>
    </row>
    <row r="1961" spans="1:24" x14ac:dyDescent="0.25">
      <c r="A1961" s="862">
        <v>2679</v>
      </c>
      <c r="B1961" s="863" t="s">
        <v>9516</v>
      </c>
      <c r="C1961" s="862">
        <v>2679</v>
      </c>
      <c r="D1961" s="165" t="s">
        <v>2164</v>
      </c>
      <c r="E1961" s="165" t="s">
        <v>9517</v>
      </c>
      <c r="F1961" s="163">
        <v>2</v>
      </c>
      <c r="G1961" s="864"/>
      <c r="H1961" s="864">
        <v>16076.451326079088</v>
      </c>
      <c r="I1961" s="864">
        <v>16610.404790402608</v>
      </c>
      <c r="J1961" s="864">
        <v>17172.433927815357</v>
      </c>
      <c r="K1961" s="864">
        <v>17764.028467909826</v>
      </c>
      <c r="L1961" s="18" t="s">
        <v>1313</v>
      </c>
      <c r="M1961" s="442"/>
      <c r="N1961" s="433"/>
      <c r="P1961" s="433"/>
      <c r="T1961" s="443"/>
      <c r="U1961" s="440"/>
      <c r="V1961" s="440"/>
      <c r="W1961" s="440"/>
      <c r="X1961" s="442"/>
    </row>
    <row r="1962" spans="1:24" x14ac:dyDescent="0.25">
      <c r="A1962" s="862">
        <v>2680</v>
      </c>
      <c r="B1962" s="863" t="s">
        <v>9518</v>
      </c>
      <c r="C1962" s="862">
        <v>2680</v>
      </c>
      <c r="D1962" s="165" t="s">
        <v>2164</v>
      </c>
      <c r="E1962" s="165" t="s">
        <v>9519</v>
      </c>
      <c r="F1962" s="163">
        <v>2</v>
      </c>
      <c r="G1962" s="864"/>
      <c r="H1962" s="864">
        <v>16485.634742462371</v>
      </c>
      <c r="I1962" s="864">
        <v>17037.121178143654</v>
      </c>
      <c r="J1962" s="864">
        <v>17617.600043586466</v>
      </c>
      <c r="K1962" s="864">
        <v>18228.61836567532</v>
      </c>
      <c r="L1962" s="18" t="s">
        <v>1314</v>
      </c>
      <c r="M1962" s="442"/>
      <c r="N1962" s="433"/>
      <c r="P1962" s="433"/>
      <c r="T1962" s="443"/>
      <c r="U1962" s="440"/>
      <c r="V1962" s="440"/>
      <c r="W1962" s="440"/>
      <c r="X1962" s="442"/>
    </row>
    <row r="1963" spans="1:24" x14ac:dyDescent="0.25">
      <c r="A1963" s="862">
        <v>2681</v>
      </c>
      <c r="B1963" s="863" t="s">
        <v>9520</v>
      </c>
      <c r="C1963" s="862">
        <v>2681</v>
      </c>
      <c r="D1963" s="165" t="s">
        <v>2164</v>
      </c>
      <c r="E1963" s="165" t="s">
        <v>9521</v>
      </c>
      <c r="F1963" s="163">
        <v>2</v>
      </c>
      <c r="G1963" s="864"/>
      <c r="H1963" s="864">
        <v>16694.882434549683</v>
      </c>
      <c r="I1963" s="864">
        <v>17255.307247785906</v>
      </c>
      <c r="J1963" s="864">
        <v>17845.240166411826</v>
      </c>
      <c r="K1963" s="864">
        <v>18466.228217311953</v>
      </c>
      <c r="L1963" s="18" t="s">
        <v>1315</v>
      </c>
      <c r="M1963" s="442"/>
      <c r="N1963" s="433"/>
      <c r="P1963" s="433"/>
      <c r="T1963" s="443"/>
      <c r="U1963" s="440"/>
      <c r="V1963" s="440"/>
      <c r="W1963" s="440"/>
      <c r="X1963" s="442"/>
    </row>
    <row r="1964" spans="1:24" x14ac:dyDescent="0.25">
      <c r="A1964" s="862">
        <v>2682</v>
      </c>
      <c r="B1964" s="863" t="s">
        <v>9522</v>
      </c>
      <c r="C1964" s="862">
        <v>2682</v>
      </c>
      <c r="D1964" s="165" t="s">
        <v>2165</v>
      </c>
      <c r="E1964" s="165" t="s">
        <v>9523</v>
      </c>
      <c r="F1964" s="163">
        <v>1</v>
      </c>
      <c r="G1964" s="864"/>
      <c r="H1964" s="864">
        <v>80759.659768102938</v>
      </c>
      <c r="I1964" s="864">
        <v>82853.448622350188</v>
      </c>
      <c r="J1964" s="864">
        <v>85057.433884506187</v>
      </c>
      <c r="K1964" s="864">
        <v>87377.425884667944</v>
      </c>
      <c r="L1964" s="18" t="s">
        <v>4799</v>
      </c>
      <c r="M1964" s="442"/>
      <c r="N1964" s="433"/>
      <c r="P1964" s="433"/>
      <c r="T1964" s="443"/>
      <c r="U1964" s="440"/>
      <c r="V1964" s="440"/>
      <c r="W1964" s="440"/>
      <c r="X1964" s="442"/>
    </row>
    <row r="1965" spans="1:24" x14ac:dyDescent="0.25">
      <c r="A1965" s="862">
        <v>2683</v>
      </c>
      <c r="B1965" s="863" t="s">
        <v>9524</v>
      </c>
      <c r="C1965" s="862">
        <v>2683</v>
      </c>
      <c r="D1965" s="165" t="s">
        <v>2165</v>
      </c>
      <c r="E1965" s="165" t="s">
        <v>9525</v>
      </c>
      <c r="F1965" s="163">
        <v>1</v>
      </c>
      <c r="G1965" s="864"/>
      <c r="H1965" s="864">
        <v>78192.259229383388</v>
      </c>
      <c r="I1965" s="864">
        <v>80217.5661340597</v>
      </c>
      <c r="J1965" s="864">
        <v>82349.486171818309</v>
      </c>
      <c r="K1965" s="864">
        <v>84593.586980835753</v>
      </c>
      <c r="L1965" s="18" t="s">
        <v>4800</v>
      </c>
      <c r="M1965" s="442"/>
      <c r="N1965" s="433"/>
      <c r="P1965" s="433"/>
      <c r="T1965" s="443"/>
      <c r="U1965" s="440"/>
      <c r="V1965" s="440"/>
      <c r="W1965" s="440"/>
      <c r="X1965" s="442"/>
    </row>
    <row r="1966" spans="1:24" x14ac:dyDescent="0.25">
      <c r="A1966" s="862">
        <v>2684</v>
      </c>
      <c r="B1966" s="863" t="s">
        <v>9526</v>
      </c>
      <c r="C1966" s="862">
        <v>2684</v>
      </c>
      <c r="D1966" s="165" t="s">
        <v>2165</v>
      </c>
      <c r="E1966" s="165" t="s">
        <v>9527</v>
      </c>
      <c r="F1966" s="163">
        <v>1</v>
      </c>
      <c r="G1966" s="864"/>
      <c r="H1966" s="864">
        <v>65339.473833562057</v>
      </c>
      <c r="I1966" s="864">
        <v>67024.098385817822</v>
      </c>
      <c r="J1966" s="864">
        <v>68797.40542102851</v>
      </c>
      <c r="K1966" s="864">
        <v>70664.020361679257</v>
      </c>
      <c r="L1966" s="18" t="s">
        <v>3116</v>
      </c>
      <c r="M1966" s="442"/>
      <c r="N1966" s="433"/>
      <c r="P1966" s="433"/>
      <c r="T1966" s="443"/>
      <c r="U1966" s="440"/>
      <c r="V1966" s="440"/>
      <c r="W1966" s="440"/>
      <c r="X1966" s="442"/>
    </row>
    <row r="1967" spans="1:24" x14ac:dyDescent="0.25">
      <c r="A1967" s="862">
        <v>2685</v>
      </c>
      <c r="B1967" s="863" t="s">
        <v>9528</v>
      </c>
      <c r="C1967" s="862">
        <v>2685</v>
      </c>
      <c r="D1967" s="165" t="s">
        <v>2165</v>
      </c>
      <c r="E1967" s="165" t="s">
        <v>9529</v>
      </c>
      <c r="F1967" s="163">
        <v>1</v>
      </c>
      <c r="G1967" s="864"/>
      <c r="H1967" s="864">
        <v>63182.857381037626</v>
      </c>
      <c r="I1967" s="864">
        <v>64809.963948131546</v>
      </c>
      <c r="J1967" s="864">
        <v>66522.712211176316</v>
      </c>
      <c r="K1967" s="864">
        <v>68325.599108699083</v>
      </c>
      <c r="L1967" s="18" t="s">
        <v>4801</v>
      </c>
      <c r="M1967" s="442"/>
      <c r="N1967" s="433"/>
      <c r="P1967" s="433"/>
      <c r="T1967" s="443"/>
      <c r="U1967" s="440"/>
      <c r="V1967" s="440"/>
      <c r="W1967" s="440"/>
      <c r="X1967" s="442"/>
    </row>
    <row r="1968" spans="1:24" x14ac:dyDescent="0.25">
      <c r="A1968" s="862">
        <v>2686</v>
      </c>
      <c r="B1968" s="863" t="s">
        <v>9530</v>
      </c>
      <c r="C1968" s="862">
        <v>2686</v>
      </c>
      <c r="D1968" s="165" t="s">
        <v>2165</v>
      </c>
      <c r="E1968" s="165" t="s">
        <v>9531</v>
      </c>
      <c r="F1968" s="163">
        <v>1</v>
      </c>
      <c r="G1968" s="864"/>
      <c r="H1968" s="864">
        <v>92011.847314342958</v>
      </c>
      <c r="I1968" s="864">
        <v>94405.703314312967</v>
      </c>
      <c r="J1968" s="864">
        <v>96925.559249015743</v>
      </c>
      <c r="K1968" s="864">
        <v>99578.039180281834</v>
      </c>
      <c r="L1968" s="18" t="s">
        <v>4802</v>
      </c>
      <c r="M1968" s="442"/>
      <c r="N1968" s="433"/>
      <c r="P1968" s="433"/>
      <c r="T1968" s="443"/>
      <c r="U1968" s="440"/>
      <c r="V1968" s="440"/>
      <c r="W1968" s="440"/>
      <c r="X1968" s="442"/>
    </row>
    <row r="1969" spans="1:24" x14ac:dyDescent="0.25">
      <c r="A1969" s="862">
        <v>2687</v>
      </c>
      <c r="B1969" s="863" t="s">
        <v>9532</v>
      </c>
      <c r="C1969" s="862">
        <v>2687</v>
      </c>
      <c r="D1969" s="165" t="s">
        <v>2165</v>
      </c>
      <c r="E1969" s="165" t="s">
        <v>9533</v>
      </c>
      <c r="F1969" s="163">
        <v>1</v>
      </c>
      <c r="G1969" s="864"/>
      <c r="H1969" s="864">
        <v>89444.446775623408</v>
      </c>
      <c r="I1969" s="864">
        <v>91769.849378013067</v>
      </c>
      <c r="J1969" s="864">
        <v>94217.640088318527</v>
      </c>
      <c r="K1969" s="864">
        <v>96794.25738043095</v>
      </c>
      <c r="L1969" s="18" t="s">
        <v>4803</v>
      </c>
      <c r="M1969" s="442"/>
      <c r="N1969" s="433"/>
      <c r="P1969" s="433"/>
      <c r="T1969" s="443"/>
      <c r="U1969" s="440"/>
      <c r="V1969" s="440"/>
      <c r="W1969" s="440"/>
      <c r="X1969" s="442"/>
    </row>
    <row r="1970" spans="1:24" x14ac:dyDescent="0.25">
      <c r="A1970" s="862">
        <v>2688</v>
      </c>
      <c r="B1970" s="863" t="s">
        <v>9534</v>
      </c>
      <c r="C1970" s="862">
        <v>2688</v>
      </c>
      <c r="D1970" s="165" t="s">
        <v>2165</v>
      </c>
      <c r="E1970" s="165" t="s">
        <v>9535</v>
      </c>
      <c r="F1970" s="163">
        <v>1</v>
      </c>
      <c r="G1970" s="864"/>
      <c r="H1970" s="864">
        <v>82851.615762615183</v>
      </c>
      <c r="I1970" s="864">
        <v>85001.195206590011</v>
      </c>
      <c r="J1970" s="864">
        <v>87263.911913510441</v>
      </c>
      <c r="K1970" s="864">
        <v>89645.718973426672</v>
      </c>
      <c r="L1970" s="18" t="s">
        <v>4804</v>
      </c>
      <c r="M1970" s="442"/>
      <c r="N1970" s="433"/>
      <c r="P1970" s="433"/>
      <c r="T1970" s="443"/>
      <c r="U1970" s="440"/>
      <c r="V1970" s="440"/>
      <c r="W1970" s="440"/>
      <c r="X1970" s="442"/>
    </row>
    <row r="1971" spans="1:24" x14ac:dyDescent="0.25">
      <c r="A1971" s="862">
        <v>2689</v>
      </c>
      <c r="B1971" s="863" t="s">
        <v>9536</v>
      </c>
      <c r="C1971" s="862">
        <v>2689</v>
      </c>
      <c r="D1971" s="165" t="s">
        <v>2165</v>
      </c>
      <c r="E1971" s="165" t="s">
        <v>9537</v>
      </c>
      <c r="F1971" s="163">
        <v>1</v>
      </c>
      <c r="G1971" s="864"/>
      <c r="H1971" s="864">
        <v>80284.215223895633</v>
      </c>
      <c r="I1971" s="864">
        <v>82365.312718299509</v>
      </c>
      <c r="J1971" s="864">
        <v>84555.935648831932</v>
      </c>
      <c r="K1971" s="864">
        <v>86861.851517603835</v>
      </c>
      <c r="L1971" s="18" t="s">
        <v>4805</v>
      </c>
      <c r="M1971" s="442"/>
      <c r="N1971" s="433"/>
      <c r="P1971" s="433"/>
      <c r="T1971" s="443"/>
      <c r="U1971" s="440"/>
      <c r="V1971" s="440"/>
      <c r="W1971" s="440"/>
      <c r="X1971" s="442"/>
    </row>
    <row r="1972" spans="1:24" x14ac:dyDescent="0.25">
      <c r="A1972" s="862">
        <v>2690</v>
      </c>
      <c r="B1972" s="863" t="s">
        <v>9538</v>
      </c>
      <c r="C1972" s="862">
        <v>2690</v>
      </c>
      <c r="D1972" s="165" t="s">
        <v>2165</v>
      </c>
      <c r="E1972" s="165" t="s">
        <v>9539</v>
      </c>
      <c r="F1972" s="163">
        <v>1</v>
      </c>
      <c r="G1972" s="864"/>
      <c r="H1972" s="864">
        <v>88407.632542123276</v>
      </c>
      <c r="I1972" s="864">
        <v>90763.485842539812</v>
      </c>
      <c r="J1972" s="864">
        <v>93243.34043834373</v>
      </c>
      <c r="K1972" s="864">
        <v>95853.706183402974</v>
      </c>
      <c r="L1972" s="18" t="s">
        <v>3117</v>
      </c>
      <c r="M1972" s="442"/>
      <c r="N1972" s="433"/>
      <c r="P1972" s="433"/>
      <c r="T1972" s="443"/>
      <c r="U1972" s="440"/>
      <c r="V1972" s="440"/>
      <c r="W1972" s="440"/>
      <c r="X1972" s="442"/>
    </row>
    <row r="1973" spans="1:24" x14ac:dyDescent="0.25">
      <c r="A1973" s="862">
        <v>2691</v>
      </c>
      <c r="B1973" s="863" t="s">
        <v>9540</v>
      </c>
      <c r="C1973" s="862">
        <v>2691</v>
      </c>
      <c r="D1973" s="165" t="s">
        <v>2165</v>
      </c>
      <c r="E1973" s="165" t="s">
        <v>9541</v>
      </c>
      <c r="F1973" s="163">
        <v>1</v>
      </c>
      <c r="G1973" s="864"/>
      <c r="H1973" s="864">
        <v>96162.950263981809</v>
      </c>
      <c r="I1973" s="864">
        <v>0</v>
      </c>
      <c r="J1973" s="864">
        <v>0</v>
      </c>
      <c r="K1973" s="864">
        <v>98857.058997613727</v>
      </c>
      <c r="L1973" s="18" t="s">
        <v>4806</v>
      </c>
      <c r="M1973" s="442"/>
      <c r="N1973" s="433"/>
      <c r="P1973" s="433"/>
      <c r="T1973" s="443"/>
      <c r="U1973" s="440"/>
      <c r="V1973" s="440"/>
      <c r="W1973" s="440"/>
      <c r="X1973" s="442"/>
    </row>
    <row r="1974" spans="1:24" x14ac:dyDescent="0.25">
      <c r="A1974" s="862">
        <v>2692</v>
      </c>
      <c r="B1974" s="863" t="s">
        <v>9542</v>
      </c>
      <c r="C1974" s="862">
        <v>2692</v>
      </c>
      <c r="D1974" s="165" t="s">
        <v>2165</v>
      </c>
      <c r="E1974" s="165" t="s">
        <v>9543</v>
      </c>
      <c r="F1974" s="163">
        <v>1</v>
      </c>
      <c r="G1974" s="864"/>
      <c r="H1974" s="864">
        <v>57068.202100718539</v>
      </c>
      <c r="I1974" s="864">
        <v>0</v>
      </c>
      <c r="J1974" s="864">
        <v>0</v>
      </c>
      <c r="K1974" s="864">
        <v>61663.216715770293</v>
      </c>
      <c r="L1974" s="18" t="s">
        <v>4807</v>
      </c>
      <c r="M1974" s="442"/>
      <c r="N1974" s="433"/>
      <c r="P1974" s="433"/>
      <c r="T1974" s="443"/>
      <c r="U1974" s="440"/>
      <c r="V1974" s="440"/>
      <c r="W1974" s="440"/>
      <c r="X1974" s="442"/>
    </row>
    <row r="1975" spans="1:24" x14ac:dyDescent="0.25">
      <c r="A1975" s="862">
        <v>2693</v>
      </c>
      <c r="B1975" s="863" t="s">
        <v>9544</v>
      </c>
      <c r="C1975" s="862">
        <v>2693</v>
      </c>
      <c r="D1975" s="165" t="s">
        <v>2165</v>
      </c>
      <c r="E1975" s="165" t="s">
        <v>9545</v>
      </c>
      <c r="F1975" s="163">
        <v>1</v>
      </c>
      <c r="G1975" s="864"/>
      <c r="H1975" s="864">
        <v>60556.334888427147</v>
      </c>
      <c r="I1975" s="864">
        <v>0</v>
      </c>
      <c r="J1975" s="864">
        <v>0</v>
      </c>
      <c r="K1975" s="864">
        <v>65567.86594306241</v>
      </c>
      <c r="L1975" s="18" t="s">
        <v>4808</v>
      </c>
      <c r="M1975" s="442"/>
      <c r="N1975" s="433"/>
      <c r="P1975" s="433"/>
      <c r="T1975" s="443"/>
      <c r="U1975" s="440"/>
      <c r="V1975" s="440"/>
      <c r="W1975" s="440"/>
      <c r="X1975" s="442"/>
    </row>
    <row r="1976" spans="1:24" x14ac:dyDescent="0.25">
      <c r="A1976" s="862">
        <v>2694</v>
      </c>
      <c r="B1976" s="863" t="s">
        <v>9546</v>
      </c>
      <c r="C1976" s="862">
        <v>2694</v>
      </c>
      <c r="D1976" s="165" t="s">
        <v>2165</v>
      </c>
      <c r="E1976" s="165" t="s">
        <v>9547</v>
      </c>
      <c r="F1976" s="163">
        <v>1</v>
      </c>
      <c r="G1976" s="864"/>
      <c r="H1976" s="864">
        <v>39647.156557835973</v>
      </c>
      <c r="I1976" s="864">
        <v>40798.201508848455</v>
      </c>
      <c r="J1976" s="864">
        <v>42009.805232026898</v>
      </c>
      <c r="K1976" s="864">
        <v>43285.19410231457</v>
      </c>
      <c r="L1976" s="18" t="s">
        <v>1316</v>
      </c>
      <c r="M1976" s="442"/>
      <c r="N1976" s="433"/>
      <c r="P1976" s="433"/>
      <c r="T1976" s="443"/>
      <c r="U1976" s="440"/>
      <c r="V1976" s="440"/>
      <c r="W1976" s="440"/>
      <c r="X1976" s="442"/>
    </row>
    <row r="1977" spans="1:24" x14ac:dyDescent="0.25">
      <c r="A1977" s="862">
        <v>2695</v>
      </c>
      <c r="B1977" s="863" t="s">
        <v>9548</v>
      </c>
      <c r="C1977" s="862">
        <v>2695</v>
      </c>
      <c r="D1977" s="165" t="s">
        <v>2165</v>
      </c>
      <c r="E1977" s="165" t="s">
        <v>9549</v>
      </c>
      <c r="F1977" s="163">
        <v>1</v>
      </c>
      <c r="G1977" s="864"/>
      <c r="H1977" s="864">
        <v>0</v>
      </c>
      <c r="I1977" s="864">
        <v>0</v>
      </c>
      <c r="J1977" s="864">
        <v>0</v>
      </c>
      <c r="K1977" s="864">
        <v>63252.028537390441</v>
      </c>
      <c r="L1977" s="18" t="s">
        <v>11043</v>
      </c>
      <c r="M1977" s="442"/>
      <c r="N1977" s="433"/>
      <c r="P1977" s="433"/>
      <c r="T1977" s="443"/>
      <c r="U1977" s="440"/>
      <c r="V1977" s="440"/>
      <c r="W1977" s="440"/>
      <c r="X1977" s="442"/>
    </row>
    <row r="1978" spans="1:24" x14ac:dyDescent="0.25">
      <c r="A1978" s="862">
        <v>2696</v>
      </c>
      <c r="B1978" s="863" t="s">
        <v>9550</v>
      </c>
      <c r="C1978" s="862">
        <v>2696</v>
      </c>
      <c r="D1978" s="165" t="s">
        <v>2165</v>
      </c>
      <c r="E1978" s="165" t="s">
        <v>9551</v>
      </c>
      <c r="F1978" s="163">
        <v>1</v>
      </c>
      <c r="G1978" s="864"/>
      <c r="H1978" s="864">
        <v>0</v>
      </c>
      <c r="I1978" s="864">
        <v>0</v>
      </c>
      <c r="J1978" s="864">
        <v>0</v>
      </c>
      <c r="K1978" s="864">
        <v>65408.605696626393</v>
      </c>
      <c r="L1978" s="18" t="s">
        <v>11044</v>
      </c>
      <c r="M1978" s="442"/>
      <c r="N1978" s="433"/>
      <c r="P1978" s="433"/>
      <c r="T1978" s="443"/>
      <c r="U1978" s="440"/>
      <c r="V1978" s="440"/>
      <c r="W1978" s="440"/>
      <c r="X1978" s="442"/>
    </row>
    <row r="1979" spans="1:24" x14ac:dyDescent="0.25">
      <c r="A1979" s="862">
        <v>2697</v>
      </c>
      <c r="B1979" s="863" t="s">
        <v>9552</v>
      </c>
      <c r="C1979" s="862">
        <v>2697</v>
      </c>
      <c r="D1979" s="165" t="s">
        <v>2165</v>
      </c>
      <c r="E1979" s="165" t="s">
        <v>9553</v>
      </c>
      <c r="F1979" s="163">
        <v>1</v>
      </c>
      <c r="G1979" s="864"/>
      <c r="H1979" s="864">
        <v>39494.110663830099</v>
      </c>
      <c r="I1979" s="864">
        <v>40615.832720446371</v>
      </c>
      <c r="J1979" s="864">
        <v>41796.600293724179</v>
      </c>
      <c r="K1979" s="864">
        <v>43039.525550644277</v>
      </c>
      <c r="L1979" s="18" t="s">
        <v>1317</v>
      </c>
      <c r="M1979" s="442"/>
      <c r="N1979" s="433"/>
      <c r="P1979" s="433"/>
      <c r="T1979" s="443"/>
      <c r="U1979" s="440"/>
      <c r="V1979" s="440"/>
      <c r="W1979" s="440"/>
      <c r="X1979" s="442"/>
    </row>
    <row r="1980" spans="1:24" x14ac:dyDescent="0.25">
      <c r="A1980" s="862">
        <v>2698</v>
      </c>
      <c r="B1980" s="863" t="s">
        <v>9554</v>
      </c>
      <c r="C1980" s="862">
        <v>2698</v>
      </c>
      <c r="D1980" s="165" t="s">
        <v>2165</v>
      </c>
      <c r="E1980" s="165" t="s">
        <v>9555</v>
      </c>
      <c r="F1980" s="163">
        <v>1</v>
      </c>
      <c r="G1980" s="864"/>
      <c r="H1980" s="864">
        <v>40976.278994345092</v>
      </c>
      <c r="I1980" s="864">
        <v>42168.153291985269</v>
      </c>
      <c r="J1980" s="864">
        <v>43422.72776109002</v>
      </c>
      <c r="K1980" s="864">
        <v>44743.342984565257</v>
      </c>
      <c r="L1980" s="18" t="s">
        <v>1318</v>
      </c>
      <c r="M1980" s="442"/>
      <c r="N1980" s="433"/>
      <c r="P1980" s="433"/>
      <c r="T1980" s="443"/>
      <c r="U1980" s="440"/>
      <c r="V1980" s="440"/>
      <c r="W1980" s="440"/>
      <c r="X1980" s="442"/>
    </row>
    <row r="1981" spans="1:24" x14ac:dyDescent="0.25">
      <c r="A1981" s="862">
        <v>2699</v>
      </c>
      <c r="B1981" s="863" t="s">
        <v>9556</v>
      </c>
      <c r="C1981" s="862">
        <v>2699</v>
      </c>
      <c r="D1981" s="165" t="s">
        <v>2165</v>
      </c>
      <c r="E1981" s="165" t="s">
        <v>9557</v>
      </c>
      <c r="F1981" s="163">
        <v>1</v>
      </c>
      <c r="G1981" s="864"/>
      <c r="H1981" s="864">
        <v>45105.550311495921</v>
      </c>
      <c r="I1981" s="864">
        <v>46395.928976874166</v>
      </c>
      <c r="J1981" s="864">
        <v>47754.232828005719</v>
      </c>
      <c r="K1981" s="864">
        <v>49184.030863721673</v>
      </c>
      <c r="L1981" s="18" t="s">
        <v>1319</v>
      </c>
      <c r="M1981" s="442"/>
      <c r="N1981" s="433"/>
      <c r="P1981" s="433"/>
      <c r="T1981" s="443"/>
      <c r="U1981" s="440"/>
      <c r="V1981" s="440"/>
      <c r="W1981" s="440"/>
      <c r="X1981" s="442"/>
    </row>
    <row r="1982" spans="1:24" x14ac:dyDescent="0.25">
      <c r="A1982" s="862">
        <v>2700</v>
      </c>
      <c r="B1982" s="863" t="s">
        <v>9558</v>
      </c>
      <c r="C1982" s="862">
        <v>2700</v>
      </c>
      <c r="D1982" s="165" t="s">
        <v>2165</v>
      </c>
      <c r="E1982" s="165" t="s">
        <v>9559</v>
      </c>
      <c r="F1982" s="163">
        <v>1</v>
      </c>
      <c r="G1982" s="864"/>
      <c r="H1982" s="864">
        <v>0</v>
      </c>
      <c r="I1982" s="864">
        <v>77563.040615262013</v>
      </c>
      <c r="J1982" s="864">
        <v>79570.531077773543</v>
      </c>
      <c r="K1982" s="864">
        <v>81683.692457675948</v>
      </c>
      <c r="L1982" s="18" t="s">
        <v>4060</v>
      </c>
      <c r="M1982" s="442"/>
      <c r="N1982" s="433"/>
      <c r="P1982" s="433"/>
      <c r="T1982" s="443"/>
      <c r="U1982" s="440"/>
      <c r="V1982" s="440"/>
      <c r="W1982" s="440"/>
      <c r="X1982" s="442"/>
    </row>
    <row r="1983" spans="1:24" x14ac:dyDescent="0.25">
      <c r="A1983" s="862">
        <v>2701</v>
      </c>
      <c r="B1983" s="863" t="s">
        <v>9560</v>
      </c>
      <c r="C1983" s="862">
        <v>2701</v>
      </c>
      <c r="D1983" s="165" t="s">
        <v>2165</v>
      </c>
      <c r="E1983" s="165" t="s">
        <v>9561</v>
      </c>
      <c r="F1983" s="163">
        <v>1</v>
      </c>
      <c r="G1983" s="864"/>
      <c r="H1983" s="864">
        <v>69432.710202359303</v>
      </c>
      <c r="I1983" s="864">
        <v>71268.660305053287</v>
      </c>
      <c r="J1983" s="864">
        <v>73201.230344102572</v>
      </c>
      <c r="K1983" s="864">
        <v>75235.531125833193</v>
      </c>
      <c r="L1983" s="18" t="s">
        <v>3118</v>
      </c>
      <c r="M1983" s="442"/>
      <c r="N1983" s="433"/>
      <c r="P1983" s="433"/>
      <c r="T1983" s="443"/>
      <c r="U1983" s="440"/>
      <c r="V1983" s="440"/>
      <c r="W1983" s="440"/>
      <c r="X1983" s="442"/>
    </row>
    <row r="1984" spans="1:24" x14ac:dyDescent="0.25">
      <c r="A1984" s="862">
        <v>2702</v>
      </c>
      <c r="B1984" s="863" t="s">
        <v>9562</v>
      </c>
      <c r="C1984" s="862">
        <v>2702</v>
      </c>
      <c r="D1984" s="165" t="s">
        <v>2165</v>
      </c>
      <c r="E1984" s="165" t="s">
        <v>9563</v>
      </c>
      <c r="F1984" s="163">
        <v>1</v>
      </c>
      <c r="G1984" s="864"/>
      <c r="H1984" s="864">
        <v>51958.558118856941</v>
      </c>
      <c r="I1984" s="864">
        <v>53451.370397934603</v>
      </c>
      <c r="J1984" s="864">
        <v>55022.786307268223</v>
      </c>
      <c r="K1984" s="864">
        <v>56676.888781520523</v>
      </c>
      <c r="L1984" s="18" t="s">
        <v>1320</v>
      </c>
      <c r="M1984" s="442"/>
      <c r="N1984" s="433"/>
      <c r="P1984" s="433"/>
      <c r="T1984" s="443"/>
      <c r="U1984" s="440"/>
      <c r="V1984" s="440"/>
      <c r="W1984" s="440"/>
      <c r="X1984" s="442"/>
    </row>
    <row r="1985" spans="1:24" x14ac:dyDescent="0.25">
      <c r="A1985" s="862">
        <v>2703</v>
      </c>
      <c r="B1985" s="863" t="s">
        <v>9564</v>
      </c>
      <c r="C1985" s="862">
        <v>2703</v>
      </c>
      <c r="D1985" s="165" t="s">
        <v>2165</v>
      </c>
      <c r="E1985" s="165" t="s">
        <v>9565</v>
      </c>
      <c r="F1985" s="163">
        <v>1</v>
      </c>
      <c r="G1985" s="864"/>
      <c r="H1985" s="864">
        <v>0</v>
      </c>
      <c r="I1985" s="864">
        <v>43635.61918292637</v>
      </c>
      <c r="J1985" s="864">
        <v>44905.554623000142</v>
      </c>
      <c r="K1985" s="864">
        <v>46242.330273182561</v>
      </c>
      <c r="L1985" s="18" t="s">
        <v>4061</v>
      </c>
      <c r="M1985" s="442"/>
      <c r="N1985" s="433"/>
      <c r="P1985" s="433"/>
      <c r="T1985" s="443"/>
      <c r="U1985" s="440"/>
      <c r="V1985" s="440"/>
      <c r="W1985" s="440"/>
      <c r="X1985" s="442"/>
    </row>
    <row r="1986" spans="1:24" x14ac:dyDescent="0.25">
      <c r="A1986" s="862">
        <v>2704</v>
      </c>
      <c r="B1986" s="863" t="s">
        <v>9566</v>
      </c>
      <c r="C1986" s="862">
        <v>2704</v>
      </c>
      <c r="D1986" s="165" t="s">
        <v>2165</v>
      </c>
      <c r="E1986" s="165" t="s">
        <v>9567</v>
      </c>
      <c r="F1986" s="163">
        <v>1</v>
      </c>
      <c r="G1986" s="864"/>
      <c r="H1986" s="864">
        <v>78534.521492656291</v>
      </c>
      <c r="I1986" s="864">
        <v>80826.047158141257</v>
      </c>
      <c r="J1986" s="864">
        <v>83238.204984117066</v>
      </c>
      <c r="K1986" s="864">
        <v>85777.304960517096</v>
      </c>
      <c r="L1986" s="18" t="s">
        <v>3119</v>
      </c>
      <c r="M1986" s="442"/>
      <c r="N1986" s="433"/>
      <c r="P1986" s="433"/>
      <c r="T1986" s="443"/>
      <c r="U1986" s="440"/>
      <c r="V1986" s="440"/>
      <c r="W1986" s="440"/>
      <c r="X1986" s="442"/>
    </row>
    <row r="1987" spans="1:24" x14ac:dyDescent="0.25">
      <c r="A1987" s="862">
        <v>2705</v>
      </c>
      <c r="B1987" s="863" t="s">
        <v>9568</v>
      </c>
      <c r="C1987" s="862">
        <v>2705</v>
      </c>
      <c r="D1987" s="165" t="s">
        <v>2165</v>
      </c>
      <c r="E1987" s="165" t="s">
        <v>9569</v>
      </c>
      <c r="F1987" s="163">
        <v>1</v>
      </c>
      <c r="G1987" s="864"/>
      <c r="H1987" s="864">
        <v>41546.516327021411</v>
      </c>
      <c r="I1987" s="864">
        <v>0</v>
      </c>
      <c r="J1987" s="864">
        <v>43868.050134678189</v>
      </c>
      <c r="K1987" s="864">
        <v>47828.953589412515</v>
      </c>
      <c r="L1987" s="18" t="s">
        <v>1321</v>
      </c>
      <c r="M1987" s="442"/>
      <c r="N1987" s="433"/>
      <c r="P1987" s="433"/>
      <c r="T1987" s="443"/>
      <c r="U1987" s="440"/>
      <c r="V1987" s="440"/>
      <c r="W1987" s="440"/>
      <c r="X1987" s="442"/>
    </row>
    <row r="1988" spans="1:24" x14ac:dyDescent="0.25">
      <c r="A1988" s="862">
        <v>2706</v>
      </c>
      <c r="B1988" s="863" t="s">
        <v>9570</v>
      </c>
      <c r="C1988" s="862">
        <v>2706</v>
      </c>
      <c r="D1988" s="165" t="s">
        <v>2165</v>
      </c>
      <c r="E1988" s="165" t="s">
        <v>9571</v>
      </c>
      <c r="F1988" s="163">
        <v>1</v>
      </c>
      <c r="G1988" s="864"/>
      <c r="H1988" s="864">
        <v>0</v>
      </c>
      <c r="I1988" s="864">
        <v>0</v>
      </c>
      <c r="J1988" s="864">
        <v>0</v>
      </c>
      <c r="K1988" s="864">
        <v>65751.057924316367</v>
      </c>
      <c r="L1988" s="18" t="s">
        <v>11045</v>
      </c>
      <c r="M1988" s="442"/>
      <c r="N1988" s="433"/>
      <c r="P1988" s="433"/>
      <c r="T1988" s="443"/>
      <c r="U1988" s="440"/>
      <c r="V1988" s="440"/>
      <c r="W1988" s="440"/>
      <c r="X1988" s="442"/>
    </row>
    <row r="1989" spans="1:24" x14ac:dyDescent="0.25">
      <c r="A1989" s="862">
        <v>2707</v>
      </c>
      <c r="B1989" s="863" t="s">
        <v>9572</v>
      </c>
      <c r="C1989" s="862">
        <v>2707</v>
      </c>
      <c r="D1989" s="165" t="s">
        <v>2165</v>
      </c>
      <c r="E1989" s="165" t="s">
        <v>9573</v>
      </c>
      <c r="F1989" s="163">
        <v>1</v>
      </c>
      <c r="G1989" s="864"/>
      <c r="H1989" s="864">
        <v>0</v>
      </c>
      <c r="I1989" s="864">
        <v>0</v>
      </c>
      <c r="J1989" s="864">
        <v>0</v>
      </c>
      <c r="K1989" s="864">
        <v>67969.345559053836</v>
      </c>
      <c r="L1989" s="18" t="s">
        <v>11046</v>
      </c>
      <c r="M1989" s="442"/>
      <c r="N1989" s="433"/>
      <c r="P1989" s="433"/>
      <c r="T1989" s="443"/>
      <c r="U1989" s="440"/>
      <c r="V1989" s="440"/>
      <c r="W1989" s="440"/>
      <c r="X1989" s="442"/>
    </row>
    <row r="1990" spans="1:24" x14ac:dyDescent="0.25">
      <c r="A1990" s="862">
        <v>2708</v>
      </c>
      <c r="B1990" s="863" t="s">
        <v>9574</v>
      </c>
      <c r="C1990" s="862">
        <v>2708</v>
      </c>
      <c r="D1990" s="165" t="s">
        <v>2165</v>
      </c>
      <c r="E1990" s="165" t="s">
        <v>9575</v>
      </c>
      <c r="F1990" s="163">
        <v>1</v>
      </c>
      <c r="G1990" s="864"/>
      <c r="H1990" s="864">
        <v>50984.85215485446</v>
      </c>
      <c r="I1990" s="864">
        <v>0</v>
      </c>
      <c r="J1990" s="864">
        <v>53657.004407677523</v>
      </c>
      <c r="K1990" s="864">
        <v>55099.450975250853</v>
      </c>
      <c r="L1990" s="18" t="s">
        <v>1322</v>
      </c>
      <c r="M1990" s="442"/>
      <c r="N1990" s="433"/>
      <c r="P1990" s="433"/>
      <c r="T1990" s="443"/>
      <c r="U1990" s="440"/>
      <c r="V1990" s="440"/>
      <c r="W1990" s="440"/>
      <c r="X1990" s="442"/>
    </row>
    <row r="1991" spans="1:24" x14ac:dyDescent="0.25">
      <c r="A1991" s="862">
        <v>2709</v>
      </c>
      <c r="B1991" s="863" t="s">
        <v>9576</v>
      </c>
      <c r="C1991" s="862">
        <v>2709</v>
      </c>
      <c r="D1991" s="165" t="s">
        <v>2165</v>
      </c>
      <c r="E1991" s="165" t="s">
        <v>9577</v>
      </c>
      <c r="F1991" s="163">
        <v>1</v>
      </c>
      <c r="G1991" s="864"/>
      <c r="H1991" s="864">
        <v>61503.348627082458</v>
      </c>
      <c r="I1991" s="864">
        <v>63167.758369958938</v>
      </c>
      <c r="J1991" s="864">
        <v>64919.794172136346</v>
      </c>
      <c r="K1991" s="864">
        <v>66764.138560081061</v>
      </c>
      <c r="L1991" s="18" t="s">
        <v>1323</v>
      </c>
      <c r="M1991" s="442"/>
      <c r="N1991" s="433"/>
      <c r="P1991" s="433"/>
      <c r="T1991" s="443"/>
      <c r="U1991" s="440"/>
      <c r="V1991" s="440"/>
      <c r="W1991" s="440"/>
      <c r="X1991" s="442"/>
    </row>
    <row r="1992" spans="1:24" x14ac:dyDescent="0.25">
      <c r="A1992" s="862">
        <v>2710</v>
      </c>
      <c r="B1992" s="863" t="s">
        <v>9578</v>
      </c>
      <c r="C1992" s="862">
        <v>2710</v>
      </c>
      <c r="D1992" s="165" t="s">
        <v>2165</v>
      </c>
      <c r="E1992" s="165" t="s">
        <v>9579</v>
      </c>
      <c r="F1992" s="163">
        <v>1</v>
      </c>
      <c r="G1992" s="864"/>
      <c r="H1992" s="864">
        <v>0</v>
      </c>
      <c r="I1992" s="864">
        <v>0</v>
      </c>
      <c r="J1992" s="864">
        <v>0</v>
      </c>
      <c r="K1992" s="864">
        <v>47757.119451870654</v>
      </c>
      <c r="L1992" s="18" t="s">
        <v>11047</v>
      </c>
      <c r="M1992" s="442"/>
      <c r="N1992" s="433"/>
      <c r="P1992" s="433"/>
      <c r="T1992" s="443"/>
      <c r="U1992" s="440"/>
      <c r="V1992" s="440"/>
      <c r="W1992" s="440"/>
      <c r="X1992" s="442"/>
    </row>
    <row r="1993" spans="1:24" x14ac:dyDescent="0.25">
      <c r="A1993" s="862">
        <v>2711</v>
      </c>
      <c r="B1993" s="863" t="s">
        <v>9580</v>
      </c>
      <c r="C1993" s="862">
        <v>2711</v>
      </c>
      <c r="D1993" s="165" t="s">
        <v>2165</v>
      </c>
      <c r="E1993" s="165" t="s">
        <v>9581</v>
      </c>
      <c r="F1993" s="163">
        <v>1</v>
      </c>
      <c r="G1993" s="864"/>
      <c r="H1993" s="864">
        <v>0</v>
      </c>
      <c r="I1993" s="864">
        <v>0</v>
      </c>
      <c r="J1993" s="864">
        <v>0</v>
      </c>
      <c r="K1993" s="864">
        <v>49790.754248960126</v>
      </c>
      <c r="L1993" s="18" t="s">
        <v>11048</v>
      </c>
      <c r="M1993" s="442"/>
      <c r="N1993" s="433"/>
      <c r="P1993" s="433"/>
      <c r="T1993" s="443"/>
      <c r="U1993" s="440"/>
      <c r="V1993" s="440"/>
      <c r="W1993" s="440"/>
      <c r="X1993" s="442"/>
    </row>
    <row r="1994" spans="1:24" x14ac:dyDescent="0.25">
      <c r="A1994" s="862">
        <v>2712</v>
      </c>
      <c r="B1994" s="863" t="s">
        <v>9582</v>
      </c>
      <c r="C1994" s="862">
        <v>2712</v>
      </c>
      <c r="D1994" s="165" t="s">
        <v>2165</v>
      </c>
      <c r="E1994" s="165" t="s">
        <v>9583</v>
      </c>
      <c r="F1994" s="163">
        <v>1</v>
      </c>
      <c r="G1994" s="864"/>
      <c r="H1994" s="864">
        <v>0</v>
      </c>
      <c r="I1994" s="864">
        <v>0</v>
      </c>
      <c r="J1994" s="864">
        <v>67948.680335001933</v>
      </c>
      <c r="K1994" s="864">
        <v>69655.461232001122</v>
      </c>
      <c r="L1994" s="18" t="s">
        <v>11049</v>
      </c>
      <c r="M1994" s="442"/>
      <c r="N1994" s="433"/>
      <c r="P1994" s="433"/>
      <c r="T1994" s="443"/>
      <c r="U1994" s="440"/>
      <c r="V1994" s="440"/>
      <c r="W1994" s="440"/>
      <c r="X1994" s="442"/>
    </row>
    <row r="1995" spans="1:24" x14ac:dyDescent="0.25">
      <c r="A1995" s="862">
        <v>2713</v>
      </c>
      <c r="B1995" s="863" t="s">
        <v>9584</v>
      </c>
      <c r="C1995" s="862">
        <v>2713</v>
      </c>
      <c r="D1995" s="165" t="s">
        <v>2165</v>
      </c>
      <c r="E1995" s="165" t="s">
        <v>9585</v>
      </c>
      <c r="F1995" s="163">
        <v>1</v>
      </c>
      <c r="G1995" s="864"/>
      <c r="H1995" s="864">
        <v>71941.748288204428</v>
      </c>
      <c r="I1995" s="864">
        <v>73800.368671473509</v>
      </c>
      <c r="J1995" s="864">
        <v>75756.808174705089</v>
      </c>
      <c r="K1995" s="864">
        <v>77816.234708206626</v>
      </c>
      <c r="L1995" s="18" t="s">
        <v>4809</v>
      </c>
      <c r="M1995" s="442"/>
      <c r="N1995" s="433"/>
      <c r="P1995" s="433"/>
      <c r="T1995" s="443"/>
      <c r="U1995" s="440"/>
      <c r="V1995" s="440"/>
      <c r="W1995" s="440"/>
      <c r="X1995" s="442"/>
    </row>
    <row r="1996" spans="1:24" x14ac:dyDescent="0.25">
      <c r="A1996" s="862">
        <v>2714</v>
      </c>
      <c r="B1996" s="863" t="s">
        <v>9586</v>
      </c>
      <c r="C1996" s="862">
        <v>2714</v>
      </c>
      <c r="D1996" s="165" t="s">
        <v>2165</v>
      </c>
      <c r="E1996" s="165" t="s">
        <v>9587</v>
      </c>
      <c r="F1996" s="163">
        <v>1</v>
      </c>
      <c r="G1996" s="864"/>
      <c r="H1996" s="864">
        <v>86930.296025855074</v>
      </c>
      <c r="I1996" s="864">
        <v>89188.644278206251</v>
      </c>
      <c r="J1996" s="864">
        <v>91565.854467628029</v>
      </c>
      <c r="K1996" s="864">
        <v>94068.179480072504</v>
      </c>
      <c r="L1996" s="18" t="s">
        <v>4810</v>
      </c>
      <c r="M1996" s="442"/>
      <c r="N1996" s="433"/>
      <c r="P1996" s="433"/>
      <c r="T1996" s="443"/>
      <c r="U1996" s="440"/>
      <c r="V1996" s="440"/>
      <c r="W1996" s="440"/>
      <c r="X1996" s="442"/>
    </row>
    <row r="1997" spans="1:24" x14ac:dyDescent="0.25">
      <c r="A1997" s="862">
        <v>2715</v>
      </c>
      <c r="B1997" s="863" t="s">
        <v>9588</v>
      </c>
      <c r="C1997" s="862">
        <v>2715</v>
      </c>
      <c r="D1997" s="165" t="s">
        <v>2165</v>
      </c>
      <c r="E1997" s="165" t="s">
        <v>9589</v>
      </c>
      <c r="F1997" s="163">
        <v>1</v>
      </c>
      <c r="G1997" s="864"/>
      <c r="H1997" s="864">
        <v>72349.99667016379</v>
      </c>
      <c r="I1997" s="864">
        <v>74219.495361870009</v>
      </c>
      <c r="J1997" s="864">
        <v>76187.412765342393</v>
      </c>
      <c r="K1997" s="864">
        <v>78258.888238897664</v>
      </c>
      <c r="L1997" s="18" t="s">
        <v>4811</v>
      </c>
      <c r="M1997" s="442"/>
      <c r="N1997" s="433"/>
      <c r="P1997" s="433"/>
      <c r="T1997" s="443"/>
      <c r="U1997" s="440"/>
      <c r="V1997" s="440"/>
      <c r="W1997" s="440"/>
      <c r="X1997" s="442"/>
    </row>
    <row r="1998" spans="1:24" x14ac:dyDescent="0.25">
      <c r="A1998" s="862">
        <v>2716</v>
      </c>
      <c r="B1998" s="863" t="s">
        <v>9590</v>
      </c>
      <c r="C1998" s="862">
        <v>2716</v>
      </c>
      <c r="D1998" s="165" t="s">
        <v>2165</v>
      </c>
      <c r="E1998" s="165" t="s">
        <v>9591</v>
      </c>
      <c r="F1998" s="163">
        <v>1</v>
      </c>
      <c r="G1998" s="864"/>
      <c r="H1998" s="864">
        <v>80106.715927391546</v>
      </c>
      <c r="I1998" s="864">
        <v>82183.07379134775</v>
      </c>
      <c r="J1998" s="864">
        <v>84368.728675507271</v>
      </c>
      <c r="K1998" s="864">
        <v>86669.419529990468</v>
      </c>
      <c r="L1998" s="18" t="s">
        <v>4812</v>
      </c>
      <c r="M1998" s="442"/>
      <c r="N1998" s="433"/>
      <c r="P1998" s="433"/>
      <c r="T1998" s="443"/>
      <c r="U1998" s="440"/>
      <c r="V1998" s="440"/>
      <c r="W1998" s="440"/>
      <c r="X1998" s="442"/>
    </row>
    <row r="1999" spans="1:24" x14ac:dyDescent="0.25">
      <c r="A1999" s="862">
        <v>2717</v>
      </c>
      <c r="B1999" s="863" t="s">
        <v>9592</v>
      </c>
      <c r="C1999" s="862">
        <v>2717</v>
      </c>
      <c r="D1999" s="165" t="s">
        <v>2165</v>
      </c>
      <c r="E1999" s="165" t="s">
        <v>9593</v>
      </c>
      <c r="F1999" s="163">
        <v>1</v>
      </c>
      <c r="G1999" s="864"/>
      <c r="H1999" s="864">
        <v>0</v>
      </c>
      <c r="I1999" s="864">
        <v>74198.52505804188</v>
      </c>
      <c r="J1999" s="864">
        <v>76117.333037598422</v>
      </c>
      <c r="K1999" s="864">
        <v>78137.129408079534</v>
      </c>
      <c r="L1999" s="18" t="s">
        <v>4062</v>
      </c>
      <c r="M1999" s="442"/>
      <c r="N1999" s="433"/>
      <c r="P1999" s="433"/>
      <c r="T1999" s="443"/>
      <c r="U1999" s="440"/>
      <c r="V1999" s="440"/>
      <c r="W1999" s="440"/>
      <c r="X1999" s="442"/>
    </row>
    <row r="2000" spans="1:24" x14ac:dyDescent="0.25">
      <c r="A2000" s="862">
        <v>2718</v>
      </c>
      <c r="B2000" s="863" t="s">
        <v>9594</v>
      </c>
      <c r="C2000" s="862">
        <v>2718</v>
      </c>
      <c r="D2000" s="165" t="s">
        <v>2166</v>
      </c>
      <c r="E2000" s="165" t="s">
        <v>9595</v>
      </c>
      <c r="F2000" s="163">
        <v>1</v>
      </c>
      <c r="G2000" s="864"/>
      <c r="H2000" s="864">
        <v>0</v>
      </c>
      <c r="I2000" s="864">
        <v>0</v>
      </c>
      <c r="J2000" s="864">
        <v>0</v>
      </c>
      <c r="K2000" s="864">
        <v>28289.792758842606</v>
      </c>
      <c r="L2000" s="18" t="s">
        <v>11050</v>
      </c>
      <c r="M2000" s="442"/>
      <c r="N2000" s="433"/>
      <c r="P2000" s="433"/>
      <c r="T2000" s="443"/>
      <c r="U2000" s="440"/>
      <c r="V2000" s="440"/>
      <c r="W2000" s="440"/>
      <c r="X2000" s="442"/>
    </row>
    <row r="2001" spans="1:24" x14ac:dyDescent="0.25">
      <c r="A2001" s="862">
        <v>2719</v>
      </c>
      <c r="B2001" s="863" t="s">
        <v>9596</v>
      </c>
      <c r="C2001" s="862">
        <v>2719</v>
      </c>
      <c r="D2001" s="165" t="s">
        <v>2166</v>
      </c>
      <c r="E2001" s="165" t="s">
        <v>9597</v>
      </c>
      <c r="F2001" s="163">
        <v>1</v>
      </c>
      <c r="G2001" s="864"/>
      <c r="H2001" s="864">
        <v>0</v>
      </c>
      <c r="I2001" s="864">
        <v>0</v>
      </c>
      <c r="J2001" s="864">
        <v>0</v>
      </c>
      <c r="K2001" s="864">
        <v>29316.494061666086</v>
      </c>
      <c r="L2001" s="18" t="s">
        <v>11051</v>
      </c>
      <c r="M2001" s="442"/>
      <c r="N2001" s="433"/>
      <c r="P2001" s="433"/>
      <c r="T2001" s="443"/>
      <c r="U2001" s="440"/>
      <c r="V2001" s="440"/>
      <c r="W2001" s="440"/>
      <c r="X2001" s="442"/>
    </row>
    <row r="2002" spans="1:24" x14ac:dyDescent="0.25">
      <c r="A2002" s="862">
        <v>2720</v>
      </c>
      <c r="B2002" s="863" t="s">
        <v>9598</v>
      </c>
      <c r="C2002" s="862">
        <v>2720</v>
      </c>
      <c r="D2002" s="165" t="s">
        <v>2166</v>
      </c>
      <c r="E2002" s="165" t="s">
        <v>9599</v>
      </c>
      <c r="F2002" s="163">
        <v>1</v>
      </c>
      <c r="G2002" s="864"/>
      <c r="H2002" s="864">
        <v>0</v>
      </c>
      <c r="I2002" s="864">
        <v>0</v>
      </c>
      <c r="J2002" s="864">
        <v>13470.678459076657</v>
      </c>
      <c r="K2002" s="864">
        <v>13789.300019637001</v>
      </c>
      <c r="L2002" s="18" t="s">
        <v>4813</v>
      </c>
      <c r="M2002" s="442"/>
      <c r="N2002" s="433"/>
      <c r="P2002" s="433"/>
      <c r="T2002" s="443"/>
      <c r="U2002" s="440"/>
      <c r="V2002" s="440"/>
      <c r="W2002" s="440"/>
      <c r="X2002" s="442"/>
    </row>
    <row r="2003" spans="1:24" x14ac:dyDescent="0.25">
      <c r="A2003" s="862">
        <v>2721</v>
      </c>
      <c r="B2003" s="863" t="s">
        <v>9600</v>
      </c>
      <c r="C2003" s="862">
        <v>2721</v>
      </c>
      <c r="D2003" s="165" t="s">
        <v>2166</v>
      </c>
      <c r="E2003" s="165" t="s">
        <v>9601</v>
      </c>
      <c r="F2003" s="163">
        <v>1</v>
      </c>
      <c r="G2003" s="864"/>
      <c r="H2003" s="864">
        <v>0</v>
      </c>
      <c r="I2003" s="864">
        <v>0</v>
      </c>
      <c r="J2003" s="864">
        <v>12635.373344821968</v>
      </c>
      <c r="K2003" s="864">
        <v>12930.187600620751</v>
      </c>
      <c r="L2003" s="18" t="s">
        <v>4814</v>
      </c>
      <c r="M2003" s="442"/>
      <c r="N2003" s="433"/>
      <c r="P2003" s="433"/>
      <c r="T2003" s="443"/>
      <c r="U2003" s="440"/>
      <c r="V2003" s="440"/>
      <c r="W2003" s="440"/>
      <c r="X2003" s="442"/>
    </row>
    <row r="2004" spans="1:24" x14ac:dyDescent="0.25">
      <c r="A2004" s="862">
        <v>2722</v>
      </c>
      <c r="B2004" s="863" t="s">
        <v>9602</v>
      </c>
      <c r="C2004" s="862">
        <v>2722</v>
      </c>
      <c r="D2004" s="165" t="s">
        <v>2166</v>
      </c>
      <c r="E2004" s="165" t="s">
        <v>9603</v>
      </c>
      <c r="F2004" s="163">
        <v>1</v>
      </c>
      <c r="G2004" s="864"/>
      <c r="H2004" s="864">
        <v>0</v>
      </c>
      <c r="I2004" s="864">
        <v>14763.021896465973</v>
      </c>
      <c r="J2004" s="864">
        <v>15127.248540238963</v>
      </c>
      <c r="K2004" s="864">
        <v>15510.621504136729</v>
      </c>
      <c r="L2004" s="18" t="s">
        <v>4063</v>
      </c>
      <c r="M2004" s="442"/>
      <c r="N2004" s="433"/>
      <c r="P2004" s="433"/>
      <c r="T2004" s="443"/>
      <c r="U2004" s="440"/>
      <c r="V2004" s="440"/>
      <c r="W2004" s="440"/>
      <c r="X2004" s="442"/>
    </row>
    <row r="2005" spans="1:24" x14ac:dyDescent="0.25">
      <c r="A2005" s="862">
        <v>2723</v>
      </c>
      <c r="B2005" s="863" t="s">
        <v>9604</v>
      </c>
      <c r="C2005" s="862">
        <v>2723</v>
      </c>
      <c r="D2005" s="165" t="s">
        <v>2166</v>
      </c>
      <c r="E2005" s="165" t="s">
        <v>9605</v>
      </c>
      <c r="F2005" s="163">
        <v>1</v>
      </c>
      <c r="G2005" s="864"/>
      <c r="H2005" s="864">
        <v>0</v>
      </c>
      <c r="I2005" s="864">
        <v>13902.597703330383</v>
      </c>
      <c r="J2005" s="864">
        <v>14241.705268222482</v>
      </c>
      <c r="K2005" s="864">
        <v>14598.67528920766</v>
      </c>
      <c r="L2005" s="18" t="s">
        <v>4064</v>
      </c>
      <c r="M2005" s="442"/>
      <c r="N2005" s="433"/>
      <c r="P2005" s="433"/>
      <c r="T2005" s="443"/>
      <c r="U2005" s="440"/>
      <c r="V2005" s="440"/>
      <c r="W2005" s="440"/>
      <c r="X2005" s="442"/>
    </row>
    <row r="2006" spans="1:24" x14ac:dyDescent="0.25">
      <c r="A2006" s="862">
        <v>2724</v>
      </c>
      <c r="B2006" s="863" t="s">
        <v>9606</v>
      </c>
      <c r="C2006" s="862">
        <v>2724</v>
      </c>
      <c r="D2006" s="165" t="s">
        <v>2166</v>
      </c>
      <c r="E2006" s="165" t="s">
        <v>9607</v>
      </c>
      <c r="F2006" s="163">
        <v>1</v>
      </c>
      <c r="G2006" s="864"/>
      <c r="H2006" s="864">
        <v>0</v>
      </c>
      <c r="I2006" s="864">
        <v>0</v>
      </c>
      <c r="J2006" s="864">
        <v>14862.853649501147</v>
      </c>
      <c r="K2006" s="864">
        <v>15221.135444605654</v>
      </c>
      <c r="L2006" s="18" t="s">
        <v>11052</v>
      </c>
      <c r="M2006" s="442"/>
      <c r="N2006" s="433"/>
      <c r="P2006" s="433"/>
      <c r="T2006" s="443"/>
      <c r="U2006" s="440"/>
      <c r="V2006" s="440"/>
      <c r="W2006" s="440"/>
      <c r="X2006" s="442"/>
    </row>
    <row r="2007" spans="1:24" x14ac:dyDescent="0.25">
      <c r="A2007" s="862">
        <v>2725</v>
      </c>
      <c r="B2007" s="863" t="s">
        <v>9608</v>
      </c>
      <c r="C2007" s="862">
        <v>2725</v>
      </c>
      <c r="D2007" s="165" t="s">
        <v>2166</v>
      </c>
      <c r="E2007" s="165" t="s">
        <v>9609</v>
      </c>
      <c r="F2007" s="163">
        <v>1</v>
      </c>
      <c r="G2007" s="864"/>
      <c r="H2007" s="864">
        <v>0</v>
      </c>
      <c r="I2007" s="864">
        <v>0</v>
      </c>
      <c r="J2007" s="864">
        <v>14027.548535246453</v>
      </c>
      <c r="K2007" s="864">
        <v>14362.023025589404</v>
      </c>
      <c r="L2007" s="18" t="s">
        <v>11053</v>
      </c>
      <c r="M2007" s="442"/>
      <c r="N2007" s="433"/>
      <c r="P2007" s="433"/>
      <c r="T2007" s="443"/>
      <c r="U2007" s="440"/>
      <c r="V2007" s="440"/>
      <c r="W2007" s="440"/>
      <c r="X2007" s="442"/>
    </row>
    <row r="2008" spans="1:24" x14ac:dyDescent="0.25">
      <c r="A2008" s="862">
        <v>2726</v>
      </c>
      <c r="B2008" s="863" t="s">
        <v>9610</v>
      </c>
      <c r="C2008" s="862">
        <v>2726</v>
      </c>
      <c r="D2008" s="165" t="s">
        <v>2166</v>
      </c>
      <c r="E2008" s="165" t="s">
        <v>9611</v>
      </c>
      <c r="F2008" s="163">
        <v>1</v>
      </c>
      <c r="G2008" s="864"/>
      <c r="H2008" s="864">
        <v>0</v>
      </c>
      <c r="I2008" s="864">
        <v>15241.03533709685</v>
      </c>
      <c r="J2008" s="864">
        <v>15619.217024692565</v>
      </c>
      <c r="K2008" s="864">
        <v>16017.298604779477</v>
      </c>
      <c r="L2008" s="18" t="s">
        <v>4065</v>
      </c>
      <c r="M2008" s="442"/>
      <c r="N2008" s="433"/>
      <c r="P2008" s="433"/>
      <c r="T2008" s="443"/>
      <c r="U2008" s="440"/>
      <c r="V2008" s="440"/>
      <c r="W2008" s="440"/>
      <c r="X2008" s="442"/>
    </row>
    <row r="2009" spans="1:24" x14ac:dyDescent="0.25">
      <c r="A2009" s="862">
        <v>2727</v>
      </c>
      <c r="B2009" s="863" t="s">
        <v>9612</v>
      </c>
      <c r="C2009" s="862">
        <v>2727</v>
      </c>
      <c r="D2009" s="165" t="s">
        <v>2166</v>
      </c>
      <c r="E2009" s="165" t="s">
        <v>9613</v>
      </c>
      <c r="F2009" s="163">
        <v>1</v>
      </c>
      <c r="G2009" s="864"/>
      <c r="H2009" s="864">
        <v>0</v>
      </c>
      <c r="I2009" s="864">
        <v>13711.392327078032</v>
      </c>
      <c r="J2009" s="864">
        <v>14044.91787444104</v>
      </c>
      <c r="K2009" s="864">
        <v>14395.998866933031</v>
      </c>
      <c r="L2009" s="18" t="s">
        <v>4066</v>
      </c>
      <c r="M2009" s="442"/>
      <c r="N2009" s="433"/>
      <c r="P2009" s="433"/>
      <c r="T2009" s="443"/>
      <c r="U2009" s="440"/>
      <c r="V2009" s="440"/>
      <c r="W2009" s="440"/>
      <c r="X2009" s="442"/>
    </row>
    <row r="2010" spans="1:24" x14ac:dyDescent="0.25">
      <c r="A2010" s="862">
        <v>2728</v>
      </c>
      <c r="B2010" s="863" t="s">
        <v>9614</v>
      </c>
      <c r="C2010" s="862">
        <v>2728</v>
      </c>
      <c r="D2010" s="165" t="s">
        <v>2166</v>
      </c>
      <c r="E2010" s="165" t="s">
        <v>9615</v>
      </c>
      <c r="F2010" s="163">
        <v>1</v>
      </c>
      <c r="G2010" s="864"/>
      <c r="H2010" s="864">
        <v>0</v>
      </c>
      <c r="I2010" s="864">
        <v>12707.564101753185</v>
      </c>
      <c r="J2010" s="864">
        <v>13011.784057088482</v>
      </c>
      <c r="K2010" s="864">
        <v>13331.996492644614</v>
      </c>
      <c r="L2010" s="18" t="s">
        <v>4067</v>
      </c>
      <c r="M2010" s="442"/>
      <c r="N2010" s="433"/>
      <c r="P2010" s="433"/>
      <c r="T2010" s="443"/>
      <c r="U2010" s="440"/>
      <c r="V2010" s="440"/>
      <c r="W2010" s="440"/>
      <c r="X2010" s="442"/>
    </row>
    <row r="2011" spans="1:24" x14ac:dyDescent="0.25">
      <c r="A2011" s="862">
        <v>2729</v>
      </c>
      <c r="B2011" s="863" t="s">
        <v>9616</v>
      </c>
      <c r="C2011" s="862">
        <v>2729</v>
      </c>
      <c r="D2011" s="165" t="s">
        <v>2166</v>
      </c>
      <c r="E2011" s="165" t="s">
        <v>9617</v>
      </c>
      <c r="F2011" s="163">
        <v>1</v>
      </c>
      <c r="G2011" s="864"/>
      <c r="H2011" s="864">
        <v>0</v>
      </c>
      <c r="I2011" s="864">
        <v>0</v>
      </c>
      <c r="J2011" s="864">
        <v>0</v>
      </c>
      <c r="K2011" s="864">
        <v>14305.983573331348</v>
      </c>
      <c r="L2011" s="18" t="s">
        <v>11054</v>
      </c>
      <c r="M2011" s="442"/>
      <c r="N2011" s="433"/>
      <c r="P2011" s="433"/>
      <c r="T2011" s="443"/>
      <c r="U2011" s="440"/>
      <c r="V2011" s="440"/>
      <c r="W2011" s="440"/>
      <c r="X2011" s="442"/>
    </row>
    <row r="2012" spans="1:24" x14ac:dyDescent="0.25">
      <c r="A2012" s="862">
        <v>2730</v>
      </c>
      <c r="B2012" s="863" t="s">
        <v>9618</v>
      </c>
      <c r="C2012" s="862">
        <v>2730</v>
      </c>
      <c r="D2012" s="165" t="s">
        <v>2166</v>
      </c>
      <c r="E2012" s="165" t="s">
        <v>9619</v>
      </c>
      <c r="F2012" s="163">
        <v>1</v>
      </c>
      <c r="G2012" s="864"/>
      <c r="H2012" s="864">
        <v>0</v>
      </c>
      <c r="I2012" s="864">
        <v>0</v>
      </c>
      <c r="J2012" s="864">
        <v>0</v>
      </c>
      <c r="K2012" s="864">
        <v>14482.325764118448</v>
      </c>
      <c r="L2012" s="18" t="s">
        <v>11055</v>
      </c>
      <c r="M2012" s="442"/>
      <c r="N2012" s="433"/>
      <c r="P2012" s="433"/>
      <c r="T2012" s="443"/>
      <c r="U2012" s="440"/>
      <c r="V2012" s="440"/>
      <c r="W2012" s="440"/>
      <c r="X2012" s="442"/>
    </row>
    <row r="2013" spans="1:24" x14ac:dyDescent="0.25">
      <c r="A2013" s="862">
        <v>2731</v>
      </c>
      <c r="B2013" s="863" t="s">
        <v>9620</v>
      </c>
      <c r="C2013" s="862">
        <v>2731</v>
      </c>
      <c r="D2013" s="165" t="s">
        <v>2166</v>
      </c>
      <c r="E2013" s="165" t="s">
        <v>9621</v>
      </c>
      <c r="F2013" s="163">
        <v>1</v>
      </c>
      <c r="G2013" s="864"/>
      <c r="H2013" s="864">
        <v>0</v>
      </c>
      <c r="I2013" s="864">
        <v>0</v>
      </c>
      <c r="J2013" s="864">
        <v>0</v>
      </c>
      <c r="K2013" s="864">
        <v>13647.02064986376</v>
      </c>
      <c r="L2013" s="18" t="s">
        <v>11056</v>
      </c>
      <c r="M2013" s="442"/>
      <c r="N2013" s="433"/>
      <c r="P2013" s="433"/>
      <c r="T2013" s="443"/>
      <c r="U2013" s="440"/>
      <c r="V2013" s="440"/>
      <c r="W2013" s="440"/>
      <c r="X2013" s="442"/>
    </row>
    <row r="2014" spans="1:24" x14ac:dyDescent="0.25">
      <c r="A2014" s="862">
        <v>2732</v>
      </c>
      <c r="B2014" s="863" t="s">
        <v>9622</v>
      </c>
      <c r="C2014" s="862">
        <v>2732</v>
      </c>
      <c r="D2014" s="165" t="s">
        <v>2166</v>
      </c>
      <c r="E2014" s="165" t="s">
        <v>9623</v>
      </c>
      <c r="F2014" s="163">
        <v>1</v>
      </c>
      <c r="G2014" s="864"/>
      <c r="H2014" s="864">
        <v>0</v>
      </c>
      <c r="I2014" s="864">
        <v>0</v>
      </c>
      <c r="J2014" s="864">
        <v>0</v>
      </c>
      <c r="K2014" s="864">
        <v>14937.381144730502</v>
      </c>
      <c r="L2014" s="18" t="s">
        <v>11057</v>
      </c>
      <c r="M2014" s="442"/>
      <c r="N2014" s="433"/>
      <c r="P2014" s="433"/>
      <c r="T2014" s="443"/>
      <c r="U2014" s="440"/>
      <c r="V2014" s="440"/>
      <c r="W2014" s="440"/>
      <c r="X2014" s="442"/>
    </row>
    <row r="2015" spans="1:24" x14ac:dyDescent="0.25">
      <c r="A2015" s="862">
        <v>2733</v>
      </c>
      <c r="B2015" s="863" t="s">
        <v>9624</v>
      </c>
      <c r="C2015" s="862">
        <v>2733</v>
      </c>
      <c r="D2015" s="165" t="s">
        <v>2166</v>
      </c>
      <c r="E2015" s="165" t="s">
        <v>9625</v>
      </c>
      <c r="F2015" s="163">
        <v>1</v>
      </c>
      <c r="G2015" s="864"/>
      <c r="H2015" s="864">
        <v>13173.424816183007</v>
      </c>
      <c r="I2015" s="864">
        <v>13523.157874944232</v>
      </c>
      <c r="J2015" s="864">
        <v>13891.296095177036</v>
      </c>
      <c r="K2015" s="864">
        <v>14278.819219317169</v>
      </c>
      <c r="L2015" s="18" t="s">
        <v>1324</v>
      </c>
      <c r="M2015" s="442"/>
      <c r="N2015" s="433"/>
      <c r="P2015" s="433"/>
      <c r="T2015" s="443"/>
      <c r="U2015" s="440"/>
      <c r="V2015" s="440"/>
      <c r="W2015" s="440"/>
      <c r="X2015" s="442"/>
    </row>
    <row r="2016" spans="1:24" x14ac:dyDescent="0.25">
      <c r="A2016" s="862">
        <v>2734</v>
      </c>
      <c r="B2016" s="863" t="s">
        <v>9626</v>
      </c>
      <c r="C2016" s="862">
        <v>2734</v>
      </c>
      <c r="D2016" s="165" t="s">
        <v>2166</v>
      </c>
      <c r="E2016" s="165" t="s">
        <v>9627</v>
      </c>
      <c r="F2016" s="163">
        <v>1</v>
      </c>
      <c r="G2016" s="864"/>
      <c r="H2016" s="864">
        <v>15852.856747313594</v>
      </c>
      <c r="I2016" s="864">
        <v>16288.667177215653</v>
      </c>
      <c r="J2016" s="864">
        <v>16747.431572755268</v>
      </c>
      <c r="K2016" s="864">
        <v>17230.339621175852</v>
      </c>
      <c r="L2016" s="18" t="s">
        <v>1325</v>
      </c>
      <c r="M2016" s="442"/>
      <c r="N2016" s="433"/>
      <c r="P2016" s="433"/>
      <c r="T2016" s="443"/>
      <c r="U2016" s="440"/>
      <c r="V2016" s="440"/>
      <c r="W2016" s="440"/>
      <c r="X2016" s="442"/>
    </row>
    <row r="2017" spans="1:24" x14ac:dyDescent="0.25">
      <c r="A2017" s="862">
        <v>2735</v>
      </c>
      <c r="B2017" s="863" t="s">
        <v>9628</v>
      </c>
      <c r="C2017" s="862">
        <v>2735</v>
      </c>
      <c r="D2017" s="165" t="s">
        <v>2166</v>
      </c>
      <c r="E2017" s="165" t="s">
        <v>9629</v>
      </c>
      <c r="F2017" s="163">
        <v>1</v>
      </c>
      <c r="G2017" s="864"/>
      <c r="H2017" s="864">
        <v>16713.324725196995</v>
      </c>
      <c r="I2017" s="864">
        <v>17176.777888107688</v>
      </c>
      <c r="J2017" s="864">
        <v>17664.619639508299</v>
      </c>
      <c r="K2017" s="864">
        <v>18178.144639046048</v>
      </c>
      <c r="L2017" s="18" t="s">
        <v>1326</v>
      </c>
      <c r="M2017" s="442"/>
      <c r="N2017" s="433"/>
      <c r="P2017" s="433"/>
      <c r="T2017" s="443"/>
      <c r="U2017" s="440"/>
      <c r="V2017" s="440"/>
      <c r="W2017" s="440"/>
      <c r="X2017" s="442"/>
    </row>
    <row r="2018" spans="1:24" x14ac:dyDescent="0.25">
      <c r="A2018" s="862">
        <v>2736</v>
      </c>
      <c r="B2018" s="863" t="s">
        <v>9630</v>
      </c>
      <c r="C2018" s="862">
        <v>2736</v>
      </c>
      <c r="D2018" s="165" t="s">
        <v>2166</v>
      </c>
      <c r="E2018" s="165" t="s">
        <v>9631</v>
      </c>
      <c r="F2018" s="163">
        <v>1</v>
      </c>
      <c r="G2018" s="864"/>
      <c r="H2018" s="864">
        <v>0</v>
      </c>
      <c r="I2018" s="864">
        <v>0</v>
      </c>
      <c r="J2018" s="864">
        <v>0</v>
      </c>
      <c r="K2018" s="864">
        <v>17625.614530085732</v>
      </c>
      <c r="L2018" s="18" t="s">
        <v>11058</v>
      </c>
      <c r="M2018" s="442"/>
      <c r="N2018" s="433"/>
      <c r="P2018" s="433"/>
      <c r="T2018" s="443"/>
      <c r="U2018" s="440"/>
      <c r="V2018" s="440"/>
      <c r="W2018" s="440"/>
      <c r="X2018" s="442"/>
    </row>
    <row r="2019" spans="1:24" x14ac:dyDescent="0.25">
      <c r="A2019" s="862">
        <v>2737</v>
      </c>
      <c r="B2019" s="863" t="s">
        <v>9632</v>
      </c>
      <c r="C2019" s="862">
        <v>2737</v>
      </c>
      <c r="D2019" s="165" t="s">
        <v>2166</v>
      </c>
      <c r="E2019" s="165" t="s">
        <v>9633</v>
      </c>
      <c r="F2019" s="163">
        <v>1</v>
      </c>
      <c r="G2019" s="864"/>
      <c r="H2019" s="864">
        <v>14404.220784547868</v>
      </c>
      <c r="I2019" s="864">
        <v>14793.493448751829</v>
      </c>
      <c r="J2019" s="864">
        <v>15203.270722503989</v>
      </c>
      <c r="K2019" s="864">
        <v>15634.602329842623</v>
      </c>
      <c r="L2019" s="18" t="s">
        <v>1327</v>
      </c>
      <c r="M2019" s="442"/>
      <c r="N2019" s="433"/>
      <c r="P2019" s="433"/>
      <c r="T2019" s="443"/>
      <c r="U2019" s="440"/>
      <c r="V2019" s="440"/>
      <c r="W2019" s="440"/>
      <c r="X2019" s="442"/>
    </row>
    <row r="2020" spans="1:24" x14ac:dyDescent="0.25">
      <c r="A2020" s="862">
        <v>2738</v>
      </c>
      <c r="B2020" s="863" t="s">
        <v>9634</v>
      </c>
      <c r="C2020" s="862">
        <v>2738</v>
      </c>
      <c r="D2020" s="165" t="s">
        <v>2166</v>
      </c>
      <c r="E2020" s="165" t="s">
        <v>9635</v>
      </c>
      <c r="F2020" s="163">
        <v>1</v>
      </c>
      <c r="G2020" s="864"/>
      <c r="H2020" s="864">
        <v>0</v>
      </c>
      <c r="I2020" s="864">
        <v>15121.867749607818</v>
      </c>
      <c r="J2020" s="864">
        <v>15525.451651533982</v>
      </c>
      <c r="K2020" s="864">
        <v>15950.274969835144</v>
      </c>
      <c r="L2020" s="18" t="s">
        <v>4068</v>
      </c>
      <c r="M2020" s="442"/>
      <c r="N2020" s="433"/>
      <c r="P2020" s="433"/>
      <c r="T2020" s="443"/>
      <c r="U2020" s="440"/>
      <c r="V2020" s="440"/>
      <c r="W2020" s="440"/>
      <c r="X2020" s="442"/>
    </row>
    <row r="2021" spans="1:24" x14ac:dyDescent="0.25">
      <c r="A2021" s="862">
        <v>2739</v>
      </c>
      <c r="B2021" s="863" t="s">
        <v>9636</v>
      </c>
      <c r="C2021" s="862">
        <v>2739</v>
      </c>
      <c r="D2021" s="165" t="s">
        <v>2166</v>
      </c>
      <c r="E2021" s="165" t="s">
        <v>9637</v>
      </c>
      <c r="F2021" s="163">
        <v>1</v>
      </c>
      <c r="G2021" s="864"/>
      <c r="H2021" s="864">
        <v>18788.250671865189</v>
      </c>
      <c r="I2021" s="864">
        <v>0</v>
      </c>
      <c r="J2021" s="864">
        <v>19876.359619168634</v>
      </c>
      <c r="K2021" s="864">
        <v>20463.750200201619</v>
      </c>
      <c r="L2021" s="18" t="s">
        <v>3120</v>
      </c>
      <c r="M2021" s="442"/>
      <c r="N2021" s="433"/>
      <c r="P2021" s="433"/>
      <c r="T2021" s="443"/>
      <c r="U2021" s="440"/>
      <c r="V2021" s="440"/>
      <c r="W2021" s="440"/>
      <c r="X2021" s="442"/>
    </row>
    <row r="2022" spans="1:24" x14ac:dyDescent="0.25">
      <c r="A2022" s="862">
        <v>2740</v>
      </c>
      <c r="B2022" s="863" t="s">
        <v>9638</v>
      </c>
      <c r="C2022" s="862">
        <v>2740</v>
      </c>
      <c r="D2022" s="165" t="s">
        <v>2166</v>
      </c>
      <c r="E2022" s="165" t="s">
        <v>9639</v>
      </c>
      <c r="F2022" s="163">
        <v>1</v>
      </c>
      <c r="G2022" s="864"/>
      <c r="H2022" s="864">
        <v>0</v>
      </c>
      <c r="I2022" s="864">
        <v>0</v>
      </c>
      <c r="J2022" s="864">
        <v>0</v>
      </c>
      <c r="K2022" s="864">
        <v>18468.981866667771</v>
      </c>
      <c r="L2022" s="18" t="s">
        <v>11059</v>
      </c>
      <c r="M2022" s="442"/>
      <c r="N2022" s="433"/>
      <c r="P2022" s="433"/>
      <c r="T2022" s="443"/>
      <c r="U2022" s="440"/>
      <c r="V2022" s="440"/>
      <c r="W2022" s="440"/>
      <c r="X2022" s="442"/>
    </row>
    <row r="2023" spans="1:24" x14ac:dyDescent="0.25">
      <c r="A2023" s="862">
        <v>2741</v>
      </c>
      <c r="B2023" s="863" t="s">
        <v>9640</v>
      </c>
      <c r="C2023" s="862">
        <v>2741</v>
      </c>
      <c r="D2023" s="165" t="s">
        <v>2166</v>
      </c>
      <c r="E2023" s="165" t="s">
        <v>9641</v>
      </c>
      <c r="F2023" s="163">
        <v>1</v>
      </c>
      <c r="G2023" s="864"/>
      <c r="H2023" s="864">
        <v>0</v>
      </c>
      <c r="I2023" s="864">
        <v>13319.214767607327</v>
      </c>
      <c r="J2023" s="864">
        <v>13697.914448348911</v>
      </c>
      <c r="K2023" s="864">
        <v>14096.554206267214</v>
      </c>
      <c r="L2023" s="18" t="s">
        <v>4069</v>
      </c>
      <c r="M2023" s="442"/>
      <c r="N2023" s="433"/>
      <c r="P2023" s="433"/>
      <c r="T2023" s="443"/>
      <c r="U2023" s="440"/>
      <c r="V2023" s="440"/>
      <c r="W2023" s="440"/>
      <c r="X2023" s="442"/>
    </row>
    <row r="2024" spans="1:24" x14ac:dyDescent="0.25">
      <c r="A2024" s="862">
        <v>2742</v>
      </c>
      <c r="B2024" s="863" t="s">
        <v>9642</v>
      </c>
      <c r="C2024" s="862">
        <v>2742</v>
      </c>
      <c r="D2024" s="165" t="s">
        <v>2166</v>
      </c>
      <c r="E2024" s="165" t="s">
        <v>9643</v>
      </c>
      <c r="F2024" s="163">
        <v>2</v>
      </c>
      <c r="G2024" s="864"/>
      <c r="H2024" s="864">
        <v>12922.541379622828</v>
      </c>
      <c r="I2024" s="864">
        <v>13361.452115985967</v>
      </c>
      <c r="J2024" s="864">
        <v>13823.473660438291</v>
      </c>
      <c r="K2024" s="864">
        <v>14309.82237130027</v>
      </c>
      <c r="L2024" s="18" t="s">
        <v>1328</v>
      </c>
      <c r="M2024" s="442"/>
      <c r="N2024" s="433"/>
      <c r="P2024" s="433"/>
      <c r="T2024" s="443"/>
      <c r="U2024" s="440"/>
      <c r="V2024" s="440"/>
      <c r="W2024" s="440"/>
      <c r="X2024" s="442"/>
    </row>
    <row r="2025" spans="1:24" x14ac:dyDescent="0.25">
      <c r="A2025" s="862">
        <v>2743</v>
      </c>
      <c r="B2025" s="863" t="s">
        <v>9644</v>
      </c>
      <c r="C2025" s="862">
        <v>2743</v>
      </c>
      <c r="D2025" s="165" t="s">
        <v>2166</v>
      </c>
      <c r="E2025" s="165" t="s">
        <v>9645</v>
      </c>
      <c r="F2025" s="163">
        <v>2</v>
      </c>
      <c r="G2025" s="864"/>
      <c r="H2025" s="864">
        <v>13627.489610987797</v>
      </c>
      <c r="I2025" s="864">
        <v>14085.716117480211</v>
      </c>
      <c r="J2025" s="864">
        <v>14568.075173051013</v>
      </c>
      <c r="K2025" s="864">
        <v>15075.831790353499</v>
      </c>
      <c r="L2025" s="18" t="s">
        <v>1329</v>
      </c>
      <c r="M2025" s="442"/>
      <c r="N2025" s="433"/>
      <c r="P2025" s="433"/>
      <c r="T2025" s="443"/>
      <c r="U2025" s="440"/>
      <c r="V2025" s="440"/>
      <c r="W2025" s="440"/>
      <c r="X2025" s="442"/>
    </row>
    <row r="2026" spans="1:24" x14ac:dyDescent="0.25">
      <c r="A2026" s="862">
        <v>2744</v>
      </c>
      <c r="B2026" s="863" t="s">
        <v>9646</v>
      </c>
      <c r="C2026" s="862">
        <v>2744</v>
      </c>
      <c r="D2026" s="165" t="s">
        <v>2166</v>
      </c>
      <c r="E2026" s="165" t="s">
        <v>9647</v>
      </c>
      <c r="F2026" s="163">
        <v>2</v>
      </c>
      <c r="G2026" s="864"/>
      <c r="H2026" s="864">
        <v>13661.285654260593</v>
      </c>
      <c r="I2026" s="864">
        <v>14135.032892922369</v>
      </c>
      <c r="J2026" s="864">
        <v>14633.739804320461</v>
      </c>
      <c r="K2026" s="864">
        <v>15158.671401108173</v>
      </c>
      <c r="L2026" s="18" t="s">
        <v>1330</v>
      </c>
      <c r="M2026" s="442"/>
      <c r="N2026" s="433"/>
      <c r="P2026" s="433"/>
      <c r="T2026" s="443"/>
      <c r="U2026" s="440"/>
      <c r="V2026" s="440"/>
      <c r="W2026" s="440"/>
      <c r="X2026" s="442"/>
    </row>
    <row r="2027" spans="1:24" x14ac:dyDescent="0.25">
      <c r="A2027" s="862">
        <v>2745</v>
      </c>
      <c r="B2027" s="863" t="s">
        <v>9648</v>
      </c>
      <c r="C2027" s="862">
        <v>2745</v>
      </c>
      <c r="D2027" s="165" t="s">
        <v>2166</v>
      </c>
      <c r="E2027" s="165" t="s">
        <v>9649</v>
      </c>
      <c r="F2027" s="163">
        <v>2</v>
      </c>
      <c r="G2027" s="864"/>
      <c r="H2027" s="864">
        <v>0</v>
      </c>
      <c r="I2027" s="864">
        <v>0</v>
      </c>
      <c r="J2027" s="864">
        <v>0</v>
      </c>
      <c r="K2027" s="864">
        <v>14418.867145411718</v>
      </c>
      <c r="L2027" s="18" t="s">
        <v>11060</v>
      </c>
      <c r="M2027" s="442"/>
      <c r="N2027" s="433"/>
      <c r="P2027" s="433"/>
      <c r="T2027" s="443"/>
      <c r="U2027" s="440"/>
      <c r="V2027" s="440"/>
      <c r="W2027" s="440"/>
      <c r="X2027" s="442"/>
    </row>
    <row r="2028" spans="1:24" x14ac:dyDescent="0.25">
      <c r="A2028" s="862">
        <v>2746</v>
      </c>
      <c r="B2028" s="863" t="s">
        <v>9650</v>
      </c>
      <c r="C2028" s="862">
        <v>2746</v>
      </c>
      <c r="D2028" s="165" t="s">
        <v>2166</v>
      </c>
      <c r="E2028" s="165" t="s">
        <v>9651</v>
      </c>
      <c r="F2028" s="163">
        <v>2</v>
      </c>
      <c r="G2028" s="864"/>
      <c r="H2028" s="864">
        <v>14511.017622650435</v>
      </c>
      <c r="I2028" s="864">
        <v>15009.675879715711</v>
      </c>
      <c r="J2028" s="864">
        <v>15534.607476503417</v>
      </c>
      <c r="K2028" s="864">
        <v>16087.174734332508</v>
      </c>
      <c r="L2028" s="18" t="s">
        <v>1331</v>
      </c>
      <c r="M2028" s="442"/>
      <c r="N2028" s="433"/>
      <c r="P2028" s="433"/>
      <c r="T2028" s="443"/>
      <c r="U2028" s="440"/>
      <c r="V2028" s="440"/>
      <c r="W2028" s="440"/>
      <c r="X2028" s="442"/>
    </row>
    <row r="2029" spans="1:24" x14ac:dyDescent="0.25">
      <c r="A2029" s="862">
        <v>2747</v>
      </c>
      <c r="B2029" s="863" t="s">
        <v>9652</v>
      </c>
      <c r="C2029" s="862">
        <v>2747</v>
      </c>
      <c r="D2029" s="165" t="s">
        <v>2166</v>
      </c>
      <c r="E2029" s="165" t="s">
        <v>9653</v>
      </c>
      <c r="F2029" s="163">
        <v>1</v>
      </c>
      <c r="G2029" s="864"/>
      <c r="H2029" s="864">
        <v>0</v>
      </c>
      <c r="I2029" s="864">
        <v>14308.980886857587</v>
      </c>
      <c r="J2029" s="864">
        <v>14721.655546967208</v>
      </c>
      <c r="K2029" s="864">
        <v>15156.049926029964</v>
      </c>
      <c r="L2029" s="18" t="s">
        <v>4070</v>
      </c>
      <c r="M2029" s="442"/>
      <c r="N2029" s="433"/>
      <c r="P2029" s="433"/>
      <c r="T2029" s="443"/>
      <c r="U2029" s="440"/>
      <c r="V2029" s="440"/>
      <c r="W2029" s="440"/>
      <c r="X2029" s="442"/>
    </row>
    <row r="2030" spans="1:24" x14ac:dyDescent="0.25">
      <c r="A2030" s="862">
        <v>2748</v>
      </c>
      <c r="B2030" s="863" t="s">
        <v>9654</v>
      </c>
      <c r="C2030" s="862">
        <v>2748</v>
      </c>
      <c r="D2030" s="165" t="s">
        <v>2166</v>
      </c>
      <c r="E2030" s="165" t="s">
        <v>9655</v>
      </c>
      <c r="F2030" s="163">
        <v>1</v>
      </c>
      <c r="G2030" s="864"/>
      <c r="H2030" s="864">
        <v>16827.948473702698</v>
      </c>
      <c r="I2030" s="864">
        <v>17271.718867265194</v>
      </c>
      <c r="J2030" s="864">
        <v>17738.850004186923</v>
      </c>
      <c r="K2030" s="864">
        <v>18230.569928324279</v>
      </c>
      <c r="L2030" s="18" t="s">
        <v>1332</v>
      </c>
      <c r="M2030" s="442"/>
      <c r="N2030" s="433"/>
      <c r="P2030" s="433"/>
      <c r="T2030" s="443"/>
      <c r="U2030" s="440"/>
      <c r="V2030" s="440"/>
      <c r="W2030" s="440"/>
      <c r="X2030" s="442"/>
    </row>
    <row r="2031" spans="1:24" x14ac:dyDescent="0.25">
      <c r="A2031" s="862">
        <v>2749</v>
      </c>
      <c r="B2031" s="863" t="s">
        <v>9656</v>
      </c>
      <c r="C2031" s="862">
        <v>2749</v>
      </c>
      <c r="D2031" s="165" t="s">
        <v>2166</v>
      </c>
      <c r="E2031" s="165" t="s">
        <v>9657</v>
      </c>
      <c r="F2031" s="163">
        <v>1</v>
      </c>
      <c r="G2031" s="864"/>
      <c r="H2031" s="864">
        <v>17587.950169622996</v>
      </c>
      <c r="I2031" s="864">
        <v>18054.913846018848</v>
      </c>
      <c r="J2031" s="864">
        <v>18546.466309630337</v>
      </c>
      <c r="K2031" s="864">
        <v>19063.891424489149</v>
      </c>
      <c r="L2031" s="18" t="s">
        <v>1333</v>
      </c>
      <c r="M2031" s="442"/>
      <c r="N2031" s="433"/>
      <c r="P2031" s="433"/>
      <c r="T2031" s="443"/>
      <c r="U2031" s="440"/>
      <c r="V2031" s="440"/>
      <c r="W2031" s="440"/>
      <c r="X2031" s="442"/>
    </row>
    <row r="2032" spans="1:24" x14ac:dyDescent="0.25">
      <c r="A2032" s="862">
        <v>2750</v>
      </c>
      <c r="B2032" s="863" t="s">
        <v>9658</v>
      </c>
      <c r="C2032" s="862">
        <v>2750</v>
      </c>
      <c r="D2032" s="165" t="s">
        <v>2166</v>
      </c>
      <c r="E2032" s="165" t="s">
        <v>9659</v>
      </c>
      <c r="F2032" s="163">
        <v>1</v>
      </c>
      <c r="G2032" s="864"/>
      <c r="H2032" s="864">
        <v>15409.325158130885</v>
      </c>
      <c r="I2032" s="864">
        <v>15809.807005755303</v>
      </c>
      <c r="J2032" s="864">
        <v>16231.360969552028</v>
      </c>
      <c r="K2032" s="864">
        <v>16675.103453026881</v>
      </c>
      <c r="L2032" s="18" t="s">
        <v>1334</v>
      </c>
      <c r="M2032" s="442"/>
      <c r="N2032" s="433"/>
      <c r="P2032" s="433"/>
      <c r="T2032" s="443"/>
      <c r="U2032" s="440"/>
      <c r="V2032" s="440"/>
      <c r="W2032" s="440"/>
      <c r="X2032" s="442"/>
    </row>
    <row r="2033" spans="1:24" x14ac:dyDescent="0.25">
      <c r="A2033" s="862">
        <v>2751</v>
      </c>
      <c r="B2033" s="863" t="s">
        <v>9660</v>
      </c>
      <c r="C2033" s="862">
        <v>2751</v>
      </c>
      <c r="D2033" s="165" t="s">
        <v>2166</v>
      </c>
      <c r="E2033" s="165" t="s">
        <v>9661</v>
      </c>
      <c r="F2033" s="163">
        <v>1</v>
      </c>
      <c r="G2033" s="864"/>
      <c r="H2033" s="864">
        <v>0</v>
      </c>
      <c r="I2033" s="864">
        <v>0</v>
      </c>
      <c r="J2033" s="864">
        <v>20385.148571518243</v>
      </c>
      <c r="K2033" s="864">
        <v>20900.759530680101</v>
      </c>
      <c r="L2033" s="18" t="s">
        <v>4815</v>
      </c>
      <c r="M2033" s="442"/>
      <c r="N2033" s="433"/>
      <c r="P2033" s="433"/>
      <c r="T2033" s="443"/>
      <c r="U2033" s="440"/>
      <c r="V2033" s="440"/>
      <c r="W2033" s="440"/>
      <c r="X2033" s="442"/>
    </row>
    <row r="2034" spans="1:24" x14ac:dyDescent="0.25">
      <c r="A2034" s="862">
        <v>2752</v>
      </c>
      <c r="B2034" s="863" t="s">
        <v>9662</v>
      </c>
      <c r="C2034" s="862">
        <v>2752</v>
      </c>
      <c r="D2034" s="165" t="s">
        <v>2166</v>
      </c>
      <c r="E2034" s="165" t="s">
        <v>9663</v>
      </c>
      <c r="F2034" s="163">
        <v>1</v>
      </c>
      <c r="G2034" s="864"/>
      <c r="H2034" s="864">
        <v>0</v>
      </c>
      <c r="I2034" s="864">
        <v>0</v>
      </c>
      <c r="J2034" s="864">
        <v>0</v>
      </c>
      <c r="K2034" s="864">
        <v>13785.843129680685</v>
      </c>
      <c r="L2034" s="18" t="s">
        <v>11061</v>
      </c>
      <c r="M2034" s="442"/>
      <c r="N2034" s="433"/>
      <c r="P2034" s="433"/>
      <c r="T2034" s="443"/>
      <c r="U2034" s="440"/>
      <c r="V2034" s="440"/>
      <c r="W2034" s="440"/>
      <c r="X2034" s="442"/>
    </row>
    <row r="2035" spans="1:24" x14ac:dyDescent="0.25">
      <c r="A2035" s="862">
        <v>2753</v>
      </c>
      <c r="B2035" s="863" t="s">
        <v>9664</v>
      </c>
      <c r="C2035" s="862">
        <v>2753</v>
      </c>
      <c r="D2035" s="165" t="s">
        <v>2166</v>
      </c>
      <c r="E2035" s="165" t="s">
        <v>9665</v>
      </c>
      <c r="F2035" s="163">
        <v>1</v>
      </c>
      <c r="G2035" s="864"/>
      <c r="H2035" s="864">
        <v>0</v>
      </c>
      <c r="I2035" s="864">
        <v>0</v>
      </c>
      <c r="J2035" s="864">
        <v>0</v>
      </c>
      <c r="K2035" s="864">
        <v>12347.752580195855</v>
      </c>
      <c r="L2035" s="18" t="s">
        <v>11062</v>
      </c>
      <c r="M2035" s="442"/>
      <c r="N2035" s="433"/>
      <c r="P2035" s="433"/>
      <c r="T2035" s="443"/>
      <c r="U2035" s="440"/>
      <c r="V2035" s="440"/>
      <c r="W2035" s="440"/>
      <c r="X2035" s="442"/>
    </row>
    <row r="2036" spans="1:24" x14ac:dyDescent="0.25">
      <c r="A2036" s="862">
        <v>2754</v>
      </c>
      <c r="B2036" s="863" t="s">
        <v>9666</v>
      </c>
      <c r="C2036" s="862">
        <v>2754</v>
      </c>
      <c r="D2036" s="165" t="s">
        <v>2166</v>
      </c>
      <c r="E2036" s="165" t="s">
        <v>9667</v>
      </c>
      <c r="F2036" s="163">
        <v>1</v>
      </c>
      <c r="G2036" s="864"/>
      <c r="H2036" s="864">
        <v>0</v>
      </c>
      <c r="I2036" s="864">
        <v>0</v>
      </c>
      <c r="J2036" s="864">
        <v>0</v>
      </c>
      <c r="K2036" s="864">
        <v>13785.843129680687</v>
      </c>
      <c r="L2036" s="18" t="s">
        <v>11063</v>
      </c>
      <c r="M2036" s="442"/>
      <c r="N2036" s="433"/>
      <c r="P2036" s="433"/>
      <c r="T2036" s="443"/>
      <c r="U2036" s="440"/>
      <c r="V2036" s="440"/>
      <c r="W2036" s="440"/>
      <c r="X2036" s="442"/>
    </row>
    <row r="2037" spans="1:24" x14ac:dyDescent="0.25">
      <c r="A2037" s="862">
        <v>2755</v>
      </c>
      <c r="B2037" s="863" t="s">
        <v>9668</v>
      </c>
      <c r="C2037" s="862">
        <v>2755</v>
      </c>
      <c r="D2037" s="165" t="s">
        <v>2166</v>
      </c>
      <c r="E2037" s="165" t="s">
        <v>9669</v>
      </c>
      <c r="F2037" s="163">
        <v>1</v>
      </c>
      <c r="G2037" s="864"/>
      <c r="H2037" s="864">
        <v>0</v>
      </c>
      <c r="I2037" s="864">
        <v>0</v>
      </c>
      <c r="J2037" s="864">
        <v>0</v>
      </c>
      <c r="K2037" s="864">
        <v>14073.461239577651</v>
      </c>
      <c r="L2037" s="18" t="s">
        <v>11064</v>
      </c>
      <c r="M2037" s="442"/>
      <c r="N2037" s="433"/>
      <c r="P2037" s="433"/>
      <c r="T2037" s="443"/>
      <c r="U2037" s="440"/>
      <c r="V2037" s="440"/>
      <c r="W2037" s="440"/>
      <c r="X2037" s="442"/>
    </row>
    <row r="2038" spans="1:24" x14ac:dyDescent="0.25">
      <c r="A2038" s="862">
        <v>2756</v>
      </c>
      <c r="B2038" s="863" t="s">
        <v>9670</v>
      </c>
      <c r="C2038" s="862">
        <v>2756</v>
      </c>
      <c r="D2038" s="165" t="s">
        <v>2166</v>
      </c>
      <c r="E2038" s="165" t="s">
        <v>9671</v>
      </c>
      <c r="F2038" s="163">
        <v>1</v>
      </c>
      <c r="G2038" s="864"/>
      <c r="H2038" s="864">
        <v>16016.539307266861</v>
      </c>
      <c r="I2038" s="864">
        <v>16322.730543098663</v>
      </c>
      <c r="J2038" s="864">
        <v>16645.051038889556</v>
      </c>
      <c r="K2038" s="864">
        <v>16984.330198598058</v>
      </c>
      <c r="L2038" s="18" t="s">
        <v>1335</v>
      </c>
      <c r="M2038" s="442"/>
      <c r="N2038" s="433"/>
      <c r="P2038" s="433"/>
      <c r="T2038" s="443"/>
      <c r="U2038" s="440"/>
      <c r="V2038" s="440"/>
      <c r="W2038" s="440"/>
      <c r="X2038" s="442"/>
    </row>
    <row r="2039" spans="1:24" x14ac:dyDescent="0.25">
      <c r="A2039" s="862">
        <v>2757</v>
      </c>
      <c r="B2039" s="863" t="s">
        <v>9672</v>
      </c>
      <c r="C2039" s="862">
        <v>2757</v>
      </c>
      <c r="D2039" s="165" t="s">
        <v>2166</v>
      </c>
      <c r="E2039" s="165" t="s">
        <v>9673</v>
      </c>
      <c r="F2039" s="163">
        <v>1</v>
      </c>
      <c r="G2039" s="864"/>
      <c r="H2039" s="864">
        <v>0</v>
      </c>
      <c r="I2039" s="864">
        <v>0</v>
      </c>
      <c r="J2039" s="864">
        <v>17656.50666758445</v>
      </c>
      <c r="K2039" s="864">
        <v>16131.621019526041</v>
      </c>
      <c r="L2039" s="18" t="s">
        <v>4816</v>
      </c>
      <c r="M2039" s="442"/>
      <c r="N2039" s="433"/>
      <c r="P2039" s="433"/>
      <c r="T2039" s="443"/>
      <c r="U2039" s="440"/>
      <c r="V2039" s="440"/>
      <c r="W2039" s="440"/>
      <c r="X2039" s="442"/>
    </row>
    <row r="2040" spans="1:24" x14ac:dyDescent="0.25">
      <c r="A2040" s="862">
        <v>2758</v>
      </c>
      <c r="B2040" s="863" t="s">
        <v>9674</v>
      </c>
      <c r="C2040" s="862">
        <v>2758</v>
      </c>
      <c r="D2040" s="165" t="s">
        <v>2166</v>
      </c>
      <c r="E2040" s="165" t="s">
        <v>9675</v>
      </c>
      <c r="F2040" s="163">
        <v>1</v>
      </c>
      <c r="G2040" s="864"/>
      <c r="H2040" s="864">
        <v>11851.336334390833</v>
      </c>
      <c r="I2040" s="864">
        <v>12077.502419775523</v>
      </c>
      <c r="J2040" s="864">
        <v>12315.588662063967</v>
      </c>
      <c r="K2040" s="864">
        <v>12566.204476230807</v>
      </c>
      <c r="L2040" s="18" t="s">
        <v>1336</v>
      </c>
      <c r="M2040" s="442"/>
      <c r="N2040" s="433"/>
      <c r="P2040" s="433"/>
      <c r="T2040" s="443"/>
      <c r="U2040" s="440"/>
      <c r="V2040" s="440"/>
      <c r="W2040" s="440"/>
      <c r="X2040" s="442"/>
    </row>
    <row r="2041" spans="1:24" x14ac:dyDescent="0.25">
      <c r="A2041" s="862">
        <v>2759</v>
      </c>
      <c r="B2041" s="863" t="s">
        <v>9676</v>
      </c>
      <c r="C2041" s="862">
        <v>2759</v>
      </c>
      <c r="D2041" s="165" t="s">
        <v>2166</v>
      </c>
      <c r="E2041" s="165" t="s">
        <v>9677</v>
      </c>
      <c r="F2041" s="163">
        <v>1</v>
      </c>
      <c r="G2041" s="864"/>
      <c r="H2041" s="864">
        <v>11015.869716856978</v>
      </c>
      <c r="I2041" s="864">
        <v>11222.290757063653</v>
      </c>
      <c r="J2041" s="864">
        <v>11439.583760417727</v>
      </c>
      <c r="K2041" s="864">
        <v>11668.309388695854</v>
      </c>
      <c r="L2041" s="18" t="s">
        <v>1337</v>
      </c>
      <c r="M2041" s="442"/>
      <c r="N2041" s="433"/>
      <c r="P2041" s="433"/>
      <c r="T2041" s="443"/>
      <c r="U2041" s="440"/>
      <c r="V2041" s="440"/>
      <c r="W2041" s="440"/>
      <c r="X2041" s="442"/>
    </row>
    <row r="2042" spans="1:24" x14ac:dyDescent="0.25">
      <c r="A2042" s="862">
        <v>2760</v>
      </c>
      <c r="B2042" s="863" t="s">
        <v>9678</v>
      </c>
      <c r="C2042" s="862">
        <v>2760</v>
      </c>
      <c r="D2042" s="165" t="s">
        <v>2166</v>
      </c>
      <c r="E2042" s="165" t="s">
        <v>9679</v>
      </c>
      <c r="F2042" s="163">
        <v>1</v>
      </c>
      <c r="G2042" s="864"/>
      <c r="H2042" s="864">
        <v>10147.85245188674</v>
      </c>
      <c r="I2042" s="864">
        <v>10333.748395747876</v>
      </c>
      <c r="J2042" s="864">
        <v>10529.419355802076</v>
      </c>
      <c r="K2042" s="864">
        <v>10735.401617227013</v>
      </c>
      <c r="L2042" s="18" t="s">
        <v>1338</v>
      </c>
      <c r="M2042" s="442"/>
      <c r="N2042" s="433"/>
      <c r="P2042" s="433"/>
      <c r="T2042" s="443"/>
      <c r="U2042" s="440"/>
      <c r="V2042" s="440"/>
      <c r="W2042" s="440"/>
      <c r="X2042" s="442"/>
    </row>
    <row r="2043" spans="1:24" x14ac:dyDescent="0.25">
      <c r="A2043" s="862">
        <v>2761</v>
      </c>
      <c r="B2043" s="863" t="s">
        <v>9680</v>
      </c>
      <c r="C2043" s="862">
        <v>2761</v>
      </c>
      <c r="D2043" s="165" t="s">
        <v>2166</v>
      </c>
      <c r="E2043" s="165" t="s">
        <v>9681</v>
      </c>
      <c r="F2043" s="163">
        <v>1</v>
      </c>
      <c r="G2043" s="864"/>
      <c r="H2043" s="864">
        <v>0</v>
      </c>
      <c r="I2043" s="864">
        <v>0</v>
      </c>
      <c r="J2043" s="864">
        <v>0</v>
      </c>
      <c r="K2043" s="864">
        <v>11970.799137400227</v>
      </c>
      <c r="L2043" s="18" t="s">
        <v>11065</v>
      </c>
      <c r="M2043" s="442"/>
      <c r="N2043" s="433"/>
      <c r="P2043" s="433"/>
      <c r="T2043" s="443"/>
      <c r="U2043" s="440"/>
      <c r="V2043" s="440"/>
      <c r="W2043" s="440"/>
      <c r="X2043" s="442"/>
    </row>
    <row r="2044" spans="1:24" x14ac:dyDescent="0.25">
      <c r="A2044" s="862">
        <v>2762</v>
      </c>
      <c r="B2044" s="863" t="s">
        <v>9682</v>
      </c>
      <c r="C2044" s="862">
        <v>2762</v>
      </c>
      <c r="D2044" s="165" t="s">
        <v>2166</v>
      </c>
      <c r="E2044" s="165" t="s">
        <v>9683</v>
      </c>
      <c r="F2044" s="163">
        <v>1</v>
      </c>
      <c r="G2044" s="864"/>
      <c r="H2044" s="864">
        <v>6964.2011702057125</v>
      </c>
      <c r="I2044" s="864">
        <v>7065.4546598174484</v>
      </c>
      <c r="J2044" s="864">
        <v>7172.0418919322619</v>
      </c>
      <c r="K2044" s="864">
        <v>7284.2366726334621</v>
      </c>
      <c r="L2044" s="18" t="s">
        <v>1339</v>
      </c>
      <c r="M2044" s="442"/>
      <c r="N2044" s="433"/>
      <c r="P2044" s="433"/>
      <c r="T2044" s="443"/>
      <c r="U2044" s="440"/>
      <c r="V2044" s="440"/>
      <c r="W2044" s="440"/>
      <c r="X2044" s="442"/>
    </row>
    <row r="2045" spans="1:24" x14ac:dyDescent="0.25">
      <c r="A2045" s="862">
        <v>2763</v>
      </c>
      <c r="B2045" s="863" t="s">
        <v>9684</v>
      </c>
      <c r="C2045" s="862">
        <v>2763</v>
      </c>
      <c r="D2045" s="165" t="s">
        <v>2166</v>
      </c>
      <c r="E2045" s="165" t="s">
        <v>9685</v>
      </c>
      <c r="F2045" s="163">
        <v>1</v>
      </c>
      <c r="G2045" s="864"/>
      <c r="H2045" s="864">
        <v>6546.8082755361947</v>
      </c>
      <c r="I2045" s="864">
        <v>6639.0261643983713</v>
      </c>
      <c r="J2045" s="864">
        <v>6736.0958970569764</v>
      </c>
      <c r="K2045" s="864">
        <v>6838.2803273519994</v>
      </c>
      <c r="L2045" s="18" t="s">
        <v>1340</v>
      </c>
      <c r="M2045" s="442"/>
      <c r="N2045" s="433"/>
      <c r="P2045" s="433"/>
      <c r="T2045" s="443"/>
      <c r="U2045" s="440"/>
      <c r="V2045" s="440"/>
      <c r="W2045" s="440"/>
      <c r="X2045" s="442"/>
    </row>
    <row r="2046" spans="1:24" x14ac:dyDescent="0.25">
      <c r="A2046" s="862">
        <v>2764</v>
      </c>
      <c r="B2046" s="863" t="s">
        <v>9686</v>
      </c>
      <c r="C2046" s="862">
        <v>2764</v>
      </c>
      <c r="D2046" s="165" t="s">
        <v>2166</v>
      </c>
      <c r="E2046" s="165" t="s">
        <v>9687</v>
      </c>
      <c r="F2046" s="163">
        <v>1</v>
      </c>
      <c r="G2046" s="864"/>
      <c r="H2046" s="864">
        <v>6526.5710442794898</v>
      </c>
      <c r="I2046" s="864">
        <v>6618.3508434083533</v>
      </c>
      <c r="J2046" s="864">
        <v>6714.9605818469827</v>
      </c>
      <c r="K2046" s="864">
        <v>6816.6521611920316</v>
      </c>
      <c r="L2046" s="18" t="s">
        <v>1341</v>
      </c>
      <c r="M2046" s="442"/>
      <c r="N2046" s="433"/>
      <c r="P2046" s="433"/>
      <c r="T2046" s="443"/>
      <c r="U2046" s="440"/>
      <c r="V2046" s="440"/>
      <c r="W2046" s="440"/>
      <c r="X2046" s="442"/>
    </row>
    <row r="2047" spans="1:24" x14ac:dyDescent="0.25">
      <c r="A2047" s="862">
        <v>2765</v>
      </c>
      <c r="B2047" s="863" t="s">
        <v>9688</v>
      </c>
      <c r="C2047" s="862">
        <v>2765</v>
      </c>
      <c r="D2047" s="165" t="s">
        <v>2166</v>
      </c>
      <c r="E2047" s="165" t="s">
        <v>9689</v>
      </c>
      <c r="F2047" s="163">
        <v>1</v>
      </c>
      <c r="G2047" s="864"/>
      <c r="H2047" s="864">
        <v>6205.3049980793121</v>
      </c>
      <c r="I2047" s="864">
        <v>6290.1301226918522</v>
      </c>
      <c r="J2047" s="864">
        <v>6379.4237625841688</v>
      </c>
      <c r="K2047" s="864">
        <v>6473.4159148662575</v>
      </c>
      <c r="L2047" s="18" t="s">
        <v>1342</v>
      </c>
      <c r="M2047" s="442"/>
      <c r="N2047" s="433"/>
      <c r="P2047" s="433"/>
      <c r="T2047" s="443"/>
      <c r="U2047" s="440"/>
      <c r="V2047" s="440"/>
      <c r="W2047" s="440"/>
      <c r="X2047" s="442"/>
    </row>
    <row r="2048" spans="1:24" x14ac:dyDescent="0.25">
      <c r="A2048" s="862">
        <v>2766</v>
      </c>
      <c r="B2048" s="863" t="s">
        <v>9690</v>
      </c>
      <c r="C2048" s="862">
        <v>2766</v>
      </c>
      <c r="D2048" s="165" t="s">
        <v>2166</v>
      </c>
      <c r="E2048" s="165" t="s">
        <v>9691</v>
      </c>
      <c r="F2048" s="163">
        <v>1</v>
      </c>
      <c r="G2048" s="864"/>
      <c r="H2048" s="864">
        <v>11058.669173807692</v>
      </c>
      <c r="I2048" s="864">
        <v>11320.577436272495</v>
      </c>
      <c r="J2048" s="864">
        <v>11596.273282034153</v>
      </c>
      <c r="K2048" s="864">
        <v>11886.48237337144</v>
      </c>
      <c r="L2048" s="18" t="s">
        <v>1343</v>
      </c>
      <c r="M2048" s="442"/>
      <c r="N2048" s="433"/>
      <c r="P2048" s="433"/>
      <c r="T2048" s="443"/>
      <c r="U2048" s="440"/>
      <c r="V2048" s="440"/>
      <c r="W2048" s="440"/>
      <c r="X2048" s="442"/>
    </row>
    <row r="2049" spans="1:24" x14ac:dyDescent="0.25">
      <c r="A2049" s="862">
        <v>2767</v>
      </c>
      <c r="B2049" s="863" t="s">
        <v>9692</v>
      </c>
      <c r="C2049" s="862">
        <v>2767</v>
      </c>
      <c r="D2049" s="165" t="s">
        <v>2166</v>
      </c>
      <c r="E2049" s="165" t="s">
        <v>9693</v>
      </c>
      <c r="F2049" s="163">
        <v>1</v>
      </c>
      <c r="G2049" s="864"/>
      <c r="H2049" s="864">
        <v>0</v>
      </c>
      <c r="I2049" s="864">
        <v>0</v>
      </c>
      <c r="J2049" s="864">
        <v>11939.285749609729</v>
      </c>
      <c r="K2049" s="864">
        <v>12825.347302089513</v>
      </c>
      <c r="L2049" s="18" t="s">
        <v>4817</v>
      </c>
      <c r="M2049" s="442"/>
      <c r="N2049" s="433"/>
      <c r="P2049" s="433"/>
      <c r="T2049" s="443"/>
      <c r="U2049" s="440"/>
      <c r="V2049" s="440"/>
      <c r="W2049" s="440"/>
      <c r="X2049" s="442"/>
    </row>
    <row r="2050" spans="1:24" x14ac:dyDescent="0.25">
      <c r="A2050" s="862">
        <v>2768</v>
      </c>
      <c r="B2050" s="863" t="s">
        <v>9694</v>
      </c>
      <c r="C2050" s="862">
        <v>2768</v>
      </c>
      <c r="D2050" s="165" t="s">
        <v>2166</v>
      </c>
      <c r="E2050" s="165" t="s">
        <v>9695</v>
      </c>
      <c r="F2050" s="163">
        <v>1</v>
      </c>
      <c r="G2050" s="864"/>
      <c r="H2050" s="864">
        <v>0</v>
      </c>
      <c r="I2050" s="864">
        <v>0</v>
      </c>
      <c r="J2050" s="864">
        <v>0</v>
      </c>
      <c r="K2050" s="864">
        <v>12338.375970864747</v>
      </c>
      <c r="L2050" s="18" t="s">
        <v>11066</v>
      </c>
      <c r="M2050" s="442"/>
      <c r="N2050" s="433"/>
      <c r="P2050" s="433"/>
      <c r="T2050" s="443"/>
      <c r="U2050" s="440"/>
      <c r="V2050" s="440"/>
      <c r="W2050" s="440"/>
      <c r="X2050" s="442"/>
    </row>
    <row r="2051" spans="1:24" x14ac:dyDescent="0.25">
      <c r="A2051" s="862">
        <v>2769</v>
      </c>
      <c r="B2051" s="863" t="s">
        <v>9696</v>
      </c>
      <c r="C2051" s="862">
        <v>2769</v>
      </c>
      <c r="D2051" s="165" t="s">
        <v>2166</v>
      </c>
      <c r="E2051" s="165" t="s">
        <v>9697</v>
      </c>
      <c r="F2051" s="163">
        <v>1</v>
      </c>
      <c r="G2051" s="864"/>
      <c r="H2051" s="864">
        <v>0</v>
      </c>
      <c r="I2051" s="864">
        <v>18930.165583622038</v>
      </c>
      <c r="J2051" s="864">
        <v>19495.46498979464</v>
      </c>
      <c r="K2051" s="864">
        <v>20090.525381557967</v>
      </c>
      <c r="L2051" s="18" t="s">
        <v>1344</v>
      </c>
      <c r="M2051" s="442"/>
      <c r="N2051" s="433"/>
      <c r="P2051" s="433"/>
      <c r="T2051" s="443"/>
      <c r="U2051" s="440"/>
      <c r="V2051" s="440"/>
      <c r="W2051" s="440"/>
      <c r="X2051" s="442"/>
    </row>
    <row r="2052" spans="1:24" x14ac:dyDescent="0.25">
      <c r="A2052" s="862">
        <v>2770</v>
      </c>
      <c r="B2052" s="863" t="s">
        <v>9698</v>
      </c>
      <c r="C2052" s="862">
        <v>2770</v>
      </c>
      <c r="D2052" s="165" t="s">
        <v>2166</v>
      </c>
      <c r="E2052" s="165" t="s">
        <v>9699</v>
      </c>
      <c r="F2052" s="163">
        <v>2</v>
      </c>
      <c r="G2052" s="864"/>
      <c r="H2052" s="864">
        <v>20102.233607248807</v>
      </c>
      <c r="I2052" s="864">
        <v>20859.781569245719</v>
      </c>
      <c r="J2052" s="864">
        <v>21657.22608415447</v>
      </c>
      <c r="K2052" s="864">
        <v>22496.659288286304</v>
      </c>
      <c r="L2052" s="18" t="s">
        <v>1345</v>
      </c>
      <c r="M2052" s="442"/>
      <c r="N2052" s="433"/>
      <c r="P2052" s="433"/>
      <c r="T2052" s="443"/>
      <c r="U2052" s="440"/>
      <c r="V2052" s="440"/>
      <c r="W2052" s="440"/>
      <c r="X2052" s="442"/>
    </row>
    <row r="2053" spans="1:24" x14ac:dyDescent="0.25">
      <c r="A2053" s="862">
        <v>2771</v>
      </c>
      <c r="B2053" s="863" t="s">
        <v>9700</v>
      </c>
      <c r="C2053" s="862">
        <v>2771</v>
      </c>
      <c r="D2053" s="165" t="s">
        <v>2166</v>
      </c>
      <c r="E2053" s="165" t="s">
        <v>9701</v>
      </c>
      <c r="F2053" s="163">
        <v>2</v>
      </c>
      <c r="G2053" s="864"/>
      <c r="H2053" s="864">
        <v>19486.244214314207</v>
      </c>
      <c r="I2053" s="864">
        <v>20215.426700277443</v>
      </c>
      <c r="J2053" s="864">
        <v>20982.997454835135</v>
      </c>
      <c r="K2053" s="864">
        <v>21790.999959965684</v>
      </c>
      <c r="L2053" s="18" t="s">
        <v>1346</v>
      </c>
      <c r="M2053" s="442"/>
      <c r="N2053" s="433"/>
      <c r="P2053" s="433"/>
      <c r="T2053" s="443"/>
      <c r="U2053" s="440"/>
      <c r="V2053" s="440"/>
      <c r="W2053" s="440"/>
      <c r="X2053" s="442"/>
    </row>
    <row r="2054" spans="1:24" x14ac:dyDescent="0.25">
      <c r="A2054" s="862">
        <v>2772</v>
      </c>
      <c r="B2054" s="863" t="s">
        <v>9702</v>
      </c>
      <c r="C2054" s="862">
        <v>2772</v>
      </c>
      <c r="D2054" s="165" t="s">
        <v>2166</v>
      </c>
      <c r="E2054" s="165" t="s">
        <v>9703</v>
      </c>
      <c r="F2054" s="163">
        <v>2</v>
      </c>
      <c r="G2054" s="864"/>
      <c r="H2054" s="864">
        <v>21177.918282117236</v>
      </c>
      <c r="I2054" s="864">
        <v>21962.420744496048</v>
      </c>
      <c r="J2054" s="864">
        <v>22834.111771287095</v>
      </c>
      <c r="K2054" s="864">
        <v>23705.802798078144</v>
      </c>
      <c r="L2054" s="18" t="s">
        <v>3121</v>
      </c>
      <c r="M2054" s="442"/>
      <c r="N2054" s="433"/>
      <c r="P2054" s="433"/>
      <c r="T2054" s="443"/>
      <c r="U2054" s="440"/>
      <c r="V2054" s="440"/>
      <c r="W2054" s="440"/>
      <c r="X2054" s="442"/>
    </row>
    <row r="2055" spans="1:24" x14ac:dyDescent="0.25">
      <c r="A2055" s="862">
        <v>2773</v>
      </c>
      <c r="B2055" s="863" t="s">
        <v>9704</v>
      </c>
      <c r="C2055" s="862">
        <v>2773</v>
      </c>
      <c r="D2055" s="165" t="s">
        <v>2167</v>
      </c>
      <c r="E2055" s="165" t="s">
        <v>9705</v>
      </c>
      <c r="F2055" s="163">
        <v>1</v>
      </c>
      <c r="G2055" s="864"/>
      <c r="H2055" s="864">
        <v>13947.250543369297</v>
      </c>
      <c r="I2055" s="864">
        <v>0</v>
      </c>
      <c r="J2055" s="864">
        <v>0</v>
      </c>
      <c r="K2055" s="864">
        <v>0</v>
      </c>
      <c r="L2055" s="18" t="s">
        <v>1347</v>
      </c>
      <c r="M2055" s="442"/>
      <c r="N2055" s="433"/>
      <c r="P2055" s="433"/>
      <c r="T2055" s="443"/>
      <c r="U2055" s="440"/>
      <c r="V2055" s="440"/>
      <c r="W2055" s="440"/>
      <c r="X2055" s="442"/>
    </row>
    <row r="2056" spans="1:24" x14ac:dyDescent="0.25">
      <c r="A2056" s="862">
        <v>2774</v>
      </c>
      <c r="B2056" s="863" t="s">
        <v>9706</v>
      </c>
      <c r="C2056" s="862">
        <v>2774</v>
      </c>
      <c r="D2056" s="165" t="s">
        <v>2167</v>
      </c>
      <c r="E2056" s="165" t="s">
        <v>9707</v>
      </c>
      <c r="F2056" s="163">
        <v>1</v>
      </c>
      <c r="G2056" s="864"/>
      <c r="H2056" s="864">
        <v>16848.07988827255</v>
      </c>
      <c r="I2056" s="864">
        <v>17347.08783098495</v>
      </c>
      <c r="J2056" s="864">
        <v>17872.357496820001</v>
      </c>
      <c r="K2056" s="864">
        <v>18425.261817683571</v>
      </c>
      <c r="L2056" s="18" t="s">
        <v>1348</v>
      </c>
      <c r="M2056" s="442"/>
      <c r="N2056" s="433"/>
      <c r="P2056" s="433"/>
      <c r="T2056" s="443"/>
      <c r="U2056" s="440"/>
      <c r="V2056" s="440"/>
      <c r="W2056" s="440"/>
      <c r="X2056" s="442"/>
    </row>
    <row r="2057" spans="1:24" x14ac:dyDescent="0.25">
      <c r="A2057" s="862">
        <v>2775</v>
      </c>
      <c r="B2057" s="863" t="s">
        <v>9708</v>
      </c>
      <c r="C2057" s="862">
        <v>2775</v>
      </c>
      <c r="D2057" s="165" t="s">
        <v>2167</v>
      </c>
      <c r="E2057" s="165" t="s">
        <v>9709</v>
      </c>
      <c r="F2057" s="163">
        <v>1</v>
      </c>
      <c r="G2057" s="864"/>
      <c r="H2057" s="864">
        <v>0</v>
      </c>
      <c r="I2057" s="864">
        <v>0</v>
      </c>
      <c r="J2057" s="864">
        <v>16826.817808988697</v>
      </c>
      <c r="K2057" s="864">
        <v>17306.499094872241</v>
      </c>
      <c r="L2057" s="18" t="s">
        <v>11067</v>
      </c>
      <c r="M2057" s="442"/>
      <c r="N2057" s="433"/>
      <c r="P2057" s="433"/>
      <c r="T2057" s="443"/>
      <c r="U2057" s="440"/>
      <c r="V2057" s="440"/>
      <c r="W2057" s="440"/>
      <c r="X2057" s="442"/>
    </row>
    <row r="2058" spans="1:24" x14ac:dyDescent="0.25">
      <c r="A2058" s="862">
        <v>2776</v>
      </c>
      <c r="B2058" s="863" t="s">
        <v>9710</v>
      </c>
      <c r="C2058" s="862">
        <v>2776</v>
      </c>
      <c r="D2058" s="165" t="s">
        <v>2167</v>
      </c>
      <c r="E2058" s="165" t="s">
        <v>9711</v>
      </c>
      <c r="F2058" s="163">
        <v>1</v>
      </c>
      <c r="G2058" s="864"/>
      <c r="H2058" s="864">
        <v>0</v>
      </c>
      <c r="I2058" s="864">
        <v>0</v>
      </c>
      <c r="J2058" s="864">
        <v>17319.630958815957</v>
      </c>
      <c r="K2058" s="864">
        <v>17815.576207276798</v>
      </c>
      <c r="L2058" s="18" t="s">
        <v>11068</v>
      </c>
      <c r="M2058" s="442"/>
      <c r="N2058" s="433"/>
      <c r="P2058" s="433"/>
      <c r="T2058" s="443"/>
      <c r="U2058" s="440"/>
      <c r="V2058" s="440"/>
      <c r="W2058" s="440"/>
      <c r="X2058" s="442"/>
    </row>
    <row r="2059" spans="1:24" x14ac:dyDescent="0.25">
      <c r="A2059" s="862">
        <v>2777</v>
      </c>
      <c r="B2059" s="863" t="s">
        <v>9712</v>
      </c>
      <c r="C2059" s="862">
        <v>2777</v>
      </c>
      <c r="D2059" s="165" t="s">
        <v>2167</v>
      </c>
      <c r="E2059" s="165" t="s">
        <v>9713</v>
      </c>
      <c r="F2059" s="163">
        <v>1</v>
      </c>
      <c r="G2059" s="864"/>
      <c r="H2059" s="864">
        <v>19677.486169165586</v>
      </c>
      <c r="I2059" s="864">
        <v>20284.021916409001</v>
      </c>
      <c r="J2059" s="864">
        <v>20922.500100976704</v>
      </c>
      <c r="K2059" s="864">
        <v>21594.588251499303</v>
      </c>
      <c r="L2059" s="18" t="s">
        <v>1349</v>
      </c>
      <c r="M2059" s="442"/>
      <c r="N2059" s="433"/>
      <c r="P2059" s="433"/>
      <c r="T2059" s="443"/>
      <c r="U2059" s="440"/>
      <c r="V2059" s="440"/>
      <c r="W2059" s="440"/>
      <c r="X2059" s="442"/>
    </row>
    <row r="2060" spans="1:24" x14ac:dyDescent="0.25">
      <c r="A2060" s="862">
        <v>2778</v>
      </c>
      <c r="B2060" s="863" t="s">
        <v>9714</v>
      </c>
      <c r="C2060" s="862">
        <v>2778</v>
      </c>
      <c r="D2060" s="165" t="s">
        <v>2167</v>
      </c>
      <c r="E2060" s="165" t="s">
        <v>9715</v>
      </c>
      <c r="F2060" s="163">
        <v>1</v>
      </c>
      <c r="G2060" s="864"/>
      <c r="H2060" s="864">
        <v>18603.484034069457</v>
      </c>
      <c r="I2060" s="864">
        <v>0</v>
      </c>
      <c r="J2060" s="864">
        <v>0</v>
      </c>
      <c r="K2060" s="864">
        <v>0</v>
      </c>
      <c r="L2060" s="18" t="s">
        <v>3122</v>
      </c>
      <c r="M2060" s="442"/>
      <c r="N2060" s="433"/>
      <c r="P2060" s="433"/>
      <c r="T2060" s="443"/>
      <c r="U2060" s="440"/>
      <c r="V2060" s="440"/>
      <c r="W2060" s="440"/>
      <c r="X2060" s="442"/>
    </row>
    <row r="2061" spans="1:24" x14ac:dyDescent="0.25">
      <c r="A2061" s="862">
        <v>2779</v>
      </c>
      <c r="B2061" s="863" t="s">
        <v>9716</v>
      </c>
      <c r="C2061" s="862">
        <v>2779</v>
      </c>
      <c r="D2061" s="165" t="s">
        <v>2167</v>
      </c>
      <c r="E2061" s="165" t="s">
        <v>9717</v>
      </c>
      <c r="F2061" s="163">
        <v>1</v>
      </c>
      <c r="G2061" s="864"/>
      <c r="H2061" s="864">
        <v>0</v>
      </c>
      <c r="I2061" s="864">
        <v>0</v>
      </c>
      <c r="J2061" s="864">
        <v>0</v>
      </c>
      <c r="K2061" s="864">
        <v>25831.267484089622</v>
      </c>
      <c r="L2061" s="18" t="s">
        <v>11069</v>
      </c>
      <c r="M2061" s="442"/>
      <c r="N2061" s="433"/>
      <c r="P2061" s="433"/>
      <c r="T2061" s="443"/>
      <c r="U2061" s="440"/>
      <c r="V2061" s="440"/>
      <c r="W2061" s="440"/>
      <c r="X2061" s="442"/>
    </row>
    <row r="2062" spans="1:24" x14ac:dyDescent="0.25">
      <c r="A2062" s="862">
        <v>2780</v>
      </c>
      <c r="B2062" s="863" t="s">
        <v>9718</v>
      </c>
      <c r="C2062" s="862">
        <v>2780</v>
      </c>
      <c r="D2062" s="165" t="s">
        <v>2167</v>
      </c>
      <c r="E2062" s="165" t="s">
        <v>9719</v>
      </c>
      <c r="F2062" s="163">
        <v>1</v>
      </c>
      <c r="G2062" s="864"/>
      <c r="H2062" s="864">
        <v>0</v>
      </c>
      <c r="I2062" s="864">
        <v>15913.946678406373</v>
      </c>
      <c r="J2062" s="864">
        <v>16354.304044006047</v>
      </c>
      <c r="K2062" s="864">
        <v>16817.838113058333</v>
      </c>
      <c r="L2062" s="18" t="s">
        <v>4071</v>
      </c>
      <c r="M2062" s="442"/>
      <c r="N2062" s="433"/>
      <c r="P2062" s="433"/>
      <c r="T2062" s="443"/>
      <c r="U2062" s="440"/>
      <c r="V2062" s="440"/>
      <c r="W2062" s="440"/>
      <c r="X2062" s="442"/>
    </row>
    <row r="2063" spans="1:24" x14ac:dyDescent="0.25">
      <c r="A2063" s="862">
        <v>2781</v>
      </c>
      <c r="B2063" s="863" t="s">
        <v>9720</v>
      </c>
      <c r="C2063" s="862">
        <v>2781</v>
      </c>
      <c r="D2063" s="165" t="s">
        <v>2167</v>
      </c>
      <c r="E2063" s="165" t="s">
        <v>9721</v>
      </c>
      <c r="F2063" s="163">
        <v>1</v>
      </c>
      <c r="G2063" s="864"/>
      <c r="H2063" s="864">
        <v>0</v>
      </c>
      <c r="I2063" s="864">
        <v>16763.853063058948</v>
      </c>
      <c r="J2063" s="864">
        <v>17231.6208156459</v>
      </c>
      <c r="K2063" s="864">
        <v>17724.0307775244</v>
      </c>
      <c r="L2063" s="18" t="s">
        <v>4072</v>
      </c>
      <c r="M2063" s="442"/>
      <c r="N2063" s="433"/>
      <c r="P2063" s="433"/>
      <c r="T2063" s="443"/>
      <c r="U2063" s="440"/>
      <c r="V2063" s="440"/>
      <c r="W2063" s="440"/>
      <c r="X2063" s="442"/>
    </row>
    <row r="2064" spans="1:24" x14ac:dyDescent="0.25">
      <c r="A2064" s="862">
        <v>2782</v>
      </c>
      <c r="B2064" s="863" t="s">
        <v>9722</v>
      </c>
      <c r="C2064" s="862">
        <v>2782</v>
      </c>
      <c r="D2064" s="165" t="s">
        <v>2167</v>
      </c>
      <c r="E2064" s="165" t="s">
        <v>9723</v>
      </c>
      <c r="F2064" s="163">
        <v>1</v>
      </c>
      <c r="G2064" s="864"/>
      <c r="H2064" s="864">
        <v>16786.729543394416</v>
      </c>
      <c r="I2064" s="864">
        <v>17246.409874870267</v>
      </c>
      <c r="J2064" s="864">
        <v>17730.352469679423</v>
      </c>
      <c r="K2064" s="864">
        <v>18239.751443690631</v>
      </c>
      <c r="L2064" s="18" t="s">
        <v>1350</v>
      </c>
      <c r="M2064" s="442"/>
      <c r="N2064" s="433"/>
      <c r="P2064" s="433"/>
      <c r="T2064" s="443"/>
      <c r="U2064" s="440"/>
      <c r="V2064" s="440"/>
      <c r="W2064" s="440"/>
      <c r="X2064" s="442"/>
    </row>
    <row r="2065" spans="1:24" x14ac:dyDescent="0.25">
      <c r="A2065" s="862">
        <v>2783</v>
      </c>
      <c r="B2065" s="863" t="s">
        <v>9724</v>
      </c>
      <c r="C2065" s="862">
        <v>2783</v>
      </c>
      <c r="D2065" s="165" t="s">
        <v>2167</v>
      </c>
      <c r="E2065" s="165" t="s">
        <v>9725</v>
      </c>
      <c r="F2065" s="163">
        <v>1</v>
      </c>
      <c r="G2065" s="864"/>
      <c r="H2065" s="864">
        <v>16511.236638646522</v>
      </c>
      <c r="I2065" s="864">
        <v>16948.090146558763</v>
      </c>
      <c r="J2065" s="864">
        <v>17407.962938071621</v>
      </c>
      <c r="K2065" s="864">
        <v>17892.031621390117</v>
      </c>
      <c r="L2065" s="18" t="s">
        <v>1351</v>
      </c>
      <c r="M2065" s="442"/>
      <c r="N2065" s="433"/>
      <c r="P2065" s="433"/>
      <c r="T2065" s="443"/>
      <c r="U2065" s="440"/>
      <c r="V2065" s="440"/>
      <c r="W2065" s="440"/>
      <c r="X2065" s="442"/>
    </row>
    <row r="2066" spans="1:24" x14ac:dyDescent="0.25">
      <c r="A2066" s="862">
        <v>2784</v>
      </c>
      <c r="B2066" s="863" t="s">
        <v>9726</v>
      </c>
      <c r="C2066" s="862">
        <v>2784</v>
      </c>
      <c r="D2066" s="165" t="s">
        <v>2167</v>
      </c>
      <c r="E2066" s="165" t="s">
        <v>9727</v>
      </c>
      <c r="F2066" s="163">
        <v>1</v>
      </c>
      <c r="G2066" s="864"/>
      <c r="H2066" s="864">
        <v>0</v>
      </c>
      <c r="I2066" s="864">
        <v>0</v>
      </c>
      <c r="J2066" s="864">
        <v>0</v>
      </c>
      <c r="K2066" s="864">
        <v>29596.639700567168</v>
      </c>
      <c r="L2066" s="18" t="s">
        <v>11070</v>
      </c>
      <c r="M2066" s="442"/>
      <c r="N2066" s="433"/>
      <c r="P2066" s="433"/>
      <c r="T2066" s="443"/>
      <c r="U2066" s="440"/>
      <c r="V2066" s="440"/>
      <c r="W2066" s="440"/>
      <c r="X2066" s="442"/>
    </row>
    <row r="2067" spans="1:24" x14ac:dyDescent="0.25">
      <c r="A2067" s="862">
        <v>2785</v>
      </c>
      <c r="B2067" s="863" t="s">
        <v>9728</v>
      </c>
      <c r="C2067" s="862">
        <v>2785</v>
      </c>
      <c r="D2067" s="165" t="s">
        <v>2167</v>
      </c>
      <c r="E2067" s="165" t="s">
        <v>9729</v>
      </c>
      <c r="F2067" s="163">
        <v>1</v>
      </c>
      <c r="G2067" s="864"/>
      <c r="H2067" s="864">
        <v>0</v>
      </c>
      <c r="I2067" s="864">
        <v>0</v>
      </c>
      <c r="J2067" s="864">
        <v>0</v>
      </c>
      <c r="K2067" s="864">
        <v>23675.916491209358</v>
      </c>
      <c r="L2067" s="18" t="s">
        <v>11071</v>
      </c>
      <c r="M2067" s="442"/>
      <c r="N2067" s="433"/>
      <c r="P2067" s="433"/>
      <c r="T2067" s="443"/>
      <c r="U2067" s="440"/>
      <c r="V2067" s="440"/>
      <c r="W2067" s="440"/>
      <c r="X2067" s="442"/>
    </row>
    <row r="2068" spans="1:24" x14ac:dyDescent="0.25">
      <c r="A2068" s="862">
        <v>2786</v>
      </c>
      <c r="B2068" s="863" t="s">
        <v>9730</v>
      </c>
      <c r="C2068" s="862">
        <v>2786</v>
      </c>
      <c r="D2068" s="165" t="s">
        <v>2167</v>
      </c>
      <c r="E2068" s="165" t="s">
        <v>9731</v>
      </c>
      <c r="F2068" s="163">
        <v>1</v>
      </c>
      <c r="G2068" s="864"/>
      <c r="H2068" s="864">
        <v>0</v>
      </c>
      <c r="I2068" s="864">
        <v>0</v>
      </c>
      <c r="J2068" s="864">
        <v>0</v>
      </c>
      <c r="K2068" s="864">
        <v>22161.111576534469</v>
      </c>
      <c r="L2068" s="18" t="s">
        <v>11072</v>
      </c>
      <c r="M2068" s="442"/>
      <c r="N2068" s="433"/>
      <c r="P2068" s="433"/>
      <c r="T2068" s="443"/>
      <c r="U2068" s="440"/>
      <c r="V2068" s="440"/>
      <c r="W2068" s="440"/>
      <c r="X2068" s="442"/>
    </row>
    <row r="2069" spans="1:24" x14ac:dyDescent="0.25">
      <c r="A2069" s="862">
        <v>2787</v>
      </c>
      <c r="B2069" s="863" t="s">
        <v>9732</v>
      </c>
      <c r="C2069" s="862">
        <v>2787</v>
      </c>
      <c r="D2069" s="165" t="s">
        <v>2167</v>
      </c>
      <c r="E2069" s="165" t="s">
        <v>9733</v>
      </c>
      <c r="F2069" s="163">
        <v>1</v>
      </c>
      <c r="G2069" s="864"/>
      <c r="H2069" s="864">
        <v>0</v>
      </c>
      <c r="I2069" s="864">
        <v>25121.473181213387</v>
      </c>
      <c r="J2069" s="864">
        <v>25799.730994665071</v>
      </c>
      <c r="K2069" s="864">
        <v>26513.649450197234</v>
      </c>
      <c r="L2069" s="18" t="s">
        <v>4073</v>
      </c>
      <c r="M2069" s="442"/>
      <c r="N2069" s="433"/>
      <c r="P2069" s="433"/>
      <c r="T2069" s="443"/>
      <c r="U2069" s="440"/>
      <c r="V2069" s="440"/>
      <c r="W2069" s="440"/>
      <c r="X2069" s="442"/>
    </row>
    <row r="2070" spans="1:24" x14ac:dyDescent="0.25">
      <c r="A2070" s="862">
        <v>2788</v>
      </c>
      <c r="B2070" s="863" t="s">
        <v>9734</v>
      </c>
      <c r="C2070" s="862">
        <v>2788</v>
      </c>
      <c r="D2070" s="165" t="s">
        <v>2167</v>
      </c>
      <c r="E2070" s="165" t="s">
        <v>9735</v>
      </c>
      <c r="F2070" s="163">
        <v>1</v>
      </c>
      <c r="G2070" s="864"/>
      <c r="H2070" s="864">
        <v>0</v>
      </c>
      <c r="I2070" s="864">
        <v>25476.370332651491</v>
      </c>
      <c r="J2070" s="864">
        <v>26165.15807694582</v>
      </c>
      <c r="K2070" s="864">
        <v>26890.203521255007</v>
      </c>
      <c r="L2070" s="18" t="s">
        <v>4074</v>
      </c>
      <c r="M2070" s="442"/>
      <c r="N2070" s="433"/>
      <c r="P2070" s="433"/>
      <c r="T2070" s="443"/>
      <c r="U2070" s="440"/>
      <c r="V2070" s="440"/>
      <c r="W2070" s="440"/>
      <c r="X2070" s="442"/>
    </row>
    <row r="2071" spans="1:24" x14ac:dyDescent="0.25">
      <c r="A2071" s="862">
        <v>2789</v>
      </c>
      <c r="B2071" s="863" t="s">
        <v>9736</v>
      </c>
      <c r="C2071" s="862">
        <v>2789</v>
      </c>
      <c r="D2071" s="165" t="s">
        <v>2167</v>
      </c>
      <c r="E2071" s="165" t="s">
        <v>9737</v>
      </c>
      <c r="F2071" s="163">
        <v>1</v>
      </c>
      <c r="G2071" s="864"/>
      <c r="H2071" s="864">
        <v>0</v>
      </c>
      <c r="I2071" s="864">
        <v>29717.824093741165</v>
      </c>
      <c r="J2071" s="864">
        <v>30532.591062188923</v>
      </c>
      <c r="K2071" s="864">
        <v>31390.237645923731</v>
      </c>
      <c r="L2071" s="18" t="s">
        <v>4075</v>
      </c>
      <c r="M2071" s="442"/>
      <c r="N2071" s="433"/>
      <c r="P2071" s="433"/>
      <c r="T2071" s="443"/>
      <c r="U2071" s="440"/>
      <c r="V2071" s="440"/>
      <c r="W2071" s="440"/>
      <c r="X2071" s="442"/>
    </row>
    <row r="2072" spans="1:24" x14ac:dyDescent="0.25">
      <c r="A2072" s="862">
        <v>2790</v>
      </c>
      <c r="B2072" s="863" t="s">
        <v>9738</v>
      </c>
      <c r="C2072" s="862">
        <v>2790</v>
      </c>
      <c r="D2072" s="165" t="s">
        <v>2167</v>
      </c>
      <c r="E2072" s="165" t="s">
        <v>9739</v>
      </c>
      <c r="F2072" s="163">
        <v>1</v>
      </c>
      <c r="G2072" s="864"/>
      <c r="H2072" s="864">
        <v>0</v>
      </c>
      <c r="I2072" s="864">
        <v>18040.842208618793</v>
      </c>
      <c r="J2072" s="864">
        <v>18508.772795187848</v>
      </c>
      <c r="K2072" s="864">
        <v>19001.345591048448</v>
      </c>
      <c r="L2072" s="18" t="s">
        <v>4076</v>
      </c>
      <c r="M2072" s="442"/>
      <c r="N2072" s="433"/>
      <c r="P2072" s="433"/>
      <c r="T2072" s="443"/>
      <c r="U2072" s="440"/>
      <c r="V2072" s="440"/>
      <c r="W2072" s="440"/>
      <c r="X2072" s="442"/>
    </row>
    <row r="2073" spans="1:24" x14ac:dyDescent="0.25">
      <c r="A2073" s="862">
        <v>2791</v>
      </c>
      <c r="B2073" s="863" t="s">
        <v>9740</v>
      </c>
      <c r="C2073" s="862">
        <v>2791</v>
      </c>
      <c r="D2073" s="165" t="s">
        <v>2167</v>
      </c>
      <c r="E2073" s="165" t="s">
        <v>9741</v>
      </c>
      <c r="F2073" s="163">
        <v>1</v>
      </c>
      <c r="G2073" s="864"/>
      <c r="H2073" s="864">
        <v>0</v>
      </c>
      <c r="I2073" s="864">
        <v>21269.540683897256</v>
      </c>
      <c r="J2073" s="864">
        <v>21833.380485924794</v>
      </c>
      <c r="K2073" s="864">
        <v>22426.91035068905</v>
      </c>
      <c r="L2073" s="18" t="s">
        <v>4077</v>
      </c>
      <c r="M2073" s="442"/>
      <c r="N2073" s="433"/>
      <c r="P2073" s="433"/>
      <c r="T2073" s="443"/>
      <c r="U2073" s="440"/>
      <c r="V2073" s="440"/>
      <c r="W2073" s="440"/>
      <c r="X2073" s="442"/>
    </row>
    <row r="2074" spans="1:24" x14ac:dyDescent="0.25">
      <c r="A2074" s="862">
        <v>2792</v>
      </c>
      <c r="B2074" s="863" t="s">
        <v>9742</v>
      </c>
      <c r="C2074" s="862">
        <v>2792</v>
      </c>
      <c r="D2074" s="165" t="s">
        <v>2167</v>
      </c>
      <c r="E2074" s="165" t="s">
        <v>9743</v>
      </c>
      <c r="F2074" s="163">
        <v>1</v>
      </c>
      <c r="G2074" s="864"/>
      <c r="H2074" s="864">
        <v>0</v>
      </c>
      <c r="I2074" s="864">
        <v>22654.505177314288</v>
      </c>
      <c r="J2074" s="864">
        <v>23259.487698819772</v>
      </c>
      <c r="K2074" s="864">
        <v>23896.27712482931</v>
      </c>
      <c r="L2074" s="18" t="s">
        <v>4078</v>
      </c>
      <c r="M2074"/>
      <c r="N2074" s="433"/>
      <c r="P2074" s="433"/>
    </row>
    <row r="2075" spans="1:24" x14ac:dyDescent="0.25">
      <c r="A2075" s="862">
        <v>2793</v>
      </c>
      <c r="B2075" s="863" t="s">
        <v>9744</v>
      </c>
      <c r="C2075" s="862">
        <v>2793</v>
      </c>
      <c r="D2075" s="165" t="s">
        <v>2167</v>
      </c>
      <c r="E2075" s="165" t="s">
        <v>9745</v>
      </c>
      <c r="F2075" s="163">
        <v>1</v>
      </c>
      <c r="G2075" s="864"/>
      <c r="H2075" s="864">
        <v>0</v>
      </c>
      <c r="I2075" s="864">
        <v>21226.260543477969</v>
      </c>
      <c r="J2075" s="864">
        <v>21788.797673648689</v>
      </c>
      <c r="K2075" s="864">
        <v>22380.97058856209</v>
      </c>
      <c r="L2075" s="18" t="s">
        <v>4079</v>
      </c>
      <c r="M2075"/>
      <c r="N2075" s="433"/>
      <c r="P2075" s="433"/>
    </row>
    <row r="2076" spans="1:24" x14ac:dyDescent="0.25">
      <c r="A2076" s="862">
        <v>2794</v>
      </c>
      <c r="B2076" s="863" t="s">
        <v>9746</v>
      </c>
      <c r="C2076" s="862">
        <v>2794</v>
      </c>
      <c r="D2076" s="165" t="s">
        <v>2167</v>
      </c>
      <c r="E2076" s="165" t="s">
        <v>9747</v>
      </c>
      <c r="F2076" s="163">
        <v>1</v>
      </c>
      <c r="G2076" s="864"/>
      <c r="H2076" s="864">
        <v>0</v>
      </c>
      <c r="I2076" s="864">
        <v>21589.813722999945</v>
      </c>
      <c r="J2076" s="864">
        <v>22163.152173983472</v>
      </c>
      <c r="K2076" s="864">
        <v>22766.669189650031</v>
      </c>
      <c r="L2076" s="18" t="s">
        <v>4080</v>
      </c>
      <c r="M2076"/>
      <c r="N2076" s="433"/>
      <c r="P2076" s="433"/>
    </row>
    <row r="2077" spans="1:24" x14ac:dyDescent="0.25">
      <c r="A2077" s="862">
        <v>2795</v>
      </c>
      <c r="B2077" s="863" t="s">
        <v>9748</v>
      </c>
      <c r="C2077" s="862">
        <v>2795</v>
      </c>
      <c r="D2077" s="165" t="s">
        <v>2167</v>
      </c>
      <c r="E2077" s="165" t="s">
        <v>9749</v>
      </c>
      <c r="F2077" s="163">
        <v>1</v>
      </c>
      <c r="G2077" s="864"/>
      <c r="H2077" s="864">
        <v>0</v>
      </c>
      <c r="I2077" s="864">
        <v>22801.657654739851</v>
      </c>
      <c r="J2077" s="864">
        <v>23410.98241576807</v>
      </c>
      <c r="K2077" s="864">
        <v>24052.385471270518</v>
      </c>
      <c r="L2077" s="18" t="s">
        <v>4081</v>
      </c>
      <c r="M2077"/>
      <c r="N2077" s="433"/>
      <c r="P2077" s="433"/>
    </row>
    <row r="2078" spans="1:24" x14ac:dyDescent="0.25">
      <c r="A2078" s="862">
        <v>2796</v>
      </c>
      <c r="B2078" s="863" t="s">
        <v>9750</v>
      </c>
      <c r="C2078" s="862">
        <v>2796</v>
      </c>
      <c r="D2078" s="165" t="s">
        <v>2167</v>
      </c>
      <c r="E2078" s="165" t="s">
        <v>9751</v>
      </c>
      <c r="F2078" s="163">
        <v>1</v>
      </c>
      <c r="G2078" s="864"/>
      <c r="H2078" s="864">
        <v>0</v>
      </c>
      <c r="I2078" s="864">
        <v>23165.210834261827</v>
      </c>
      <c r="J2078" s="864">
        <v>23785.336916102857</v>
      </c>
      <c r="K2078" s="864">
        <v>24438.138350352488</v>
      </c>
      <c r="L2078" s="18" t="s">
        <v>4082</v>
      </c>
      <c r="M2078"/>
      <c r="N2078" s="433"/>
      <c r="P2078" s="433"/>
    </row>
    <row r="2079" spans="1:24" x14ac:dyDescent="0.25">
      <c r="A2079" s="862">
        <v>2797</v>
      </c>
      <c r="B2079" s="863" t="s">
        <v>9752</v>
      </c>
      <c r="C2079" s="862">
        <v>2797</v>
      </c>
      <c r="D2079" s="165" t="s">
        <v>2167</v>
      </c>
      <c r="E2079" s="165" t="s">
        <v>9753</v>
      </c>
      <c r="F2079" s="163">
        <v>1</v>
      </c>
      <c r="G2079" s="864"/>
      <c r="H2079" s="864">
        <v>0</v>
      </c>
      <c r="I2079" s="864">
        <v>13160.897885828692</v>
      </c>
      <c r="J2079" s="864">
        <v>13491.070923538888</v>
      </c>
      <c r="K2079" s="864">
        <v>13838.612919340036</v>
      </c>
      <c r="L2079" s="18" t="s">
        <v>4083</v>
      </c>
      <c r="M2079"/>
      <c r="N2079" s="433"/>
      <c r="P2079" s="433"/>
    </row>
    <row r="2080" spans="1:24" x14ac:dyDescent="0.25">
      <c r="A2080" s="862">
        <v>2798</v>
      </c>
      <c r="B2080" s="863" t="s">
        <v>9754</v>
      </c>
      <c r="C2080" s="862">
        <v>2798</v>
      </c>
      <c r="D2080" s="165" t="s">
        <v>2167</v>
      </c>
      <c r="E2080" s="165" t="s">
        <v>9755</v>
      </c>
      <c r="F2080" s="163">
        <v>1</v>
      </c>
      <c r="G2080" s="864"/>
      <c r="H2080" s="864">
        <v>15671.13677120916</v>
      </c>
      <c r="I2080" s="864">
        <v>16086.743371529232</v>
      </c>
      <c r="J2080" s="864">
        <v>16524.278281439121</v>
      </c>
      <c r="K2080" s="864">
        <v>16984.827060819531</v>
      </c>
      <c r="L2080" s="18" t="s">
        <v>1352</v>
      </c>
      <c r="M2080"/>
      <c r="N2080" s="433"/>
      <c r="P2080" s="433"/>
    </row>
    <row r="2081" spans="1:16" x14ac:dyDescent="0.25">
      <c r="A2081" s="862">
        <v>2799</v>
      </c>
      <c r="B2081" s="863" t="s">
        <v>9756</v>
      </c>
      <c r="C2081" s="862">
        <v>2799</v>
      </c>
      <c r="D2081" s="165" t="s">
        <v>2167</v>
      </c>
      <c r="E2081" s="165" t="s">
        <v>9757</v>
      </c>
      <c r="F2081" s="163">
        <v>1</v>
      </c>
      <c r="G2081" s="864"/>
      <c r="H2081" s="864">
        <v>0</v>
      </c>
      <c r="I2081" s="864">
        <v>21840.838537431784</v>
      </c>
      <c r="J2081" s="864">
        <v>22421.667351592034</v>
      </c>
      <c r="K2081" s="864">
        <v>23033.054676393553</v>
      </c>
      <c r="L2081" s="18" t="s">
        <v>4084</v>
      </c>
      <c r="M2081"/>
      <c r="N2081" s="433"/>
      <c r="P2081" s="433"/>
    </row>
    <row r="2082" spans="1:16" x14ac:dyDescent="0.25">
      <c r="A2082" s="862">
        <v>2800</v>
      </c>
      <c r="B2082" s="863" t="s">
        <v>9758</v>
      </c>
      <c r="C2082" s="862">
        <v>2800</v>
      </c>
      <c r="D2082" s="165" t="s">
        <v>2167</v>
      </c>
      <c r="E2082" s="165" t="s">
        <v>9759</v>
      </c>
      <c r="F2082" s="163">
        <v>1</v>
      </c>
      <c r="G2082" s="864"/>
      <c r="H2082" s="864">
        <v>0</v>
      </c>
      <c r="I2082" s="864">
        <v>0</v>
      </c>
      <c r="J2082" s="864">
        <v>19425.806702035825</v>
      </c>
      <c r="K2082" s="864">
        <v>19934.88000808283</v>
      </c>
      <c r="L2082" s="18" t="s">
        <v>4818</v>
      </c>
      <c r="M2082"/>
      <c r="N2082" s="433"/>
      <c r="P2082" s="433"/>
    </row>
    <row r="2083" spans="1:16" x14ac:dyDescent="0.25">
      <c r="A2083" s="862">
        <v>2801</v>
      </c>
      <c r="B2083" s="863" t="s">
        <v>9760</v>
      </c>
      <c r="C2083" s="862">
        <v>2801</v>
      </c>
      <c r="D2083" s="165" t="s">
        <v>2167</v>
      </c>
      <c r="E2083" s="165" t="s">
        <v>9761</v>
      </c>
      <c r="F2083" s="163">
        <v>1</v>
      </c>
      <c r="G2083" s="864"/>
      <c r="H2083" s="864">
        <v>17345.787744485329</v>
      </c>
      <c r="I2083" s="864">
        <v>0</v>
      </c>
      <c r="J2083" s="864">
        <v>0</v>
      </c>
      <c r="K2083" s="864">
        <v>0</v>
      </c>
      <c r="L2083" s="18" t="s">
        <v>1353</v>
      </c>
      <c r="M2083"/>
      <c r="N2083" s="433"/>
      <c r="P2083" s="433"/>
    </row>
    <row r="2084" spans="1:16" x14ac:dyDescent="0.25">
      <c r="A2084" s="862">
        <v>2802</v>
      </c>
      <c r="B2084" s="863" t="s">
        <v>9762</v>
      </c>
      <c r="C2084" s="862">
        <v>2802</v>
      </c>
      <c r="D2084" s="165" t="s">
        <v>2167</v>
      </c>
      <c r="E2084" s="165" t="s">
        <v>9763</v>
      </c>
      <c r="F2084" s="163">
        <v>1</v>
      </c>
      <c r="G2084" s="864"/>
      <c r="H2084" s="864">
        <v>17729.018511478451</v>
      </c>
      <c r="I2084" s="864">
        <v>0</v>
      </c>
      <c r="J2084" s="864">
        <v>0</v>
      </c>
      <c r="K2084" s="864">
        <v>0</v>
      </c>
      <c r="L2084" s="18" t="s">
        <v>1354</v>
      </c>
      <c r="M2084"/>
      <c r="N2084" s="433"/>
      <c r="P2084" s="433"/>
    </row>
    <row r="2085" spans="1:16" x14ac:dyDescent="0.25">
      <c r="A2085" s="862">
        <v>2803</v>
      </c>
      <c r="B2085" s="863" t="s">
        <v>9764</v>
      </c>
      <c r="C2085" s="862">
        <v>2803</v>
      </c>
      <c r="D2085" s="165" t="s">
        <v>2167</v>
      </c>
      <c r="E2085" s="165" t="s">
        <v>9765</v>
      </c>
      <c r="F2085" s="163">
        <v>1</v>
      </c>
      <c r="G2085" s="864"/>
      <c r="H2085" s="864">
        <v>0</v>
      </c>
      <c r="I2085" s="864">
        <v>0</v>
      </c>
      <c r="J2085" s="864">
        <v>0</v>
      </c>
      <c r="K2085" s="864">
        <v>21537.877554496801</v>
      </c>
      <c r="L2085" s="18" t="s">
        <v>11073</v>
      </c>
      <c r="M2085"/>
      <c r="N2085" s="433"/>
      <c r="P2085" s="433"/>
    </row>
    <row r="2086" spans="1:16" x14ac:dyDescent="0.25">
      <c r="A2086" s="862">
        <v>2804</v>
      </c>
      <c r="B2086" s="863" t="s">
        <v>9766</v>
      </c>
      <c r="C2086" s="862">
        <v>2804</v>
      </c>
      <c r="D2086" s="165" t="s">
        <v>2167</v>
      </c>
      <c r="E2086" s="165" t="s">
        <v>9767</v>
      </c>
      <c r="F2086" s="163">
        <v>1</v>
      </c>
      <c r="G2086" s="864"/>
      <c r="H2086" s="864">
        <v>0</v>
      </c>
      <c r="I2086" s="864">
        <v>0</v>
      </c>
      <c r="J2086" s="864">
        <v>0</v>
      </c>
      <c r="K2086" s="864">
        <v>22429.448447134022</v>
      </c>
      <c r="L2086" s="18" t="s">
        <v>11074</v>
      </c>
      <c r="M2086"/>
      <c r="N2086" s="433"/>
      <c r="P2086" s="433"/>
    </row>
    <row r="2087" spans="1:16" x14ac:dyDescent="0.25">
      <c r="A2087" s="862">
        <v>2805</v>
      </c>
      <c r="B2087" s="863" t="s">
        <v>9768</v>
      </c>
      <c r="C2087" s="862">
        <v>2805</v>
      </c>
      <c r="D2087" s="165" t="s">
        <v>2167</v>
      </c>
      <c r="E2087" s="165" t="s">
        <v>9769</v>
      </c>
      <c r="F2087" s="163">
        <v>1</v>
      </c>
      <c r="G2087" s="864"/>
      <c r="H2087" s="864">
        <v>0</v>
      </c>
      <c r="I2087" s="864">
        <v>0</v>
      </c>
      <c r="J2087" s="864">
        <v>0</v>
      </c>
      <c r="K2087" s="864">
        <v>21321.476852400392</v>
      </c>
      <c r="L2087" s="18" t="s">
        <v>11075</v>
      </c>
      <c r="M2087"/>
      <c r="N2087" s="433"/>
      <c r="P2087" s="433"/>
    </row>
    <row r="2088" spans="1:16" x14ac:dyDescent="0.25">
      <c r="A2088" s="862">
        <v>2806</v>
      </c>
      <c r="B2088" s="863" t="s">
        <v>9770</v>
      </c>
      <c r="C2088" s="862">
        <v>2806</v>
      </c>
      <c r="D2088" s="165" t="s">
        <v>2167</v>
      </c>
      <c r="E2088" s="165" t="s">
        <v>9771</v>
      </c>
      <c r="F2088" s="163">
        <v>1</v>
      </c>
      <c r="G2088" s="864"/>
      <c r="H2088" s="864">
        <v>0</v>
      </c>
      <c r="I2088" s="864">
        <v>0</v>
      </c>
      <c r="J2088" s="864">
        <v>0</v>
      </c>
      <c r="K2088" s="864">
        <v>19503.710954790535</v>
      </c>
      <c r="L2088" s="18" t="s">
        <v>11076</v>
      </c>
      <c r="M2088"/>
      <c r="N2088" s="433"/>
      <c r="P2088" s="433"/>
    </row>
    <row r="2089" spans="1:16" x14ac:dyDescent="0.25">
      <c r="A2089" s="862">
        <v>2807</v>
      </c>
      <c r="B2089" s="863" t="s">
        <v>9772</v>
      </c>
      <c r="C2089" s="862">
        <v>2807</v>
      </c>
      <c r="D2089" s="165" t="s">
        <v>2167</v>
      </c>
      <c r="E2089" s="165" t="s">
        <v>9773</v>
      </c>
      <c r="F2089" s="163">
        <v>1</v>
      </c>
      <c r="G2089" s="864"/>
      <c r="H2089" s="864">
        <v>0</v>
      </c>
      <c r="I2089" s="864">
        <v>0</v>
      </c>
      <c r="J2089" s="864">
        <v>22290.951997792319</v>
      </c>
      <c r="K2089" s="864">
        <v>22885.133198484989</v>
      </c>
      <c r="L2089" s="18" t="s">
        <v>4819</v>
      </c>
      <c r="M2089"/>
      <c r="N2089" s="433"/>
      <c r="P2089" s="433"/>
    </row>
    <row r="2090" spans="1:16" x14ac:dyDescent="0.25">
      <c r="A2090" s="862">
        <v>2808</v>
      </c>
      <c r="B2090" s="863" t="s">
        <v>9772</v>
      </c>
      <c r="C2090" s="862">
        <v>2808</v>
      </c>
      <c r="D2090" s="165" t="s">
        <v>2167</v>
      </c>
      <c r="E2090" s="165" t="s">
        <v>9773</v>
      </c>
      <c r="F2090" s="163">
        <v>1</v>
      </c>
      <c r="G2090" s="864"/>
      <c r="H2090" s="864">
        <v>0</v>
      </c>
      <c r="I2090" s="864">
        <v>0</v>
      </c>
      <c r="J2090" s="864">
        <v>0</v>
      </c>
      <c r="K2090" s="864">
        <v>19590.271235629098</v>
      </c>
      <c r="L2090" s="18" t="s">
        <v>11077</v>
      </c>
      <c r="M2090"/>
      <c r="N2090" s="433"/>
      <c r="P2090" s="433"/>
    </row>
    <row r="2091" spans="1:16" x14ac:dyDescent="0.25">
      <c r="A2091" s="862">
        <v>2809</v>
      </c>
      <c r="B2091" s="863" t="s">
        <v>9774</v>
      </c>
      <c r="C2091" s="862">
        <v>2809</v>
      </c>
      <c r="D2091" s="165" t="s">
        <v>2167</v>
      </c>
      <c r="E2091" s="165" t="s">
        <v>9775</v>
      </c>
      <c r="F2091" s="163">
        <v>1</v>
      </c>
      <c r="G2091" s="864"/>
      <c r="H2091" s="864">
        <v>20068.574166917104</v>
      </c>
      <c r="I2091" s="864">
        <v>20608.477373575552</v>
      </c>
      <c r="J2091" s="864">
        <v>21176.822249107932</v>
      </c>
      <c r="K2091" s="864">
        <v>21775.074299353168</v>
      </c>
      <c r="L2091" s="18" t="s">
        <v>1355</v>
      </c>
      <c r="M2091"/>
      <c r="N2091" s="433"/>
      <c r="P2091" s="433"/>
    </row>
    <row r="2092" spans="1:16" x14ac:dyDescent="0.25">
      <c r="A2092" s="862">
        <v>2810</v>
      </c>
      <c r="B2092" s="863" t="s">
        <v>9776</v>
      </c>
      <c r="C2092" s="862">
        <v>2810</v>
      </c>
      <c r="D2092" s="165" t="s">
        <v>2167</v>
      </c>
      <c r="E2092" s="165" t="s">
        <v>9777</v>
      </c>
      <c r="F2092" s="163">
        <v>1</v>
      </c>
      <c r="G2092" s="864"/>
      <c r="H2092" s="864">
        <v>18476.773218589773</v>
      </c>
      <c r="I2092" s="864">
        <v>18979.55027732881</v>
      </c>
      <c r="J2092" s="864">
        <v>19508.814997156544</v>
      </c>
      <c r="K2092" s="864">
        <v>20065.92432792384</v>
      </c>
      <c r="L2092" s="18" t="s">
        <v>1356</v>
      </c>
      <c r="M2092"/>
      <c r="N2092" s="433"/>
      <c r="P2092" s="433"/>
    </row>
    <row r="2093" spans="1:16" x14ac:dyDescent="0.25">
      <c r="A2093" s="862">
        <v>2811</v>
      </c>
      <c r="B2093" s="863" t="s">
        <v>9778</v>
      </c>
      <c r="C2093" s="862">
        <v>2811</v>
      </c>
      <c r="D2093" s="165" t="s">
        <v>2167</v>
      </c>
      <c r="E2093" s="165" t="s">
        <v>9779</v>
      </c>
      <c r="F2093" s="163">
        <v>1</v>
      </c>
      <c r="G2093" s="864"/>
      <c r="H2093" s="864">
        <v>0</v>
      </c>
      <c r="I2093" s="864">
        <v>21269.540683897256</v>
      </c>
      <c r="J2093" s="864">
        <v>21833.380485924794</v>
      </c>
      <c r="K2093" s="864">
        <v>22426.91035068905</v>
      </c>
      <c r="L2093" s="18" t="s">
        <v>4085</v>
      </c>
      <c r="M2093"/>
      <c r="N2093" s="433"/>
      <c r="P2093" s="433"/>
    </row>
    <row r="2094" spans="1:16" x14ac:dyDescent="0.25">
      <c r="A2094" s="862">
        <v>2812</v>
      </c>
      <c r="B2094" s="863" t="s">
        <v>9780</v>
      </c>
      <c r="C2094" s="862">
        <v>2812</v>
      </c>
      <c r="D2094" s="165" t="s">
        <v>2167</v>
      </c>
      <c r="E2094" s="165" t="s">
        <v>9781</v>
      </c>
      <c r="F2094" s="163">
        <v>1</v>
      </c>
      <c r="G2094" s="864"/>
      <c r="H2094" s="864">
        <v>19643.495418821356</v>
      </c>
      <c r="I2094" s="864">
        <v>20193.765722340333</v>
      </c>
      <c r="J2094" s="864">
        <v>20773.020474673594</v>
      </c>
      <c r="K2094" s="864">
        <v>21382.779459654077</v>
      </c>
      <c r="L2094" s="18" t="s">
        <v>1357</v>
      </c>
      <c r="M2094"/>
      <c r="N2094" s="433"/>
      <c r="P2094" s="433"/>
    </row>
    <row r="2095" spans="1:16" x14ac:dyDescent="0.25">
      <c r="A2095" s="862">
        <v>2813</v>
      </c>
      <c r="B2095" s="863" t="s">
        <v>9782</v>
      </c>
      <c r="C2095" s="862">
        <v>2813</v>
      </c>
      <c r="D2095" s="165" t="s">
        <v>2167</v>
      </c>
      <c r="E2095" s="165" t="s">
        <v>9783</v>
      </c>
      <c r="F2095" s="163">
        <v>1</v>
      </c>
      <c r="G2095" s="864"/>
      <c r="H2095" s="864">
        <v>0</v>
      </c>
      <c r="I2095" s="864">
        <v>22567.944896475725</v>
      </c>
      <c r="J2095" s="864">
        <v>23170.322074267566</v>
      </c>
      <c r="K2095" s="864">
        <v>23804.451878569424</v>
      </c>
      <c r="L2095" s="18" t="s">
        <v>4086</v>
      </c>
      <c r="M2095"/>
      <c r="N2095" s="433"/>
      <c r="P2095" s="433"/>
    </row>
    <row r="2096" spans="1:16" x14ac:dyDescent="0.25">
      <c r="A2096" s="862">
        <v>2814</v>
      </c>
      <c r="B2096" s="863" t="s">
        <v>9784</v>
      </c>
      <c r="C2096" s="862">
        <v>2814</v>
      </c>
      <c r="D2096" s="165" t="s">
        <v>2167</v>
      </c>
      <c r="E2096" s="165" t="s">
        <v>9785</v>
      </c>
      <c r="F2096" s="163">
        <v>1</v>
      </c>
      <c r="G2096" s="864"/>
      <c r="H2096" s="864">
        <v>18133.476990087049</v>
      </c>
      <c r="I2096" s="864">
        <v>0</v>
      </c>
      <c r="J2096" s="864">
        <v>0</v>
      </c>
      <c r="K2096" s="864">
        <v>0</v>
      </c>
      <c r="L2096" s="18" t="s">
        <v>4087</v>
      </c>
      <c r="M2096"/>
      <c r="N2096" s="433"/>
      <c r="P2096" s="433"/>
    </row>
    <row r="2097" spans="1:16" x14ac:dyDescent="0.25">
      <c r="A2097" s="862">
        <v>2815</v>
      </c>
      <c r="B2097" s="863" t="s">
        <v>9786</v>
      </c>
      <c r="C2097" s="862">
        <v>2815</v>
      </c>
      <c r="D2097" s="165" t="s">
        <v>2167</v>
      </c>
      <c r="E2097" s="165" t="s">
        <v>9787</v>
      </c>
      <c r="F2097" s="163">
        <v>1</v>
      </c>
      <c r="G2097" s="864"/>
      <c r="H2097" s="864">
        <v>18975.696785923094</v>
      </c>
      <c r="I2097" s="864">
        <v>0</v>
      </c>
      <c r="J2097" s="864">
        <v>0</v>
      </c>
      <c r="K2097" s="864">
        <v>0</v>
      </c>
      <c r="L2097" s="18" t="s">
        <v>1358</v>
      </c>
      <c r="M2097"/>
      <c r="N2097" s="433"/>
      <c r="P2097" s="433"/>
    </row>
    <row r="2098" spans="1:16" x14ac:dyDescent="0.25">
      <c r="A2098" s="862">
        <v>2816</v>
      </c>
      <c r="B2098" s="863" t="s">
        <v>9788</v>
      </c>
      <c r="C2098" s="862">
        <v>2816</v>
      </c>
      <c r="D2098" s="165" t="s">
        <v>2167</v>
      </c>
      <c r="E2098" s="165" t="s">
        <v>9789</v>
      </c>
      <c r="F2098" s="163">
        <v>1</v>
      </c>
      <c r="G2098" s="864"/>
      <c r="H2098" s="864">
        <v>0</v>
      </c>
      <c r="I2098" s="864">
        <v>0</v>
      </c>
      <c r="J2098" s="864">
        <v>0</v>
      </c>
      <c r="K2098" s="864">
        <v>24375.216354592405</v>
      </c>
      <c r="L2098" s="18" t="s">
        <v>11078</v>
      </c>
      <c r="M2098"/>
      <c r="N2098" s="433"/>
      <c r="P2098" s="433"/>
    </row>
    <row r="2099" spans="1:16" x14ac:dyDescent="0.25">
      <c r="A2099" s="862">
        <v>2817</v>
      </c>
      <c r="B2099" s="863" t="s">
        <v>9790</v>
      </c>
      <c r="C2099" s="862">
        <v>2817</v>
      </c>
      <c r="D2099" s="165" t="s">
        <v>2167</v>
      </c>
      <c r="E2099" s="165" t="s">
        <v>9791</v>
      </c>
      <c r="F2099" s="163">
        <v>1</v>
      </c>
      <c r="G2099" s="864"/>
      <c r="H2099" s="864">
        <v>0</v>
      </c>
      <c r="I2099" s="864">
        <v>0</v>
      </c>
      <c r="J2099" s="864">
        <v>0</v>
      </c>
      <c r="K2099" s="864">
        <v>24588.116067928233</v>
      </c>
      <c r="L2099" s="18" t="s">
        <v>11079</v>
      </c>
      <c r="M2099"/>
      <c r="N2099" s="433"/>
      <c r="P2099" s="433"/>
    </row>
    <row r="2100" spans="1:16" x14ac:dyDescent="0.25">
      <c r="A2100" s="862">
        <v>2818</v>
      </c>
      <c r="B2100" s="863" t="s">
        <v>9792</v>
      </c>
      <c r="C2100" s="862">
        <v>2818</v>
      </c>
      <c r="D2100" s="165" t="s">
        <v>2167</v>
      </c>
      <c r="E2100" s="165" t="s">
        <v>9793</v>
      </c>
      <c r="F2100" s="163">
        <v>1</v>
      </c>
      <c r="G2100" s="864"/>
      <c r="H2100" s="864">
        <v>15638.46955272334</v>
      </c>
      <c r="I2100" s="864">
        <v>0</v>
      </c>
      <c r="J2100" s="864">
        <v>0</v>
      </c>
      <c r="K2100" s="864">
        <v>0</v>
      </c>
      <c r="L2100" s="18" t="s">
        <v>1359</v>
      </c>
      <c r="M2100"/>
      <c r="N2100" s="433"/>
      <c r="P2100" s="433"/>
    </row>
    <row r="2101" spans="1:16" x14ac:dyDescent="0.25">
      <c r="A2101" s="862">
        <v>2819</v>
      </c>
      <c r="B2101" s="863" t="s">
        <v>9794</v>
      </c>
      <c r="C2101" s="862">
        <v>2819</v>
      </c>
      <c r="D2101" s="165" t="s">
        <v>2167</v>
      </c>
      <c r="E2101" s="165" t="s">
        <v>9795</v>
      </c>
      <c r="F2101" s="163">
        <v>1</v>
      </c>
      <c r="G2101" s="864"/>
      <c r="H2101" s="864">
        <v>24503.190318318477</v>
      </c>
      <c r="I2101" s="864">
        <v>25268.781084083272</v>
      </c>
      <c r="J2101" s="864">
        <v>26074.648883671623</v>
      </c>
      <c r="K2101" s="864">
        <v>26922.960907735956</v>
      </c>
      <c r="L2101" s="18" t="s">
        <v>1360</v>
      </c>
      <c r="M2101"/>
      <c r="N2101" s="433"/>
      <c r="P2101" s="433"/>
    </row>
    <row r="2102" spans="1:16" x14ac:dyDescent="0.25">
      <c r="A2102" s="862">
        <v>2820</v>
      </c>
      <c r="B2102" s="863" t="s">
        <v>9796</v>
      </c>
      <c r="C2102" s="862">
        <v>2820</v>
      </c>
      <c r="D2102" s="165" t="s">
        <v>2167</v>
      </c>
      <c r="E2102" s="165" t="s">
        <v>9797</v>
      </c>
      <c r="F2102" s="163">
        <v>1</v>
      </c>
      <c r="G2102" s="864"/>
      <c r="H2102" s="864">
        <v>0</v>
      </c>
      <c r="I2102" s="864">
        <v>26230.237702976716</v>
      </c>
      <c r="J2102" s="864">
        <v>26978.858957029046</v>
      </c>
      <c r="K2102" s="864">
        <v>27766.85765633222</v>
      </c>
      <c r="L2102" s="18" t="s">
        <v>4088</v>
      </c>
      <c r="M2102"/>
      <c r="N2102" s="433"/>
      <c r="P2102" s="433"/>
    </row>
    <row r="2103" spans="1:16" x14ac:dyDescent="0.25">
      <c r="A2103" s="862">
        <v>2821</v>
      </c>
      <c r="B2103" s="863" t="s">
        <v>9798</v>
      </c>
      <c r="C2103" s="862">
        <v>2821</v>
      </c>
      <c r="D2103" s="165" t="s">
        <v>2167</v>
      </c>
      <c r="E2103" s="165" t="s">
        <v>9799</v>
      </c>
      <c r="F2103" s="163">
        <v>1</v>
      </c>
      <c r="G2103" s="864"/>
      <c r="H2103" s="864">
        <v>0</v>
      </c>
      <c r="I2103" s="864">
        <v>0</v>
      </c>
      <c r="J2103" s="864">
        <v>22234.514168306603</v>
      </c>
      <c r="K2103" s="864">
        <v>22858.215281921435</v>
      </c>
      <c r="L2103" s="18" t="s">
        <v>4820</v>
      </c>
      <c r="M2103"/>
      <c r="N2103" s="433"/>
      <c r="P2103" s="433"/>
    </row>
    <row r="2104" spans="1:16" x14ac:dyDescent="0.25">
      <c r="A2104" s="862">
        <v>2822</v>
      </c>
      <c r="B2104" s="863" t="s">
        <v>9800</v>
      </c>
      <c r="C2104" s="862">
        <v>2822</v>
      </c>
      <c r="D2104" s="165" t="s">
        <v>2167</v>
      </c>
      <c r="E2104" s="165" t="s">
        <v>9801</v>
      </c>
      <c r="F2104" s="163">
        <v>1</v>
      </c>
      <c r="G2104" s="864"/>
      <c r="H2104" s="864">
        <v>0</v>
      </c>
      <c r="I2104" s="864">
        <v>0</v>
      </c>
      <c r="J2104" s="864">
        <v>0</v>
      </c>
      <c r="K2104" s="864">
        <v>23343.404885680171</v>
      </c>
      <c r="L2104" s="18" t="s">
        <v>11080</v>
      </c>
      <c r="M2104"/>
      <c r="N2104" s="433"/>
      <c r="P2104" s="433"/>
    </row>
    <row r="2105" spans="1:16" x14ac:dyDescent="0.25">
      <c r="A2105" s="862">
        <v>2823</v>
      </c>
      <c r="B2105" s="863" t="s">
        <v>9802</v>
      </c>
      <c r="C2105" s="862">
        <v>2823</v>
      </c>
      <c r="D2105" s="165" t="s">
        <v>2167</v>
      </c>
      <c r="E2105" s="165" t="s">
        <v>9803</v>
      </c>
      <c r="F2105" s="163">
        <v>1</v>
      </c>
      <c r="G2105" s="864"/>
      <c r="H2105" s="864">
        <v>0</v>
      </c>
      <c r="I2105" s="864">
        <v>0</v>
      </c>
      <c r="J2105" s="864">
        <v>22476.116056449449</v>
      </c>
      <c r="K2105" s="864">
        <v>23107.341001763296</v>
      </c>
      <c r="L2105" s="18" t="s">
        <v>4821</v>
      </c>
      <c r="M2105"/>
      <c r="N2105" s="433"/>
      <c r="P2105" s="433"/>
    </row>
    <row r="2106" spans="1:16" x14ac:dyDescent="0.25">
      <c r="A2106" s="862">
        <v>2824</v>
      </c>
      <c r="B2106" s="863" t="s">
        <v>9804</v>
      </c>
      <c r="C2106" s="862">
        <v>2824</v>
      </c>
      <c r="D2106" s="165" t="s">
        <v>2167</v>
      </c>
      <c r="E2106" s="165" t="s">
        <v>9805</v>
      </c>
      <c r="F2106" s="163">
        <v>1</v>
      </c>
      <c r="G2106" s="864"/>
      <c r="H2106" s="864">
        <v>0</v>
      </c>
      <c r="I2106" s="864">
        <v>20636.224754438565</v>
      </c>
      <c r="J2106" s="864">
        <v>21209.957811878383</v>
      </c>
      <c r="K2106" s="864">
        <v>21813.867976893624</v>
      </c>
      <c r="L2106" s="18" t="s">
        <v>4089</v>
      </c>
      <c r="M2106"/>
      <c r="N2106" s="433"/>
      <c r="P2106" s="433"/>
    </row>
    <row r="2107" spans="1:16" x14ac:dyDescent="0.25">
      <c r="A2107" s="862">
        <v>2825</v>
      </c>
      <c r="B2107" s="863" t="s">
        <v>9806</v>
      </c>
      <c r="C2107" s="862">
        <v>2825</v>
      </c>
      <c r="D2107" s="165" t="s">
        <v>2167</v>
      </c>
      <c r="E2107" s="165" t="s">
        <v>9807</v>
      </c>
      <c r="F2107" s="163">
        <v>1</v>
      </c>
      <c r="G2107" s="864"/>
      <c r="H2107" s="864">
        <v>0</v>
      </c>
      <c r="I2107" s="864">
        <v>0</v>
      </c>
      <c r="J2107" s="864">
        <v>24390.346400965827</v>
      </c>
      <c r="K2107" s="864">
        <v>25081.434876754469</v>
      </c>
      <c r="L2107" s="18" t="s">
        <v>4822</v>
      </c>
      <c r="M2107"/>
      <c r="N2107" s="433"/>
      <c r="P2107" s="433"/>
    </row>
    <row r="2108" spans="1:16" x14ac:dyDescent="0.25">
      <c r="A2108" s="862">
        <v>2826</v>
      </c>
      <c r="B2108" s="863" t="s">
        <v>9808</v>
      </c>
      <c r="C2108" s="862">
        <v>2826</v>
      </c>
      <c r="D2108" s="165" t="s">
        <v>2167</v>
      </c>
      <c r="E2108" s="165" t="s">
        <v>9809</v>
      </c>
      <c r="F2108" s="163">
        <v>1</v>
      </c>
      <c r="G2108" s="864"/>
      <c r="H2108" s="864">
        <v>0</v>
      </c>
      <c r="I2108" s="864">
        <v>21119.42853072425</v>
      </c>
      <c r="J2108" s="864">
        <v>21708.250141951779</v>
      </c>
      <c r="K2108" s="864">
        <v>22328.06666854809</v>
      </c>
      <c r="L2108" s="18" t="s">
        <v>4090</v>
      </c>
      <c r="M2108"/>
      <c r="N2108" s="433"/>
      <c r="P2108" s="433"/>
    </row>
    <row r="2109" spans="1:16" x14ac:dyDescent="0.25">
      <c r="A2109" s="862">
        <v>2827</v>
      </c>
      <c r="B2109" s="863" t="s">
        <v>9810</v>
      </c>
      <c r="C2109" s="862">
        <v>2827</v>
      </c>
      <c r="D2109" s="165" t="s">
        <v>2167</v>
      </c>
      <c r="E2109" s="165" t="s">
        <v>9811</v>
      </c>
      <c r="F2109" s="163">
        <v>1</v>
      </c>
      <c r="G2109" s="864"/>
      <c r="H2109" s="864">
        <v>0</v>
      </c>
      <c r="I2109" s="864">
        <v>0</v>
      </c>
      <c r="J2109" s="864">
        <v>18387.468718647473</v>
      </c>
      <c r="K2109" s="864">
        <v>18890.870305857348</v>
      </c>
      <c r="L2109" s="18" t="s">
        <v>4823</v>
      </c>
      <c r="M2109"/>
      <c r="N2109" s="433"/>
      <c r="P2109" s="433"/>
    </row>
    <row r="2110" spans="1:16" x14ac:dyDescent="0.25">
      <c r="A2110" s="862">
        <v>2828</v>
      </c>
      <c r="B2110" s="863" t="s">
        <v>9812</v>
      </c>
      <c r="C2110" s="862">
        <v>2828</v>
      </c>
      <c r="D2110" s="165" t="s">
        <v>2167</v>
      </c>
      <c r="E2110" s="165" t="s">
        <v>9813</v>
      </c>
      <c r="F2110" s="163">
        <v>1</v>
      </c>
      <c r="G2110" s="864"/>
      <c r="H2110" s="864">
        <v>0</v>
      </c>
      <c r="I2110" s="864">
        <v>19576.893398735323</v>
      </c>
      <c r="J2110" s="864">
        <v>20117.464350153936</v>
      </c>
      <c r="K2110" s="864">
        <v>20686.495012781877</v>
      </c>
      <c r="L2110" s="18" t="s">
        <v>4091</v>
      </c>
      <c r="M2110"/>
      <c r="N2110" s="433"/>
      <c r="P2110" s="433"/>
    </row>
    <row r="2111" spans="1:16" x14ac:dyDescent="0.25">
      <c r="A2111" s="862">
        <v>2829</v>
      </c>
      <c r="B2111" s="863" t="s">
        <v>9814</v>
      </c>
      <c r="C2111" s="862">
        <v>2829</v>
      </c>
      <c r="D2111" s="165" t="s">
        <v>2167</v>
      </c>
      <c r="E2111" s="165" t="s">
        <v>9815</v>
      </c>
      <c r="F2111" s="163">
        <v>1</v>
      </c>
      <c r="G2111" s="864"/>
      <c r="H2111" s="864">
        <v>0</v>
      </c>
      <c r="I2111" s="864">
        <v>0</v>
      </c>
      <c r="J2111" s="864">
        <v>17990.993825284859</v>
      </c>
      <c r="K2111" s="864">
        <v>18482.00562442515</v>
      </c>
      <c r="L2111" s="18" t="s">
        <v>4824</v>
      </c>
      <c r="M2111"/>
      <c r="N2111" s="433"/>
      <c r="P2111" s="433"/>
    </row>
    <row r="2112" spans="1:16" x14ac:dyDescent="0.25">
      <c r="A2112" s="862">
        <v>2830</v>
      </c>
      <c r="B2112" s="863" t="s">
        <v>9816</v>
      </c>
      <c r="C2112" s="862">
        <v>2830</v>
      </c>
      <c r="D2112" s="165" t="s">
        <v>2167</v>
      </c>
      <c r="E2112" s="165" t="s">
        <v>9817</v>
      </c>
      <c r="F2112" s="163">
        <v>1</v>
      </c>
      <c r="G2112" s="864"/>
      <c r="H2112" s="864">
        <v>0</v>
      </c>
      <c r="I2112" s="864">
        <v>0</v>
      </c>
      <c r="J2112" s="864">
        <v>0</v>
      </c>
      <c r="K2112" s="864">
        <v>20245.944781284736</v>
      </c>
      <c r="L2112" s="18" t="s">
        <v>11081</v>
      </c>
      <c r="M2112"/>
      <c r="N2112" s="433"/>
      <c r="P2112" s="433"/>
    </row>
    <row r="2113" spans="1:16" x14ac:dyDescent="0.25">
      <c r="A2113" s="862">
        <v>2831</v>
      </c>
      <c r="B2113" s="863" t="s">
        <v>9818</v>
      </c>
      <c r="C2113" s="862">
        <v>2831</v>
      </c>
      <c r="D2113" s="165" t="s">
        <v>2167</v>
      </c>
      <c r="E2113" s="165" t="s">
        <v>9819</v>
      </c>
      <c r="F2113" s="163">
        <v>1</v>
      </c>
      <c r="G2113" s="864"/>
      <c r="H2113" s="864">
        <v>0</v>
      </c>
      <c r="I2113" s="864">
        <v>0</v>
      </c>
      <c r="J2113" s="864">
        <v>0</v>
      </c>
      <c r="K2113" s="864">
        <v>18697.21472908702</v>
      </c>
      <c r="L2113" s="18" t="s">
        <v>11082</v>
      </c>
      <c r="M2113"/>
      <c r="N2113" s="433"/>
      <c r="P2113" s="433"/>
    </row>
    <row r="2114" spans="1:16" x14ac:dyDescent="0.25">
      <c r="A2114" s="862">
        <v>2832</v>
      </c>
      <c r="B2114" s="863" t="s">
        <v>9820</v>
      </c>
      <c r="C2114" s="862">
        <v>2832</v>
      </c>
      <c r="D2114" s="165" t="s">
        <v>2167</v>
      </c>
      <c r="E2114" s="165" t="s">
        <v>9821</v>
      </c>
      <c r="F2114" s="163">
        <v>1</v>
      </c>
      <c r="G2114" s="864"/>
      <c r="H2114" s="864">
        <v>18061.323463334727</v>
      </c>
      <c r="I2114" s="864">
        <v>18565.297515999959</v>
      </c>
      <c r="J2114" s="864">
        <v>19095.768541170433</v>
      </c>
      <c r="K2114" s="864">
        <v>19654.167702484541</v>
      </c>
      <c r="L2114" s="18" t="s">
        <v>1361</v>
      </c>
      <c r="M2114"/>
      <c r="N2114" s="433"/>
      <c r="P2114" s="433"/>
    </row>
    <row r="2115" spans="1:16" x14ac:dyDescent="0.25">
      <c r="A2115" s="862">
        <v>2833</v>
      </c>
      <c r="B2115" s="863" t="s">
        <v>9822</v>
      </c>
      <c r="C2115" s="862">
        <v>2833</v>
      </c>
      <c r="D2115" s="165" t="s">
        <v>2167</v>
      </c>
      <c r="E2115" s="165" t="s">
        <v>9823</v>
      </c>
      <c r="F2115" s="163">
        <v>1</v>
      </c>
      <c r="G2115" s="864"/>
      <c r="H2115" s="864">
        <v>0</v>
      </c>
      <c r="I2115" s="864">
        <v>0</v>
      </c>
      <c r="J2115" s="864">
        <v>0</v>
      </c>
      <c r="K2115" s="864">
        <v>21057.479328636338</v>
      </c>
      <c r="L2115" s="18" t="s">
        <v>11083</v>
      </c>
      <c r="M2115"/>
      <c r="N2115" s="433"/>
      <c r="P2115" s="433"/>
    </row>
    <row r="2116" spans="1:16" x14ac:dyDescent="0.25">
      <c r="A2116" s="862">
        <v>2834</v>
      </c>
      <c r="B2116" s="863" t="s">
        <v>9824</v>
      </c>
      <c r="C2116" s="862">
        <v>2834</v>
      </c>
      <c r="D2116" s="165" t="s">
        <v>2167</v>
      </c>
      <c r="E2116" s="165" t="s">
        <v>9825</v>
      </c>
      <c r="F2116" s="163">
        <v>1</v>
      </c>
      <c r="G2116" s="864"/>
      <c r="H2116" s="864">
        <v>0</v>
      </c>
      <c r="I2116" s="864">
        <v>0</v>
      </c>
      <c r="J2116" s="864">
        <v>19589.283239152905</v>
      </c>
      <c r="K2116" s="864">
        <v>20130.263094468199</v>
      </c>
      <c r="L2116" s="18" t="s">
        <v>4825</v>
      </c>
      <c r="M2116"/>
      <c r="N2116" s="433"/>
      <c r="P2116" s="433"/>
    </row>
    <row r="2117" spans="1:16" x14ac:dyDescent="0.25">
      <c r="A2117" s="862">
        <v>2835</v>
      </c>
      <c r="B2117" s="863" t="s">
        <v>9826</v>
      </c>
      <c r="C2117" s="862">
        <v>2835</v>
      </c>
      <c r="D2117" s="165" t="s">
        <v>2167</v>
      </c>
      <c r="E2117" s="165" t="s">
        <v>9827</v>
      </c>
      <c r="F2117" s="163">
        <v>1</v>
      </c>
      <c r="G2117" s="864"/>
      <c r="H2117" s="864">
        <v>0</v>
      </c>
      <c r="I2117" s="864">
        <v>17150.078864518146</v>
      </c>
      <c r="J2117" s="864">
        <v>17610.150684241464</v>
      </c>
      <c r="K2117" s="864">
        <v>18094.422198394546</v>
      </c>
      <c r="L2117" s="18" t="s">
        <v>4092</v>
      </c>
      <c r="M2117"/>
      <c r="N2117" s="433"/>
      <c r="P2117" s="433"/>
    </row>
    <row r="2118" spans="1:16" x14ac:dyDescent="0.25">
      <c r="A2118" s="862">
        <v>2836</v>
      </c>
      <c r="B2118" s="863" t="s">
        <v>9828</v>
      </c>
      <c r="C2118" s="862">
        <v>2836</v>
      </c>
      <c r="D2118" s="165" t="s">
        <v>2167</v>
      </c>
      <c r="E2118" s="165" t="s">
        <v>9829</v>
      </c>
      <c r="F2118" s="163">
        <v>1</v>
      </c>
      <c r="G2118" s="864"/>
      <c r="H2118" s="864">
        <v>0</v>
      </c>
      <c r="I2118" s="864">
        <v>0</v>
      </c>
      <c r="J2118" s="864">
        <v>0</v>
      </c>
      <c r="K2118" s="864">
        <v>19338.135653690188</v>
      </c>
      <c r="L2118" s="18" t="s">
        <v>11084</v>
      </c>
      <c r="M2118"/>
      <c r="N2118" s="433"/>
      <c r="P2118" s="433"/>
    </row>
    <row r="2119" spans="1:16" x14ac:dyDescent="0.25">
      <c r="A2119" s="862">
        <v>2837</v>
      </c>
      <c r="B2119" s="863" t="s">
        <v>9830</v>
      </c>
      <c r="C2119" s="862">
        <v>2837</v>
      </c>
      <c r="D2119" s="165" t="s">
        <v>2167</v>
      </c>
      <c r="E2119" s="165" t="s">
        <v>9831</v>
      </c>
      <c r="F2119" s="163">
        <v>1</v>
      </c>
      <c r="G2119" s="864"/>
      <c r="H2119" s="864">
        <v>0</v>
      </c>
      <c r="I2119" s="864">
        <v>18566.296851037267</v>
      </c>
      <c r="J2119" s="864">
        <v>19070.187237921196</v>
      </c>
      <c r="K2119" s="864">
        <v>19600.590865547489</v>
      </c>
      <c r="L2119" s="18" t="s">
        <v>4093</v>
      </c>
      <c r="M2119"/>
      <c r="N2119" s="433"/>
      <c r="P2119" s="433"/>
    </row>
    <row r="2120" spans="1:16" x14ac:dyDescent="0.25">
      <c r="A2120" s="862">
        <v>2838</v>
      </c>
      <c r="B2120" s="863" t="s">
        <v>9832</v>
      </c>
      <c r="C2120" s="862">
        <v>2838</v>
      </c>
      <c r="D2120" s="165" t="s">
        <v>2167</v>
      </c>
      <c r="E2120" s="165" t="s">
        <v>9833</v>
      </c>
      <c r="F2120" s="163">
        <v>1</v>
      </c>
      <c r="G2120" s="864"/>
      <c r="H2120" s="864">
        <v>0</v>
      </c>
      <c r="I2120" s="864">
        <v>0</v>
      </c>
      <c r="J2120" s="864">
        <v>0</v>
      </c>
      <c r="K2120" s="864">
        <v>18148.512545014131</v>
      </c>
      <c r="L2120" s="18" t="s">
        <v>11085</v>
      </c>
      <c r="M2120"/>
      <c r="N2120" s="433"/>
      <c r="P2120" s="433"/>
    </row>
    <row r="2121" spans="1:16" x14ac:dyDescent="0.25">
      <c r="A2121" s="862">
        <v>2839</v>
      </c>
      <c r="B2121" s="863" t="s">
        <v>9834</v>
      </c>
      <c r="C2121" s="862">
        <v>2839</v>
      </c>
      <c r="D2121" s="165" t="s">
        <v>2167</v>
      </c>
      <c r="E2121" s="165" t="s">
        <v>9835</v>
      </c>
      <c r="F2121" s="163">
        <v>1</v>
      </c>
      <c r="G2121" s="864"/>
      <c r="H2121" s="864">
        <v>0</v>
      </c>
      <c r="I2121" s="864">
        <v>19345.216743622786</v>
      </c>
      <c r="J2121" s="864">
        <v>19873.214283083984</v>
      </c>
      <c r="K2121" s="864">
        <v>20429.02064922261</v>
      </c>
      <c r="L2121" s="18" t="s">
        <v>4094</v>
      </c>
      <c r="M2121"/>
      <c r="N2121" s="433"/>
      <c r="P2121" s="433"/>
    </row>
    <row r="2122" spans="1:16" x14ac:dyDescent="0.25">
      <c r="A2122" s="862">
        <v>2840</v>
      </c>
      <c r="B2122" s="863" t="s">
        <v>9836</v>
      </c>
      <c r="C2122" s="862">
        <v>2840</v>
      </c>
      <c r="D2122" s="165" t="s">
        <v>2167</v>
      </c>
      <c r="E2122" s="165" t="s">
        <v>9837</v>
      </c>
      <c r="F2122" s="163">
        <v>1</v>
      </c>
      <c r="G2122" s="864"/>
      <c r="H2122" s="864">
        <v>0</v>
      </c>
      <c r="I2122" s="864">
        <v>20187.866445601656</v>
      </c>
      <c r="J2122" s="864">
        <v>20741.960787468965</v>
      </c>
      <c r="K2122" s="864">
        <v>21325.205812875018</v>
      </c>
      <c r="L2122" s="18" t="s">
        <v>4095</v>
      </c>
      <c r="M2122"/>
      <c r="N2122" s="433"/>
      <c r="P2122" s="433"/>
    </row>
    <row r="2123" spans="1:16" x14ac:dyDescent="0.25">
      <c r="A2123" s="862">
        <v>2841</v>
      </c>
      <c r="B2123" s="863" t="s">
        <v>9838</v>
      </c>
      <c r="C2123" s="862">
        <v>2841</v>
      </c>
      <c r="D2123" s="165" t="s">
        <v>2167</v>
      </c>
      <c r="E2123" s="165" t="s">
        <v>9839</v>
      </c>
      <c r="F2123" s="163">
        <v>1</v>
      </c>
      <c r="G2123" s="864"/>
      <c r="H2123" s="864">
        <v>0</v>
      </c>
      <c r="I2123" s="864">
        <v>22255.544705919576</v>
      </c>
      <c r="J2123" s="864">
        <v>22873.631738793349</v>
      </c>
      <c r="K2123" s="864">
        <v>23524.247232822254</v>
      </c>
      <c r="L2123" s="18" t="s">
        <v>4097</v>
      </c>
      <c r="M2123"/>
      <c r="N2123" s="433"/>
      <c r="P2123" s="433"/>
    </row>
    <row r="2124" spans="1:16" x14ac:dyDescent="0.25">
      <c r="A2124" s="862">
        <v>2842</v>
      </c>
      <c r="B2124" s="863" t="s">
        <v>9840</v>
      </c>
      <c r="C2124" s="862">
        <v>2842</v>
      </c>
      <c r="D2124" s="165" t="s">
        <v>2167</v>
      </c>
      <c r="E2124" s="165" t="s">
        <v>9841</v>
      </c>
      <c r="F2124" s="163">
        <v>1</v>
      </c>
      <c r="G2124" s="864"/>
      <c r="H2124" s="864">
        <v>0</v>
      </c>
      <c r="I2124" s="864">
        <v>21809.436040166049</v>
      </c>
      <c r="J2124" s="864">
        <v>22413.688066090486</v>
      </c>
      <c r="K2124" s="864">
        <v>23049.774489276278</v>
      </c>
      <c r="L2124" s="18" t="s">
        <v>4096</v>
      </c>
      <c r="M2124"/>
      <c r="N2124" s="433"/>
      <c r="P2124" s="433"/>
    </row>
    <row r="2125" spans="1:16" x14ac:dyDescent="0.25">
      <c r="A2125" s="862">
        <v>2843</v>
      </c>
      <c r="B2125" s="863" t="s">
        <v>9842</v>
      </c>
      <c r="C2125" s="862">
        <v>2843</v>
      </c>
      <c r="D2125" s="165" t="s">
        <v>2168</v>
      </c>
      <c r="E2125" s="165" t="s">
        <v>9843</v>
      </c>
      <c r="F2125" s="163">
        <v>2</v>
      </c>
      <c r="G2125" s="864"/>
      <c r="H2125" s="864">
        <v>12853.834640276638</v>
      </c>
      <c r="I2125" s="864">
        <v>13279.462743780103</v>
      </c>
      <c r="J2125" s="864">
        <v>13727.47184038046</v>
      </c>
      <c r="K2125" s="864">
        <v>14199.078288398185</v>
      </c>
      <c r="L2125" s="18" t="s">
        <v>1362</v>
      </c>
      <c r="M2125"/>
      <c r="N2125" s="433"/>
      <c r="P2125" s="433"/>
    </row>
    <row r="2126" spans="1:16" x14ac:dyDescent="0.25">
      <c r="A2126" s="862">
        <v>2844</v>
      </c>
      <c r="B2126" s="863" t="s">
        <v>9844</v>
      </c>
      <c r="C2126" s="862">
        <v>2844</v>
      </c>
      <c r="D2126" s="165" t="s">
        <v>2168</v>
      </c>
      <c r="E2126" s="165" t="s">
        <v>9845</v>
      </c>
      <c r="F2126" s="163">
        <v>2</v>
      </c>
      <c r="G2126" s="864"/>
      <c r="H2126" s="864">
        <v>14210.80924148021</v>
      </c>
      <c r="I2126" s="864">
        <v>14693.168297051012</v>
      </c>
      <c r="J2126" s="864">
        <v>15200.924914353496</v>
      </c>
      <c r="K2126" s="864">
        <v>15735.392760373794</v>
      </c>
      <c r="L2126" s="18" t="s">
        <v>1363</v>
      </c>
      <c r="M2126"/>
      <c r="N2126" s="433"/>
      <c r="P2126" s="433"/>
    </row>
    <row r="2127" spans="1:16" x14ac:dyDescent="0.25">
      <c r="A2127" s="862">
        <v>2845</v>
      </c>
      <c r="B2127" s="863" t="s">
        <v>9846</v>
      </c>
      <c r="C2127" s="862">
        <v>2845</v>
      </c>
      <c r="D2127" s="165" t="s">
        <v>2168</v>
      </c>
      <c r="E2127" s="165" t="s">
        <v>9847</v>
      </c>
      <c r="F2127" s="163">
        <v>2</v>
      </c>
      <c r="G2127" s="864"/>
      <c r="H2127" s="864">
        <v>15075.904882497522</v>
      </c>
      <c r="I2127" s="864">
        <v>15586.629414101988</v>
      </c>
      <c r="J2127" s="864">
        <v>16124.259791755543</v>
      </c>
      <c r="K2127" s="864">
        <v>16690.158336777124</v>
      </c>
      <c r="L2127" s="18" t="s">
        <v>1364</v>
      </c>
      <c r="M2127"/>
      <c r="N2127" s="433"/>
      <c r="P2127" s="433"/>
    </row>
    <row r="2128" spans="1:16" x14ac:dyDescent="0.25">
      <c r="A2128" s="862">
        <v>2846</v>
      </c>
      <c r="B2128" s="863" t="s">
        <v>9848</v>
      </c>
      <c r="C2128" s="862">
        <v>2846</v>
      </c>
      <c r="D2128" s="165" t="s">
        <v>2168</v>
      </c>
      <c r="E2128" s="165" t="s">
        <v>9849</v>
      </c>
      <c r="F2128" s="163">
        <v>2</v>
      </c>
      <c r="G2128" s="864"/>
      <c r="H2128" s="864">
        <v>15075.904882497522</v>
      </c>
      <c r="I2128" s="864">
        <v>15586.629414101988</v>
      </c>
      <c r="J2128" s="864">
        <v>16124.259791755543</v>
      </c>
      <c r="K2128" s="864">
        <v>16690.158336777124</v>
      </c>
      <c r="L2128" s="18" t="s">
        <v>1365</v>
      </c>
      <c r="M2128"/>
      <c r="N2128" s="433"/>
      <c r="P2128" s="433"/>
    </row>
    <row r="2129" spans="1:16" x14ac:dyDescent="0.25">
      <c r="A2129" s="862">
        <v>2847</v>
      </c>
      <c r="B2129" s="863" t="s">
        <v>9850</v>
      </c>
      <c r="C2129" s="862">
        <v>2847</v>
      </c>
      <c r="D2129" s="165" t="s">
        <v>2168</v>
      </c>
      <c r="E2129" s="165" t="s">
        <v>9851</v>
      </c>
      <c r="F2129" s="163">
        <v>2</v>
      </c>
      <c r="G2129" s="864"/>
      <c r="H2129" s="864">
        <v>20564.94664624134</v>
      </c>
      <c r="I2129" s="864">
        <v>21323.565003560274</v>
      </c>
      <c r="J2129" s="864">
        <v>22122.079913791054</v>
      </c>
      <c r="K2129" s="864">
        <v>22962.632167577729</v>
      </c>
      <c r="L2129" s="18" t="s">
        <v>1366</v>
      </c>
      <c r="M2129"/>
      <c r="N2129" s="433"/>
      <c r="P2129" s="433"/>
    </row>
    <row r="2130" spans="1:16" x14ac:dyDescent="0.25">
      <c r="A2130" s="862">
        <v>2848</v>
      </c>
      <c r="B2130" s="863" t="s">
        <v>9852</v>
      </c>
      <c r="C2130" s="862">
        <v>2848</v>
      </c>
      <c r="D2130" s="165" t="s">
        <v>2168</v>
      </c>
      <c r="E2130" s="165" t="s">
        <v>9853</v>
      </c>
      <c r="F2130" s="163">
        <v>2</v>
      </c>
      <c r="G2130" s="864"/>
      <c r="H2130" s="864">
        <v>19233.602176725213</v>
      </c>
      <c r="I2130" s="864">
        <v>19935.878816639368</v>
      </c>
      <c r="J2130" s="864">
        <v>20675.084095163391</v>
      </c>
      <c r="K2130" s="864">
        <v>21453.212839942869</v>
      </c>
      <c r="L2130" s="18" t="s">
        <v>1367</v>
      </c>
      <c r="M2130"/>
      <c r="N2130" s="433"/>
      <c r="P2130" s="433"/>
    </row>
    <row r="2131" spans="1:16" x14ac:dyDescent="0.25">
      <c r="A2131" s="862">
        <v>2849</v>
      </c>
      <c r="B2131" s="863" t="s">
        <v>9854</v>
      </c>
      <c r="C2131" s="862">
        <v>2849</v>
      </c>
      <c r="D2131" s="165" t="s">
        <v>3123</v>
      </c>
      <c r="E2131" s="165" t="s">
        <v>9855</v>
      </c>
      <c r="F2131" s="163">
        <v>2</v>
      </c>
      <c r="G2131" s="864"/>
      <c r="H2131" s="864">
        <v>17498.023779398449</v>
      </c>
      <c r="I2131" s="864">
        <v>18136.514588986462</v>
      </c>
      <c r="J2131" s="864">
        <v>18774.956744241659</v>
      </c>
      <c r="K2131" s="864">
        <v>19447.019043475007</v>
      </c>
      <c r="L2131" s="18" t="s">
        <v>3124</v>
      </c>
      <c r="M2131"/>
      <c r="N2131" s="433"/>
      <c r="P2131" s="433"/>
    </row>
    <row r="2132" spans="1:16" x14ac:dyDescent="0.25">
      <c r="A2132" s="862">
        <v>2850</v>
      </c>
      <c r="B2132" s="863" t="s">
        <v>9856</v>
      </c>
      <c r="C2132" s="862">
        <v>2850</v>
      </c>
      <c r="D2132" s="165" t="s">
        <v>2169</v>
      </c>
      <c r="E2132" s="165" t="s">
        <v>9857</v>
      </c>
      <c r="F2132" s="163">
        <v>1</v>
      </c>
      <c r="G2132" s="864"/>
      <c r="H2132" s="864">
        <v>32509.694312829834</v>
      </c>
      <c r="I2132" s="864">
        <v>33594.951423081155</v>
      </c>
      <c r="J2132" s="864">
        <v>0</v>
      </c>
      <c r="K2132" s="864">
        <v>0</v>
      </c>
      <c r="L2132" s="18" t="s">
        <v>1368</v>
      </c>
      <c r="M2132"/>
      <c r="N2132" s="433"/>
      <c r="P2132" s="433"/>
    </row>
    <row r="2133" spans="1:16" x14ac:dyDescent="0.25">
      <c r="A2133" s="862">
        <v>2851</v>
      </c>
      <c r="B2133" s="863" t="s">
        <v>9858</v>
      </c>
      <c r="C2133" s="862">
        <v>2851</v>
      </c>
      <c r="D2133" s="165" t="s">
        <v>2169</v>
      </c>
      <c r="E2133" s="165" t="s">
        <v>9859</v>
      </c>
      <c r="F2133" s="163">
        <v>1</v>
      </c>
      <c r="G2133" s="864"/>
      <c r="H2133" s="864">
        <v>0</v>
      </c>
      <c r="I2133" s="864">
        <v>0</v>
      </c>
      <c r="J2133" s="864">
        <v>25750.79317031211</v>
      </c>
      <c r="K2133" s="864">
        <v>26508.365426560675</v>
      </c>
      <c r="L2133" s="18" t="s">
        <v>11086</v>
      </c>
      <c r="M2133"/>
      <c r="N2133" s="433"/>
      <c r="P2133" s="433"/>
    </row>
    <row r="2134" spans="1:16" x14ac:dyDescent="0.25">
      <c r="A2134" s="862">
        <v>2852</v>
      </c>
      <c r="B2134" s="863" t="s">
        <v>9860</v>
      </c>
      <c r="C2134" s="862">
        <v>2852</v>
      </c>
      <c r="D2134" s="165" t="s">
        <v>2169</v>
      </c>
      <c r="E2134" s="165" t="s">
        <v>9861</v>
      </c>
      <c r="F2134" s="163">
        <v>1</v>
      </c>
      <c r="G2134" s="864"/>
      <c r="H2134" s="864">
        <v>0</v>
      </c>
      <c r="I2134" s="864">
        <v>0</v>
      </c>
      <c r="J2134" s="864">
        <v>19411.617019534184</v>
      </c>
      <c r="K2134" s="864">
        <v>20038.030830813619</v>
      </c>
      <c r="L2134" s="18" t="s">
        <v>1369</v>
      </c>
      <c r="M2134"/>
      <c r="N2134" s="433"/>
      <c r="P2134" s="433"/>
    </row>
    <row r="2135" spans="1:16" x14ac:dyDescent="0.25">
      <c r="A2135" s="862">
        <v>2853</v>
      </c>
      <c r="B2135" s="863" t="s">
        <v>9862</v>
      </c>
      <c r="C2135" s="862">
        <v>2853</v>
      </c>
      <c r="D2135" s="165" t="s">
        <v>2169</v>
      </c>
      <c r="E2135" s="165" t="s">
        <v>9863</v>
      </c>
      <c r="F2135" s="163">
        <v>1</v>
      </c>
      <c r="G2135" s="864"/>
      <c r="H2135" s="864">
        <v>0</v>
      </c>
      <c r="I2135" s="864">
        <v>0</v>
      </c>
      <c r="J2135" s="864">
        <v>20858.799525706294</v>
      </c>
      <c r="K2135" s="864">
        <v>21538.141648582572</v>
      </c>
      <c r="L2135" s="18" t="s">
        <v>1370</v>
      </c>
      <c r="M2135"/>
      <c r="N2135" s="433"/>
      <c r="P2135" s="433"/>
    </row>
    <row r="2136" spans="1:16" x14ac:dyDescent="0.25">
      <c r="A2136" s="862">
        <v>2854</v>
      </c>
      <c r="B2136" s="863" t="s">
        <v>9864</v>
      </c>
      <c r="C2136" s="862">
        <v>2854</v>
      </c>
      <c r="D2136" s="165" t="s">
        <v>2169</v>
      </c>
      <c r="E2136" s="165" t="s">
        <v>9865</v>
      </c>
      <c r="F2136" s="163">
        <v>1</v>
      </c>
      <c r="G2136" s="864"/>
      <c r="H2136" s="864">
        <v>20563.927056195589</v>
      </c>
      <c r="I2136" s="864">
        <v>0</v>
      </c>
      <c r="J2136" s="864">
        <v>21892.457999033337</v>
      </c>
      <c r="K2136" s="864">
        <v>22609.60124578718</v>
      </c>
      <c r="L2136" s="18" t="s">
        <v>1371</v>
      </c>
      <c r="M2136"/>
      <c r="N2136" s="433"/>
      <c r="P2136" s="433"/>
    </row>
    <row r="2137" spans="1:16" x14ac:dyDescent="0.25">
      <c r="A2137" s="862">
        <v>2855</v>
      </c>
      <c r="B2137" s="863" t="s">
        <v>9866</v>
      </c>
      <c r="C2137" s="862">
        <v>2855</v>
      </c>
      <c r="D2137" s="165" t="s">
        <v>2169</v>
      </c>
      <c r="E2137" s="165" t="s">
        <v>9867</v>
      </c>
      <c r="F2137" s="163">
        <v>1</v>
      </c>
      <c r="G2137" s="864"/>
      <c r="H2137" s="864">
        <v>0</v>
      </c>
      <c r="I2137" s="864">
        <v>0</v>
      </c>
      <c r="J2137" s="864">
        <v>26124.125649419388</v>
      </c>
      <c r="K2137" s="864">
        <v>26968.249676827898</v>
      </c>
      <c r="L2137" s="18" t="s">
        <v>1372</v>
      </c>
      <c r="M2137"/>
      <c r="N2137" s="433"/>
      <c r="P2137" s="433"/>
    </row>
    <row r="2138" spans="1:16" x14ac:dyDescent="0.25">
      <c r="A2138" s="862">
        <v>2856</v>
      </c>
      <c r="B2138" s="863" t="s">
        <v>9868</v>
      </c>
      <c r="C2138" s="862">
        <v>2856</v>
      </c>
      <c r="D2138" s="165" t="s">
        <v>2169</v>
      </c>
      <c r="E2138" s="165" t="s">
        <v>9869</v>
      </c>
      <c r="F2138" s="163">
        <v>1</v>
      </c>
      <c r="G2138" s="864"/>
      <c r="H2138" s="864">
        <v>0</v>
      </c>
      <c r="I2138" s="864">
        <v>0</v>
      </c>
      <c r="J2138" s="864">
        <v>15078.791209989944</v>
      </c>
      <c r="K2138" s="864">
        <v>15505.550811308451</v>
      </c>
      <c r="L2138" s="18" t="s">
        <v>11087</v>
      </c>
      <c r="M2138"/>
      <c r="N2138" s="433"/>
      <c r="P2138" s="433"/>
    </row>
    <row r="2139" spans="1:16" x14ac:dyDescent="0.25">
      <c r="A2139" s="862">
        <v>2857</v>
      </c>
      <c r="B2139" s="863" t="s">
        <v>9870</v>
      </c>
      <c r="C2139" s="862">
        <v>2857</v>
      </c>
      <c r="D2139" s="165" t="s">
        <v>2169</v>
      </c>
      <c r="E2139" s="165" t="s">
        <v>9871</v>
      </c>
      <c r="F2139" s="163">
        <v>1</v>
      </c>
      <c r="G2139" s="864"/>
      <c r="H2139" s="864">
        <v>0</v>
      </c>
      <c r="I2139" s="864">
        <v>0</v>
      </c>
      <c r="J2139" s="864">
        <v>16381.088495814869</v>
      </c>
      <c r="K2139" s="864">
        <v>16851.281478631958</v>
      </c>
      <c r="L2139" s="18" t="s">
        <v>11088</v>
      </c>
      <c r="M2139"/>
      <c r="N2139" s="433"/>
      <c r="P2139" s="433"/>
    </row>
    <row r="2140" spans="1:16" x14ac:dyDescent="0.25">
      <c r="A2140" s="862">
        <v>2858</v>
      </c>
      <c r="B2140" s="863" t="s">
        <v>9872</v>
      </c>
      <c r="C2140" s="862">
        <v>2858</v>
      </c>
      <c r="D2140" s="165" t="s">
        <v>2169</v>
      </c>
      <c r="E2140" s="165" t="s">
        <v>9873</v>
      </c>
      <c r="F2140" s="163">
        <v>1</v>
      </c>
      <c r="G2140" s="864"/>
      <c r="H2140" s="864">
        <v>0</v>
      </c>
      <c r="I2140" s="864">
        <v>15242.8878498226</v>
      </c>
      <c r="J2140" s="864">
        <v>15666.92546810442</v>
      </c>
      <c r="K2140" s="864">
        <v>16113.301099350432</v>
      </c>
      <c r="L2140" s="18" t="s">
        <v>11089</v>
      </c>
      <c r="M2140"/>
      <c r="N2140" s="433"/>
      <c r="P2140" s="433"/>
    </row>
    <row r="2141" spans="1:16" x14ac:dyDescent="0.25">
      <c r="A2141" s="862">
        <v>2859</v>
      </c>
      <c r="B2141" s="863" t="s">
        <v>9874</v>
      </c>
      <c r="C2141" s="862">
        <v>2859</v>
      </c>
      <c r="D2141" s="165" t="s">
        <v>2169</v>
      </c>
      <c r="E2141" s="165" t="s">
        <v>9875</v>
      </c>
      <c r="F2141" s="163">
        <v>1</v>
      </c>
      <c r="G2141" s="864"/>
      <c r="H2141" s="864">
        <v>0</v>
      </c>
      <c r="I2141" s="864">
        <v>12907.02673207577</v>
      </c>
      <c r="J2141" s="864">
        <v>13274.79030975111</v>
      </c>
      <c r="K2141" s="864">
        <v>13661.903636404704</v>
      </c>
      <c r="L2141" s="18" t="s">
        <v>4098</v>
      </c>
      <c r="M2141"/>
      <c r="N2141" s="433"/>
      <c r="P2141" s="433"/>
    </row>
    <row r="2142" spans="1:16" x14ac:dyDescent="0.25">
      <c r="A2142" s="862">
        <v>2860</v>
      </c>
      <c r="B2142" s="863" t="s">
        <v>9876</v>
      </c>
      <c r="C2142" s="862">
        <v>2860</v>
      </c>
      <c r="D2142" s="165" t="s">
        <v>2169</v>
      </c>
      <c r="E2142" s="165" t="s">
        <v>9877</v>
      </c>
      <c r="F2142" s="163">
        <v>1</v>
      </c>
      <c r="G2142" s="864"/>
      <c r="H2142" s="864">
        <v>0</v>
      </c>
      <c r="I2142" s="864">
        <v>0</v>
      </c>
      <c r="J2142" s="864">
        <v>15246.829569451224</v>
      </c>
      <c r="K2142" s="864">
        <v>15679.181070703818</v>
      </c>
      <c r="L2142" s="18" t="s">
        <v>11090</v>
      </c>
      <c r="M2142"/>
      <c r="N2142" s="433"/>
      <c r="P2142" s="433"/>
    </row>
    <row r="2143" spans="1:16" x14ac:dyDescent="0.25">
      <c r="A2143" s="862">
        <v>2861</v>
      </c>
      <c r="B2143" s="863" t="s">
        <v>9878</v>
      </c>
      <c r="C2143" s="862">
        <v>2861</v>
      </c>
      <c r="D2143" s="165" t="s">
        <v>2169</v>
      </c>
      <c r="E2143" s="165" t="s">
        <v>9879</v>
      </c>
      <c r="F2143" s="163">
        <v>1</v>
      </c>
      <c r="G2143" s="864"/>
      <c r="H2143" s="864">
        <v>0</v>
      </c>
      <c r="I2143" s="864">
        <v>0</v>
      </c>
      <c r="J2143" s="864">
        <v>16549.126855276147</v>
      </c>
      <c r="K2143" s="864">
        <v>17024.94132479946</v>
      </c>
      <c r="L2143" s="18" t="s">
        <v>11091</v>
      </c>
      <c r="M2143"/>
      <c r="N2143" s="433"/>
      <c r="P2143" s="433"/>
    </row>
    <row r="2144" spans="1:16" x14ac:dyDescent="0.25">
      <c r="A2144" s="862">
        <v>2862</v>
      </c>
      <c r="B2144" s="863" t="s">
        <v>9880</v>
      </c>
      <c r="C2144" s="862">
        <v>2862</v>
      </c>
      <c r="D2144" s="165" t="s">
        <v>2169</v>
      </c>
      <c r="E2144" s="165" t="s">
        <v>9881</v>
      </c>
      <c r="F2144" s="163">
        <v>1</v>
      </c>
      <c r="G2144" s="864"/>
      <c r="H2144" s="864">
        <v>0</v>
      </c>
      <c r="I2144" s="864">
        <v>0</v>
      </c>
      <c r="J2144" s="864">
        <v>15834.963827565703</v>
      </c>
      <c r="K2144" s="864">
        <v>16286.931358745793</v>
      </c>
      <c r="L2144" s="18" t="s">
        <v>11092</v>
      </c>
      <c r="M2144"/>
      <c r="N2144" s="433"/>
      <c r="P2144" s="433"/>
    </row>
    <row r="2145" spans="1:16" x14ac:dyDescent="0.25">
      <c r="A2145" s="862">
        <v>2863</v>
      </c>
      <c r="B2145" s="863" t="s">
        <v>9882</v>
      </c>
      <c r="C2145" s="862">
        <v>2863</v>
      </c>
      <c r="D2145" s="165" t="s">
        <v>2169</v>
      </c>
      <c r="E2145" s="165" t="s">
        <v>9883</v>
      </c>
      <c r="F2145" s="163">
        <v>1</v>
      </c>
      <c r="G2145" s="864"/>
      <c r="H2145" s="864">
        <v>0</v>
      </c>
      <c r="I2145" s="864">
        <v>0</v>
      </c>
      <c r="J2145" s="864">
        <v>0</v>
      </c>
      <c r="K2145" s="864">
        <v>22535.493411084241</v>
      </c>
      <c r="L2145" s="18" t="s">
        <v>11093</v>
      </c>
      <c r="M2145"/>
      <c r="N2145" s="433"/>
      <c r="P2145" s="433"/>
    </row>
    <row r="2146" spans="1:16" x14ac:dyDescent="0.25">
      <c r="A2146" s="862">
        <v>2864</v>
      </c>
      <c r="B2146" s="863" t="s">
        <v>9884</v>
      </c>
      <c r="C2146" s="862">
        <v>2864</v>
      </c>
      <c r="D2146" s="165" t="s">
        <v>2169</v>
      </c>
      <c r="E2146" s="165" t="s">
        <v>9885</v>
      </c>
      <c r="F2146" s="163">
        <v>1</v>
      </c>
      <c r="G2146" s="864"/>
      <c r="H2146" s="864">
        <v>0</v>
      </c>
      <c r="I2146" s="864">
        <v>0</v>
      </c>
      <c r="J2146" s="864">
        <v>0</v>
      </c>
      <c r="K2146" s="864">
        <v>21149.176945528685</v>
      </c>
      <c r="L2146" s="18" t="s">
        <v>11094</v>
      </c>
      <c r="M2146"/>
      <c r="N2146" s="433"/>
      <c r="P2146" s="433"/>
    </row>
    <row r="2147" spans="1:16" x14ac:dyDescent="0.25">
      <c r="A2147" s="862">
        <v>2865</v>
      </c>
      <c r="B2147" s="863" t="s">
        <v>9886</v>
      </c>
      <c r="C2147" s="862">
        <v>2865</v>
      </c>
      <c r="D2147" s="165" t="s">
        <v>2169</v>
      </c>
      <c r="E2147" s="165" t="s">
        <v>9887</v>
      </c>
      <c r="F2147" s="163">
        <v>1</v>
      </c>
      <c r="G2147" s="864"/>
      <c r="H2147" s="864">
        <v>0</v>
      </c>
      <c r="I2147" s="864">
        <v>0</v>
      </c>
      <c r="J2147" s="864">
        <v>0</v>
      </c>
      <c r="K2147" s="864">
        <v>22535.493411084241</v>
      </c>
      <c r="L2147" s="18" t="s">
        <v>11095</v>
      </c>
      <c r="M2147"/>
      <c r="N2147" s="433"/>
      <c r="P2147" s="433"/>
    </row>
    <row r="2148" spans="1:16" x14ac:dyDescent="0.25">
      <c r="A2148" s="862">
        <v>2866</v>
      </c>
      <c r="B2148" s="863" t="s">
        <v>9888</v>
      </c>
      <c r="C2148" s="862">
        <v>2866</v>
      </c>
      <c r="D2148" s="165" t="s">
        <v>2169</v>
      </c>
      <c r="E2148" s="165" t="s">
        <v>9889</v>
      </c>
      <c r="F2148" s="163">
        <v>1</v>
      </c>
      <c r="G2148" s="864"/>
      <c r="H2148" s="864">
        <v>0</v>
      </c>
      <c r="I2148" s="864">
        <v>0</v>
      </c>
      <c r="J2148" s="864">
        <v>0</v>
      </c>
      <c r="K2148" s="864">
        <v>21359.224894855284</v>
      </c>
      <c r="L2148" s="18" t="s">
        <v>11096</v>
      </c>
      <c r="M2148"/>
      <c r="N2148" s="433"/>
      <c r="P2148" s="433"/>
    </row>
    <row r="2149" spans="1:16" x14ac:dyDescent="0.25">
      <c r="A2149" s="862">
        <v>2867</v>
      </c>
      <c r="B2149" s="863" t="s">
        <v>9890</v>
      </c>
      <c r="C2149" s="862">
        <v>2867</v>
      </c>
      <c r="D2149" s="165" t="s">
        <v>2169</v>
      </c>
      <c r="E2149" s="165" t="s">
        <v>9891</v>
      </c>
      <c r="F2149" s="163">
        <v>1</v>
      </c>
      <c r="G2149" s="864"/>
      <c r="H2149" s="864">
        <v>21388.63160776101</v>
      </c>
      <c r="I2149" s="864">
        <v>21388.63160776101</v>
      </c>
      <c r="J2149" s="864">
        <v>21388.63160776101</v>
      </c>
      <c r="K2149" s="864">
        <v>22025.871506069248</v>
      </c>
      <c r="L2149" s="18" t="s">
        <v>4826</v>
      </c>
      <c r="M2149"/>
      <c r="N2149" s="433"/>
      <c r="P2149" s="433"/>
    </row>
    <row r="2150" spans="1:16" x14ac:dyDescent="0.25">
      <c r="A2150" s="862">
        <v>2868</v>
      </c>
      <c r="B2150" s="863" t="s">
        <v>9892</v>
      </c>
      <c r="C2150" s="862">
        <v>2868</v>
      </c>
      <c r="D2150" s="165" t="s">
        <v>2169</v>
      </c>
      <c r="E2150" s="165" t="s">
        <v>9893</v>
      </c>
      <c r="F2150" s="163">
        <v>1</v>
      </c>
      <c r="G2150" s="864"/>
      <c r="H2150" s="864">
        <v>25322.019220553026</v>
      </c>
      <c r="I2150" s="864">
        <v>26173.733630089635</v>
      </c>
      <c r="J2150" s="864">
        <v>27070.271999415309</v>
      </c>
      <c r="K2150" s="864">
        <v>28014.03085707323</v>
      </c>
      <c r="L2150" s="18" t="s">
        <v>1373</v>
      </c>
      <c r="M2150"/>
      <c r="N2150" s="433"/>
      <c r="P2150" s="433"/>
    </row>
    <row r="2151" spans="1:16" x14ac:dyDescent="0.25">
      <c r="A2151" s="862">
        <v>2869</v>
      </c>
      <c r="B2151" s="863" t="s">
        <v>9894</v>
      </c>
      <c r="C2151" s="862">
        <v>2869</v>
      </c>
      <c r="D2151" s="165" t="s">
        <v>2169</v>
      </c>
      <c r="E2151" s="165" t="s">
        <v>9895</v>
      </c>
      <c r="F2151" s="163">
        <v>1</v>
      </c>
      <c r="G2151" s="864"/>
      <c r="H2151" s="864">
        <v>22415.583071125024</v>
      </c>
      <c r="I2151" s="864">
        <v>23159.838324256412</v>
      </c>
      <c r="J2151" s="864">
        <v>0</v>
      </c>
      <c r="K2151" s="864">
        <v>0</v>
      </c>
      <c r="L2151" s="18" t="s">
        <v>1374</v>
      </c>
      <c r="M2151"/>
      <c r="N2151" s="433"/>
      <c r="P2151" s="433"/>
    </row>
    <row r="2152" spans="1:16" x14ac:dyDescent="0.25">
      <c r="A2152" s="862">
        <v>2870</v>
      </c>
      <c r="B2152" s="863" t="s">
        <v>9896</v>
      </c>
      <c r="C2152" s="862">
        <v>2870</v>
      </c>
      <c r="D2152" s="165" t="s">
        <v>2169</v>
      </c>
      <c r="E2152" s="165" t="s">
        <v>9897</v>
      </c>
      <c r="F2152" s="163">
        <v>1</v>
      </c>
      <c r="G2152" s="864"/>
      <c r="H2152" s="864">
        <v>18759.160907241723</v>
      </c>
      <c r="I2152" s="864">
        <v>19349.239490762004</v>
      </c>
      <c r="J2152" s="864">
        <v>19970.384185027171</v>
      </c>
      <c r="K2152" s="864">
        <v>20624.251849276974</v>
      </c>
      <c r="L2152" s="18" t="s">
        <v>1375</v>
      </c>
      <c r="M2152"/>
      <c r="N2152" s="433"/>
      <c r="P2152" s="433"/>
    </row>
    <row r="2153" spans="1:16" x14ac:dyDescent="0.25">
      <c r="A2153" s="862">
        <v>2871</v>
      </c>
      <c r="B2153" s="863" t="s">
        <v>9898</v>
      </c>
      <c r="C2153" s="862">
        <v>2871</v>
      </c>
      <c r="D2153" s="165" t="s">
        <v>2169</v>
      </c>
      <c r="E2153" s="165" t="s">
        <v>9899</v>
      </c>
      <c r="F2153" s="163">
        <v>1</v>
      </c>
      <c r="G2153" s="864"/>
      <c r="H2153" s="864">
        <v>0</v>
      </c>
      <c r="I2153" s="864">
        <v>0</v>
      </c>
      <c r="J2153" s="864">
        <v>0</v>
      </c>
      <c r="K2153" s="864">
        <v>21296.210510057299</v>
      </c>
      <c r="L2153" s="18" t="s">
        <v>11097</v>
      </c>
      <c r="M2153"/>
      <c r="N2153" s="433"/>
      <c r="P2153" s="433"/>
    </row>
    <row r="2154" spans="1:16" x14ac:dyDescent="0.25">
      <c r="A2154" s="862">
        <v>2872</v>
      </c>
      <c r="B2154" s="863" t="s">
        <v>9900</v>
      </c>
      <c r="C2154" s="862">
        <v>2872</v>
      </c>
      <c r="D2154" s="165" t="s">
        <v>2169</v>
      </c>
      <c r="E2154" s="165" t="s">
        <v>9901</v>
      </c>
      <c r="F2154" s="163">
        <v>1</v>
      </c>
      <c r="G2154" s="864"/>
      <c r="H2154" s="864">
        <v>0</v>
      </c>
      <c r="I2154" s="864">
        <v>0</v>
      </c>
      <c r="J2154" s="864">
        <v>0</v>
      </c>
      <c r="K2154" s="864">
        <v>19825.874864771104</v>
      </c>
      <c r="L2154" s="18" t="s">
        <v>11098</v>
      </c>
      <c r="M2154"/>
      <c r="N2154" s="433"/>
      <c r="P2154" s="433"/>
    </row>
    <row r="2155" spans="1:16" x14ac:dyDescent="0.25">
      <c r="A2155" s="862">
        <v>2873</v>
      </c>
      <c r="B2155" s="863" t="s">
        <v>9902</v>
      </c>
      <c r="C2155" s="862">
        <v>2873</v>
      </c>
      <c r="D2155" s="165" t="s">
        <v>2169</v>
      </c>
      <c r="E2155" s="165" t="s">
        <v>9903</v>
      </c>
      <c r="F2155" s="163">
        <v>1</v>
      </c>
      <c r="G2155" s="864"/>
      <c r="H2155" s="864">
        <v>19288.820763456759</v>
      </c>
      <c r="I2155" s="864">
        <v>19866.591249767622</v>
      </c>
      <c r="J2155" s="864">
        <v>20474.776937836352</v>
      </c>
      <c r="K2155" s="864">
        <v>21114.9755133584</v>
      </c>
      <c r="L2155" s="18" t="s">
        <v>1376</v>
      </c>
      <c r="M2155"/>
      <c r="N2155" s="433"/>
      <c r="P2155" s="433"/>
    </row>
    <row r="2156" spans="1:16" x14ac:dyDescent="0.25">
      <c r="A2156" s="862">
        <v>2874</v>
      </c>
      <c r="B2156" s="863" t="s">
        <v>9904</v>
      </c>
      <c r="C2156" s="862">
        <v>2874</v>
      </c>
      <c r="D2156" s="165" t="s">
        <v>2169</v>
      </c>
      <c r="E2156" s="165" t="s">
        <v>9905</v>
      </c>
      <c r="F2156" s="163">
        <v>1</v>
      </c>
      <c r="G2156" s="864"/>
      <c r="H2156" s="864">
        <v>0</v>
      </c>
      <c r="I2156" s="864">
        <v>0</v>
      </c>
      <c r="J2156" s="864">
        <v>0</v>
      </c>
      <c r="K2156" s="864">
        <v>23648.747542515222</v>
      </c>
      <c r="L2156" s="18" t="s">
        <v>11099</v>
      </c>
      <c r="M2156"/>
      <c r="N2156" s="433"/>
      <c r="P2156" s="433"/>
    </row>
    <row r="2157" spans="1:16" x14ac:dyDescent="0.25">
      <c r="A2157" s="862">
        <v>2875</v>
      </c>
      <c r="B2157" s="863" t="s">
        <v>9906</v>
      </c>
      <c r="C2157" s="862">
        <v>2875</v>
      </c>
      <c r="D2157" s="165" t="s">
        <v>2169</v>
      </c>
      <c r="E2157" s="165" t="s">
        <v>9907</v>
      </c>
      <c r="F2157" s="163">
        <v>1</v>
      </c>
      <c r="G2157" s="864"/>
      <c r="H2157" s="864">
        <v>0</v>
      </c>
      <c r="I2157" s="864">
        <v>0</v>
      </c>
      <c r="J2157" s="864">
        <v>0</v>
      </c>
      <c r="K2157" s="864">
        <v>22934.584514804785</v>
      </c>
      <c r="L2157" s="18" t="s">
        <v>11100</v>
      </c>
      <c r="M2157"/>
      <c r="N2157" s="433"/>
      <c r="P2157" s="433"/>
    </row>
    <row r="2158" spans="1:16" x14ac:dyDescent="0.25">
      <c r="A2158" s="862">
        <v>2876</v>
      </c>
      <c r="B2158" s="863" t="s">
        <v>9908</v>
      </c>
      <c r="C2158" s="862">
        <v>2876</v>
      </c>
      <c r="D2158" s="165" t="s">
        <v>2169</v>
      </c>
      <c r="E2158" s="165" t="s">
        <v>9909</v>
      </c>
      <c r="F2158" s="163">
        <v>1</v>
      </c>
      <c r="G2158" s="864"/>
      <c r="H2158" s="864">
        <v>18279.793217008206</v>
      </c>
      <c r="I2158" s="864">
        <v>18806.318400712222</v>
      </c>
      <c r="J2158" s="864">
        <v>19360.560702600575</v>
      </c>
      <c r="K2158" s="864">
        <v>19943.987695717926</v>
      </c>
      <c r="L2158" s="18" t="s">
        <v>3125</v>
      </c>
      <c r="M2158"/>
      <c r="N2158" s="433"/>
      <c r="P2158" s="433"/>
    </row>
    <row r="2159" spans="1:16" x14ac:dyDescent="0.25">
      <c r="A2159" s="862">
        <v>2877</v>
      </c>
      <c r="B2159" s="863" t="s">
        <v>9910</v>
      </c>
      <c r="C2159" s="862">
        <v>2877</v>
      </c>
      <c r="D2159" s="165" t="s">
        <v>2169</v>
      </c>
      <c r="E2159" s="165" t="s">
        <v>9911</v>
      </c>
      <c r="F2159" s="163">
        <v>1</v>
      </c>
      <c r="G2159" s="864"/>
      <c r="H2159" s="864">
        <v>25317.191933499435</v>
      </c>
      <c r="I2159" s="864">
        <v>26089.869141512045</v>
      </c>
      <c r="J2159" s="864">
        <v>26903.238147581098</v>
      </c>
      <c r="K2159" s="864">
        <v>27759.400249475071</v>
      </c>
      <c r="L2159" s="18" t="s">
        <v>4827</v>
      </c>
      <c r="M2159"/>
      <c r="N2159" s="433"/>
      <c r="P2159" s="433"/>
    </row>
    <row r="2160" spans="1:16" x14ac:dyDescent="0.25">
      <c r="A2160" s="862">
        <v>2878</v>
      </c>
      <c r="B2160" s="863" t="s">
        <v>9912</v>
      </c>
      <c r="C2160" s="862">
        <v>2878</v>
      </c>
      <c r="D2160" s="165" t="s">
        <v>2169</v>
      </c>
      <c r="E2160" s="165" t="s">
        <v>9913</v>
      </c>
      <c r="F2160" s="163">
        <v>1</v>
      </c>
      <c r="G2160" s="864"/>
      <c r="H2160" s="864">
        <v>0</v>
      </c>
      <c r="I2160" s="864">
        <v>0</v>
      </c>
      <c r="J2160" s="864">
        <v>0</v>
      </c>
      <c r="K2160" s="864">
        <v>24400.443713501209</v>
      </c>
      <c r="L2160" s="18" t="s">
        <v>11101</v>
      </c>
      <c r="M2160"/>
      <c r="N2160" s="433"/>
      <c r="P2160" s="433"/>
    </row>
    <row r="2161" spans="1:16" x14ac:dyDescent="0.25">
      <c r="A2161" s="862">
        <v>2879</v>
      </c>
      <c r="B2161" s="863" t="s">
        <v>9914</v>
      </c>
      <c r="C2161" s="862">
        <v>2879</v>
      </c>
      <c r="D2161" s="165" t="s">
        <v>2169</v>
      </c>
      <c r="E2161" s="165" t="s">
        <v>9915</v>
      </c>
      <c r="F2161" s="163">
        <v>1</v>
      </c>
      <c r="G2161" s="864"/>
      <c r="H2161" s="864">
        <v>27531.806288769338</v>
      </c>
      <c r="I2161" s="864">
        <v>28378.796059134198</v>
      </c>
      <c r="J2161" s="864">
        <v>29270.380037696967</v>
      </c>
      <c r="K2161" s="864">
        <v>30208.859645823133</v>
      </c>
      <c r="L2161" s="18" t="s">
        <v>4828</v>
      </c>
      <c r="M2161"/>
      <c r="N2161" s="433"/>
      <c r="P2161" s="433"/>
    </row>
    <row r="2162" spans="1:16" x14ac:dyDescent="0.25">
      <c r="A2162" s="862">
        <v>2880</v>
      </c>
      <c r="B2162" s="863" t="s">
        <v>9916</v>
      </c>
      <c r="C2162" s="862">
        <v>2880</v>
      </c>
      <c r="D2162" s="165" t="s">
        <v>2169</v>
      </c>
      <c r="E2162" s="165" t="s">
        <v>9917</v>
      </c>
      <c r="F2162" s="163">
        <v>1</v>
      </c>
      <c r="G2162" s="864"/>
      <c r="H2162" s="864">
        <v>0</v>
      </c>
      <c r="I2162" s="864">
        <v>0</v>
      </c>
      <c r="J2162" s="864">
        <v>0</v>
      </c>
      <c r="K2162" s="864">
        <v>28951.36704483028</v>
      </c>
      <c r="L2162" s="18" t="s">
        <v>11102</v>
      </c>
      <c r="M2162"/>
      <c r="N2162" s="433"/>
      <c r="P2162" s="433"/>
    </row>
    <row r="2163" spans="1:16" x14ac:dyDescent="0.25">
      <c r="A2163" s="862">
        <v>2881</v>
      </c>
      <c r="B2163" s="863" t="s">
        <v>9918</v>
      </c>
      <c r="C2163" s="862">
        <v>2881</v>
      </c>
      <c r="D2163" s="165" t="s">
        <v>2169</v>
      </c>
      <c r="E2163" s="165" t="s">
        <v>9919</v>
      </c>
      <c r="F2163" s="163">
        <v>1</v>
      </c>
      <c r="G2163" s="864"/>
      <c r="H2163" s="864">
        <v>0</v>
      </c>
      <c r="I2163" s="864">
        <v>0</v>
      </c>
      <c r="J2163" s="864">
        <v>0</v>
      </c>
      <c r="K2163" s="864">
        <v>28070.543174250462</v>
      </c>
      <c r="L2163" s="18" t="s">
        <v>11103</v>
      </c>
      <c r="M2163"/>
      <c r="N2163" s="433"/>
      <c r="P2163" s="433"/>
    </row>
    <row r="2164" spans="1:16" x14ac:dyDescent="0.25">
      <c r="A2164" s="862">
        <v>2882</v>
      </c>
      <c r="B2164" s="863" t="s">
        <v>9920</v>
      </c>
      <c r="C2164" s="862">
        <v>2882</v>
      </c>
      <c r="D2164" s="165" t="s">
        <v>2169</v>
      </c>
      <c r="E2164" s="165" t="s">
        <v>9921</v>
      </c>
      <c r="F2164" s="163">
        <v>1</v>
      </c>
      <c r="G2164" s="864"/>
      <c r="H2164" s="864">
        <v>0</v>
      </c>
      <c r="I2164" s="864">
        <v>0</v>
      </c>
      <c r="J2164" s="864">
        <v>0</v>
      </c>
      <c r="K2164" s="864">
        <v>19137.199798618494</v>
      </c>
      <c r="L2164" s="18" t="s">
        <v>11104</v>
      </c>
      <c r="M2164"/>
      <c r="N2164" s="433"/>
      <c r="P2164" s="433"/>
    </row>
    <row r="2165" spans="1:16" x14ac:dyDescent="0.25">
      <c r="A2165" s="862">
        <v>2883</v>
      </c>
      <c r="B2165" s="863" t="s">
        <v>9922</v>
      </c>
      <c r="C2165" s="862">
        <v>2883</v>
      </c>
      <c r="D2165" s="165" t="s">
        <v>2169</v>
      </c>
      <c r="E2165" s="165" t="s">
        <v>9923</v>
      </c>
      <c r="F2165" s="163">
        <v>1</v>
      </c>
      <c r="G2165" s="864"/>
      <c r="H2165" s="864">
        <v>0</v>
      </c>
      <c r="I2165" s="864">
        <v>19087.770849652177</v>
      </c>
      <c r="J2165" s="864">
        <v>19630.22708454758</v>
      </c>
      <c r="K2165" s="864">
        <v>20201.219461978009</v>
      </c>
      <c r="L2165" s="18" t="s">
        <v>4099</v>
      </c>
      <c r="M2165"/>
      <c r="N2165" s="433"/>
      <c r="P2165" s="433"/>
    </row>
    <row r="2166" spans="1:16" x14ac:dyDescent="0.25">
      <c r="A2166" s="862">
        <v>2884</v>
      </c>
      <c r="B2166" s="863" t="s">
        <v>9924</v>
      </c>
      <c r="C2166" s="862">
        <v>2884</v>
      </c>
      <c r="D2166" s="165" t="s">
        <v>2169</v>
      </c>
      <c r="E2166" s="165" t="s">
        <v>9925</v>
      </c>
      <c r="F2166" s="163">
        <v>1</v>
      </c>
      <c r="G2166" s="864"/>
      <c r="H2166" s="864">
        <v>0</v>
      </c>
      <c r="I2166" s="864">
        <v>20699.154585954209</v>
      </c>
      <c r="J2166" s="864">
        <v>21293.629479732819</v>
      </c>
      <c r="K2166" s="864">
        <v>21919.369474187348</v>
      </c>
      <c r="L2166" s="18" t="s">
        <v>4100</v>
      </c>
      <c r="M2166"/>
      <c r="N2166" s="433"/>
      <c r="P2166" s="433"/>
    </row>
    <row r="2167" spans="1:16" x14ac:dyDescent="0.25">
      <c r="A2167" s="862">
        <v>2885</v>
      </c>
      <c r="B2167" s="863" t="s">
        <v>9926</v>
      </c>
      <c r="C2167" s="862">
        <v>2885</v>
      </c>
      <c r="D2167" s="165" t="s">
        <v>2170</v>
      </c>
      <c r="E2167" s="165" t="s">
        <v>9927</v>
      </c>
      <c r="F2167" s="163">
        <v>1</v>
      </c>
      <c r="G2167" s="864"/>
      <c r="H2167" s="864">
        <v>18941.480292080847</v>
      </c>
      <c r="I2167" s="864">
        <v>19564.830702874973</v>
      </c>
      <c r="J2167" s="864">
        <v>20221.022002806945</v>
      </c>
      <c r="K2167" s="864">
        <v>20911.735803669959</v>
      </c>
      <c r="L2167" s="18" t="s">
        <v>1377</v>
      </c>
      <c r="M2167"/>
      <c r="N2167" s="433"/>
      <c r="P2167" s="433"/>
    </row>
    <row r="2168" spans="1:16" x14ac:dyDescent="0.25">
      <c r="A2168" s="862">
        <v>2886</v>
      </c>
      <c r="B2168" s="863" t="s">
        <v>9928</v>
      </c>
      <c r="C2168" s="862">
        <v>2886</v>
      </c>
      <c r="D2168" s="165" t="s">
        <v>2170</v>
      </c>
      <c r="E2168" s="165" t="s">
        <v>9929</v>
      </c>
      <c r="F2168" s="163">
        <v>1</v>
      </c>
      <c r="G2168" s="864"/>
      <c r="H2168" s="864">
        <v>14457.535633327452</v>
      </c>
      <c r="I2168" s="864">
        <v>14913.054592603874</v>
      </c>
      <c r="J2168" s="864">
        <v>15392.57773590877</v>
      </c>
      <c r="K2168" s="864">
        <v>15897.325056111704</v>
      </c>
      <c r="L2168" s="18" t="s">
        <v>1378</v>
      </c>
      <c r="M2168"/>
      <c r="N2168" s="433"/>
      <c r="P2168" s="433"/>
    </row>
    <row r="2169" spans="1:16" x14ac:dyDescent="0.25">
      <c r="A2169" s="862">
        <v>2887</v>
      </c>
      <c r="B2169" s="863" t="s">
        <v>9930</v>
      </c>
      <c r="C2169" s="862">
        <v>2887</v>
      </c>
      <c r="D2169" s="165" t="s">
        <v>2170</v>
      </c>
      <c r="E2169" s="165" t="s">
        <v>9931</v>
      </c>
      <c r="F2169" s="163">
        <v>1</v>
      </c>
      <c r="G2169" s="864"/>
      <c r="H2169" s="864">
        <v>15713.037499955981</v>
      </c>
      <c r="I2169" s="864">
        <v>16215.575643881575</v>
      </c>
      <c r="J2169" s="864">
        <v>16744.557957574787</v>
      </c>
      <c r="K2169" s="864">
        <v>17301.402270586754</v>
      </c>
      <c r="L2169" s="18" t="s">
        <v>1379</v>
      </c>
      <c r="M2169"/>
      <c r="N2169" s="433"/>
      <c r="P2169" s="433"/>
    </row>
    <row r="2170" spans="1:16" x14ac:dyDescent="0.25">
      <c r="A2170" s="862">
        <v>2888</v>
      </c>
      <c r="B2170" s="863" t="s">
        <v>9932</v>
      </c>
      <c r="C2170" s="862">
        <v>2888</v>
      </c>
      <c r="D2170" s="165" t="s">
        <v>2170</v>
      </c>
      <c r="E2170" s="165" t="s">
        <v>9933</v>
      </c>
      <c r="F2170" s="163">
        <v>1</v>
      </c>
      <c r="G2170" s="864"/>
      <c r="H2170" s="864">
        <v>13728.867272009662</v>
      </c>
      <c r="I2170" s="864">
        <v>0</v>
      </c>
      <c r="J2170" s="864">
        <v>0</v>
      </c>
      <c r="K2170" s="864">
        <v>0</v>
      </c>
      <c r="L2170" s="18" t="s">
        <v>3126</v>
      </c>
      <c r="M2170"/>
      <c r="N2170" s="433"/>
      <c r="P2170" s="433"/>
    </row>
    <row r="2171" spans="1:16" x14ac:dyDescent="0.25">
      <c r="A2171" s="862">
        <v>2889</v>
      </c>
      <c r="B2171" s="863" t="s">
        <v>9934</v>
      </c>
      <c r="C2171" s="862">
        <v>2889</v>
      </c>
      <c r="D2171" s="165" t="s">
        <v>2170</v>
      </c>
      <c r="E2171" s="165" t="s">
        <v>9935</v>
      </c>
      <c r="F2171" s="163">
        <v>1</v>
      </c>
      <c r="G2171" s="864"/>
      <c r="H2171" s="864">
        <v>15310.86580096987</v>
      </c>
      <c r="I2171" s="864">
        <v>15623.718158557545</v>
      </c>
      <c r="J2171" s="864">
        <v>15953.044713744159</v>
      </c>
      <c r="K2171" s="864">
        <v>16299.702404621394</v>
      </c>
      <c r="L2171" s="18" t="s">
        <v>1380</v>
      </c>
      <c r="M2171"/>
      <c r="N2171" s="433"/>
      <c r="P2171" s="433"/>
    </row>
    <row r="2172" spans="1:16" x14ac:dyDescent="0.25">
      <c r="A2172" s="862">
        <v>2890</v>
      </c>
      <c r="B2172" s="863" t="s">
        <v>9936</v>
      </c>
      <c r="C2172" s="862">
        <v>2890</v>
      </c>
      <c r="D2172" s="165" t="s">
        <v>2170</v>
      </c>
      <c r="E2172" s="165" t="s">
        <v>9937</v>
      </c>
      <c r="F2172" s="163">
        <v>1</v>
      </c>
      <c r="G2172" s="864"/>
      <c r="H2172" s="864">
        <v>0</v>
      </c>
      <c r="I2172" s="864">
        <v>15508.061193014733</v>
      </c>
      <c r="J2172" s="864">
        <v>15798.851766875148</v>
      </c>
      <c r="K2172" s="864">
        <v>16104.9535509244</v>
      </c>
      <c r="L2172" s="18" t="s">
        <v>4829</v>
      </c>
      <c r="M2172"/>
      <c r="N2172" s="433"/>
      <c r="P2172" s="433"/>
    </row>
    <row r="2173" spans="1:16" x14ac:dyDescent="0.25">
      <c r="A2173" s="862">
        <v>2891</v>
      </c>
      <c r="B2173" s="863" t="s">
        <v>9938</v>
      </c>
      <c r="C2173" s="862">
        <v>2891</v>
      </c>
      <c r="D2173" s="165" t="s">
        <v>2170</v>
      </c>
      <c r="E2173" s="165" t="s">
        <v>9939</v>
      </c>
      <c r="F2173" s="163">
        <v>1</v>
      </c>
      <c r="G2173" s="864"/>
      <c r="H2173" s="864">
        <v>0</v>
      </c>
      <c r="I2173" s="864">
        <v>0</v>
      </c>
      <c r="J2173" s="864">
        <v>14100.929121650372</v>
      </c>
      <c r="K2173" s="864">
        <v>14522.486117260154</v>
      </c>
      <c r="L2173" s="18" t="s">
        <v>4830</v>
      </c>
      <c r="M2173"/>
      <c r="N2173" s="433"/>
      <c r="P2173" s="433"/>
    </row>
    <row r="2174" spans="1:16" x14ac:dyDescent="0.25">
      <c r="A2174" s="862">
        <v>2892</v>
      </c>
      <c r="B2174" s="863" t="s">
        <v>9940</v>
      </c>
      <c r="C2174" s="862">
        <v>2892</v>
      </c>
      <c r="D2174" s="165" t="s">
        <v>2170</v>
      </c>
      <c r="E2174" s="165" t="s">
        <v>9941</v>
      </c>
      <c r="F2174" s="163">
        <v>1</v>
      </c>
      <c r="G2174" s="864"/>
      <c r="H2174" s="864">
        <v>0</v>
      </c>
      <c r="I2174" s="864">
        <v>0</v>
      </c>
      <c r="J2174" s="864">
        <v>13225.489475436932</v>
      </c>
      <c r="K2174" s="864">
        <v>13615.788275361296</v>
      </c>
      <c r="L2174" s="18" t="s">
        <v>4831</v>
      </c>
      <c r="M2174"/>
      <c r="N2174" s="433"/>
      <c r="P2174" s="433"/>
    </row>
    <row r="2175" spans="1:16" x14ac:dyDescent="0.25">
      <c r="A2175" s="862">
        <v>2893</v>
      </c>
      <c r="B2175" s="863" t="s">
        <v>9942</v>
      </c>
      <c r="C2175" s="862">
        <v>2893</v>
      </c>
      <c r="D2175" s="165" t="s">
        <v>2170</v>
      </c>
      <c r="E2175" s="165" t="s">
        <v>9943</v>
      </c>
      <c r="F2175" s="163">
        <v>1</v>
      </c>
      <c r="G2175" s="864"/>
      <c r="H2175" s="864">
        <v>0</v>
      </c>
      <c r="I2175" s="864">
        <v>0</v>
      </c>
      <c r="J2175" s="864">
        <v>16289.528237183978</v>
      </c>
      <c r="K2175" s="864">
        <v>16789.164776446785</v>
      </c>
      <c r="L2175" s="18" t="s">
        <v>4832</v>
      </c>
      <c r="M2175"/>
      <c r="N2175" s="433"/>
      <c r="P2175" s="433"/>
    </row>
    <row r="2176" spans="1:16" x14ac:dyDescent="0.25">
      <c r="A2176" s="862">
        <v>2894</v>
      </c>
      <c r="B2176" s="863" t="s">
        <v>9944</v>
      </c>
      <c r="C2176" s="862">
        <v>2894</v>
      </c>
      <c r="D2176" s="165" t="s">
        <v>2170</v>
      </c>
      <c r="E2176" s="165" t="s">
        <v>9945</v>
      </c>
      <c r="F2176" s="163">
        <v>1</v>
      </c>
      <c r="G2176" s="864"/>
      <c r="H2176" s="864">
        <v>0</v>
      </c>
      <c r="I2176" s="864">
        <v>0</v>
      </c>
      <c r="J2176" s="864">
        <v>17164.967883397418</v>
      </c>
      <c r="K2176" s="864">
        <v>17695.862618345644</v>
      </c>
      <c r="L2176" s="18" t="s">
        <v>4833</v>
      </c>
      <c r="M2176"/>
      <c r="N2176" s="433"/>
      <c r="P2176" s="433"/>
    </row>
    <row r="2177" spans="1:16" x14ac:dyDescent="0.25">
      <c r="A2177" s="862">
        <v>2895</v>
      </c>
      <c r="B2177" s="863" t="s">
        <v>9946</v>
      </c>
      <c r="C2177" s="862">
        <v>2895</v>
      </c>
      <c r="D2177" s="165" t="s">
        <v>2170</v>
      </c>
      <c r="E2177" s="165" t="s">
        <v>9947</v>
      </c>
      <c r="F2177" s="163">
        <v>1</v>
      </c>
      <c r="G2177" s="864"/>
      <c r="H2177" s="864">
        <v>10470.921879820606</v>
      </c>
      <c r="I2177" s="864">
        <v>10757.030555674211</v>
      </c>
      <c r="J2177" s="864">
        <v>11058.212551428651</v>
      </c>
      <c r="K2177" s="864">
        <v>11375.257873368038</v>
      </c>
      <c r="L2177" s="18" t="s">
        <v>1381</v>
      </c>
      <c r="M2177"/>
      <c r="N2177" s="433"/>
      <c r="P2177" s="433"/>
    </row>
    <row r="2178" spans="1:16" x14ac:dyDescent="0.25">
      <c r="A2178" s="862">
        <v>2896</v>
      </c>
      <c r="B2178" s="863" t="s">
        <v>9948</v>
      </c>
      <c r="C2178" s="862">
        <v>2896</v>
      </c>
      <c r="D2178" s="165" t="s">
        <v>2170</v>
      </c>
      <c r="E2178" s="165" t="s">
        <v>9949</v>
      </c>
      <c r="F2178" s="163">
        <v>1</v>
      </c>
      <c r="G2178" s="864"/>
      <c r="H2178" s="864">
        <v>0</v>
      </c>
      <c r="I2178" s="864">
        <v>9045.2307793154669</v>
      </c>
      <c r="J2178" s="864">
        <v>9224.6570065627329</v>
      </c>
      <c r="K2178" s="864">
        <v>9413.5317089679666</v>
      </c>
      <c r="L2178" s="18" t="s">
        <v>11105</v>
      </c>
      <c r="M2178"/>
      <c r="N2178" s="433"/>
      <c r="P2178" s="433"/>
    </row>
    <row r="2179" spans="1:16" x14ac:dyDescent="0.25">
      <c r="A2179" s="862">
        <v>2897</v>
      </c>
      <c r="B2179" s="863" t="s">
        <v>9950</v>
      </c>
      <c r="C2179" s="862">
        <v>2897</v>
      </c>
      <c r="D2179" s="165" t="s">
        <v>2170</v>
      </c>
      <c r="E2179" s="165" t="s">
        <v>9951</v>
      </c>
      <c r="F2179" s="163">
        <v>1</v>
      </c>
      <c r="G2179" s="864"/>
      <c r="H2179" s="864">
        <v>10274.358681943608</v>
      </c>
      <c r="I2179" s="864">
        <v>0</v>
      </c>
      <c r="J2179" s="864">
        <v>0</v>
      </c>
      <c r="K2179" s="864">
        <v>0</v>
      </c>
      <c r="L2179" s="18" t="s">
        <v>3127</v>
      </c>
      <c r="M2179"/>
      <c r="N2179" s="433"/>
      <c r="P2179" s="433"/>
    </row>
    <row r="2180" spans="1:16" x14ac:dyDescent="0.25">
      <c r="A2180" s="862">
        <v>2898</v>
      </c>
      <c r="B2180" s="863" t="s">
        <v>9952</v>
      </c>
      <c r="C2180" s="862">
        <v>2898</v>
      </c>
      <c r="D2180" s="165" t="s">
        <v>2170</v>
      </c>
      <c r="E2180" s="165" t="s">
        <v>9953</v>
      </c>
      <c r="F2180" s="163">
        <v>1</v>
      </c>
      <c r="G2180" s="864"/>
      <c r="H2180" s="864">
        <v>11921.748578867742</v>
      </c>
      <c r="I2180" s="864">
        <v>12228.144616097314</v>
      </c>
      <c r="J2180" s="864">
        <v>12550.688381774113</v>
      </c>
      <c r="K2180" s="864">
        <v>12890.201482433613</v>
      </c>
      <c r="L2180" s="18" t="s">
        <v>3128</v>
      </c>
      <c r="M2180"/>
      <c r="N2180" s="433"/>
      <c r="P2180" s="433"/>
    </row>
    <row r="2181" spans="1:16" x14ac:dyDescent="0.25">
      <c r="A2181" s="862">
        <v>2899</v>
      </c>
      <c r="B2181" s="863" t="s">
        <v>9954</v>
      </c>
      <c r="C2181" s="862">
        <v>2899</v>
      </c>
      <c r="D2181" s="165" t="s">
        <v>2170</v>
      </c>
      <c r="E2181" s="165" t="s">
        <v>9955</v>
      </c>
      <c r="F2181" s="163">
        <v>1</v>
      </c>
      <c r="G2181" s="864"/>
      <c r="H2181" s="864">
        <v>11484.013549113613</v>
      </c>
      <c r="I2181" s="864">
        <v>11776.473875491474</v>
      </c>
      <c r="J2181" s="864">
        <v>12084.355124535168</v>
      </c>
      <c r="K2181" s="864">
        <v>12408.447302528826</v>
      </c>
      <c r="L2181" s="18" t="s">
        <v>3129</v>
      </c>
      <c r="M2181"/>
      <c r="N2181" s="433"/>
      <c r="P2181" s="433"/>
    </row>
    <row r="2182" spans="1:16" x14ac:dyDescent="0.25">
      <c r="A2182" s="862">
        <v>2900</v>
      </c>
      <c r="B2182" s="863" t="s">
        <v>9956</v>
      </c>
      <c r="C2182" s="862">
        <v>2900</v>
      </c>
      <c r="D2182" s="165" t="s">
        <v>2170</v>
      </c>
      <c r="E2182" s="165" t="s">
        <v>9957</v>
      </c>
      <c r="F2182" s="163">
        <v>1</v>
      </c>
      <c r="G2182" s="864"/>
      <c r="H2182" s="864">
        <v>0</v>
      </c>
      <c r="I2182" s="864">
        <v>13479.708738530288</v>
      </c>
      <c r="J2182" s="864">
        <v>13835.653969899291</v>
      </c>
      <c r="K2182" s="864">
        <v>14210.338150327409</v>
      </c>
      <c r="L2182" s="18" t="s">
        <v>4101</v>
      </c>
      <c r="M2182"/>
      <c r="N2182" s="433"/>
      <c r="P2182" s="433"/>
    </row>
    <row r="2183" spans="1:16" x14ac:dyDescent="0.25">
      <c r="A2183" s="862">
        <v>2901</v>
      </c>
      <c r="B2183" s="863" t="s">
        <v>9958</v>
      </c>
      <c r="C2183" s="862">
        <v>2901</v>
      </c>
      <c r="D2183" s="165" t="s">
        <v>2170</v>
      </c>
      <c r="E2183" s="165" t="s">
        <v>9959</v>
      </c>
      <c r="F2183" s="163">
        <v>1</v>
      </c>
      <c r="G2183" s="864"/>
      <c r="H2183" s="864">
        <v>0</v>
      </c>
      <c r="I2183" s="864">
        <v>12726.616214222106</v>
      </c>
      <c r="J2183" s="864">
        <v>13058.608455056874</v>
      </c>
      <c r="K2183" s="864">
        <v>13912.289245667112</v>
      </c>
      <c r="L2183" s="18" t="s">
        <v>4102</v>
      </c>
      <c r="M2183"/>
      <c r="N2183" s="433"/>
      <c r="P2183" s="433"/>
    </row>
    <row r="2184" spans="1:16" x14ac:dyDescent="0.25">
      <c r="A2184" s="862">
        <v>2902</v>
      </c>
      <c r="B2184" s="863" t="s">
        <v>9960</v>
      </c>
      <c r="C2184" s="862">
        <v>2902</v>
      </c>
      <c r="D2184" s="165" t="s">
        <v>2170</v>
      </c>
      <c r="E2184" s="165" t="s">
        <v>9961</v>
      </c>
      <c r="F2184" s="163">
        <v>1</v>
      </c>
      <c r="G2184" s="864"/>
      <c r="H2184" s="864">
        <v>0</v>
      </c>
      <c r="I2184" s="864">
        <v>15034.954635580254</v>
      </c>
      <c r="J2184" s="864">
        <v>15446.295107591128</v>
      </c>
      <c r="K2184" s="864">
        <v>15879.281751786626</v>
      </c>
      <c r="L2184" s="18" t="s">
        <v>4103</v>
      </c>
      <c r="M2184"/>
      <c r="N2184" s="433"/>
      <c r="P2184" s="433"/>
    </row>
    <row r="2185" spans="1:16" x14ac:dyDescent="0.25">
      <c r="A2185" s="862">
        <v>2903</v>
      </c>
      <c r="B2185" s="863" t="s">
        <v>9962</v>
      </c>
      <c r="C2185" s="862">
        <v>2903</v>
      </c>
      <c r="D2185" s="165" t="s">
        <v>2170</v>
      </c>
      <c r="E2185" s="165" t="s">
        <v>9963</v>
      </c>
      <c r="F2185" s="163">
        <v>1</v>
      </c>
      <c r="G2185" s="864"/>
      <c r="H2185" s="864">
        <v>12828.881050015134</v>
      </c>
      <c r="I2185" s="864">
        <v>13182.262402134946</v>
      </c>
      <c r="J2185" s="864">
        <v>13554.236024232028</v>
      </c>
      <c r="K2185" s="864">
        <v>13945.763585443146</v>
      </c>
      <c r="L2185" s="18" t="s">
        <v>1382</v>
      </c>
      <c r="M2185"/>
      <c r="N2185" s="433"/>
      <c r="P2185" s="433"/>
    </row>
    <row r="2186" spans="1:16" x14ac:dyDescent="0.25">
      <c r="A2186" s="862">
        <v>2904</v>
      </c>
      <c r="B2186" s="863" t="s">
        <v>9964</v>
      </c>
      <c r="C2186" s="862">
        <v>2904</v>
      </c>
      <c r="D2186" s="165" t="s">
        <v>2170</v>
      </c>
      <c r="E2186" s="165" t="s">
        <v>9965</v>
      </c>
      <c r="F2186" s="163">
        <v>1</v>
      </c>
      <c r="G2186" s="864"/>
      <c r="H2186" s="864">
        <v>12272.59407858423</v>
      </c>
      <c r="I2186" s="864">
        <v>12607.31904945098</v>
      </c>
      <c r="J2186" s="864">
        <v>12959.642565520362</v>
      </c>
      <c r="K2186" s="864">
        <v>13330.52629592913</v>
      </c>
      <c r="L2186" s="18" t="s">
        <v>1383</v>
      </c>
      <c r="M2186"/>
      <c r="N2186" s="433"/>
      <c r="P2186" s="433"/>
    </row>
    <row r="2187" spans="1:16" x14ac:dyDescent="0.25">
      <c r="A2187" s="862">
        <v>2905</v>
      </c>
      <c r="B2187" s="863" t="s">
        <v>9966</v>
      </c>
      <c r="C2187" s="862">
        <v>2905</v>
      </c>
      <c r="D2187" s="165" t="s">
        <v>2170</v>
      </c>
      <c r="E2187" s="165" t="s">
        <v>9967</v>
      </c>
      <c r="F2187" s="163">
        <v>1</v>
      </c>
      <c r="G2187" s="864"/>
      <c r="H2187" s="864">
        <v>0</v>
      </c>
      <c r="I2187" s="864">
        <v>0</v>
      </c>
      <c r="J2187" s="864">
        <v>15073.719470336668</v>
      </c>
      <c r="K2187" s="864">
        <v>15477.460229584587</v>
      </c>
      <c r="L2187" s="18" t="s">
        <v>4834</v>
      </c>
      <c r="M2187"/>
      <c r="N2187" s="433"/>
      <c r="P2187" s="433"/>
    </row>
    <row r="2188" spans="1:16" x14ac:dyDescent="0.25">
      <c r="A2188" s="862">
        <v>2906</v>
      </c>
      <c r="B2188" s="863" t="s">
        <v>9968</v>
      </c>
      <c r="C2188" s="862">
        <v>2906</v>
      </c>
      <c r="D2188" s="165" t="s">
        <v>2170</v>
      </c>
      <c r="E2188" s="165" t="s">
        <v>9969</v>
      </c>
      <c r="F2188" s="163">
        <v>1</v>
      </c>
      <c r="G2188" s="864"/>
      <c r="H2188" s="864">
        <v>0</v>
      </c>
      <c r="I2188" s="864">
        <v>0</v>
      </c>
      <c r="J2188" s="864">
        <v>14020.571747892242</v>
      </c>
      <c r="K2188" s="864">
        <v>14391.070810646301</v>
      </c>
      <c r="L2188" s="18" t="s">
        <v>4835</v>
      </c>
      <c r="M2188"/>
      <c r="N2188" s="433"/>
      <c r="P2188" s="433"/>
    </row>
    <row r="2189" spans="1:16" x14ac:dyDescent="0.25">
      <c r="A2189" s="862">
        <v>2907</v>
      </c>
      <c r="B2189" s="863" t="s">
        <v>9970</v>
      </c>
      <c r="C2189" s="862">
        <v>2907</v>
      </c>
      <c r="D2189" s="165" t="s">
        <v>2170</v>
      </c>
      <c r="E2189" s="165" t="s">
        <v>9971</v>
      </c>
      <c r="F2189" s="163">
        <v>1</v>
      </c>
      <c r="G2189" s="864"/>
      <c r="H2189" s="864">
        <v>12362.261229241532</v>
      </c>
      <c r="I2189" s="864">
        <v>12706.218223821143</v>
      </c>
      <c r="J2189" s="864">
        <v>13068.286653809646</v>
      </c>
      <c r="K2189" s="864">
        <v>13449.428188343803</v>
      </c>
      <c r="L2189" s="18" t="s">
        <v>1384</v>
      </c>
      <c r="M2189"/>
      <c r="N2189" s="433"/>
      <c r="P2189" s="433"/>
    </row>
    <row r="2190" spans="1:16" x14ac:dyDescent="0.25">
      <c r="A2190" s="862">
        <v>2908</v>
      </c>
      <c r="B2190" s="863" t="s">
        <v>9972</v>
      </c>
      <c r="C2190" s="862">
        <v>2908</v>
      </c>
      <c r="D2190" s="165" t="s">
        <v>2170</v>
      </c>
      <c r="E2190" s="165" t="s">
        <v>9973</v>
      </c>
      <c r="F2190" s="163">
        <v>1</v>
      </c>
      <c r="G2190" s="864"/>
      <c r="H2190" s="864">
        <v>11814.696131447285</v>
      </c>
      <c r="I2190" s="864">
        <v>12139.964689135937</v>
      </c>
      <c r="J2190" s="864">
        <v>12482.350957458846</v>
      </c>
      <c r="K2190" s="864">
        <v>12842.752494276971</v>
      </c>
      <c r="L2190" s="18" t="s">
        <v>1385</v>
      </c>
      <c r="M2190"/>
      <c r="N2190" s="433"/>
      <c r="P2190" s="433"/>
    </row>
    <row r="2191" spans="1:16" x14ac:dyDescent="0.25">
      <c r="A2191" s="862">
        <v>2909</v>
      </c>
      <c r="B2191" s="863" t="s">
        <v>9974</v>
      </c>
      <c r="C2191" s="862">
        <v>2909</v>
      </c>
      <c r="D2191" s="165" t="s">
        <v>2171</v>
      </c>
      <c r="E2191" s="165" t="s">
        <v>9975</v>
      </c>
      <c r="F2191" s="163">
        <v>1</v>
      </c>
      <c r="G2191" s="864"/>
      <c r="H2191" s="864">
        <v>10674.178333184553</v>
      </c>
      <c r="I2191" s="864">
        <v>10958.343756638847</v>
      </c>
      <c r="J2191" s="864">
        <v>11257.500769127328</v>
      </c>
      <c r="K2191" s="864">
        <v>11572.382814340517</v>
      </c>
      <c r="L2191" s="18" t="s">
        <v>1386</v>
      </c>
      <c r="M2191"/>
      <c r="N2191" s="433"/>
      <c r="P2191" s="433"/>
    </row>
    <row r="2192" spans="1:16" x14ac:dyDescent="0.25">
      <c r="A2192" s="862">
        <v>2910</v>
      </c>
      <c r="B2192" s="863" t="s">
        <v>9976</v>
      </c>
      <c r="C2192" s="862">
        <v>2910</v>
      </c>
      <c r="D2192" s="165" t="s">
        <v>2171</v>
      </c>
      <c r="E2192" s="165" t="s">
        <v>9977</v>
      </c>
      <c r="F2192" s="163">
        <v>1</v>
      </c>
      <c r="G2192" s="864"/>
      <c r="H2192" s="864">
        <v>10195.013701773421</v>
      </c>
      <c r="I2192" s="864">
        <v>10462.808662055348</v>
      </c>
      <c r="J2192" s="864">
        <v>10744.715078942849</v>
      </c>
      <c r="K2192" s="864">
        <v>11041.43705837881</v>
      </c>
      <c r="L2192" s="18" t="s">
        <v>1387</v>
      </c>
      <c r="M2192"/>
      <c r="N2192" s="433"/>
      <c r="P2192" s="433"/>
    </row>
    <row r="2193" spans="1:16" x14ac:dyDescent="0.25">
      <c r="A2193" s="862">
        <v>2911</v>
      </c>
      <c r="B2193" s="863" t="s">
        <v>9978</v>
      </c>
      <c r="C2193" s="862">
        <v>2911</v>
      </c>
      <c r="D2193" s="165" t="s">
        <v>2171</v>
      </c>
      <c r="E2193" s="165" t="s">
        <v>9979</v>
      </c>
      <c r="F2193" s="163">
        <v>1</v>
      </c>
      <c r="G2193" s="864"/>
      <c r="H2193" s="864">
        <v>14540.807880485319</v>
      </c>
      <c r="I2193" s="864">
        <v>14964.240526189098</v>
      </c>
      <c r="J2193" s="864">
        <v>15409.950820191782</v>
      </c>
      <c r="K2193" s="864">
        <v>15879.134455481155</v>
      </c>
      <c r="L2193" s="18" t="s">
        <v>1388</v>
      </c>
      <c r="M2193"/>
      <c r="N2193" s="433"/>
      <c r="P2193" s="433"/>
    </row>
    <row r="2194" spans="1:16" x14ac:dyDescent="0.25">
      <c r="A2194" s="862">
        <v>2912</v>
      </c>
      <c r="B2194" s="863" t="s">
        <v>9980</v>
      </c>
      <c r="C2194" s="862">
        <v>2912</v>
      </c>
      <c r="D2194" s="165" t="s">
        <v>2171</v>
      </c>
      <c r="E2194" s="165" t="s">
        <v>9981</v>
      </c>
      <c r="F2194" s="163">
        <v>1</v>
      </c>
      <c r="G2194" s="864"/>
      <c r="H2194" s="864">
        <v>20093.323575921942</v>
      </c>
      <c r="I2194" s="864">
        <v>20674.745024039239</v>
      </c>
      <c r="J2194" s="864">
        <v>21286.782505765052</v>
      </c>
      <c r="K2194" s="864">
        <v>21931.040766951424</v>
      </c>
      <c r="L2194" s="18" t="s">
        <v>3130</v>
      </c>
      <c r="M2194"/>
      <c r="N2194" s="433"/>
      <c r="P2194" s="433"/>
    </row>
    <row r="2195" spans="1:16" x14ac:dyDescent="0.25">
      <c r="A2195" s="862">
        <v>2913</v>
      </c>
      <c r="B2195" s="863" t="s">
        <v>9982</v>
      </c>
      <c r="C2195" s="862">
        <v>2913</v>
      </c>
      <c r="D2195" s="165" t="s">
        <v>2171</v>
      </c>
      <c r="E2195" s="165" t="s">
        <v>9983</v>
      </c>
      <c r="F2195" s="163">
        <v>1</v>
      </c>
      <c r="G2195" s="864"/>
      <c r="H2195" s="864">
        <v>17814.258879913232</v>
      </c>
      <c r="I2195" s="864">
        <v>18378.625970151999</v>
      </c>
      <c r="J2195" s="864">
        <v>18972.665125851021</v>
      </c>
      <c r="K2195" s="864">
        <v>19597.981092862337</v>
      </c>
      <c r="L2195" s="18" t="s">
        <v>4836</v>
      </c>
      <c r="M2195"/>
      <c r="N2195" s="433"/>
      <c r="P2195" s="433"/>
    </row>
    <row r="2196" spans="1:16" x14ac:dyDescent="0.25">
      <c r="A2196" s="862">
        <v>2914</v>
      </c>
      <c r="B2196" s="863" t="s">
        <v>9984</v>
      </c>
      <c r="C2196" s="862">
        <v>2914</v>
      </c>
      <c r="D2196" s="165" t="s">
        <v>2171</v>
      </c>
      <c r="E2196" s="165" t="s">
        <v>9985</v>
      </c>
      <c r="F2196" s="163">
        <v>1</v>
      </c>
      <c r="G2196" s="864"/>
      <c r="H2196" s="864">
        <v>16407.422673739638</v>
      </c>
      <c r="I2196" s="864">
        <v>16895.328343969475</v>
      </c>
      <c r="J2196" s="864">
        <v>17408.941413436874</v>
      </c>
      <c r="K2196" s="864">
        <v>17949.583437549409</v>
      </c>
      <c r="L2196" s="18" t="s">
        <v>1389</v>
      </c>
      <c r="M2196"/>
      <c r="N2196" s="433"/>
      <c r="P2196" s="433"/>
    </row>
    <row r="2197" spans="1:16" x14ac:dyDescent="0.25">
      <c r="A2197" s="862">
        <v>2915</v>
      </c>
      <c r="B2197" s="863" t="s">
        <v>9986</v>
      </c>
      <c r="C2197" s="862">
        <v>2915</v>
      </c>
      <c r="D2197" s="165" t="s">
        <v>2171</v>
      </c>
      <c r="E2197" s="165" t="s">
        <v>9987</v>
      </c>
      <c r="F2197" s="163">
        <v>1</v>
      </c>
      <c r="G2197" s="864"/>
      <c r="H2197" s="864">
        <v>18425.354847631515</v>
      </c>
      <c r="I2197" s="864">
        <v>18983.019764017648</v>
      </c>
      <c r="J2197" s="864">
        <v>19570.042089814615</v>
      </c>
      <c r="K2197" s="864">
        <v>20187.963639664573</v>
      </c>
      <c r="L2197" s="18" t="s">
        <v>1390</v>
      </c>
      <c r="M2197"/>
      <c r="N2197" s="433"/>
      <c r="P2197" s="433"/>
    </row>
    <row r="2198" spans="1:16" x14ac:dyDescent="0.25">
      <c r="A2198" s="862">
        <v>2916</v>
      </c>
      <c r="B2198" s="863" t="s">
        <v>9988</v>
      </c>
      <c r="C2198" s="862">
        <v>2916</v>
      </c>
      <c r="D2198" s="165" t="s">
        <v>2171</v>
      </c>
      <c r="E2198" s="165" t="s">
        <v>9989</v>
      </c>
      <c r="F2198" s="163">
        <v>1</v>
      </c>
      <c r="G2198" s="864"/>
      <c r="H2198" s="864">
        <v>0</v>
      </c>
      <c r="I2198" s="864">
        <v>20631.94479935972</v>
      </c>
      <c r="J2198" s="864">
        <v>21230.955520639567</v>
      </c>
      <c r="K2198" s="864">
        <v>21861.494778071246</v>
      </c>
      <c r="L2198" s="18" t="s">
        <v>4104</v>
      </c>
      <c r="M2198"/>
      <c r="N2198" s="433"/>
      <c r="P2198" s="433"/>
    </row>
    <row r="2199" spans="1:16" x14ac:dyDescent="0.25">
      <c r="A2199" s="862">
        <v>2917</v>
      </c>
      <c r="B2199" s="863" t="s">
        <v>9990</v>
      </c>
      <c r="C2199" s="862">
        <v>2917</v>
      </c>
      <c r="D2199" s="165" t="s">
        <v>2171</v>
      </c>
      <c r="E2199" s="165" t="s">
        <v>9991</v>
      </c>
      <c r="F2199" s="163">
        <v>1</v>
      </c>
      <c r="G2199" s="864"/>
      <c r="H2199" s="864">
        <v>0</v>
      </c>
      <c r="I2199" s="864">
        <v>0</v>
      </c>
      <c r="J2199" s="864">
        <v>0</v>
      </c>
      <c r="K2199" s="864">
        <v>21736.574766071106</v>
      </c>
      <c r="L2199" s="18" t="s">
        <v>11106</v>
      </c>
      <c r="M2199"/>
      <c r="N2199" s="433"/>
      <c r="P2199" s="433"/>
    </row>
    <row r="2200" spans="1:16" x14ac:dyDescent="0.25">
      <c r="A2200" s="862">
        <v>2918</v>
      </c>
      <c r="B2200" s="863" t="s">
        <v>9992</v>
      </c>
      <c r="C2200" s="862">
        <v>2918</v>
      </c>
      <c r="D2200" s="165" t="s">
        <v>2171</v>
      </c>
      <c r="E2200" s="165" t="s">
        <v>9993</v>
      </c>
      <c r="F2200" s="163">
        <v>1</v>
      </c>
      <c r="G2200" s="864"/>
      <c r="H2200" s="864">
        <v>0</v>
      </c>
      <c r="I2200" s="864">
        <v>0</v>
      </c>
      <c r="J2200" s="864">
        <v>12724.569394713808</v>
      </c>
      <c r="K2200" s="864">
        <v>13083.443275200963</v>
      </c>
      <c r="L2200" s="18" t="s">
        <v>4837</v>
      </c>
      <c r="M2200"/>
      <c r="N2200" s="433"/>
      <c r="P2200" s="433"/>
    </row>
    <row r="2201" spans="1:16" x14ac:dyDescent="0.25">
      <c r="A2201" s="862">
        <v>2919</v>
      </c>
      <c r="B2201" s="863" t="s">
        <v>9994</v>
      </c>
      <c r="C2201" s="862">
        <v>2919</v>
      </c>
      <c r="D2201" s="165" t="s">
        <v>2171</v>
      </c>
      <c r="E2201" s="165" t="s">
        <v>9995</v>
      </c>
      <c r="F2201" s="163">
        <v>1</v>
      </c>
      <c r="G2201" s="864"/>
      <c r="H2201" s="864">
        <v>0</v>
      </c>
      <c r="I2201" s="864">
        <v>0</v>
      </c>
      <c r="J2201" s="864">
        <v>11968.368166106826</v>
      </c>
      <c r="K2201" s="864">
        <v>12301.269864792408</v>
      </c>
      <c r="L2201" s="18" t="s">
        <v>4838</v>
      </c>
      <c r="M2201"/>
      <c r="N2201" s="433"/>
      <c r="P2201" s="433"/>
    </row>
    <row r="2202" spans="1:16" x14ac:dyDescent="0.25">
      <c r="A2202" s="862">
        <v>2920</v>
      </c>
      <c r="B2202" s="863" t="s">
        <v>9996</v>
      </c>
      <c r="C2202" s="862">
        <v>2920</v>
      </c>
      <c r="D2202" s="165" t="s">
        <v>2171</v>
      </c>
      <c r="E2202" s="165" t="s">
        <v>9997</v>
      </c>
      <c r="F2202" s="163">
        <v>1</v>
      </c>
      <c r="G2202" s="864"/>
      <c r="H2202" s="864">
        <v>0</v>
      </c>
      <c r="I2202" s="864">
        <v>0</v>
      </c>
      <c r="J2202" s="864">
        <v>13184.617716307404</v>
      </c>
      <c r="K2202" s="864">
        <v>13530.807508007747</v>
      </c>
      <c r="L2202" s="18" t="s">
        <v>4839</v>
      </c>
      <c r="M2202"/>
      <c r="N2202" s="433"/>
      <c r="P2202" s="433"/>
    </row>
    <row r="2203" spans="1:16" x14ac:dyDescent="0.25">
      <c r="A2203" s="862">
        <v>2921</v>
      </c>
      <c r="B2203" s="863" t="s">
        <v>9998</v>
      </c>
      <c r="C2203" s="862">
        <v>2921</v>
      </c>
      <c r="D2203" s="165" t="s">
        <v>2171</v>
      </c>
      <c r="E2203" s="165" t="s">
        <v>9999</v>
      </c>
      <c r="F2203" s="163">
        <v>1</v>
      </c>
      <c r="G2203" s="864"/>
      <c r="H2203" s="864">
        <v>12534.59917663401</v>
      </c>
      <c r="I2203" s="864">
        <v>12873.572707295234</v>
      </c>
      <c r="J2203" s="864">
        <v>13230.380257528908</v>
      </c>
      <c r="K2203" s="864">
        <v>13605.975518221247</v>
      </c>
      <c r="L2203" s="18" t="s">
        <v>1391</v>
      </c>
      <c r="M2203"/>
      <c r="N2203" s="433"/>
      <c r="P2203" s="433"/>
    </row>
    <row r="2204" spans="1:16" x14ac:dyDescent="0.25">
      <c r="A2204" s="862">
        <v>2922</v>
      </c>
      <c r="B2204" s="863" t="s">
        <v>10000</v>
      </c>
      <c r="C2204" s="862">
        <v>2922</v>
      </c>
      <c r="D2204" s="165" t="s">
        <v>2171</v>
      </c>
      <c r="E2204" s="165" t="s">
        <v>10001</v>
      </c>
      <c r="F2204" s="163">
        <v>1</v>
      </c>
      <c r="G2204" s="864"/>
      <c r="H2204" s="864">
        <v>11826.463968692862</v>
      </c>
      <c r="I2204" s="864">
        <v>12142.008493249121</v>
      </c>
      <c r="J2204" s="864">
        <v>12474.179028921932</v>
      </c>
      <c r="K2204" s="864">
        <v>12823.833897508899</v>
      </c>
      <c r="L2204" s="18" t="s">
        <v>1392</v>
      </c>
      <c r="M2204"/>
      <c r="N2204" s="433"/>
      <c r="P2204" s="433"/>
    </row>
    <row r="2205" spans="1:16" x14ac:dyDescent="0.25">
      <c r="A2205" s="862">
        <v>2923</v>
      </c>
      <c r="B2205" s="863" t="s">
        <v>10002</v>
      </c>
      <c r="C2205" s="862">
        <v>2923</v>
      </c>
      <c r="D2205" s="165" t="s">
        <v>2171</v>
      </c>
      <c r="E2205" s="165" t="s">
        <v>10003</v>
      </c>
      <c r="F2205" s="163">
        <v>1</v>
      </c>
      <c r="G2205" s="864"/>
      <c r="H2205" s="864">
        <v>0</v>
      </c>
      <c r="I2205" s="864">
        <v>0</v>
      </c>
      <c r="J2205" s="864">
        <v>17465.028850773506</v>
      </c>
      <c r="K2205" s="864">
        <v>17947.183173153593</v>
      </c>
      <c r="L2205" s="18" t="s">
        <v>4840</v>
      </c>
      <c r="M2205"/>
      <c r="N2205" s="433"/>
      <c r="P2205" s="433"/>
    </row>
    <row r="2206" spans="1:16" x14ac:dyDescent="0.25">
      <c r="A2206" s="862">
        <v>2924</v>
      </c>
      <c r="B2206" s="863" t="s">
        <v>10004</v>
      </c>
      <c r="C2206" s="862">
        <v>2924</v>
      </c>
      <c r="D2206" s="165" t="s">
        <v>2171</v>
      </c>
      <c r="E2206" s="165" t="s">
        <v>10005</v>
      </c>
      <c r="F2206" s="163">
        <v>1</v>
      </c>
      <c r="G2206" s="864"/>
      <c r="H2206" s="864">
        <v>0</v>
      </c>
      <c r="I2206" s="864">
        <v>0</v>
      </c>
      <c r="J2206" s="864">
        <v>16028.270694786048</v>
      </c>
      <c r="K2206" s="864">
        <v>16464.806803108284</v>
      </c>
      <c r="L2206" s="18" t="s">
        <v>4841</v>
      </c>
      <c r="M2206"/>
      <c r="N2206" s="433"/>
      <c r="P2206" s="433"/>
    </row>
    <row r="2207" spans="1:16" x14ac:dyDescent="0.25">
      <c r="A2207" s="862">
        <v>2925</v>
      </c>
      <c r="B2207" s="863" t="s">
        <v>10006</v>
      </c>
      <c r="C2207" s="862">
        <v>2925</v>
      </c>
      <c r="D2207" s="165" t="s">
        <v>2171</v>
      </c>
      <c r="E2207" s="165" t="s">
        <v>10007</v>
      </c>
      <c r="F2207" s="163">
        <v>1</v>
      </c>
      <c r="G2207" s="864"/>
      <c r="H2207" s="864">
        <v>0</v>
      </c>
      <c r="I2207" s="864">
        <v>0</v>
      </c>
      <c r="J2207" s="864">
        <v>15554.249528178501</v>
      </c>
      <c r="K2207" s="864">
        <v>15975.717320498356</v>
      </c>
      <c r="L2207" s="18" t="s">
        <v>4842</v>
      </c>
      <c r="M2207"/>
      <c r="N2207" s="433"/>
      <c r="P2207" s="433"/>
    </row>
    <row r="2208" spans="1:16" x14ac:dyDescent="0.25">
      <c r="A2208" s="862">
        <v>2926</v>
      </c>
      <c r="B2208" s="863" t="s">
        <v>10008</v>
      </c>
      <c r="C2208" s="862">
        <v>2926</v>
      </c>
      <c r="D2208" s="165" t="s">
        <v>2171</v>
      </c>
      <c r="E2208" s="165" t="s">
        <v>10009</v>
      </c>
      <c r="F2208" s="163">
        <v>1</v>
      </c>
      <c r="G2208" s="864"/>
      <c r="H2208" s="864">
        <v>12904.938629342785</v>
      </c>
      <c r="I2208" s="864">
        <v>13262.795239551306</v>
      </c>
      <c r="J2208" s="864">
        <v>13639.503139610913</v>
      </c>
      <c r="K2208" s="864">
        <v>14036.047810104033</v>
      </c>
      <c r="L2208" s="18" t="s">
        <v>1393</v>
      </c>
      <c r="M2208"/>
      <c r="N2208" s="433"/>
      <c r="P2208" s="433"/>
    </row>
    <row r="2209" spans="1:16" x14ac:dyDescent="0.25">
      <c r="A2209" s="862">
        <v>2927</v>
      </c>
      <c r="B2209" s="863" t="s">
        <v>10010</v>
      </c>
      <c r="C2209" s="862">
        <v>2927</v>
      </c>
      <c r="D2209" s="165" t="s">
        <v>2171</v>
      </c>
      <c r="E2209" s="165" t="s">
        <v>10011</v>
      </c>
      <c r="F2209" s="163">
        <v>1</v>
      </c>
      <c r="G2209" s="864"/>
      <c r="H2209" s="864">
        <v>13495.387983871144</v>
      </c>
      <c r="I2209" s="864">
        <v>13873.144943905596</v>
      </c>
      <c r="J2209" s="864">
        <v>14270.802253765989</v>
      </c>
      <c r="K2209" s="864">
        <v>14689.37718373095</v>
      </c>
      <c r="L2209" s="18" t="s">
        <v>1394</v>
      </c>
      <c r="M2209"/>
      <c r="N2209" s="433"/>
      <c r="P2209" s="433"/>
    </row>
    <row r="2210" spans="1:16" x14ac:dyDescent="0.25">
      <c r="A2210" s="862">
        <v>2928</v>
      </c>
      <c r="B2210" s="863" t="s">
        <v>10012</v>
      </c>
      <c r="C2210" s="862">
        <v>2928</v>
      </c>
      <c r="D2210" s="165" t="s">
        <v>2171</v>
      </c>
      <c r="E2210" s="165" t="s">
        <v>10013</v>
      </c>
      <c r="F2210" s="163">
        <v>1</v>
      </c>
      <c r="G2210" s="864"/>
      <c r="H2210" s="864">
        <v>14744.267383828357</v>
      </c>
      <c r="I2210" s="864">
        <v>15164.113901641624</v>
      </c>
      <c r="J2210" s="864">
        <v>15606.086048015348</v>
      </c>
      <c r="K2210" s="864">
        <v>16071.328252013016</v>
      </c>
      <c r="L2210" s="18" t="s">
        <v>1395</v>
      </c>
      <c r="M2210"/>
      <c r="N2210" s="433"/>
      <c r="P2210" s="433"/>
    </row>
    <row r="2211" spans="1:16" x14ac:dyDescent="0.25">
      <c r="A2211" s="862">
        <v>2929</v>
      </c>
      <c r="B2211" s="863" t="s">
        <v>10014</v>
      </c>
      <c r="C2211" s="862">
        <v>2929</v>
      </c>
      <c r="D2211" s="165" t="s">
        <v>2171</v>
      </c>
      <c r="E2211" s="165" t="s">
        <v>10015</v>
      </c>
      <c r="F2211" s="163">
        <v>1</v>
      </c>
      <c r="G2211" s="864"/>
      <c r="H2211" s="864">
        <v>13798.485931343415</v>
      </c>
      <c r="I2211" s="864">
        <v>14186.479173556703</v>
      </c>
      <c r="J2211" s="864">
        <v>14594.881400735248</v>
      </c>
      <c r="K2211" s="864">
        <v>15024.805252246313</v>
      </c>
      <c r="L2211" s="18" t="s">
        <v>1396</v>
      </c>
      <c r="M2211"/>
      <c r="N2211" s="433"/>
      <c r="P2211" s="433"/>
    </row>
    <row r="2212" spans="1:16" x14ac:dyDescent="0.25">
      <c r="A2212" s="862">
        <v>2930</v>
      </c>
      <c r="B2212" s="863" t="s">
        <v>10016</v>
      </c>
      <c r="C2212" s="862">
        <v>2930</v>
      </c>
      <c r="D2212" s="165" t="s">
        <v>2171</v>
      </c>
      <c r="E2212" s="165" t="s">
        <v>10017</v>
      </c>
      <c r="F2212" s="163">
        <v>1</v>
      </c>
      <c r="G2212" s="864"/>
      <c r="H2212" s="864">
        <v>23428.379597460229</v>
      </c>
      <c r="I2212" s="864">
        <v>24147.27377895813</v>
      </c>
      <c r="J2212" s="864">
        <v>24904.019171602486</v>
      </c>
      <c r="K2212" s="864">
        <v>25700.60244117169</v>
      </c>
      <c r="L2212" s="18" t="s">
        <v>1397</v>
      </c>
      <c r="M2212"/>
      <c r="N2212" s="433"/>
      <c r="P2212" s="433"/>
    </row>
    <row r="2213" spans="1:16" x14ac:dyDescent="0.25">
      <c r="A2213" s="862">
        <v>2931</v>
      </c>
      <c r="B2213" s="863" t="s">
        <v>10018</v>
      </c>
      <c r="C2213" s="862">
        <v>2931</v>
      </c>
      <c r="D2213" s="165" t="s">
        <v>2171</v>
      </c>
      <c r="E2213" s="165" t="s">
        <v>10019</v>
      </c>
      <c r="F2213" s="163">
        <v>1</v>
      </c>
      <c r="G2213" s="864"/>
      <c r="H2213" s="864">
        <v>0</v>
      </c>
      <c r="I2213" s="864">
        <v>31956.39030915378</v>
      </c>
      <c r="J2213" s="864">
        <v>32889.007903865349</v>
      </c>
      <c r="K2213" s="864">
        <v>33870.734482467669</v>
      </c>
      <c r="L2213" s="18" t="s">
        <v>4105</v>
      </c>
      <c r="M2213"/>
      <c r="N2213" s="433"/>
      <c r="P2213" s="433"/>
    </row>
    <row r="2214" spans="1:16" x14ac:dyDescent="0.25">
      <c r="A2214" s="862">
        <v>2932</v>
      </c>
      <c r="B2214" s="863" t="s">
        <v>10020</v>
      </c>
      <c r="C2214" s="862">
        <v>2932</v>
      </c>
      <c r="D2214" s="165" t="s">
        <v>2171</v>
      </c>
      <c r="E2214" s="165" t="s">
        <v>10021</v>
      </c>
      <c r="F2214" s="163">
        <v>1</v>
      </c>
      <c r="G2214" s="864"/>
      <c r="H2214" s="864">
        <v>18496.62824186189</v>
      </c>
      <c r="I2214" s="864">
        <v>18980.374729765015</v>
      </c>
      <c r="J2214" s="864">
        <v>19489.559986004097</v>
      </c>
      <c r="K2214" s="864">
        <v>20025.567387709183</v>
      </c>
      <c r="L2214" s="18" t="s">
        <v>1398</v>
      </c>
      <c r="M2214"/>
      <c r="N2214" s="433"/>
      <c r="P2214" s="433"/>
    </row>
    <row r="2215" spans="1:16" x14ac:dyDescent="0.25">
      <c r="A2215" s="862">
        <v>2933</v>
      </c>
      <c r="B2215" s="863" t="s">
        <v>10022</v>
      </c>
      <c r="C2215" s="862">
        <v>2933</v>
      </c>
      <c r="D2215" s="165" t="s">
        <v>2171</v>
      </c>
      <c r="E2215" s="165" t="s">
        <v>10023</v>
      </c>
      <c r="F2215" s="163">
        <v>2</v>
      </c>
      <c r="G2215" s="864"/>
      <c r="H2215" s="864">
        <v>21978.110388102414</v>
      </c>
      <c r="I2215" s="864">
        <v>22770.786524005449</v>
      </c>
      <c r="J2215" s="864">
        <v>23605.191080485201</v>
      </c>
      <c r="K2215" s="864">
        <v>24483.508791603286</v>
      </c>
      <c r="L2215" s="18" t="s">
        <v>1399</v>
      </c>
      <c r="M2215"/>
      <c r="N2215" s="433"/>
      <c r="P2215" s="433"/>
    </row>
    <row r="2216" spans="1:16" x14ac:dyDescent="0.25">
      <c r="A2216" s="862">
        <v>2934</v>
      </c>
      <c r="B2216" s="863" t="s">
        <v>10024</v>
      </c>
      <c r="C2216" s="862">
        <v>2934</v>
      </c>
      <c r="D2216" s="165" t="s">
        <v>2171</v>
      </c>
      <c r="E2216" s="165" t="s">
        <v>10025</v>
      </c>
      <c r="F2216" s="163">
        <v>2</v>
      </c>
      <c r="G2216" s="864"/>
      <c r="H2216" s="864">
        <v>23952.291637284445</v>
      </c>
      <c r="I2216" s="864">
        <v>24830.390874996367</v>
      </c>
      <c r="J2216" s="864">
        <v>25754.697238111305</v>
      </c>
      <c r="K2216" s="864">
        <v>26727.668552448566</v>
      </c>
      <c r="L2216" s="18" t="s">
        <v>1400</v>
      </c>
      <c r="M2216"/>
      <c r="N2216" s="433"/>
      <c r="P2216" s="433"/>
    </row>
    <row r="2217" spans="1:16" x14ac:dyDescent="0.25">
      <c r="A2217" s="862">
        <v>2935</v>
      </c>
      <c r="B2217" s="863" t="s">
        <v>10026</v>
      </c>
      <c r="C2217" s="862">
        <v>2935</v>
      </c>
      <c r="D2217" s="165" t="s">
        <v>2171</v>
      </c>
      <c r="E2217" s="165" t="s">
        <v>10027</v>
      </c>
      <c r="F2217" s="163">
        <v>2</v>
      </c>
      <c r="G2217" s="864"/>
      <c r="H2217" s="864">
        <v>22361.552386767853</v>
      </c>
      <c r="I2217" s="864">
        <v>23170.832501539116</v>
      </c>
      <c r="J2217" s="864">
        <v>24022.714930511735</v>
      </c>
      <c r="K2217" s="864">
        <v>24919.439026098869</v>
      </c>
      <c r="L2217" s="18" t="s">
        <v>1401</v>
      </c>
      <c r="M2217"/>
      <c r="N2217" s="433"/>
      <c r="P2217" s="433"/>
    </row>
    <row r="2218" spans="1:16" x14ac:dyDescent="0.25">
      <c r="A2218" s="862">
        <v>2936</v>
      </c>
      <c r="B2218" s="863" t="s">
        <v>10028</v>
      </c>
      <c r="C2218" s="862">
        <v>2936</v>
      </c>
      <c r="D2218" s="165" t="s">
        <v>2171</v>
      </c>
      <c r="E2218" s="165" t="s">
        <v>10029</v>
      </c>
      <c r="F2218" s="163">
        <v>2</v>
      </c>
      <c r="G2218" s="864"/>
      <c r="H2218" s="864">
        <v>23878.871222080554</v>
      </c>
      <c r="I2218" s="864">
        <v>24753.747977051604</v>
      </c>
      <c r="J2218" s="864">
        <v>25674.72262072259</v>
      </c>
      <c r="K2218" s="864">
        <v>26644.143742209737</v>
      </c>
      <c r="L2218" s="18" t="s">
        <v>1402</v>
      </c>
      <c r="M2218"/>
      <c r="N2218" s="433"/>
      <c r="P2218" s="433"/>
    </row>
    <row r="2219" spans="1:16" x14ac:dyDescent="0.25">
      <c r="A2219" s="862">
        <v>2937</v>
      </c>
      <c r="B2219" s="863" t="s">
        <v>10030</v>
      </c>
      <c r="C2219" s="862">
        <v>2937</v>
      </c>
      <c r="D2219" s="165" t="s">
        <v>2171</v>
      </c>
      <c r="E2219" s="165" t="s">
        <v>10031</v>
      </c>
      <c r="F2219" s="163">
        <v>1</v>
      </c>
      <c r="G2219" s="864"/>
      <c r="H2219" s="864">
        <v>25018.549284619341</v>
      </c>
      <c r="I2219" s="864">
        <v>25794.380594037983</v>
      </c>
      <c r="J2219" s="864">
        <v>26611.052712336063</v>
      </c>
      <c r="K2219" s="864">
        <v>27470.726528872274</v>
      </c>
      <c r="L2219" s="18" t="s">
        <v>1403</v>
      </c>
      <c r="M2219"/>
      <c r="N2219" s="433"/>
      <c r="P2219" s="433"/>
    </row>
    <row r="2220" spans="1:16" x14ac:dyDescent="0.25">
      <c r="A2220" s="862">
        <v>2938</v>
      </c>
      <c r="B2220" s="863" t="s">
        <v>10032</v>
      </c>
      <c r="C2220" s="862">
        <v>2938</v>
      </c>
      <c r="D2220" s="165" t="s">
        <v>2171</v>
      </c>
      <c r="E2220" s="165" t="s">
        <v>10033</v>
      </c>
      <c r="F2220" s="163">
        <v>1</v>
      </c>
      <c r="G2220" s="864"/>
      <c r="H2220" s="864">
        <v>0</v>
      </c>
      <c r="I2220" s="864">
        <v>0</v>
      </c>
      <c r="J2220" s="864">
        <v>27915.485348127888</v>
      </c>
      <c r="K2220" s="864">
        <v>28723.946086862896</v>
      </c>
      <c r="L2220" s="18" t="s">
        <v>4843</v>
      </c>
      <c r="M2220"/>
      <c r="N2220" s="433"/>
      <c r="P2220" s="433"/>
    </row>
    <row r="2221" spans="1:16" x14ac:dyDescent="0.25">
      <c r="A2221" s="862">
        <v>2939</v>
      </c>
      <c r="B2221" s="863" t="s">
        <v>10034</v>
      </c>
      <c r="C2221" s="862">
        <v>2939</v>
      </c>
      <c r="D2221" s="165" t="s">
        <v>2171</v>
      </c>
      <c r="E2221" s="165" t="s">
        <v>10035</v>
      </c>
      <c r="F2221" s="163">
        <v>1</v>
      </c>
      <c r="G2221" s="864"/>
      <c r="H2221" s="864">
        <v>31543.634675381141</v>
      </c>
      <c r="I2221" s="864">
        <v>32542.973974134675</v>
      </c>
      <c r="J2221" s="864">
        <v>33594.894913949909</v>
      </c>
      <c r="K2221" s="864">
        <v>34702.170636170507</v>
      </c>
      <c r="L2221" s="18" t="s">
        <v>1404</v>
      </c>
      <c r="M2221"/>
      <c r="N2221" s="433"/>
      <c r="P2221" s="433"/>
    </row>
    <row r="2222" spans="1:16" x14ac:dyDescent="0.25">
      <c r="A2222" s="862">
        <v>2940</v>
      </c>
      <c r="B2222" s="863" t="s">
        <v>10036</v>
      </c>
      <c r="C2222" s="862">
        <v>2940</v>
      </c>
      <c r="D2222" s="165" t="s">
        <v>2171</v>
      </c>
      <c r="E2222" s="165" t="s">
        <v>10037</v>
      </c>
      <c r="F2222" s="163">
        <v>1</v>
      </c>
      <c r="G2222" s="864"/>
      <c r="H2222" s="864">
        <v>28691.999911956405</v>
      </c>
      <c r="I2222" s="864">
        <v>29593.630996874042</v>
      </c>
      <c r="J2222" s="864">
        <v>30542.729618037793</v>
      </c>
      <c r="K2222" s="864">
        <v>31541.780798210151</v>
      </c>
      <c r="L2222" s="18" t="s">
        <v>1405</v>
      </c>
      <c r="M2222"/>
      <c r="N2222" s="433"/>
      <c r="P2222" s="433"/>
    </row>
    <row r="2223" spans="1:16" x14ac:dyDescent="0.25">
      <c r="A2223" s="862">
        <v>2941</v>
      </c>
      <c r="B2223" s="863" t="s">
        <v>10038</v>
      </c>
      <c r="C2223" s="862">
        <v>2941</v>
      </c>
      <c r="D2223" s="165" t="s">
        <v>2171</v>
      </c>
      <c r="E2223" s="165" t="s">
        <v>10039</v>
      </c>
      <c r="F2223" s="163">
        <v>1</v>
      </c>
      <c r="G2223" s="864"/>
      <c r="H2223" s="864">
        <v>0</v>
      </c>
      <c r="I2223" s="864">
        <v>0</v>
      </c>
      <c r="J2223" s="864">
        <v>31172.419428359452</v>
      </c>
      <c r="K2223" s="864">
        <v>32084.098648795039</v>
      </c>
      <c r="L2223" s="18" t="s">
        <v>4844</v>
      </c>
      <c r="M2223"/>
      <c r="N2223" s="433"/>
      <c r="P2223" s="433"/>
    </row>
    <row r="2224" spans="1:16" x14ac:dyDescent="0.25">
      <c r="A2224" s="862">
        <v>2942</v>
      </c>
      <c r="B2224" s="863" t="s">
        <v>10040</v>
      </c>
      <c r="C2224" s="862">
        <v>2942</v>
      </c>
      <c r="D2224" s="165" t="s">
        <v>2171</v>
      </c>
      <c r="E2224" s="165" t="s">
        <v>10041</v>
      </c>
      <c r="F2224" s="163">
        <v>2</v>
      </c>
      <c r="G2224" s="864"/>
      <c r="H2224" s="864">
        <v>16740.914879711851</v>
      </c>
      <c r="I2224" s="864">
        <v>17307.034093426104</v>
      </c>
      <c r="J2224" s="864">
        <v>17902.920308729772</v>
      </c>
      <c r="K2224" s="864">
        <v>18530.15745781752</v>
      </c>
      <c r="L2224" s="18" t="s">
        <v>1406</v>
      </c>
      <c r="M2224"/>
      <c r="N2224" s="433"/>
      <c r="P2224" s="433"/>
    </row>
    <row r="2225" spans="1:16" x14ac:dyDescent="0.25">
      <c r="A2225" s="862">
        <v>2943</v>
      </c>
      <c r="B2225" s="863" t="s">
        <v>10042</v>
      </c>
      <c r="C2225" s="862">
        <v>2943</v>
      </c>
      <c r="D2225" s="165" t="s">
        <v>2171</v>
      </c>
      <c r="E2225" s="165" t="s">
        <v>10043</v>
      </c>
      <c r="F2225" s="163">
        <v>2</v>
      </c>
      <c r="G2225" s="864"/>
      <c r="H2225" s="864">
        <v>0</v>
      </c>
      <c r="I2225" s="864">
        <v>18804.593060627845</v>
      </c>
      <c r="J2225" s="864">
        <v>19454.278352198613</v>
      </c>
      <c r="K2225" s="864">
        <v>20103.963643769388</v>
      </c>
      <c r="L2225" s="18" t="s">
        <v>4106</v>
      </c>
      <c r="M2225"/>
      <c r="N2225" s="433"/>
      <c r="P2225" s="433"/>
    </row>
    <row r="2226" spans="1:16" x14ac:dyDescent="0.25">
      <c r="A2226" s="862">
        <v>2944</v>
      </c>
      <c r="B2226" s="863" t="s">
        <v>10044</v>
      </c>
      <c r="C2226" s="862">
        <v>2944</v>
      </c>
      <c r="D2226" s="165" t="s">
        <v>2171</v>
      </c>
      <c r="E2226" s="165" t="s">
        <v>10045</v>
      </c>
      <c r="F2226" s="163">
        <v>2</v>
      </c>
      <c r="G2226" s="864"/>
      <c r="H2226" s="864">
        <v>18401.190129885723</v>
      </c>
      <c r="I2226" s="864">
        <v>18908.356874317156</v>
      </c>
      <c r="J2226" s="864">
        <v>19442.279247244831</v>
      </c>
      <c r="K2226" s="864">
        <v>20004.290269305573</v>
      </c>
      <c r="L2226" s="18" t="s">
        <v>1407</v>
      </c>
      <c r="M2226"/>
      <c r="N2226" s="433"/>
      <c r="P2226" s="433"/>
    </row>
    <row r="2227" spans="1:16" x14ac:dyDescent="0.25">
      <c r="A2227" s="862">
        <v>2945</v>
      </c>
      <c r="B2227" s="863" t="s">
        <v>10046</v>
      </c>
      <c r="C2227" s="862">
        <v>2945</v>
      </c>
      <c r="D2227" s="165" t="s">
        <v>2171</v>
      </c>
      <c r="E2227" s="165" t="s">
        <v>10047</v>
      </c>
      <c r="F2227" s="163">
        <v>2</v>
      </c>
      <c r="G2227" s="864"/>
      <c r="H2227" s="864">
        <v>19352.54727193201</v>
      </c>
      <c r="I2227" s="864">
        <v>19892.468237725396</v>
      </c>
      <c r="J2227" s="864">
        <v>20460.811107811045</v>
      </c>
      <c r="K2227" s="864">
        <v>21059.099334345341</v>
      </c>
      <c r="L2227" s="18" t="s">
        <v>1408</v>
      </c>
      <c r="M2227"/>
      <c r="N2227" s="433"/>
      <c r="P2227" s="433"/>
    </row>
    <row r="2228" spans="1:16" x14ac:dyDescent="0.25">
      <c r="A2228" s="862">
        <v>2946</v>
      </c>
      <c r="B2228" s="863" t="s">
        <v>10048</v>
      </c>
      <c r="C2228" s="862">
        <v>2946</v>
      </c>
      <c r="D2228" s="165" t="s">
        <v>2171</v>
      </c>
      <c r="E2228" s="165" t="s">
        <v>10049</v>
      </c>
      <c r="F2228" s="163">
        <v>2</v>
      </c>
      <c r="G2228" s="864"/>
      <c r="H2228" s="864">
        <v>20430.319595661302</v>
      </c>
      <c r="I2228" s="864">
        <v>20983.71359146258</v>
      </c>
      <c r="J2228" s="864">
        <v>21566.243609754427</v>
      </c>
      <c r="K2228" s="864">
        <v>22179.433102693209</v>
      </c>
      <c r="L2228" s="18" t="s">
        <v>1409</v>
      </c>
      <c r="M2228"/>
      <c r="N2228" s="433"/>
      <c r="P2228" s="433"/>
    </row>
    <row r="2229" spans="1:16" x14ac:dyDescent="0.25">
      <c r="A2229" s="862">
        <v>2947</v>
      </c>
      <c r="B2229" s="863" t="s">
        <v>10050</v>
      </c>
      <c r="C2229" s="862">
        <v>2947</v>
      </c>
      <c r="D2229" s="165" t="s">
        <v>2171</v>
      </c>
      <c r="E2229" s="165" t="s">
        <v>10051</v>
      </c>
      <c r="F2229" s="163">
        <v>2</v>
      </c>
      <c r="G2229" s="864"/>
      <c r="H2229" s="864">
        <v>22360.108373828261</v>
      </c>
      <c r="I2229" s="864">
        <v>22977.487360197065</v>
      </c>
      <c r="J2229" s="864">
        <v>23627.382528528382</v>
      </c>
      <c r="K2229" s="864">
        <v>24311.507762498124</v>
      </c>
      <c r="L2229" s="18" t="s">
        <v>1410</v>
      </c>
      <c r="M2229"/>
      <c r="N2229" s="433"/>
      <c r="P2229" s="433"/>
    </row>
    <row r="2230" spans="1:16" x14ac:dyDescent="0.25">
      <c r="A2230" s="862">
        <v>2948</v>
      </c>
      <c r="B2230" s="863" t="s">
        <v>10052</v>
      </c>
      <c r="C2230" s="862">
        <v>2948</v>
      </c>
      <c r="D2230" s="165" t="s">
        <v>2171</v>
      </c>
      <c r="E2230" s="165" t="s">
        <v>10053</v>
      </c>
      <c r="F2230" s="163">
        <v>1</v>
      </c>
      <c r="G2230" s="864"/>
      <c r="H2230" s="864">
        <v>0</v>
      </c>
      <c r="I2230" s="864">
        <v>36744.884124825505</v>
      </c>
      <c r="J2230" s="864">
        <v>37732.661849174736</v>
      </c>
      <c r="K2230" s="864">
        <v>38772.433050216889</v>
      </c>
      <c r="L2230" s="18" t="s">
        <v>1411</v>
      </c>
      <c r="M2230"/>
      <c r="N2230" s="433"/>
      <c r="P2230" s="433"/>
    </row>
    <row r="2231" spans="1:16" x14ac:dyDescent="0.25">
      <c r="A2231" s="862">
        <v>2949</v>
      </c>
      <c r="B2231" s="863" t="s">
        <v>10054</v>
      </c>
      <c r="C2231" s="862">
        <v>2949</v>
      </c>
      <c r="D2231" s="165" t="s">
        <v>2171</v>
      </c>
      <c r="E2231" s="165" t="s">
        <v>10055</v>
      </c>
      <c r="F2231" s="163">
        <v>1</v>
      </c>
      <c r="G2231" s="864"/>
      <c r="H2231" s="864">
        <v>0</v>
      </c>
      <c r="I2231" s="864">
        <v>17223.331984142122</v>
      </c>
      <c r="J2231" s="864">
        <v>17701.48345093941</v>
      </c>
      <c r="K2231" s="864">
        <v>18204.807408749981</v>
      </c>
      <c r="L2231" s="18" t="s">
        <v>4845</v>
      </c>
      <c r="M2231"/>
      <c r="N2231" s="433"/>
      <c r="P2231" s="433"/>
    </row>
    <row r="2232" spans="1:16" x14ac:dyDescent="0.25">
      <c r="A2232" s="862">
        <v>2950</v>
      </c>
      <c r="B2232" s="863" t="s">
        <v>10056</v>
      </c>
      <c r="C2232" s="862">
        <v>2950</v>
      </c>
      <c r="D2232" s="165" t="s">
        <v>2171</v>
      </c>
      <c r="E2232" s="165" t="s">
        <v>10057</v>
      </c>
      <c r="F2232" s="163">
        <v>1</v>
      </c>
      <c r="G2232" s="864"/>
      <c r="H2232" s="864">
        <v>22475.342731001121</v>
      </c>
      <c r="I2232" s="864">
        <v>23147.290912986919</v>
      </c>
      <c r="J2232" s="864">
        <v>23854.637910460133</v>
      </c>
      <c r="K2232" s="864">
        <v>24599.20872901925</v>
      </c>
      <c r="L2232" s="18" t="s">
        <v>1412</v>
      </c>
      <c r="M2232"/>
      <c r="N2232" s="433"/>
      <c r="P2232" s="433"/>
    </row>
    <row r="2233" spans="1:16" x14ac:dyDescent="0.25">
      <c r="A2233" s="862">
        <v>2951</v>
      </c>
      <c r="B2233" s="863" t="s">
        <v>10058</v>
      </c>
      <c r="C2233" s="862">
        <v>2951</v>
      </c>
      <c r="D2233" s="165" t="s">
        <v>2171</v>
      </c>
      <c r="E2233" s="165" t="s">
        <v>10059</v>
      </c>
      <c r="F2233" s="163">
        <v>1</v>
      </c>
      <c r="G2233" s="864"/>
      <c r="H2233" s="864">
        <v>16458.062328849697</v>
      </c>
      <c r="I2233" s="864">
        <v>0</v>
      </c>
      <c r="J2233" s="864">
        <v>0</v>
      </c>
      <c r="K2233" s="864">
        <v>0</v>
      </c>
      <c r="L2233" s="18" t="s">
        <v>1413</v>
      </c>
      <c r="M2233"/>
      <c r="N2233" s="433"/>
      <c r="P2233" s="433"/>
    </row>
    <row r="2234" spans="1:16" x14ac:dyDescent="0.25">
      <c r="A2234" s="862">
        <v>2952</v>
      </c>
      <c r="B2234" s="863" t="s">
        <v>10060</v>
      </c>
      <c r="C2234" s="862">
        <v>2952</v>
      </c>
      <c r="D2234" s="165" t="s">
        <v>2171</v>
      </c>
      <c r="E2234" s="165" t="s">
        <v>10061</v>
      </c>
      <c r="F2234" s="163">
        <v>1</v>
      </c>
      <c r="G2234" s="864"/>
      <c r="H2234" s="864">
        <v>16370.652665086182</v>
      </c>
      <c r="I2234" s="864">
        <v>0</v>
      </c>
      <c r="J2234" s="864">
        <v>0</v>
      </c>
      <c r="K2234" s="864">
        <v>0</v>
      </c>
      <c r="L2234" s="18" t="s">
        <v>1414</v>
      </c>
      <c r="M2234"/>
      <c r="N2234" s="433"/>
      <c r="P2234" s="433"/>
    </row>
    <row r="2235" spans="1:16" x14ac:dyDescent="0.25">
      <c r="A2235" s="862">
        <v>2953</v>
      </c>
      <c r="B2235" s="863" t="s">
        <v>10062</v>
      </c>
      <c r="C2235" s="862">
        <v>2953</v>
      </c>
      <c r="D2235" s="165" t="s">
        <v>2171</v>
      </c>
      <c r="E2235" s="165" t="s">
        <v>10063</v>
      </c>
      <c r="F2235" s="163">
        <v>1</v>
      </c>
      <c r="G2235" s="864"/>
      <c r="H2235" s="864">
        <v>19022.657842004115</v>
      </c>
      <c r="I2235" s="864">
        <v>0</v>
      </c>
      <c r="J2235" s="864">
        <v>0</v>
      </c>
      <c r="K2235" s="864">
        <v>0</v>
      </c>
      <c r="L2235" s="18" t="s">
        <v>1415</v>
      </c>
      <c r="M2235"/>
      <c r="N2235" s="433"/>
      <c r="P2235" s="433"/>
    </row>
    <row r="2236" spans="1:16" x14ac:dyDescent="0.25">
      <c r="A2236" s="862">
        <v>2954</v>
      </c>
      <c r="B2236" s="863" t="s">
        <v>10064</v>
      </c>
      <c r="C2236" s="862">
        <v>2954</v>
      </c>
      <c r="D2236" s="165" t="s">
        <v>2171</v>
      </c>
      <c r="E2236" s="165" t="s">
        <v>10065</v>
      </c>
      <c r="F2236" s="163">
        <v>1</v>
      </c>
      <c r="G2236" s="864"/>
      <c r="H2236" s="864">
        <v>0</v>
      </c>
      <c r="I2236" s="864">
        <v>19277.189838753009</v>
      </c>
      <c r="J2236" s="864">
        <v>19813.665592209945</v>
      </c>
      <c r="K2236" s="864">
        <v>20378.390678369637</v>
      </c>
      <c r="L2236" s="18" t="s">
        <v>4107</v>
      </c>
      <c r="M2236"/>
      <c r="N2236" s="433"/>
      <c r="P2236" s="433"/>
    </row>
    <row r="2237" spans="1:16" x14ac:dyDescent="0.25">
      <c r="A2237" s="862">
        <v>2955</v>
      </c>
      <c r="B2237" s="863" t="s">
        <v>10066</v>
      </c>
      <c r="C2237" s="862">
        <v>2955</v>
      </c>
      <c r="D2237" s="165" t="s">
        <v>2171</v>
      </c>
      <c r="E2237" s="165" t="s">
        <v>10067</v>
      </c>
      <c r="F2237" s="163">
        <v>1</v>
      </c>
      <c r="G2237" s="864"/>
      <c r="H2237" s="864">
        <v>0</v>
      </c>
      <c r="I2237" s="864">
        <v>23421.768169476523</v>
      </c>
      <c r="J2237" s="864">
        <v>24089.12595859218</v>
      </c>
      <c r="K2237" s="864">
        <v>24791.599237664726</v>
      </c>
      <c r="L2237" s="18" t="s">
        <v>4108</v>
      </c>
      <c r="M2237"/>
      <c r="N2237" s="433"/>
      <c r="P2237" s="433"/>
    </row>
    <row r="2238" spans="1:16" x14ac:dyDescent="0.25">
      <c r="A2238" s="862">
        <v>2956</v>
      </c>
      <c r="B2238" s="863" t="s">
        <v>10068</v>
      </c>
      <c r="C2238" s="862">
        <v>2956</v>
      </c>
      <c r="D2238" s="165" t="s">
        <v>2171</v>
      </c>
      <c r="E2238" s="165" t="s">
        <v>10069</v>
      </c>
      <c r="F2238" s="163">
        <v>1</v>
      </c>
      <c r="G2238" s="864"/>
      <c r="H2238" s="864">
        <v>0</v>
      </c>
      <c r="I2238" s="864">
        <v>24996.217452508779</v>
      </c>
      <c r="J2238" s="864">
        <v>25713.305837736574</v>
      </c>
      <c r="K2238" s="864">
        <v>26468.125391875215</v>
      </c>
      <c r="L2238" s="18" t="s">
        <v>4109</v>
      </c>
      <c r="M2238"/>
      <c r="N2238" s="433"/>
      <c r="P2238" s="433"/>
    </row>
    <row r="2239" spans="1:16" x14ac:dyDescent="0.25">
      <c r="A2239" s="862">
        <v>2957</v>
      </c>
      <c r="B2239" s="863" t="s">
        <v>10070</v>
      </c>
      <c r="C2239" s="862">
        <v>2957</v>
      </c>
      <c r="D2239" s="165" t="s">
        <v>2171</v>
      </c>
      <c r="E2239" s="165" t="s">
        <v>10071</v>
      </c>
      <c r="F2239" s="163">
        <v>1</v>
      </c>
      <c r="G2239" s="864"/>
      <c r="H2239" s="864">
        <v>20568.156183020528</v>
      </c>
      <c r="I2239" s="864">
        <v>0</v>
      </c>
      <c r="J2239" s="864">
        <v>0</v>
      </c>
      <c r="K2239" s="864">
        <v>0</v>
      </c>
      <c r="L2239" s="18" t="s">
        <v>1416</v>
      </c>
      <c r="M2239"/>
      <c r="N2239" s="433"/>
      <c r="P2239" s="433"/>
    </row>
    <row r="2240" spans="1:16" x14ac:dyDescent="0.25">
      <c r="A2240" s="862">
        <v>2958</v>
      </c>
      <c r="B2240" s="863" t="s">
        <v>10072</v>
      </c>
      <c r="C2240" s="862">
        <v>2958</v>
      </c>
      <c r="D2240" s="165" t="s">
        <v>2171</v>
      </c>
      <c r="E2240" s="165" t="s">
        <v>10073</v>
      </c>
      <c r="F2240" s="163">
        <v>1</v>
      </c>
      <c r="G2240" s="864"/>
      <c r="H2240" s="864">
        <v>0</v>
      </c>
      <c r="I2240" s="864">
        <v>21028.212873153359</v>
      </c>
      <c r="J2240" s="864">
        <v>21619.977540499603</v>
      </c>
      <c r="K2240" s="864">
        <v>22242.901483384881</v>
      </c>
      <c r="L2240" s="18" t="s">
        <v>4110</v>
      </c>
      <c r="M2240"/>
      <c r="N2240" s="433"/>
      <c r="P2240" s="433"/>
    </row>
    <row r="2241" spans="1:16" x14ac:dyDescent="0.25">
      <c r="A2241" s="862">
        <v>2959</v>
      </c>
      <c r="B2241" s="863" t="s">
        <v>10074</v>
      </c>
      <c r="C2241" s="862">
        <v>2959</v>
      </c>
      <c r="D2241" s="165" t="s">
        <v>2171</v>
      </c>
      <c r="E2241" s="165" t="s">
        <v>10075</v>
      </c>
      <c r="F2241" s="163">
        <v>1</v>
      </c>
      <c r="G2241" s="864"/>
      <c r="H2241" s="864">
        <v>33673.078868717399</v>
      </c>
      <c r="I2241" s="864">
        <v>34752.231871608405</v>
      </c>
      <c r="J2241" s="864">
        <v>35888.172617567747</v>
      </c>
      <c r="K2241" s="864">
        <v>37083.906240843993</v>
      </c>
      <c r="L2241" s="18" t="s">
        <v>1417</v>
      </c>
      <c r="M2241"/>
      <c r="N2241" s="433"/>
      <c r="P2241" s="433"/>
    </row>
    <row r="2242" spans="1:16" x14ac:dyDescent="0.25">
      <c r="A2242" s="862">
        <v>2960</v>
      </c>
      <c r="B2242" s="863" t="s">
        <v>10076</v>
      </c>
      <c r="C2242" s="862">
        <v>2960</v>
      </c>
      <c r="D2242" s="165" t="s">
        <v>2171</v>
      </c>
      <c r="E2242" s="165" t="s">
        <v>10077</v>
      </c>
      <c r="F2242" s="163">
        <v>1</v>
      </c>
      <c r="G2242" s="864"/>
      <c r="H2242" s="864">
        <v>36139.270614462162</v>
      </c>
      <c r="I2242" s="864">
        <v>37261.579823623855</v>
      </c>
      <c r="J2242" s="864">
        <v>38442.96935249713</v>
      </c>
      <c r="K2242" s="864">
        <v>39686.5372776269</v>
      </c>
      <c r="L2242" s="18" t="s">
        <v>1418</v>
      </c>
      <c r="M2242"/>
      <c r="N2242" s="433"/>
      <c r="P2242" s="433"/>
    </row>
    <row r="2243" spans="1:16" x14ac:dyDescent="0.25">
      <c r="A2243" s="862">
        <v>2961</v>
      </c>
      <c r="B2243" s="863" t="s">
        <v>10078</v>
      </c>
      <c r="C2243" s="862">
        <v>2961</v>
      </c>
      <c r="D2243" s="165" t="s">
        <v>2171</v>
      </c>
      <c r="E2243" s="165" t="s">
        <v>10079</v>
      </c>
      <c r="F2243" s="163">
        <v>1</v>
      </c>
      <c r="G2243" s="864"/>
      <c r="H2243" s="864">
        <v>14676.500705600454</v>
      </c>
      <c r="I2243" s="864">
        <v>15153.853960799968</v>
      </c>
      <c r="J2243" s="864">
        <v>15656.379053435476</v>
      </c>
      <c r="K2243" s="864">
        <v>16185.342172512794</v>
      </c>
      <c r="L2243" s="18" t="s">
        <v>1419</v>
      </c>
      <c r="M2243"/>
      <c r="N2243" s="433"/>
      <c r="P2243" s="433"/>
    </row>
    <row r="2244" spans="1:16" x14ac:dyDescent="0.25">
      <c r="A2244" s="862">
        <v>2962</v>
      </c>
      <c r="B2244" s="863" t="s">
        <v>10080</v>
      </c>
      <c r="C2244" s="862">
        <v>2962</v>
      </c>
      <c r="D2244" s="165" t="s">
        <v>2171</v>
      </c>
      <c r="E2244" s="165" t="s">
        <v>10081</v>
      </c>
      <c r="F2244" s="163">
        <v>1</v>
      </c>
      <c r="G2244" s="864"/>
      <c r="H2244" s="864">
        <v>15332.85002940045</v>
      </c>
      <c r="I2244" s="864">
        <v>15834.184904370468</v>
      </c>
      <c r="J2244" s="864">
        <v>16361.907158222073</v>
      </c>
      <c r="K2244" s="864">
        <v>16917.409598861686</v>
      </c>
      <c r="L2244" s="18" t="s">
        <v>1420</v>
      </c>
      <c r="M2244"/>
      <c r="N2244" s="433"/>
      <c r="P2244" s="433"/>
    </row>
    <row r="2245" spans="1:16" x14ac:dyDescent="0.25">
      <c r="A2245" s="862">
        <v>2963</v>
      </c>
      <c r="B2245" s="863" t="s">
        <v>10082</v>
      </c>
      <c r="C2245" s="862">
        <v>2963</v>
      </c>
      <c r="D2245" s="165" t="s">
        <v>2171</v>
      </c>
      <c r="E2245" s="165" t="s">
        <v>10083</v>
      </c>
      <c r="F2245" s="163">
        <v>1</v>
      </c>
      <c r="G2245" s="864"/>
      <c r="H2245" s="864">
        <v>19442.106667284177</v>
      </c>
      <c r="I2245" s="864">
        <v>20102.778766748372</v>
      </c>
      <c r="J2245" s="864">
        <v>20798.245740092902</v>
      </c>
      <c r="K2245" s="864">
        <v>21530.305575706036</v>
      </c>
      <c r="L2245" s="18" t="s">
        <v>1421</v>
      </c>
      <c r="M2245"/>
      <c r="N2245" s="433"/>
      <c r="P2245" s="433"/>
    </row>
    <row r="2246" spans="1:16" x14ac:dyDescent="0.25">
      <c r="A2246" s="862">
        <v>2964</v>
      </c>
      <c r="B2246" s="863" t="s">
        <v>10084</v>
      </c>
      <c r="C2246" s="862">
        <v>2964</v>
      </c>
      <c r="D2246" s="165" t="s">
        <v>2171</v>
      </c>
      <c r="E2246" s="165" t="s">
        <v>10085</v>
      </c>
      <c r="F2246" s="163">
        <v>1</v>
      </c>
      <c r="G2246" s="864"/>
      <c r="H2246" s="864">
        <v>19644.653757883229</v>
      </c>
      <c r="I2246" s="864">
        <v>20304.034344561474</v>
      </c>
      <c r="J2246" s="864">
        <v>20998.133833779702</v>
      </c>
      <c r="K2246" s="864">
        <v>21728.775537706304</v>
      </c>
      <c r="L2246" s="18" t="s">
        <v>1422</v>
      </c>
      <c r="M2246"/>
      <c r="N2246" s="433"/>
      <c r="P2246" s="433"/>
    </row>
    <row r="2247" spans="1:16" x14ac:dyDescent="0.25">
      <c r="A2247" s="862">
        <v>2965</v>
      </c>
      <c r="B2247" s="863" t="s">
        <v>10086</v>
      </c>
      <c r="C2247" s="862">
        <v>2965</v>
      </c>
      <c r="D2247" s="165" t="s">
        <v>2171</v>
      </c>
      <c r="E2247" s="165" t="s">
        <v>10087</v>
      </c>
      <c r="F2247" s="163">
        <v>1</v>
      </c>
      <c r="G2247" s="864"/>
      <c r="H2247" s="864">
        <v>21623.031959812455</v>
      </c>
      <c r="I2247" s="864">
        <v>22368.260161086258</v>
      </c>
      <c r="J2247" s="864">
        <v>23152.740221540935</v>
      </c>
      <c r="K2247" s="864">
        <v>23978.498043585812</v>
      </c>
      <c r="L2247" s="18" t="s">
        <v>1423</v>
      </c>
      <c r="M2247"/>
      <c r="N2247" s="433"/>
      <c r="P2247" s="433"/>
    </row>
    <row r="2248" spans="1:16" x14ac:dyDescent="0.25">
      <c r="A2248" s="862">
        <v>2966</v>
      </c>
      <c r="B2248" s="863" t="s">
        <v>10088</v>
      </c>
      <c r="C2248" s="862">
        <v>2966</v>
      </c>
      <c r="D2248" s="165" t="s">
        <v>2171</v>
      </c>
      <c r="E2248" s="165" t="s">
        <v>10089</v>
      </c>
      <c r="F2248" s="163">
        <v>2</v>
      </c>
      <c r="G2248" s="864"/>
      <c r="H2248" s="864">
        <v>29661.753095662876</v>
      </c>
      <c r="I2248" s="864">
        <v>30521.265759134683</v>
      </c>
      <c r="J2248" s="864">
        <v>31426.005908498712</v>
      </c>
      <c r="K2248" s="864">
        <v>32378.401545629175</v>
      </c>
      <c r="L2248" s="18" t="s">
        <v>1424</v>
      </c>
      <c r="M2248"/>
      <c r="N2248" s="433"/>
      <c r="P2248" s="433"/>
    </row>
    <row r="2249" spans="1:16" x14ac:dyDescent="0.25">
      <c r="A2249" s="862">
        <v>2967</v>
      </c>
      <c r="B2249" s="863" t="s">
        <v>10090</v>
      </c>
      <c r="C2249" s="862">
        <v>2967</v>
      </c>
      <c r="D2249" s="165" t="s">
        <v>2171</v>
      </c>
      <c r="E2249" s="165" t="s">
        <v>10091</v>
      </c>
      <c r="F2249" s="163">
        <v>2</v>
      </c>
      <c r="G2249" s="864"/>
      <c r="H2249" s="864">
        <v>36071.000047419358</v>
      </c>
      <c r="I2249" s="864">
        <v>37038.392166714089</v>
      </c>
      <c r="J2249" s="864">
        <v>38056.677109607539</v>
      </c>
      <c r="K2249" s="864">
        <v>39128.568525253249</v>
      </c>
      <c r="L2249" s="18" t="s">
        <v>1425</v>
      </c>
      <c r="M2249"/>
      <c r="N2249" s="433"/>
      <c r="P2249" s="433"/>
    </row>
    <row r="2250" spans="1:16" x14ac:dyDescent="0.25">
      <c r="A2250" s="862">
        <v>2968</v>
      </c>
      <c r="B2250" s="863" t="s">
        <v>10092</v>
      </c>
      <c r="C2250" s="862">
        <v>2968</v>
      </c>
      <c r="D2250" s="165" t="s">
        <v>2171</v>
      </c>
      <c r="E2250" s="165" t="s">
        <v>10093</v>
      </c>
      <c r="F2250" s="163">
        <v>2</v>
      </c>
      <c r="G2250" s="864"/>
      <c r="H2250" s="864">
        <v>31563.723717067583</v>
      </c>
      <c r="I2250" s="864">
        <v>32486.269213509178</v>
      </c>
      <c r="J2250" s="864">
        <v>33457.42235531495</v>
      </c>
      <c r="K2250" s="864">
        <v>34479.658752238982</v>
      </c>
      <c r="L2250" s="18" t="s">
        <v>1426</v>
      </c>
      <c r="M2250"/>
      <c r="N2250" s="433"/>
      <c r="P2250" s="433"/>
    </row>
    <row r="2251" spans="1:16" x14ac:dyDescent="0.25">
      <c r="A2251" s="862">
        <v>2969</v>
      </c>
      <c r="B2251" s="863" t="s">
        <v>10094</v>
      </c>
      <c r="C2251" s="862">
        <v>2969</v>
      </c>
      <c r="D2251" s="165" t="s">
        <v>2171</v>
      </c>
      <c r="E2251" s="165" t="s">
        <v>10095</v>
      </c>
      <c r="F2251" s="163">
        <v>2</v>
      </c>
      <c r="G2251" s="864"/>
      <c r="H2251" s="864">
        <v>26610.303191459116</v>
      </c>
      <c r="I2251" s="864">
        <v>27342.179128955075</v>
      </c>
      <c r="J2251" s="864">
        <v>28112.569841279252</v>
      </c>
      <c r="K2251" s="864">
        <v>28923.474859386886</v>
      </c>
      <c r="L2251" s="18" t="s">
        <v>1427</v>
      </c>
      <c r="M2251"/>
      <c r="N2251" s="433"/>
      <c r="P2251" s="433"/>
    </row>
    <row r="2252" spans="1:16" x14ac:dyDescent="0.25">
      <c r="A2252" s="862">
        <v>2970</v>
      </c>
      <c r="B2252" s="863" t="s">
        <v>10096</v>
      </c>
      <c r="C2252" s="862">
        <v>2970</v>
      </c>
      <c r="D2252" s="165" t="s">
        <v>2171</v>
      </c>
      <c r="E2252" s="165" t="s">
        <v>10097</v>
      </c>
      <c r="F2252" s="163">
        <v>2</v>
      </c>
      <c r="G2252" s="864"/>
      <c r="H2252" s="864">
        <v>44434.296495795999</v>
      </c>
      <c r="I2252" s="864">
        <v>46145.079040894365</v>
      </c>
      <c r="J2252" s="864">
        <v>47945.932929046336</v>
      </c>
      <c r="K2252" s="864">
        <v>49841.556538197459</v>
      </c>
      <c r="L2252" s="18" t="s">
        <v>1428</v>
      </c>
      <c r="M2252"/>
      <c r="N2252" s="433"/>
      <c r="P2252" s="433"/>
    </row>
    <row r="2253" spans="1:16" x14ac:dyDescent="0.25">
      <c r="A2253" s="862">
        <v>2971</v>
      </c>
      <c r="B2253" s="863" t="s">
        <v>10098</v>
      </c>
      <c r="C2253" s="862">
        <v>2971</v>
      </c>
      <c r="D2253" s="165" t="s">
        <v>2171</v>
      </c>
      <c r="E2253" s="165" t="s">
        <v>10099</v>
      </c>
      <c r="F2253" s="163">
        <v>2</v>
      </c>
      <c r="G2253" s="864"/>
      <c r="H2253" s="864">
        <v>32557.78769431786</v>
      </c>
      <c r="I2253" s="864">
        <v>33479.285817401957</v>
      </c>
      <c r="J2253" s="864">
        <v>34449.248762210562</v>
      </c>
      <c r="K2253" s="864">
        <v>35470.294962137428</v>
      </c>
      <c r="L2253" s="18" t="s">
        <v>1429</v>
      </c>
      <c r="M2253"/>
      <c r="N2253" s="433"/>
      <c r="P2253" s="433"/>
    </row>
    <row r="2254" spans="1:16" x14ac:dyDescent="0.25">
      <c r="A2254" s="862">
        <v>2972</v>
      </c>
      <c r="B2254" s="863" t="s">
        <v>10100</v>
      </c>
      <c r="C2254" s="862">
        <v>2972</v>
      </c>
      <c r="D2254" s="165" t="s">
        <v>2171</v>
      </c>
      <c r="E2254" s="165" t="s">
        <v>10101</v>
      </c>
      <c r="F2254" s="163">
        <v>2</v>
      </c>
      <c r="G2254" s="864"/>
      <c r="H2254" s="864">
        <v>29762.535727364859</v>
      </c>
      <c r="I2254" s="864">
        <v>30594.911899301322</v>
      </c>
      <c r="J2254" s="864">
        <v>31471.087320733419</v>
      </c>
      <c r="K2254" s="864">
        <v>32393.347169895696</v>
      </c>
      <c r="L2254" s="18" t="s">
        <v>1430</v>
      </c>
      <c r="M2254"/>
      <c r="N2254" s="433"/>
      <c r="P2254" s="433"/>
    </row>
    <row r="2255" spans="1:16" x14ac:dyDescent="0.25">
      <c r="A2255" s="862">
        <v>2973</v>
      </c>
      <c r="B2255" s="863" t="s">
        <v>10102</v>
      </c>
      <c r="C2255" s="862">
        <v>2973</v>
      </c>
      <c r="D2255" s="165" t="s">
        <v>2171</v>
      </c>
      <c r="E2255" s="165" t="s">
        <v>10103</v>
      </c>
      <c r="F2255" s="163">
        <v>2</v>
      </c>
      <c r="G2255" s="864"/>
      <c r="H2255" s="864">
        <v>39660.88089486074</v>
      </c>
      <c r="I2255" s="864">
        <v>40734.43858630248</v>
      </c>
      <c r="J2255" s="864">
        <v>41864.506831169543</v>
      </c>
      <c r="K2255" s="864">
        <v>43054.037318014933</v>
      </c>
      <c r="L2255" s="18" t="s">
        <v>1431</v>
      </c>
      <c r="M2255"/>
      <c r="N2255" s="433"/>
      <c r="P2255" s="433"/>
    </row>
    <row r="2256" spans="1:16" x14ac:dyDescent="0.25">
      <c r="A2256" s="862">
        <v>2974</v>
      </c>
      <c r="B2256" s="863" t="s">
        <v>10104</v>
      </c>
      <c r="C2256" s="862">
        <v>2974</v>
      </c>
      <c r="D2256" s="165" t="s">
        <v>2171</v>
      </c>
      <c r="E2256" s="165" t="s">
        <v>10105</v>
      </c>
      <c r="F2256" s="163">
        <v>1</v>
      </c>
      <c r="G2256" s="864"/>
      <c r="H2256" s="864">
        <v>0</v>
      </c>
      <c r="I2256" s="864">
        <v>0</v>
      </c>
      <c r="J2256" s="864">
        <v>10486.381134023792</v>
      </c>
      <c r="K2256" s="864">
        <v>10767.078958989026</v>
      </c>
      <c r="L2256" s="18" t="s">
        <v>4846</v>
      </c>
      <c r="M2256"/>
      <c r="N2256" s="433"/>
      <c r="P2256" s="433"/>
    </row>
    <row r="2257" spans="1:16" x14ac:dyDescent="0.25">
      <c r="A2257" s="862">
        <v>2975</v>
      </c>
      <c r="B2257" s="863" t="s">
        <v>10106</v>
      </c>
      <c r="C2257" s="862">
        <v>2975</v>
      </c>
      <c r="D2257" s="165" t="s">
        <v>2171</v>
      </c>
      <c r="E2257" s="165" t="s">
        <v>10107</v>
      </c>
      <c r="F2257" s="163">
        <v>1</v>
      </c>
      <c r="G2257" s="864"/>
      <c r="H2257" s="864">
        <v>0</v>
      </c>
      <c r="I2257" s="864">
        <v>0</v>
      </c>
      <c r="J2257" s="864">
        <v>9611.4440117178128</v>
      </c>
      <c r="K2257" s="864">
        <v>9862.2141585729587</v>
      </c>
      <c r="L2257" s="18" t="s">
        <v>4847</v>
      </c>
      <c r="M2257"/>
      <c r="N2257" s="433"/>
      <c r="P2257" s="433"/>
    </row>
    <row r="2258" spans="1:16" x14ac:dyDescent="0.25">
      <c r="A2258" s="862">
        <v>2976</v>
      </c>
      <c r="B2258" s="863" t="s">
        <v>10108</v>
      </c>
      <c r="C2258" s="862">
        <v>2976</v>
      </c>
      <c r="D2258" s="165" t="s">
        <v>2171</v>
      </c>
      <c r="E2258" s="165" t="s">
        <v>10109</v>
      </c>
      <c r="F2258" s="163">
        <v>1</v>
      </c>
      <c r="G2258" s="864"/>
      <c r="H2258" s="864">
        <v>0</v>
      </c>
      <c r="I2258" s="864">
        <v>0</v>
      </c>
      <c r="J2258" s="864">
        <v>0</v>
      </c>
      <c r="K2258" s="864">
        <v>12789.815609754976</v>
      </c>
      <c r="L2258" s="18" t="s">
        <v>11107</v>
      </c>
      <c r="M2258"/>
      <c r="N2258" s="433"/>
      <c r="P2258" s="433"/>
    </row>
    <row r="2259" spans="1:16" x14ac:dyDescent="0.25">
      <c r="A2259" s="862">
        <v>2977</v>
      </c>
      <c r="B2259" s="863" t="s">
        <v>10110</v>
      </c>
      <c r="C2259" s="862">
        <v>2977</v>
      </c>
      <c r="D2259" s="165" t="s">
        <v>2171</v>
      </c>
      <c r="E2259" s="165" t="s">
        <v>10111</v>
      </c>
      <c r="F2259" s="163">
        <v>1</v>
      </c>
      <c r="G2259" s="864"/>
      <c r="H2259" s="864">
        <v>0</v>
      </c>
      <c r="I2259" s="864">
        <v>0</v>
      </c>
      <c r="J2259" s="864">
        <v>0</v>
      </c>
      <c r="K2259" s="864">
        <v>12286.792103109501</v>
      </c>
      <c r="L2259" s="18" t="s">
        <v>11108</v>
      </c>
      <c r="M2259"/>
      <c r="N2259" s="433"/>
      <c r="P2259" s="433"/>
    </row>
    <row r="2260" spans="1:16" x14ac:dyDescent="0.25">
      <c r="A2260" s="862">
        <v>2978</v>
      </c>
      <c r="B2260" s="863" t="s">
        <v>10112</v>
      </c>
      <c r="C2260" s="862">
        <v>2978</v>
      </c>
      <c r="D2260" s="165" t="s">
        <v>2171</v>
      </c>
      <c r="E2260" s="165" t="s">
        <v>10113</v>
      </c>
      <c r="F2260" s="163">
        <v>1</v>
      </c>
      <c r="G2260" s="864"/>
      <c r="H2260" s="864">
        <v>10258.40583148722</v>
      </c>
      <c r="I2260" s="864">
        <v>10521.378905196629</v>
      </c>
      <c r="J2260" s="864">
        <v>10798.202300885636</v>
      </c>
      <c r="K2260" s="864">
        <v>11089.577686848348</v>
      </c>
      <c r="L2260" s="18" t="s">
        <v>1432</v>
      </c>
      <c r="M2260"/>
      <c r="N2260" s="433"/>
      <c r="P2260" s="433"/>
    </row>
    <row r="2261" spans="1:16" x14ac:dyDescent="0.25">
      <c r="A2261" s="862">
        <v>2979</v>
      </c>
      <c r="B2261" s="863" t="s">
        <v>10114</v>
      </c>
      <c r="C2261" s="862">
        <v>2979</v>
      </c>
      <c r="D2261" s="165" t="s">
        <v>2171</v>
      </c>
      <c r="E2261" s="165" t="s">
        <v>10115</v>
      </c>
      <c r="F2261" s="163">
        <v>1</v>
      </c>
      <c r="G2261" s="864"/>
      <c r="H2261" s="864">
        <v>0</v>
      </c>
      <c r="I2261" s="864">
        <v>0</v>
      </c>
      <c r="J2261" s="864">
        <v>10328.032924264848</v>
      </c>
      <c r="K2261" s="864">
        <v>10603.330954097071</v>
      </c>
      <c r="L2261" s="18" t="s">
        <v>4848</v>
      </c>
      <c r="M2261"/>
      <c r="N2261" s="433"/>
      <c r="P2261" s="433"/>
    </row>
    <row r="2262" spans="1:16" x14ac:dyDescent="0.25">
      <c r="A2262" s="862">
        <v>2980</v>
      </c>
      <c r="B2262" s="863" t="s">
        <v>10116</v>
      </c>
      <c r="C2262" s="862">
        <v>2980</v>
      </c>
      <c r="D2262" s="165" t="s">
        <v>2171</v>
      </c>
      <c r="E2262" s="165" t="s">
        <v>10117</v>
      </c>
      <c r="F2262" s="163">
        <v>1</v>
      </c>
      <c r="G2262" s="864"/>
      <c r="H2262" s="864">
        <v>0</v>
      </c>
      <c r="I2262" s="864">
        <v>0</v>
      </c>
      <c r="J2262" s="864">
        <v>11597.463594002746</v>
      </c>
      <c r="K2262" s="864">
        <v>11886.33737996034</v>
      </c>
      <c r="L2262" s="18" t="s">
        <v>4849</v>
      </c>
      <c r="M2262"/>
      <c r="N2262" s="433"/>
      <c r="P2262" s="433"/>
    </row>
    <row r="2263" spans="1:16" x14ac:dyDescent="0.25">
      <c r="A2263" s="862">
        <v>2981</v>
      </c>
      <c r="B2263" s="863" t="s">
        <v>10118</v>
      </c>
      <c r="C2263" s="862">
        <v>2981</v>
      </c>
      <c r="D2263" s="165" t="s">
        <v>2171</v>
      </c>
      <c r="E2263" s="165" t="s">
        <v>10119</v>
      </c>
      <c r="F2263" s="163">
        <v>1</v>
      </c>
      <c r="G2263" s="864"/>
      <c r="H2263" s="864">
        <v>0</v>
      </c>
      <c r="I2263" s="864">
        <v>0</v>
      </c>
      <c r="J2263" s="864">
        <v>11094.440087357272</v>
      </c>
      <c r="K2263" s="864">
        <v>11367.694126941409</v>
      </c>
      <c r="L2263" s="18" t="s">
        <v>4850</v>
      </c>
      <c r="M2263"/>
      <c r="N2263" s="433"/>
      <c r="P2263" s="433"/>
    </row>
    <row r="2264" spans="1:16" x14ac:dyDescent="0.25">
      <c r="A2264" s="862">
        <v>2982</v>
      </c>
      <c r="B2264" s="863" t="s">
        <v>10120</v>
      </c>
      <c r="C2264" s="862">
        <v>2982</v>
      </c>
      <c r="D2264" s="165" t="s">
        <v>2171</v>
      </c>
      <c r="E2264" s="165" t="s">
        <v>10121</v>
      </c>
      <c r="F2264" s="163">
        <v>1</v>
      </c>
      <c r="G2264" s="864"/>
      <c r="H2264" s="864">
        <v>10991.291823505109</v>
      </c>
      <c r="I2264" s="864">
        <v>11278.426692385967</v>
      </c>
      <c r="J2264" s="864">
        <v>11580.693190566113</v>
      </c>
      <c r="K2264" s="864">
        <v>11898.884508291078</v>
      </c>
      <c r="L2264" s="18" t="s">
        <v>1433</v>
      </c>
      <c r="M2264"/>
      <c r="N2264" s="433"/>
      <c r="P2264" s="433"/>
    </row>
    <row r="2265" spans="1:16" x14ac:dyDescent="0.25">
      <c r="A2265" s="862">
        <v>2983</v>
      </c>
      <c r="B2265" s="863" t="s">
        <v>10122</v>
      </c>
      <c r="C2265" s="862">
        <v>2983</v>
      </c>
      <c r="D2265" s="165" t="s">
        <v>2171</v>
      </c>
      <c r="E2265" s="165" t="s">
        <v>10123</v>
      </c>
      <c r="F2265" s="163">
        <v>1</v>
      </c>
      <c r="G2265" s="864"/>
      <c r="H2265" s="864">
        <v>10478.975151402872</v>
      </c>
      <c r="I2265" s="864">
        <v>10749.208966590579</v>
      </c>
      <c r="J2265" s="864">
        <v>11033.689698880631</v>
      </c>
      <c r="K2265" s="864">
        <v>11333.149523884298</v>
      </c>
      <c r="L2265" s="18" t="s">
        <v>1434</v>
      </c>
      <c r="M2265"/>
      <c r="N2265" s="433"/>
      <c r="P2265" s="433"/>
    </row>
    <row r="2266" spans="1:16" x14ac:dyDescent="0.25">
      <c r="A2266" s="862">
        <v>2984</v>
      </c>
      <c r="B2266" s="863" t="s">
        <v>10124</v>
      </c>
      <c r="C2266" s="862">
        <v>2984</v>
      </c>
      <c r="D2266" s="165" t="s">
        <v>2172</v>
      </c>
      <c r="E2266" s="165" t="s">
        <v>10125</v>
      </c>
      <c r="F2266" s="163">
        <v>2</v>
      </c>
      <c r="G2266" s="864"/>
      <c r="H2266" s="864">
        <v>21910.381900616703</v>
      </c>
      <c r="I2266" s="864">
        <v>22679.999127013689</v>
      </c>
      <c r="J2266" s="864">
        <v>23449.673650702691</v>
      </c>
      <c r="K2266" s="864">
        <v>24259.857359849011</v>
      </c>
      <c r="L2266" s="18" t="s">
        <v>3131</v>
      </c>
      <c r="M2266"/>
      <c r="N2266" s="433"/>
      <c r="P2266" s="433"/>
    </row>
    <row r="2267" spans="1:16" x14ac:dyDescent="0.25">
      <c r="A2267" s="862">
        <v>2985</v>
      </c>
      <c r="B2267" s="863" t="s">
        <v>10126</v>
      </c>
      <c r="C2267" s="862">
        <v>2985</v>
      </c>
      <c r="D2267" s="165" t="s">
        <v>2172</v>
      </c>
      <c r="E2267" s="165" t="s">
        <v>10127</v>
      </c>
      <c r="F2267" s="163">
        <v>2</v>
      </c>
      <c r="G2267" s="864"/>
      <c r="H2267" s="864">
        <v>0</v>
      </c>
      <c r="I2267" s="864">
        <v>29496.963956518674</v>
      </c>
      <c r="J2267" s="864">
        <v>30517.772511126226</v>
      </c>
      <c r="K2267" s="864">
        <v>0</v>
      </c>
      <c r="L2267" s="18" t="s">
        <v>4851</v>
      </c>
      <c r="M2267"/>
      <c r="N2267" s="433"/>
      <c r="P2267" s="433"/>
    </row>
    <row r="2268" spans="1:16" x14ac:dyDescent="0.25">
      <c r="A2268" s="862">
        <v>2986</v>
      </c>
      <c r="B2268" s="863" t="s">
        <v>10128</v>
      </c>
      <c r="C2268" s="862">
        <v>2986</v>
      </c>
      <c r="D2268" s="165" t="s">
        <v>2172</v>
      </c>
      <c r="E2268" s="165" t="s">
        <v>10129</v>
      </c>
      <c r="F2268" s="163">
        <v>2</v>
      </c>
      <c r="G2268" s="864"/>
      <c r="H2268" s="864">
        <v>27657.058926885824</v>
      </c>
      <c r="I2268" s="864">
        <v>28592.781002845411</v>
      </c>
      <c r="J2268" s="864">
        <v>29577.778749941193</v>
      </c>
      <c r="K2268" s="864">
        <v>0</v>
      </c>
      <c r="L2268" s="18" t="s">
        <v>4852</v>
      </c>
      <c r="M2268"/>
      <c r="N2268" s="433"/>
      <c r="P2268" s="433"/>
    </row>
    <row r="2269" spans="1:16" x14ac:dyDescent="0.25">
      <c r="A2269" s="862">
        <v>2987</v>
      </c>
      <c r="B2269" s="863" t="s">
        <v>10130</v>
      </c>
      <c r="C2269" s="862">
        <v>2987</v>
      </c>
      <c r="D2269" s="165" t="s">
        <v>2172</v>
      </c>
      <c r="E2269" s="165" t="s">
        <v>10131</v>
      </c>
      <c r="F2269" s="163">
        <v>2</v>
      </c>
      <c r="G2269" s="864"/>
      <c r="H2269" s="864">
        <v>26684.674367513064</v>
      </c>
      <c r="I2269" s="864">
        <v>27606.014823175927</v>
      </c>
      <c r="J2269" s="864">
        <v>28575.82878788672</v>
      </c>
      <c r="K2269" s="864">
        <v>29596.694639786296</v>
      </c>
      <c r="L2269" s="18" t="s">
        <v>3132</v>
      </c>
      <c r="M2269"/>
      <c r="N2269" s="433"/>
      <c r="P2269" s="433"/>
    </row>
    <row r="2270" spans="1:16" x14ac:dyDescent="0.25">
      <c r="A2270" s="862">
        <v>2988</v>
      </c>
      <c r="B2270" s="863" t="s">
        <v>10132</v>
      </c>
      <c r="C2270" s="862">
        <v>2988</v>
      </c>
      <c r="D2270" s="165" t="s">
        <v>2172</v>
      </c>
      <c r="E2270" s="165" t="s">
        <v>10133</v>
      </c>
      <c r="F2270" s="163">
        <v>2</v>
      </c>
      <c r="G2270" s="864"/>
      <c r="H2270" s="864">
        <v>30970.884822886026</v>
      </c>
      <c r="I2270" s="864">
        <v>32036.270670684236</v>
      </c>
      <c r="J2270" s="864">
        <v>33157.750567368879</v>
      </c>
      <c r="K2270" s="864">
        <v>0</v>
      </c>
      <c r="L2270" s="18" t="s">
        <v>4853</v>
      </c>
      <c r="M2270"/>
      <c r="N2270" s="433"/>
      <c r="P2270" s="433"/>
    </row>
    <row r="2271" spans="1:16" x14ac:dyDescent="0.25">
      <c r="A2271" s="862">
        <v>2989</v>
      </c>
      <c r="B2271" s="863" t="s">
        <v>10134</v>
      </c>
      <c r="C2271" s="862">
        <v>2989</v>
      </c>
      <c r="D2271" s="165" t="s">
        <v>2172</v>
      </c>
      <c r="E2271" s="165" t="s">
        <v>10135</v>
      </c>
      <c r="F2271" s="163">
        <v>2</v>
      </c>
      <c r="G2271" s="864"/>
      <c r="H2271" s="864">
        <v>30100.959095386603</v>
      </c>
      <c r="I2271" s="864">
        <v>31132.310351725617</v>
      </c>
      <c r="J2271" s="864">
        <v>32217.922143606476</v>
      </c>
      <c r="K2271" s="864">
        <v>0</v>
      </c>
      <c r="L2271" s="18" t="s">
        <v>4854</v>
      </c>
      <c r="M2271"/>
      <c r="N2271" s="433"/>
      <c r="P2271" s="433"/>
    </row>
    <row r="2272" spans="1:16" x14ac:dyDescent="0.25">
      <c r="A2272" s="862">
        <v>2990</v>
      </c>
      <c r="B2272" s="863" t="s">
        <v>10136</v>
      </c>
      <c r="C2272" s="862">
        <v>2990</v>
      </c>
      <c r="D2272" s="165" t="s">
        <v>2172</v>
      </c>
      <c r="E2272" s="165" t="s">
        <v>10137</v>
      </c>
      <c r="F2272" s="163">
        <v>2</v>
      </c>
      <c r="G2272" s="864"/>
      <c r="H2272" s="864">
        <v>0</v>
      </c>
      <c r="I2272" s="864">
        <v>22804.98230408844</v>
      </c>
      <c r="J2272" s="864">
        <v>24357.567025922803</v>
      </c>
      <c r="K2272" s="864">
        <v>25174.683707403401</v>
      </c>
      <c r="L2272" s="18" t="s">
        <v>4855</v>
      </c>
      <c r="M2272"/>
      <c r="N2272" s="433"/>
      <c r="P2272" s="433"/>
    </row>
    <row r="2273" spans="1:16" x14ac:dyDescent="0.25">
      <c r="A2273" s="862">
        <v>2991</v>
      </c>
      <c r="B2273" s="863" t="s">
        <v>10138</v>
      </c>
      <c r="C2273" s="862">
        <v>2991</v>
      </c>
      <c r="D2273" s="165" t="s">
        <v>2172</v>
      </c>
      <c r="E2273" s="165" t="s">
        <v>10139</v>
      </c>
      <c r="F2273" s="163">
        <v>2</v>
      </c>
      <c r="G2273" s="864"/>
      <c r="H2273" s="864">
        <v>0</v>
      </c>
      <c r="I2273" s="864">
        <v>0</v>
      </c>
      <c r="J2273" s="864">
        <v>28123.68038277977</v>
      </c>
      <c r="K2273" s="864">
        <v>29090.056509969432</v>
      </c>
      <c r="L2273" s="18" t="s">
        <v>4856</v>
      </c>
      <c r="M2273"/>
      <c r="N2273" s="433"/>
      <c r="P2273" s="433"/>
    </row>
    <row r="2274" spans="1:16" x14ac:dyDescent="0.25">
      <c r="A2274" s="862">
        <v>2992</v>
      </c>
      <c r="B2274" s="863" t="s">
        <v>10140</v>
      </c>
      <c r="C2274" s="862">
        <v>2992</v>
      </c>
      <c r="D2274" s="165" t="s">
        <v>2172</v>
      </c>
      <c r="E2274" s="165" t="s">
        <v>10141</v>
      </c>
      <c r="F2274" s="163">
        <v>2</v>
      </c>
      <c r="G2274" s="864"/>
      <c r="H2274" s="864">
        <v>0</v>
      </c>
      <c r="I2274" s="864">
        <v>0</v>
      </c>
      <c r="J2274" s="864">
        <v>31275.214767512756</v>
      </c>
      <c r="K2274" s="864">
        <v>32366.498991303481</v>
      </c>
      <c r="L2274" s="18" t="s">
        <v>4857</v>
      </c>
      <c r="M2274"/>
      <c r="N2274" s="433"/>
      <c r="P2274" s="433"/>
    </row>
    <row r="2275" spans="1:16" x14ac:dyDescent="0.25">
      <c r="A2275" s="862">
        <v>2993</v>
      </c>
      <c r="B2275" s="863" t="s">
        <v>10142</v>
      </c>
      <c r="C2275" s="862">
        <v>2993</v>
      </c>
      <c r="D2275" s="165" t="s">
        <v>2172</v>
      </c>
      <c r="E2275" s="165" t="s">
        <v>10143</v>
      </c>
      <c r="F2275" s="163">
        <v>2</v>
      </c>
      <c r="G2275" s="864"/>
      <c r="H2275" s="864">
        <v>31843.11549130148</v>
      </c>
      <c r="I2275" s="864">
        <v>32971.585657612428</v>
      </c>
      <c r="J2275" s="864">
        <v>34159.473115746907</v>
      </c>
      <c r="K2275" s="864">
        <v>35409.871919473931</v>
      </c>
      <c r="L2275" s="18" t="s">
        <v>1435</v>
      </c>
      <c r="M2275"/>
      <c r="N2275" s="433"/>
      <c r="P2275" s="433"/>
    </row>
    <row r="2276" spans="1:16" x14ac:dyDescent="0.25">
      <c r="A2276" s="862">
        <v>2994</v>
      </c>
      <c r="B2276" s="863" t="s">
        <v>10144</v>
      </c>
      <c r="C2276" s="862">
        <v>2994</v>
      </c>
      <c r="D2276" s="165" t="s">
        <v>2172</v>
      </c>
      <c r="E2276" s="165" t="s">
        <v>10145</v>
      </c>
      <c r="F2276" s="163">
        <v>2</v>
      </c>
      <c r="G2276" s="864"/>
      <c r="H2276" s="864">
        <v>33296.567686294526</v>
      </c>
      <c r="I2276" s="864">
        <v>34483.42379317266</v>
      </c>
      <c r="J2276" s="864">
        <v>35732.733948351328</v>
      </c>
      <c r="K2276" s="864">
        <v>37047.764097475592</v>
      </c>
      <c r="L2276" s="18" t="s">
        <v>1436</v>
      </c>
      <c r="M2276"/>
      <c r="N2276" s="433"/>
      <c r="P2276" s="433"/>
    </row>
    <row r="2277" spans="1:16" x14ac:dyDescent="0.25">
      <c r="A2277" s="862">
        <v>2995</v>
      </c>
      <c r="B2277" s="863" t="s">
        <v>10146</v>
      </c>
      <c r="C2277" s="862">
        <v>2995</v>
      </c>
      <c r="D2277" s="165" t="s">
        <v>2172</v>
      </c>
      <c r="E2277" s="165" t="s">
        <v>10147</v>
      </c>
      <c r="F2277" s="163">
        <v>2</v>
      </c>
      <c r="G2277" s="864"/>
      <c r="H2277" s="864">
        <v>0</v>
      </c>
      <c r="I2277" s="864">
        <v>42023.291500472296</v>
      </c>
      <c r="J2277" s="864">
        <v>43540.52379313104</v>
      </c>
      <c r="K2277" s="864">
        <v>45137.628510864022</v>
      </c>
      <c r="L2277" s="18" t="s">
        <v>4111</v>
      </c>
      <c r="M2277"/>
      <c r="N2277" s="433"/>
      <c r="P2277" s="433"/>
    </row>
    <row r="2278" spans="1:16" x14ac:dyDescent="0.25">
      <c r="A2278" s="862">
        <v>2996</v>
      </c>
      <c r="B2278" s="863" t="s">
        <v>10148</v>
      </c>
      <c r="C2278" s="862">
        <v>2996</v>
      </c>
      <c r="D2278" s="165" t="s">
        <v>2172</v>
      </c>
      <c r="E2278" s="165" t="s">
        <v>10149</v>
      </c>
      <c r="F2278" s="163">
        <v>2</v>
      </c>
      <c r="G2278" s="864"/>
      <c r="H2278" s="864">
        <v>35125.064010830887</v>
      </c>
      <c r="I2278" s="864">
        <v>36385.317948785145</v>
      </c>
      <c r="J2278" s="864">
        <v>37711.922150897226</v>
      </c>
      <c r="K2278" s="864">
        <v>39108.314454688239</v>
      </c>
      <c r="L2278" s="18" t="s">
        <v>1437</v>
      </c>
      <c r="M2278"/>
      <c r="N2278" s="433"/>
      <c r="P2278" s="433"/>
    </row>
    <row r="2279" spans="1:16" x14ac:dyDescent="0.25">
      <c r="A2279" s="862">
        <v>2997</v>
      </c>
      <c r="B2279" s="863" t="s">
        <v>10150</v>
      </c>
      <c r="C2279" s="862">
        <v>2997</v>
      </c>
      <c r="D2279" s="165" t="s">
        <v>2172</v>
      </c>
      <c r="E2279" s="165" t="s">
        <v>10151</v>
      </c>
      <c r="F2279" s="163">
        <v>2</v>
      </c>
      <c r="G2279" s="864"/>
      <c r="H2279" s="864">
        <v>36578.516205823922</v>
      </c>
      <c r="I2279" s="864">
        <v>37897.156084345384</v>
      </c>
      <c r="J2279" s="864">
        <v>39285.182983501647</v>
      </c>
      <c r="K2279" s="864">
        <v>40746.263929981935</v>
      </c>
      <c r="L2279" s="18" t="s">
        <v>1438</v>
      </c>
      <c r="M2279"/>
      <c r="N2279" s="433"/>
      <c r="P2279" s="433"/>
    </row>
    <row r="2280" spans="1:16" x14ac:dyDescent="0.25">
      <c r="A2280" s="862">
        <v>2998</v>
      </c>
      <c r="B2280" s="863" t="s">
        <v>10152</v>
      </c>
      <c r="C2280" s="862">
        <v>2998</v>
      </c>
      <c r="D2280" s="165" t="s">
        <v>2172</v>
      </c>
      <c r="E2280" s="165" t="s">
        <v>10153</v>
      </c>
      <c r="F2280" s="163">
        <v>2</v>
      </c>
      <c r="G2280" s="864"/>
      <c r="H2280" s="864">
        <v>0</v>
      </c>
      <c r="I2280" s="864">
        <v>31721.254195895632</v>
      </c>
      <c r="J2280" s="864">
        <v>0</v>
      </c>
      <c r="K2280" s="864">
        <v>0</v>
      </c>
      <c r="L2280" s="18" t="s">
        <v>4112</v>
      </c>
      <c r="M2280"/>
      <c r="N2280" s="433"/>
      <c r="P2280" s="433"/>
    </row>
    <row r="2281" spans="1:16" x14ac:dyDescent="0.25">
      <c r="A2281" s="862">
        <v>2999</v>
      </c>
      <c r="B2281" s="863" t="s">
        <v>10154</v>
      </c>
      <c r="C2281" s="862">
        <v>2999</v>
      </c>
      <c r="D2281" s="165" t="s">
        <v>2172</v>
      </c>
      <c r="E2281" s="165" t="s">
        <v>10155</v>
      </c>
      <c r="F2281" s="163">
        <v>2</v>
      </c>
      <c r="G2281" s="864"/>
      <c r="H2281" s="864">
        <v>26499.17292945271</v>
      </c>
      <c r="I2281" s="864">
        <v>27413.064737153119</v>
      </c>
      <c r="J2281" s="864">
        <v>28375.028972857333</v>
      </c>
      <c r="K2281" s="864">
        <v>29387.644014706195</v>
      </c>
      <c r="L2281" s="18" t="s">
        <v>1439</v>
      </c>
      <c r="M2281"/>
      <c r="N2281" s="433"/>
      <c r="P2281" s="433"/>
    </row>
    <row r="2282" spans="1:16" x14ac:dyDescent="0.25">
      <c r="A2282" s="862">
        <v>3000</v>
      </c>
      <c r="B2282" s="863" t="s">
        <v>10156</v>
      </c>
      <c r="C2282" s="862">
        <v>3000</v>
      </c>
      <c r="D2282" s="165" t="s">
        <v>2172</v>
      </c>
      <c r="E2282" s="165" t="s">
        <v>10157</v>
      </c>
      <c r="F2282" s="163">
        <v>1</v>
      </c>
      <c r="G2282" s="864"/>
      <c r="H2282" s="864">
        <v>0</v>
      </c>
      <c r="I2282" s="864">
        <v>24267.187054787744</v>
      </c>
      <c r="J2282" s="864">
        <v>25012.498774729025</v>
      </c>
      <c r="K2282" s="864">
        <v>25797.037427298794</v>
      </c>
      <c r="L2282" s="18" t="s">
        <v>4113</v>
      </c>
      <c r="M2282"/>
      <c r="N2282" s="433"/>
      <c r="P2282" s="433"/>
    </row>
    <row r="2283" spans="1:16" x14ac:dyDescent="0.25">
      <c r="A2283" s="862">
        <v>3001</v>
      </c>
      <c r="B2283" s="863" t="s">
        <v>10158</v>
      </c>
      <c r="C2283" s="862">
        <v>3001</v>
      </c>
      <c r="D2283" s="165" t="s">
        <v>2172</v>
      </c>
      <c r="E2283" s="165" t="s">
        <v>10159</v>
      </c>
      <c r="F2283" s="163">
        <v>1</v>
      </c>
      <c r="G2283" s="864"/>
      <c r="H2283" s="864">
        <v>0</v>
      </c>
      <c r="I2283" s="864">
        <v>23070.265283083492</v>
      </c>
      <c r="J2283" s="864">
        <v>23775.075088837391</v>
      </c>
      <c r="K2283" s="864">
        <v>24516.986857954969</v>
      </c>
      <c r="L2283" s="18" t="s">
        <v>4114</v>
      </c>
      <c r="M2283"/>
      <c r="N2283" s="433"/>
      <c r="P2283" s="433"/>
    </row>
    <row r="2284" spans="1:16" x14ac:dyDescent="0.25">
      <c r="A2284" s="862">
        <v>3002</v>
      </c>
      <c r="B2284" s="863" t="s">
        <v>10160</v>
      </c>
      <c r="C2284" s="862">
        <v>3002</v>
      </c>
      <c r="D2284" s="165" t="s">
        <v>2172</v>
      </c>
      <c r="E2284" s="165" t="s">
        <v>10161</v>
      </c>
      <c r="F2284" s="163">
        <v>1</v>
      </c>
      <c r="G2284" s="864"/>
      <c r="H2284" s="864">
        <v>0</v>
      </c>
      <c r="I2284" s="864">
        <v>18597.989102014944</v>
      </c>
      <c r="J2284" s="864">
        <v>19151.416097343412</v>
      </c>
      <c r="K2284" s="864">
        <v>19733.955171599846</v>
      </c>
      <c r="L2284" s="18" t="s">
        <v>4115</v>
      </c>
      <c r="M2284"/>
      <c r="N2284" s="433"/>
      <c r="P2284" s="433"/>
    </row>
    <row r="2285" spans="1:16" x14ac:dyDescent="0.25">
      <c r="A2285" s="862">
        <v>3003</v>
      </c>
      <c r="B2285" s="863" t="s">
        <v>10162</v>
      </c>
      <c r="C2285" s="862">
        <v>3003</v>
      </c>
      <c r="D2285" s="165" t="s">
        <v>2172</v>
      </c>
      <c r="E2285" s="165" t="s">
        <v>10163</v>
      </c>
      <c r="F2285" s="163">
        <v>1</v>
      </c>
      <c r="G2285" s="864"/>
      <c r="H2285" s="864">
        <v>16345.659114466343</v>
      </c>
      <c r="I2285" s="864">
        <v>16814.044839816914</v>
      </c>
      <c r="J2285" s="864">
        <v>17307.08020863932</v>
      </c>
      <c r="K2285" s="864">
        <v>17826.082701877785</v>
      </c>
      <c r="L2285" s="18" t="s">
        <v>4117</v>
      </c>
      <c r="M2285"/>
      <c r="N2285" s="433"/>
      <c r="P2285" s="433"/>
    </row>
    <row r="2286" spans="1:16" x14ac:dyDescent="0.25">
      <c r="A2286" s="862">
        <v>3004</v>
      </c>
      <c r="B2286" s="863" t="s">
        <v>10164</v>
      </c>
      <c r="C2286" s="862">
        <v>3004</v>
      </c>
      <c r="D2286" s="165" t="s">
        <v>2172</v>
      </c>
      <c r="E2286" s="165" t="s">
        <v>10165</v>
      </c>
      <c r="F2286" s="163">
        <v>1</v>
      </c>
      <c r="G2286" s="864"/>
      <c r="H2286" s="864">
        <v>0</v>
      </c>
      <c r="I2286" s="864">
        <v>17527.431368591628</v>
      </c>
      <c r="J2286" s="864">
        <v>18044.606388262346</v>
      </c>
      <c r="K2286" s="864">
        <v>18589.023513907996</v>
      </c>
      <c r="L2286" s="18" t="s">
        <v>4116</v>
      </c>
      <c r="M2286"/>
      <c r="N2286" s="433"/>
      <c r="P2286" s="433"/>
    </row>
    <row r="2287" spans="1:16" x14ac:dyDescent="0.25">
      <c r="A2287" s="862">
        <v>3005</v>
      </c>
      <c r="B2287" s="863" t="s">
        <v>10166</v>
      </c>
      <c r="C2287" s="862">
        <v>3005</v>
      </c>
      <c r="D2287" s="165" t="s">
        <v>2172</v>
      </c>
      <c r="E2287" s="165" t="s">
        <v>10167</v>
      </c>
      <c r="F2287" s="163">
        <v>1</v>
      </c>
      <c r="G2287" s="864"/>
      <c r="H2287" s="864">
        <v>0</v>
      </c>
      <c r="I2287" s="864">
        <v>18971.218672664887</v>
      </c>
      <c r="J2287" s="864">
        <v>19537.267985426359</v>
      </c>
      <c r="K2287" s="864">
        <v>20133.109367280529</v>
      </c>
      <c r="L2287" s="18" t="s">
        <v>4120</v>
      </c>
      <c r="M2287"/>
      <c r="N2287" s="433"/>
      <c r="P2287" s="433"/>
    </row>
    <row r="2288" spans="1:16" x14ac:dyDescent="0.25">
      <c r="A2288" s="862">
        <v>3006</v>
      </c>
      <c r="B2288" s="863" t="s">
        <v>10168</v>
      </c>
      <c r="C2288" s="862">
        <v>3006</v>
      </c>
      <c r="D2288" s="165" t="s">
        <v>2172</v>
      </c>
      <c r="E2288" s="165" t="s">
        <v>10169</v>
      </c>
      <c r="F2288" s="163">
        <v>1</v>
      </c>
      <c r="G2288" s="864"/>
      <c r="H2288" s="864">
        <v>0</v>
      </c>
      <c r="I2288" s="864">
        <v>22019.334441439609</v>
      </c>
      <c r="J2288" s="864">
        <v>22688.572261700505</v>
      </c>
      <c r="K2288" s="864">
        <v>23392.999572986733</v>
      </c>
      <c r="L2288" s="18" t="s">
        <v>4118</v>
      </c>
      <c r="M2288"/>
      <c r="N2288" s="433"/>
      <c r="P2288" s="433"/>
    </row>
    <row r="2289" spans="1:16" x14ac:dyDescent="0.25">
      <c r="A2289" s="862">
        <v>3007</v>
      </c>
      <c r="B2289" s="863" t="s">
        <v>10170</v>
      </c>
      <c r="C2289" s="862">
        <v>3007</v>
      </c>
      <c r="D2289" s="165" t="s">
        <v>2172</v>
      </c>
      <c r="E2289" s="165" t="s">
        <v>10171</v>
      </c>
      <c r="F2289" s="163">
        <v>1</v>
      </c>
      <c r="G2289" s="864"/>
      <c r="H2289" s="864">
        <v>0</v>
      </c>
      <c r="I2289" s="864">
        <v>20948.776708016292</v>
      </c>
      <c r="J2289" s="864">
        <v>21581.762552619435</v>
      </c>
      <c r="K2289" s="864">
        <v>22248.067915294887</v>
      </c>
      <c r="L2289" s="18" t="s">
        <v>4119</v>
      </c>
      <c r="M2289"/>
      <c r="N2289" s="433"/>
      <c r="P2289" s="433"/>
    </row>
    <row r="2290" spans="1:16" x14ac:dyDescent="0.25">
      <c r="A2290" s="862">
        <v>3008</v>
      </c>
      <c r="B2290" s="863" t="s">
        <v>10172</v>
      </c>
      <c r="C2290" s="862">
        <v>3008</v>
      </c>
      <c r="D2290" s="165" t="s">
        <v>2172</v>
      </c>
      <c r="E2290" s="165" t="s">
        <v>10173</v>
      </c>
      <c r="F2290" s="163">
        <v>1</v>
      </c>
      <c r="G2290" s="864"/>
      <c r="H2290" s="864">
        <v>0</v>
      </c>
      <c r="I2290" s="864">
        <v>22740.771402907656</v>
      </c>
      <c r="J2290" s="864">
        <v>23434.403870328621</v>
      </c>
      <c r="K2290" s="864">
        <v>24164.543309719116</v>
      </c>
      <c r="L2290" s="18" t="s">
        <v>4122</v>
      </c>
      <c r="M2290"/>
      <c r="N2290" s="433"/>
      <c r="P2290" s="433"/>
    </row>
    <row r="2291" spans="1:16" x14ac:dyDescent="0.25">
      <c r="A2291" s="862">
        <v>3009</v>
      </c>
      <c r="B2291" s="863" t="s">
        <v>10174</v>
      </c>
      <c r="C2291" s="862">
        <v>3009</v>
      </c>
      <c r="D2291" s="165" t="s">
        <v>2172</v>
      </c>
      <c r="E2291" s="165" t="s">
        <v>10175</v>
      </c>
      <c r="F2291" s="163">
        <v>1</v>
      </c>
      <c r="G2291" s="864"/>
      <c r="H2291" s="864">
        <v>0</v>
      </c>
      <c r="I2291" s="864">
        <v>24718.32943825905</v>
      </c>
      <c r="J2291" s="864">
        <v>25478.898437521701</v>
      </c>
      <c r="K2291" s="864">
        <v>26279.50185773347</v>
      </c>
      <c r="L2291" s="18" t="s">
        <v>4121</v>
      </c>
      <c r="M2291"/>
      <c r="N2291" s="433"/>
      <c r="P2291" s="433"/>
    </row>
    <row r="2292" spans="1:16" x14ac:dyDescent="0.25">
      <c r="A2292" s="862">
        <v>3010</v>
      </c>
      <c r="B2292" s="863" t="s">
        <v>10176</v>
      </c>
      <c r="C2292" s="862">
        <v>3010</v>
      </c>
      <c r="D2292" s="165" t="s">
        <v>2172</v>
      </c>
      <c r="E2292" s="165" t="s">
        <v>10177</v>
      </c>
      <c r="F2292" s="163">
        <v>1</v>
      </c>
      <c r="G2292" s="864"/>
      <c r="H2292" s="864">
        <v>0</v>
      </c>
      <c r="I2292" s="864">
        <v>25875.126544652579</v>
      </c>
      <c r="J2292" s="864">
        <v>26674.87997715842</v>
      </c>
      <c r="K2292" s="864">
        <v>27516.707801107605</v>
      </c>
      <c r="L2292" s="18" t="s">
        <v>4123</v>
      </c>
      <c r="M2292"/>
      <c r="N2292" s="433"/>
      <c r="P2292" s="433"/>
    </row>
    <row r="2293" spans="1:16" x14ac:dyDescent="0.25">
      <c r="A2293" s="862">
        <v>3011</v>
      </c>
      <c r="B2293" s="863" t="s">
        <v>10178</v>
      </c>
      <c r="C2293" s="862">
        <v>3011</v>
      </c>
      <c r="D2293" s="165" t="s">
        <v>2172</v>
      </c>
      <c r="E2293" s="165" t="s">
        <v>10179</v>
      </c>
      <c r="F2293" s="163">
        <v>1</v>
      </c>
      <c r="G2293" s="864"/>
      <c r="H2293" s="864">
        <v>0</v>
      </c>
      <c r="I2293" s="864">
        <v>20582.40806146698</v>
      </c>
      <c r="J2293" s="864">
        <v>21202.984085563603</v>
      </c>
      <c r="K2293" s="864">
        <v>21856.242136953089</v>
      </c>
      <c r="L2293" s="18" t="s">
        <v>4124</v>
      </c>
      <c r="M2293"/>
      <c r="N2293" s="433"/>
      <c r="P2293" s="433"/>
    </row>
    <row r="2294" spans="1:16" x14ac:dyDescent="0.25">
      <c r="A2294" s="862">
        <v>3012</v>
      </c>
      <c r="B2294" s="863" t="s">
        <v>10180</v>
      </c>
      <c r="C2294" s="862">
        <v>3012</v>
      </c>
      <c r="D2294" s="165" t="s">
        <v>2172</v>
      </c>
      <c r="E2294" s="165" t="s">
        <v>10181</v>
      </c>
      <c r="F2294" s="163">
        <v>1</v>
      </c>
      <c r="G2294" s="864"/>
      <c r="H2294" s="864">
        <v>0</v>
      </c>
      <c r="I2294" s="864">
        <v>19511.85032804366</v>
      </c>
      <c r="J2294" s="864">
        <v>20096.216875867842</v>
      </c>
      <c r="K2294" s="864">
        <v>20711.310479261243</v>
      </c>
      <c r="L2294" s="18" t="s">
        <v>4125</v>
      </c>
      <c r="M2294"/>
      <c r="N2294" s="433"/>
      <c r="P2294" s="433"/>
    </row>
    <row r="2295" spans="1:16" x14ac:dyDescent="0.25">
      <c r="A2295" s="862">
        <v>3013</v>
      </c>
      <c r="B2295" s="863" t="s">
        <v>10182</v>
      </c>
      <c r="C2295" s="862">
        <v>3013</v>
      </c>
      <c r="D2295" s="165" t="s">
        <v>2172</v>
      </c>
      <c r="E2295" s="165" t="s">
        <v>10183</v>
      </c>
      <c r="F2295" s="163">
        <v>1</v>
      </c>
      <c r="G2295" s="864"/>
      <c r="H2295" s="864">
        <v>0</v>
      </c>
      <c r="I2295" s="864">
        <v>0</v>
      </c>
      <c r="J2295" s="864">
        <v>0</v>
      </c>
      <c r="K2295" s="864">
        <v>27352.734118495286</v>
      </c>
      <c r="L2295" s="18" t="s">
        <v>11109</v>
      </c>
      <c r="M2295"/>
      <c r="N2295" s="433"/>
      <c r="P2295" s="433"/>
    </row>
    <row r="2296" spans="1:16" x14ac:dyDescent="0.25">
      <c r="A2296" s="862">
        <v>3014</v>
      </c>
      <c r="B2296" s="863" t="s">
        <v>10184</v>
      </c>
      <c r="C2296" s="862">
        <v>3014</v>
      </c>
      <c r="D2296" s="165" t="s">
        <v>2172</v>
      </c>
      <c r="E2296" s="165" t="s">
        <v>10185</v>
      </c>
      <c r="F2296" s="163">
        <v>1</v>
      </c>
      <c r="G2296" s="864"/>
      <c r="H2296" s="864">
        <v>0</v>
      </c>
      <c r="I2296" s="864">
        <v>0</v>
      </c>
      <c r="J2296" s="864">
        <v>0</v>
      </c>
      <c r="K2296" s="864">
        <v>26115.407280376472</v>
      </c>
      <c r="L2296" s="18" t="s">
        <v>11110</v>
      </c>
      <c r="M2296"/>
      <c r="N2296" s="433"/>
      <c r="P2296" s="433"/>
    </row>
    <row r="2297" spans="1:16" x14ac:dyDescent="0.25">
      <c r="A2297" s="862">
        <v>3015</v>
      </c>
      <c r="B2297" s="863" t="s">
        <v>10186</v>
      </c>
      <c r="C2297" s="862">
        <v>3015</v>
      </c>
      <c r="D2297" s="165" t="s">
        <v>2172</v>
      </c>
      <c r="E2297" s="165" t="s">
        <v>10187</v>
      </c>
      <c r="F2297" s="163">
        <v>1</v>
      </c>
      <c r="G2297" s="864"/>
      <c r="H2297" s="864">
        <v>0</v>
      </c>
      <c r="I2297" s="864">
        <v>21525.433473999528</v>
      </c>
      <c r="J2297" s="864">
        <v>22177.92653645368</v>
      </c>
      <c r="K2297" s="864">
        <v>22864.75910222725</v>
      </c>
      <c r="L2297" s="18" t="s">
        <v>4126</v>
      </c>
      <c r="M2297"/>
      <c r="N2297" s="433"/>
      <c r="P2297" s="433"/>
    </row>
    <row r="2298" spans="1:16" x14ac:dyDescent="0.25">
      <c r="A2298" s="862">
        <v>3016</v>
      </c>
      <c r="B2298" s="863" t="s">
        <v>10188</v>
      </c>
      <c r="C2298" s="862">
        <v>3016</v>
      </c>
      <c r="D2298" s="165" t="s">
        <v>2172</v>
      </c>
      <c r="E2298" s="165" t="s">
        <v>10189</v>
      </c>
      <c r="F2298" s="163">
        <v>1</v>
      </c>
      <c r="G2298" s="864"/>
      <c r="H2298" s="864">
        <v>0</v>
      </c>
      <c r="I2298" s="864">
        <v>20454.875740576219</v>
      </c>
      <c r="J2298" s="864">
        <v>21071.159326757912</v>
      </c>
      <c r="K2298" s="864">
        <v>21719.869943920694</v>
      </c>
      <c r="L2298" s="18" t="s">
        <v>4127</v>
      </c>
      <c r="M2298"/>
      <c r="N2298" s="433"/>
      <c r="P2298" s="433"/>
    </row>
    <row r="2299" spans="1:16" x14ac:dyDescent="0.25">
      <c r="A2299" s="862">
        <v>3017</v>
      </c>
      <c r="B2299" s="863" t="s">
        <v>10190</v>
      </c>
      <c r="C2299" s="862">
        <v>3017</v>
      </c>
      <c r="D2299" s="165" t="s">
        <v>2172</v>
      </c>
      <c r="E2299" s="165" t="s">
        <v>10191</v>
      </c>
      <c r="F2299" s="163">
        <v>1</v>
      </c>
      <c r="G2299" s="864"/>
      <c r="H2299" s="864">
        <v>18680.978576047899</v>
      </c>
      <c r="I2299" s="864">
        <v>19237.168031420628</v>
      </c>
      <c r="J2299" s="864">
        <v>19822.682062647804</v>
      </c>
      <c r="K2299" s="864">
        <v>20439.008148214798</v>
      </c>
      <c r="L2299" s="18" t="s">
        <v>3133</v>
      </c>
      <c r="M2299"/>
      <c r="N2299" s="433"/>
      <c r="P2299" s="433"/>
    </row>
    <row r="2300" spans="1:16" x14ac:dyDescent="0.25">
      <c r="A2300" s="862">
        <v>3018</v>
      </c>
      <c r="B2300" s="863" t="s">
        <v>10192</v>
      </c>
      <c r="C2300" s="862">
        <v>3018</v>
      </c>
      <c r="D2300" s="165" t="s">
        <v>2172</v>
      </c>
      <c r="E2300" s="165" t="s">
        <v>10193</v>
      </c>
      <c r="F2300" s="163">
        <v>1</v>
      </c>
      <c r="G2300" s="864"/>
      <c r="H2300" s="864">
        <v>19901.074539326793</v>
      </c>
      <c r="I2300" s="864">
        <v>0</v>
      </c>
      <c r="J2300" s="864">
        <v>0</v>
      </c>
      <c r="K2300" s="864">
        <v>0</v>
      </c>
      <c r="L2300" s="18" t="s">
        <v>3134</v>
      </c>
      <c r="M2300"/>
      <c r="N2300" s="433"/>
      <c r="P2300" s="433"/>
    </row>
    <row r="2301" spans="1:16" x14ac:dyDescent="0.25">
      <c r="A2301" s="862">
        <v>3019</v>
      </c>
      <c r="B2301" s="863" t="s">
        <v>10194</v>
      </c>
      <c r="C2301" s="862">
        <v>3019</v>
      </c>
      <c r="D2301" s="165" t="s">
        <v>2172</v>
      </c>
      <c r="E2301" s="165" t="s">
        <v>10195</v>
      </c>
      <c r="F2301" s="163">
        <v>1</v>
      </c>
      <c r="G2301" s="864"/>
      <c r="H2301" s="864">
        <v>17806.68976041886</v>
      </c>
      <c r="I2301" s="864">
        <v>18333.299643625356</v>
      </c>
      <c r="J2301" s="864">
        <v>18887.661625430348</v>
      </c>
      <c r="K2301" s="864">
        <v>19471.178185548593</v>
      </c>
      <c r="L2301" s="18" t="s">
        <v>3135</v>
      </c>
      <c r="M2301"/>
      <c r="N2301" s="433"/>
      <c r="P2301" s="433"/>
    </row>
    <row r="2302" spans="1:16" x14ac:dyDescent="0.25">
      <c r="A2302" s="862">
        <v>3020</v>
      </c>
      <c r="B2302" s="863" t="s">
        <v>10196</v>
      </c>
      <c r="C2302" s="862">
        <v>3020</v>
      </c>
      <c r="D2302" s="165" t="s">
        <v>2172</v>
      </c>
      <c r="E2302" s="165" t="s">
        <v>10197</v>
      </c>
      <c r="F2302" s="163">
        <v>1</v>
      </c>
      <c r="G2302" s="864"/>
      <c r="H2302" s="864">
        <v>17983.395511801864</v>
      </c>
      <c r="I2302" s="864">
        <v>0</v>
      </c>
      <c r="J2302" s="864">
        <v>0</v>
      </c>
      <c r="K2302" s="864">
        <v>0</v>
      </c>
      <c r="L2302" s="18" t="s">
        <v>3136</v>
      </c>
      <c r="M2302"/>
      <c r="N2302" s="433"/>
      <c r="P2302" s="433"/>
    </row>
    <row r="2303" spans="1:16" x14ac:dyDescent="0.25">
      <c r="A2303" s="862">
        <v>3021</v>
      </c>
      <c r="B2303" s="863" t="s">
        <v>10198</v>
      </c>
      <c r="C2303" s="862">
        <v>3021</v>
      </c>
      <c r="D2303" s="165" t="s">
        <v>2172</v>
      </c>
      <c r="E2303" s="165" t="s">
        <v>10199</v>
      </c>
      <c r="F2303" s="163">
        <v>1</v>
      </c>
      <c r="G2303" s="864"/>
      <c r="H2303" s="864">
        <v>22521.646920379564</v>
      </c>
      <c r="I2303" s="864">
        <v>0</v>
      </c>
      <c r="J2303" s="864">
        <v>0</v>
      </c>
      <c r="K2303" s="864">
        <v>0</v>
      </c>
      <c r="L2303" s="18" t="s">
        <v>3137</v>
      </c>
      <c r="M2303"/>
      <c r="N2303" s="433"/>
      <c r="P2303" s="433"/>
    </row>
    <row r="2304" spans="1:16" x14ac:dyDescent="0.25">
      <c r="A2304" s="862">
        <v>3022</v>
      </c>
      <c r="B2304" s="863" t="s">
        <v>10200</v>
      </c>
      <c r="C2304" s="862">
        <v>3022</v>
      </c>
      <c r="D2304" s="165" t="s">
        <v>2172</v>
      </c>
      <c r="E2304" s="165" t="s">
        <v>10201</v>
      </c>
      <c r="F2304" s="163">
        <v>1</v>
      </c>
      <c r="G2304" s="864"/>
      <c r="H2304" s="864">
        <v>22878.478272204466</v>
      </c>
      <c r="I2304" s="864">
        <v>23576.743172622733</v>
      </c>
      <c r="J2304" s="864">
        <v>24311.8125407076</v>
      </c>
      <c r="K2304" s="864">
        <v>25085.556349412102</v>
      </c>
      <c r="L2304" s="18" t="s">
        <v>3138</v>
      </c>
      <c r="M2304"/>
      <c r="N2304" s="433"/>
      <c r="P2304" s="433"/>
    </row>
    <row r="2305" spans="1:16" x14ac:dyDescent="0.25">
      <c r="A2305" s="862">
        <v>3023</v>
      </c>
      <c r="B2305" s="863" t="s">
        <v>10202</v>
      </c>
      <c r="C2305" s="862">
        <v>3023</v>
      </c>
      <c r="D2305" s="165" t="s">
        <v>2172</v>
      </c>
      <c r="E2305" s="165" t="s">
        <v>10203</v>
      </c>
      <c r="F2305" s="163">
        <v>1</v>
      </c>
      <c r="G2305" s="864"/>
      <c r="H2305" s="864">
        <v>24790.485884221442</v>
      </c>
      <c r="I2305" s="864">
        <v>0</v>
      </c>
      <c r="J2305" s="864">
        <v>0</v>
      </c>
      <c r="K2305" s="864">
        <v>0</v>
      </c>
      <c r="L2305" s="18" t="s">
        <v>3139</v>
      </c>
      <c r="M2305"/>
      <c r="N2305" s="433"/>
      <c r="P2305" s="433"/>
    </row>
    <row r="2306" spans="1:16" x14ac:dyDescent="0.25">
      <c r="A2306" s="862">
        <v>3024</v>
      </c>
      <c r="B2306" s="863" t="s">
        <v>10204</v>
      </c>
      <c r="C2306" s="862">
        <v>3024</v>
      </c>
      <c r="D2306" s="165" t="s">
        <v>2172</v>
      </c>
      <c r="E2306" s="165" t="s">
        <v>10205</v>
      </c>
      <c r="F2306" s="163">
        <v>2</v>
      </c>
      <c r="G2306" s="864"/>
      <c r="H2306" s="864">
        <v>0</v>
      </c>
      <c r="I2306" s="864">
        <v>0</v>
      </c>
      <c r="J2306" s="864">
        <v>17821.296736503173</v>
      </c>
      <c r="K2306" s="864">
        <v>18457.403483783044</v>
      </c>
      <c r="L2306" s="18" t="s">
        <v>4858</v>
      </c>
      <c r="M2306"/>
      <c r="N2306" s="433"/>
      <c r="P2306" s="433"/>
    </row>
    <row r="2307" spans="1:16" x14ac:dyDescent="0.25">
      <c r="A2307" s="862">
        <v>3025</v>
      </c>
      <c r="B2307" s="863" t="s">
        <v>10206</v>
      </c>
      <c r="C2307" s="862">
        <v>3025</v>
      </c>
      <c r="D2307" s="165" t="s">
        <v>2172</v>
      </c>
      <c r="E2307" s="165" t="s">
        <v>10207</v>
      </c>
      <c r="F2307" s="163">
        <v>2</v>
      </c>
      <c r="G2307" s="864"/>
      <c r="H2307" s="864">
        <v>0</v>
      </c>
      <c r="I2307" s="864">
        <v>0</v>
      </c>
      <c r="J2307" s="864">
        <v>16431.499475391687</v>
      </c>
      <c r="K2307" s="864">
        <v>17005.377330995641</v>
      </c>
      <c r="L2307" s="18" t="s">
        <v>4859</v>
      </c>
      <c r="M2307"/>
      <c r="N2307" s="433"/>
      <c r="P2307" s="433"/>
    </row>
    <row r="2308" spans="1:16" x14ac:dyDescent="0.25">
      <c r="A2308" s="862">
        <v>3026</v>
      </c>
      <c r="B2308" s="863" t="s">
        <v>10208</v>
      </c>
      <c r="C2308" s="862">
        <v>3026</v>
      </c>
      <c r="D2308" s="165" t="s">
        <v>2172</v>
      </c>
      <c r="E2308" s="165" t="s">
        <v>10209</v>
      </c>
      <c r="F2308" s="163">
        <v>1</v>
      </c>
      <c r="G2308" s="864"/>
      <c r="H2308" s="864">
        <v>0</v>
      </c>
      <c r="I2308" s="864">
        <v>34442.021090800044</v>
      </c>
      <c r="J2308" s="864">
        <v>35650.730037314395</v>
      </c>
      <c r="K2308" s="864">
        <v>36923.060058661351</v>
      </c>
      <c r="L2308" s="18" t="s">
        <v>4128</v>
      </c>
      <c r="M2308"/>
      <c r="N2308" s="433"/>
      <c r="P2308" s="433"/>
    </row>
    <row r="2309" spans="1:16" x14ac:dyDescent="0.25">
      <c r="A2309" s="862">
        <v>3027</v>
      </c>
      <c r="B2309" s="863" t="s">
        <v>10210</v>
      </c>
      <c r="C2309" s="862">
        <v>3027</v>
      </c>
      <c r="D2309" s="165" t="s">
        <v>2172</v>
      </c>
      <c r="E2309" s="165" t="s">
        <v>10211</v>
      </c>
      <c r="F2309" s="163">
        <v>1</v>
      </c>
      <c r="G2309" s="864"/>
      <c r="H2309" s="864">
        <v>0</v>
      </c>
      <c r="I2309" s="864">
        <v>36830.458831944539</v>
      </c>
      <c r="J2309" s="864">
        <v>38128.950790605842</v>
      </c>
      <c r="K2309" s="864">
        <v>39495.774802322456</v>
      </c>
      <c r="L2309" s="18" t="s">
        <v>4129</v>
      </c>
      <c r="M2309"/>
      <c r="N2309" s="433"/>
      <c r="P2309" s="433"/>
    </row>
    <row r="2310" spans="1:16" x14ac:dyDescent="0.25">
      <c r="A2310" s="862">
        <v>3028</v>
      </c>
      <c r="B2310" s="863" t="s">
        <v>10212</v>
      </c>
      <c r="C2310" s="862">
        <v>3028</v>
      </c>
      <c r="D2310" s="165" t="s">
        <v>2172</v>
      </c>
      <c r="E2310" s="165" t="s">
        <v>10213</v>
      </c>
      <c r="F2310" s="163">
        <v>1</v>
      </c>
      <c r="G2310" s="864"/>
      <c r="H2310" s="864">
        <v>0</v>
      </c>
      <c r="I2310" s="864">
        <v>30061.681604145084</v>
      </c>
      <c r="J2310" s="864">
        <v>31105.689263475939</v>
      </c>
      <c r="K2310" s="864">
        <v>32204.673581289026</v>
      </c>
      <c r="L2310" s="18" t="s">
        <v>4130</v>
      </c>
      <c r="M2310"/>
      <c r="N2310" s="433"/>
      <c r="P2310" s="433"/>
    </row>
    <row r="2311" spans="1:16" x14ac:dyDescent="0.25">
      <c r="A2311" s="862">
        <v>3029</v>
      </c>
      <c r="B2311" s="863" t="s">
        <v>10214</v>
      </c>
      <c r="C2311" s="862">
        <v>3029</v>
      </c>
      <c r="D2311" s="165" t="s">
        <v>2172</v>
      </c>
      <c r="E2311" s="165" t="s">
        <v>10215</v>
      </c>
      <c r="F2311" s="163">
        <v>1</v>
      </c>
      <c r="G2311" s="864"/>
      <c r="H2311" s="864">
        <v>0</v>
      </c>
      <c r="I2311" s="864">
        <v>32450.119345289579</v>
      </c>
      <c r="J2311" s="864">
        <v>33583.955754420036</v>
      </c>
      <c r="K2311" s="864">
        <v>34777.479800255423</v>
      </c>
      <c r="L2311" s="18" t="s">
        <v>4131</v>
      </c>
      <c r="M2311"/>
      <c r="N2311" s="433"/>
      <c r="P2311" s="433"/>
    </row>
    <row r="2312" spans="1:16" x14ac:dyDescent="0.25">
      <c r="A2312" s="862">
        <v>3030</v>
      </c>
      <c r="B2312" s="863" t="s">
        <v>10216</v>
      </c>
      <c r="C2312" s="862">
        <v>3030</v>
      </c>
      <c r="D2312" s="165" t="s">
        <v>2172</v>
      </c>
      <c r="E2312" s="165" t="s">
        <v>10217</v>
      </c>
      <c r="F2312" s="163">
        <v>1</v>
      </c>
      <c r="G2312" s="864"/>
      <c r="H2312" s="864">
        <v>0</v>
      </c>
      <c r="I2312" s="864">
        <v>0</v>
      </c>
      <c r="J2312" s="864">
        <v>29383.616168747682</v>
      </c>
      <c r="K2312" s="864">
        <v>30191.050778529254</v>
      </c>
      <c r="L2312" s="18" t="s">
        <v>4860</v>
      </c>
      <c r="M2312"/>
      <c r="N2312" s="433"/>
      <c r="P2312" s="433"/>
    </row>
    <row r="2313" spans="1:16" x14ac:dyDescent="0.25">
      <c r="A2313" s="862">
        <v>3031</v>
      </c>
      <c r="B2313" s="863" t="s">
        <v>10218</v>
      </c>
      <c r="C2313" s="862">
        <v>3031</v>
      </c>
      <c r="D2313" s="165" t="s">
        <v>2172</v>
      </c>
      <c r="E2313" s="165" t="s">
        <v>10219</v>
      </c>
      <c r="F2313" s="163">
        <v>1</v>
      </c>
      <c r="G2313" s="864"/>
      <c r="H2313" s="864">
        <v>35730.48610050563</v>
      </c>
      <c r="I2313" s="864">
        <v>36579.048024058022</v>
      </c>
      <c r="J2313" s="864">
        <v>37472.255509136536</v>
      </c>
      <c r="K2313" s="864">
        <v>38412.478592185864</v>
      </c>
      <c r="L2313" s="18" t="s">
        <v>3140</v>
      </c>
      <c r="M2313"/>
      <c r="N2313" s="433"/>
      <c r="P2313" s="433"/>
    </row>
    <row r="2314" spans="1:16" x14ac:dyDescent="0.25">
      <c r="A2314" s="862">
        <v>3032</v>
      </c>
      <c r="B2314" s="863" t="s">
        <v>10220</v>
      </c>
      <c r="C2314" s="862">
        <v>3032</v>
      </c>
      <c r="D2314" s="165" t="s">
        <v>2172</v>
      </c>
      <c r="E2314" s="165" t="s">
        <v>10221</v>
      </c>
      <c r="F2314" s="163">
        <v>2</v>
      </c>
      <c r="G2314" s="864"/>
      <c r="H2314" s="864">
        <v>31471.218435037485</v>
      </c>
      <c r="I2314" s="864">
        <v>32735.258001683578</v>
      </c>
      <c r="J2314" s="864">
        <v>34065.856695626506</v>
      </c>
      <c r="K2314" s="864">
        <v>35466.468974496449</v>
      </c>
      <c r="L2314" s="18" t="s">
        <v>1440</v>
      </c>
      <c r="M2314"/>
      <c r="N2314" s="433"/>
      <c r="P2314" s="433"/>
    </row>
    <row r="2315" spans="1:16" x14ac:dyDescent="0.25">
      <c r="A2315" s="862">
        <v>3033</v>
      </c>
      <c r="B2315" s="863" t="s">
        <v>10222</v>
      </c>
      <c r="C2315" s="862">
        <v>3033</v>
      </c>
      <c r="D2315" s="165" t="s">
        <v>2172</v>
      </c>
      <c r="E2315" s="165" t="s">
        <v>10223</v>
      </c>
      <c r="F2315" s="163">
        <v>2</v>
      </c>
      <c r="G2315" s="864"/>
      <c r="H2315" s="864">
        <v>30793.683622575521</v>
      </c>
      <c r="I2315" s="864">
        <v>32026.487107551602</v>
      </c>
      <c r="J2315" s="864">
        <v>33324.244126841491</v>
      </c>
      <c r="K2315" s="864">
        <v>34690.263175076892</v>
      </c>
      <c r="L2315" s="18" t="s">
        <v>1441</v>
      </c>
      <c r="M2315"/>
      <c r="N2315" s="433"/>
      <c r="P2315" s="433"/>
    </row>
    <row r="2316" spans="1:16" x14ac:dyDescent="0.25">
      <c r="A2316" s="862">
        <v>3034</v>
      </c>
      <c r="B2316" s="863" t="s">
        <v>10224</v>
      </c>
      <c r="C2316" s="862">
        <v>3034</v>
      </c>
      <c r="D2316" s="165" t="s">
        <v>2172</v>
      </c>
      <c r="E2316" s="165" t="s">
        <v>10225</v>
      </c>
      <c r="F2316" s="163">
        <v>2</v>
      </c>
      <c r="G2316" s="864"/>
      <c r="H2316" s="864">
        <v>27744.059924365974</v>
      </c>
      <c r="I2316" s="864">
        <v>28836.398350492658</v>
      </c>
      <c r="J2316" s="864">
        <v>29986.246198011791</v>
      </c>
      <c r="K2316" s="864">
        <v>31196.620035558168</v>
      </c>
      <c r="L2316" s="18" t="s">
        <v>1442</v>
      </c>
      <c r="M2316"/>
      <c r="N2316" s="433"/>
      <c r="P2316" s="433"/>
    </row>
    <row r="2317" spans="1:16" x14ac:dyDescent="0.25">
      <c r="A2317" s="862">
        <v>3035</v>
      </c>
      <c r="B2317" s="863" t="s">
        <v>10226</v>
      </c>
      <c r="C2317" s="862">
        <v>3035</v>
      </c>
      <c r="D2317" s="165" t="s">
        <v>2172</v>
      </c>
      <c r="E2317" s="165" t="s">
        <v>10227</v>
      </c>
      <c r="F2317" s="163">
        <v>2</v>
      </c>
      <c r="G2317" s="864"/>
      <c r="H2317" s="864">
        <v>32657.001665511565</v>
      </c>
      <c r="I2317" s="864">
        <v>33975.68004791376</v>
      </c>
      <c r="J2317" s="864">
        <v>35363.788163249126</v>
      </c>
      <c r="K2317" s="864">
        <v>36824.926432146312</v>
      </c>
      <c r="L2317" s="18" t="s">
        <v>1443</v>
      </c>
      <c r="M2317"/>
      <c r="N2317" s="433"/>
      <c r="P2317" s="433"/>
    </row>
    <row r="2318" spans="1:16" x14ac:dyDescent="0.25">
      <c r="A2318" s="862">
        <v>3036</v>
      </c>
      <c r="B2318" s="863" t="s">
        <v>10228</v>
      </c>
      <c r="C2318" s="862">
        <v>3036</v>
      </c>
      <c r="D2318" s="165" t="s">
        <v>2172</v>
      </c>
      <c r="E2318" s="165" t="s">
        <v>10229</v>
      </c>
      <c r="F2318" s="163">
        <v>2</v>
      </c>
      <c r="G2318" s="864"/>
      <c r="H2318" s="864">
        <v>31979.466853049595</v>
      </c>
      <c r="I2318" s="864">
        <v>33266.90915378178</v>
      </c>
      <c r="J2318" s="864">
        <v>34622.126940131275</v>
      </c>
      <c r="K2318" s="864">
        <v>36048.671978393926</v>
      </c>
      <c r="L2318" s="18" t="s">
        <v>1444</v>
      </c>
      <c r="M2318"/>
      <c r="N2318" s="433"/>
      <c r="P2318" s="433"/>
    </row>
    <row r="2319" spans="1:16" x14ac:dyDescent="0.25">
      <c r="A2319" s="862">
        <v>3037</v>
      </c>
      <c r="B2319" s="863" t="s">
        <v>10230</v>
      </c>
      <c r="C2319" s="862">
        <v>3037</v>
      </c>
      <c r="D2319" s="165" t="s">
        <v>2172</v>
      </c>
      <c r="E2319" s="165" t="s">
        <v>10231</v>
      </c>
      <c r="F2319" s="163">
        <v>2</v>
      </c>
      <c r="G2319" s="864"/>
      <c r="H2319" s="864">
        <v>28930.414233972297</v>
      </c>
      <c r="I2319" s="864">
        <v>30077.440130187912</v>
      </c>
      <c r="J2319" s="864">
        <v>31284.846053432302</v>
      </c>
      <c r="K2319" s="864">
        <v>32555.794535338744</v>
      </c>
      <c r="L2319" s="18" t="s">
        <v>1445</v>
      </c>
      <c r="M2319"/>
      <c r="N2319" s="433"/>
      <c r="P2319" s="433"/>
    </row>
    <row r="2320" spans="1:16" x14ac:dyDescent="0.25">
      <c r="A2320" s="862">
        <v>3038</v>
      </c>
      <c r="B2320" s="863" t="s">
        <v>10232</v>
      </c>
      <c r="C2320" s="862">
        <v>3038</v>
      </c>
      <c r="D2320" s="165" t="s">
        <v>2172</v>
      </c>
      <c r="E2320" s="165" t="s">
        <v>10233</v>
      </c>
      <c r="F2320" s="163">
        <v>2</v>
      </c>
      <c r="G2320" s="864"/>
      <c r="H2320" s="864">
        <v>26050.842626676134</v>
      </c>
      <c r="I2320" s="864">
        <v>27065.236811626259</v>
      </c>
      <c r="J2320" s="864">
        <v>28133.004799679195</v>
      </c>
      <c r="K2320" s="864">
        <v>29256.968542138442</v>
      </c>
      <c r="L2320" s="18" t="s">
        <v>1446</v>
      </c>
      <c r="M2320"/>
      <c r="N2320" s="433"/>
      <c r="P2320" s="433"/>
    </row>
    <row r="2321" spans="1:16" x14ac:dyDescent="0.25">
      <c r="A2321" s="862">
        <v>3039</v>
      </c>
      <c r="B2321" s="863" t="s">
        <v>10234</v>
      </c>
      <c r="C2321" s="862">
        <v>3039</v>
      </c>
      <c r="D2321" s="165" t="s">
        <v>2172</v>
      </c>
      <c r="E2321" s="165" t="s">
        <v>10235</v>
      </c>
      <c r="F2321" s="163">
        <v>2</v>
      </c>
      <c r="G2321" s="864"/>
      <c r="H2321" s="864">
        <v>25678.169287222361</v>
      </c>
      <c r="I2321" s="864">
        <v>26675.388492687267</v>
      </c>
      <c r="J2321" s="864">
        <v>27725.057068931405</v>
      </c>
      <c r="K2321" s="864">
        <v>28829.996967258303</v>
      </c>
      <c r="L2321" s="18" t="s">
        <v>1447</v>
      </c>
      <c r="M2321"/>
      <c r="N2321" s="433"/>
      <c r="P2321" s="433"/>
    </row>
    <row r="2322" spans="1:16" x14ac:dyDescent="0.25">
      <c r="A2322" s="862">
        <v>3040</v>
      </c>
      <c r="B2322" s="863" t="s">
        <v>10236</v>
      </c>
      <c r="C2322" s="862">
        <v>3040</v>
      </c>
      <c r="D2322" s="165" t="s">
        <v>2172</v>
      </c>
      <c r="E2322" s="165" t="s">
        <v>10237</v>
      </c>
      <c r="F2322" s="163">
        <v>1</v>
      </c>
      <c r="G2322" s="864"/>
      <c r="H2322" s="864">
        <v>14103.038492285994</v>
      </c>
      <c r="I2322" s="864">
        <v>0</v>
      </c>
      <c r="J2322" s="864">
        <v>0</v>
      </c>
      <c r="K2322" s="864">
        <v>0</v>
      </c>
      <c r="L2322" s="18" t="s">
        <v>1448</v>
      </c>
      <c r="M2322"/>
      <c r="N2322" s="433"/>
      <c r="P2322" s="433"/>
    </row>
    <row r="2323" spans="1:16" x14ac:dyDescent="0.25">
      <c r="A2323" s="862">
        <v>3041</v>
      </c>
      <c r="B2323" s="863" t="s">
        <v>10238</v>
      </c>
      <c r="C2323" s="862">
        <v>3041</v>
      </c>
      <c r="D2323" s="165" t="s">
        <v>2172</v>
      </c>
      <c r="E2323" s="165" t="s">
        <v>10239</v>
      </c>
      <c r="F2323" s="163">
        <v>1</v>
      </c>
      <c r="G2323" s="864"/>
      <c r="H2323" s="864">
        <v>14542.492432675645</v>
      </c>
      <c r="I2323" s="864">
        <v>14936.275926961142</v>
      </c>
      <c r="J2323" s="864">
        <v>15350.797510921295</v>
      </c>
      <c r="K2323" s="864">
        <v>15787.138127454198</v>
      </c>
      <c r="L2323" s="18" t="s">
        <v>3141</v>
      </c>
      <c r="M2323"/>
      <c r="N2323" s="433"/>
      <c r="P2323" s="433"/>
    </row>
    <row r="2324" spans="1:16" x14ac:dyDescent="0.25">
      <c r="A2324" s="862">
        <v>3042</v>
      </c>
      <c r="B2324" s="863" t="s">
        <v>10240</v>
      </c>
      <c r="C2324" s="862">
        <v>3042</v>
      </c>
      <c r="D2324" s="165" t="s">
        <v>2172</v>
      </c>
      <c r="E2324" s="165" t="s">
        <v>10241</v>
      </c>
      <c r="F2324" s="163">
        <v>1</v>
      </c>
      <c r="G2324" s="864"/>
      <c r="H2324" s="864">
        <v>14500.588905495262</v>
      </c>
      <c r="I2324" s="864">
        <v>0</v>
      </c>
      <c r="J2324" s="864">
        <v>0</v>
      </c>
      <c r="K2324" s="864">
        <v>0</v>
      </c>
      <c r="L2324" s="18" t="s">
        <v>3142</v>
      </c>
      <c r="M2324"/>
      <c r="N2324" s="433"/>
      <c r="P2324" s="433"/>
    </row>
    <row r="2325" spans="1:16" x14ac:dyDescent="0.25">
      <c r="A2325" s="862">
        <v>3043</v>
      </c>
      <c r="B2325" s="863" t="s">
        <v>10242</v>
      </c>
      <c r="C2325" s="862">
        <v>3043</v>
      </c>
      <c r="D2325" s="165" t="s">
        <v>2172</v>
      </c>
      <c r="E2325" s="165" t="s">
        <v>10243</v>
      </c>
      <c r="F2325" s="163">
        <v>1</v>
      </c>
      <c r="G2325" s="864"/>
      <c r="H2325" s="864">
        <v>15528.636455107504</v>
      </c>
      <c r="I2325" s="864">
        <v>0</v>
      </c>
      <c r="J2325" s="864">
        <v>0</v>
      </c>
      <c r="K2325" s="864">
        <v>0</v>
      </c>
      <c r="L2325" s="18" t="s">
        <v>1449</v>
      </c>
      <c r="M2325"/>
      <c r="N2325" s="433"/>
      <c r="P2325" s="433"/>
    </row>
    <row r="2326" spans="1:16" x14ac:dyDescent="0.25">
      <c r="A2326" s="862">
        <v>3044</v>
      </c>
      <c r="B2326" s="863" t="s">
        <v>10244</v>
      </c>
      <c r="C2326" s="862">
        <v>3044</v>
      </c>
      <c r="D2326" s="165" t="s">
        <v>2172</v>
      </c>
      <c r="E2326" s="165" t="s">
        <v>10245</v>
      </c>
      <c r="F2326" s="163">
        <v>1</v>
      </c>
      <c r="G2326" s="864"/>
      <c r="H2326" s="864">
        <v>12055.698268230959</v>
      </c>
      <c r="I2326" s="864">
        <v>12388.348436390594</v>
      </c>
      <c r="J2326" s="864">
        <v>12738.533900452743</v>
      </c>
      <c r="K2326" s="864">
        <v>13107.135428704731</v>
      </c>
      <c r="L2326" s="18" t="s">
        <v>1450</v>
      </c>
      <c r="M2326"/>
      <c r="N2326" s="433"/>
      <c r="P2326" s="433"/>
    </row>
    <row r="2327" spans="1:16" x14ac:dyDescent="0.25">
      <c r="A2327" s="862">
        <v>3045</v>
      </c>
      <c r="B2327" s="863" t="s">
        <v>10246</v>
      </c>
      <c r="C2327" s="862">
        <v>3045</v>
      </c>
      <c r="D2327" s="165" t="s">
        <v>2172</v>
      </c>
      <c r="E2327" s="165" t="s">
        <v>10247</v>
      </c>
      <c r="F2327" s="163">
        <v>1</v>
      </c>
      <c r="G2327" s="864"/>
      <c r="H2327" s="864">
        <v>14116.523907299401</v>
      </c>
      <c r="I2327" s="864">
        <v>14496.615458208968</v>
      </c>
      <c r="J2327" s="864">
        <v>14896.724470194458</v>
      </c>
      <c r="K2327" s="864">
        <v>15317.891851231818</v>
      </c>
      <c r="L2327" s="18" t="s">
        <v>3143</v>
      </c>
      <c r="M2327"/>
      <c r="N2327" s="433"/>
      <c r="P2327" s="433"/>
    </row>
    <row r="2328" spans="1:16" x14ac:dyDescent="0.25">
      <c r="A2328" s="862">
        <v>3046</v>
      </c>
      <c r="B2328" s="863" t="s">
        <v>10248</v>
      </c>
      <c r="C2328" s="862">
        <v>3046</v>
      </c>
      <c r="D2328" s="165" t="s">
        <v>2172</v>
      </c>
      <c r="E2328" s="165" t="s">
        <v>10249</v>
      </c>
      <c r="F2328" s="163">
        <v>1</v>
      </c>
      <c r="G2328" s="864"/>
      <c r="H2328" s="864">
        <v>14074.620380119015</v>
      </c>
      <c r="I2328" s="864">
        <v>0</v>
      </c>
      <c r="J2328" s="864">
        <v>0</v>
      </c>
      <c r="K2328" s="864">
        <v>0</v>
      </c>
      <c r="L2328" s="18" t="s">
        <v>3144</v>
      </c>
      <c r="M2328"/>
      <c r="N2328" s="433"/>
      <c r="P2328" s="433"/>
    </row>
    <row r="2329" spans="1:16" x14ac:dyDescent="0.25">
      <c r="A2329" s="862">
        <v>3047</v>
      </c>
      <c r="B2329" s="863" t="s">
        <v>10250</v>
      </c>
      <c r="C2329" s="862">
        <v>3047</v>
      </c>
      <c r="D2329" s="165" t="s">
        <v>2172</v>
      </c>
      <c r="E2329" s="165" t="s">
        <v>10251</v>
      </c>
      <c r="F2329" s="163">
        <v>1</v>
      </c>
      <c r="G2329" s="864"/>
      <c r="H2329" s="864">
        <v>14500.588905495262</v>
      </c>
      <c r="I2329" s="864">
        <v>0</v>
      </c>
      <c r="J2329" s="864">
        <v>0</v>
      </c>
      <c r="K2329" s="864">
        <v>0</v>
      </c>
      <c r="L2329" s="18" t="s">
        <v>3145</v>
      </c>
      <c r="M2329"/>
      <c r="N2329" s="433"/>
      <c r="P2329" s="433"/>
    </row>
    <row r="2330" spans="1:16" x14ac:dyDescent="0.25">
      <c r="A2330" s="862">
        <v>3048</v>
      </c>
      <c r="B2330" s="863" t="s">
        <v>10252</v>
      </c>
      <c r="C2330" s="862">
        <v>3048</v>
      </c>
      <c r="D2330" s="165" t="s">
        <v>2172</v>
      </c>
      <c r="E2330" s="165" t="s">
        <v>10253</v>
      </c>
      <c r="F2330" s="163">
        <v>1</v>
      </c>
      <c r="G2330" s="864"/>
      <c r="H2330" s="864">
        <v>0</v>
      </c>
      <c r="I2330" s="864">
        <v>15872.214670120635</v>
      </c>
      <c r="J2330" s="864">
        <v>16308.7554612643</v>
      </c>
      <c r="K2330" s="864">
        <v>16768.236262800969</v>
      </c>
      <c r="L2330" s="18" t="s">
        <v>4132</v>
      </c>
      <c r="M2330"/>
      <c r="N2330" s="433"/>
      <c r="P2330" s="433"/>
    </row>
    <row r="2331" spans="1:16" x14ac:dyDescent="0.25">
      <c r="A2331" s="862">
        <v>3049</v>
      </c>
      <c r="B2331" s="863" t="s">
        <v>10254</v>
      </c>
      <c r="C2331" s="862">
        <v>3049</v>
      </c>
      <c r="D2331" s="165" t="s">
        <v>2172</v>
      </c>
      <c r="E2331" s="165" t="s">
        <v>10255</v>
      </c>
      <c r="F2331" s="163">
        <v>1</v>
      </c>
      <c r="G2331" s="864"/>
      <c r="H2331" s="864">
        <v>25190.617924510225</v>
      </c>
      <c r="I2331" s="864">
        <v>0</v>
      </c>
      <c r="J2331" s="864">
        <v>0</v>
      </c>
      <c r="K2331" s="864">
        <v>0</v>
      </c>
      <c r="L2331" s="18" t="s">
        <v>4861</v>
      </c>
      <c r="M2331"/>
      <c r="N2331" s="433"/>
      <c r="P2331" s="433"/>
    </row>
    <row r="2332" spans="1:16" x14ac:dyDescent="0.25">
      <c r="A2332" s="862">
        <v>3050</v>
      </c>
      <c r="B2332" s="863" t="s">
        <v>10256</v>
      </c>
      <c r="C2332" s="862">
        <v>3050</v>
      </c>
      <c r="D2332" s="165" t="s">
        <v>2172</v>
      </c>
      <c r="E2332" s="165" t="s">
        <v>10257</v>
      </c>
      <c r="F2332" s="163">
        <v>2</v>
      </c>
      <c r="G2332" s="864"/>
      <c r="H2332" s="864">
        <v>18013.232366155684</v>
      </c>
      <c r="I2332" s="864">
        <v>18690.257407336605</v>
      </c>
      <c r="J2332" s="864">
        <v>19402.897420141275</v>
      </c>
      <c r="K2332" s="864">
        <v>20153.049923549639</v>
      </c>
      <c r="L2332" s="18" t="s">
        <v>1451</v>
      </c>
      <c r="M2332"/>
      <c r="N2332" s="433"/>
      <c r="P2332" s="433"/>
    </row>
    <row r="2333" spans="1:16" x14ac:dyDescent="0.25">
      <c r="A2333" s="862">
        <v>3051</v>
      </c>
      <c r="B2333" s="863" t="s">
        <v>10258</v>
      </c>
      <c r="C2333" s="862">
        <v>3051</v>
      </c>
      <c r="D2333" s="165" t="s">
        <v>2172</v>
      </c>
      <c r="E2333" s="165" t="s">
        <v>10259</v>
      </c>
      <c r="F2333" s="163">
        <v>2</v>
      </c>
      <c r="G2333" s="864"/>
      <c r="H2333" s="864">
        <v>17958.929504610529</v>
      </c>
      <c r="I2333" s="864">
        <v>18633.375866152026</v>
      </c>
      <c r="J2333" s="864">
        <v>19343.33989065163</v>
      </c>
      <c r="K2333" s="864">
        <v>20090.67044275648</v>
      </c>
      <c r="L2333" s="18" t="s">
        <v>1452</v>
      </c>
      <c r="M2333"/>
      <c r="N2333" s="433"/>
      <c r="P2333" s="433"/>
    </row>
    <row r="2334" spans="1:16" x14ac:dyDescent="0.25">
      <c r="A2334" s="862">
        <v>3052</v>
      </c>
      <c r="B2334" s="863" t="s">
        <v>10260</v>
      </c>
      <c r="C2334" s="862">
        <v>3052</v>
      </c>
      <c r="D2334" s="165" t="s">
        <v>2172</v>
      </c>
      <c r="E2334" s="165" t="s">
        <v>10261</v>
      </c>
      <c r="F2334" s="163">
        <v>1</v>
      </c>
      <c r="G2334" s="864"/>
      <c r="H2334" s="864">
        <v>10236.852121962978</v>
      </c>
      <c r="I2334" s="864">
        <v>10487.843909961208</v>
      </c>
      <c r="J2334" s="864">
        <v>10752.036697961548</v>
      </c>
      <c r="K2334" s="864">
        <v>11030.156195388199</v>
      </c>
      <c r="L2334" s="18" t="s">
        <v>1453</v>
      </c>
      <c r="M2334"/>
      <c r="N2334" s="433"/>
      <c r="P2334" s="433"/>
    </row>
    <row r="2335" spans="1:16" x14ac:dyDescent="0.25">
      <c r="A2335" s="862">
        <v>3053</v>
      </c>
      <c r="B2335" s="863" t="s">
        <v>10262</v>
      </c>
      <c r="C2335" s="862">
        <v>3053</v>
      </c>
      <c r="D2335" s="165" t="s">
        <v>2172</v>
      </c>
      <c r="E2335" s="165" t="s">
        <v>10263</v>
      </c>
      <c r="F2335" s="163">
        <v>1</v>
      </c>
      <c r="G2335" s="864"/>
      <c r="H2335" s="864">
        <v>9776.6064319506258</v>
      </c>
      <c r="I2335" s="864">
        <v>10013.049473873234</v>
      </c>
      <c r="J2335" s="864">
        <v>10261.967806373757</v>
      </c>
      <c r="K2335" s="864">
        <v>10523.948908509868</v>
      </c>
      <c r="L2335" s="18" t="s">
        <v>1454</v>
      </c>
      <c r="N2335" s="433"/>
      <c r="P2335" s="433"/>
    </row>
    <row r="2336" spans="1:16" x14ac:dyDescent="0.25">
      <c r="A2336" s="862">
        <v>3054</v>
      </c>
      <c r="B2336" s="863" t="s">
        <v>10264</v>
      </c>
      <c r="C2336" s="862">
        <v>3054</v>
      </c>
      <c r="D2336" s="165" t="s">
        <v>2172</v>
      </c>
      <c r="E2336" s="165" t="s">
        <v>10265</v>
      </c>
      <c r="F2336" s="163">
        <v>1</v>
      </c>
      <c r="G2336" s="864"/>
      <c r="H2336" s="864">
        <v>10627.379324515105</v>
      </c>
      <c r="I2336" s="864">
        <v>10890.673615133102</v>
      </c>
      <c r="J2336" s="864">
        <v>11167.860057585782</v>
      </c>
      <c r="K2336" s="864">
        <v>11459.629803705713</v>
      </c>
      <c r="L2336" s="18" t="s">
        <v>1455</v>
      </c>
      <c r="N2336" s="433"/>
      <c r="P2336" s="433"/>
    </row>
    <row r="2337" spans="1:16" x14ac:dyDescent="0.25">
      <c r="A2337" s="862">
        <v>3055</v>
      </c>
      <c r="B2337" s="863" t="s">
        <v>10266</v>
      </c>
      <c r="C2337" s="862">
        <v>3055</v>
      </c>
      <c r="D2337" s="165" t="s">
        <v>2172</v>
      </c>
      <c r="E2337" s="165" t="s">
        <v>10267</v>
      </c>
      <c r="F2337" s="163">
        <v>1</v>
      </c>
      <c r="G2337" s="864"/>
      <c r="H2337" s="864">
        <v>10167.099076911127</v>
      </c>
      <c r="I2337" s="864">
        <v>10415.879179045129</v>
      </c>
      <c r="J2337" s="864">
        <v>10677.756608406356</v>
      </c>
      <c r="K2337" s="864">
        <v>10953.422516827379</v>
      </c>
      <c r="L2337" s="18" t="s">
        <v>1456</v>
      </c>
      <c r="N2337" s="433"/>
      <c r="P2337" s="433"/>
    </row>
    <row r="2338" spans="1:16" x14ac:dyDescent="0.25">
      <c r="A2338" s="862">
        <v>3056</v>
      </c>
      <c r="B2338" s="863" t="s">
        <v>10268</v>
      </c>
      <c r="C2338" s="862">
        <v>3056</v>
      </c>
      <c r="D2338" s="165" t="s">
        <v>2172</v>
      </c>
      <c r="E2338" s="165" t="s">
        <v>10269</v>
      </c>
      <c r="F2338" s="163">
        <v>1</v>
      </c>
      <c r="G2338" s="864"/>
      <c r="H2338" s="864">
        <v>0</v>
      </c>
      <c r="I2338" s="864">
        <v>0</v>
      </c>
      <c r="J2338" s="864">
        <v>10696.967674905623</v>
      </c>
      <c r="K2338" s="864">
        <v>10945.609546673113</v>
      </c>
      <c r="L2338" s="18" t="s">
        <v>4862</v>
      </c>
      <c r="N2338" s="433"/>
      <c r="P2338" s="433"/>
    </row>
    <row r="2339" spans="1:16" x14ac:dyDescent="0.25">
      <c r="A2339" s="862">
        <v>3057</v>
      </c>
      <c r="B2339" s="863" t="s">
        <v>10270</v>
      </c>
      <c r="C2339" s="862">
        <v>3057</v>
      </c>
      <c r="D2339" s="165" t="s">
        <v>2172</v>
      </c>
      <c r="E2339" s="165" t="s">
        <v>10271</v>
      </c>
      <c r="F2339" s="163">
        <v>1</v>
      </c>
      <c r="G2339" s="864"/>
      <c r="H2339" s="864">
        <v>0</v>
      </c>
      <c r="I2339" s="864">
        <v>0</v>
      </c>
      <c r="J2339" s="864">
        <v>11256.164353292372</v>
      </c>
      <c r="K2339" s="864">
        <v>11521.359311449944</v>
      </c>
      <c r="L2339" s="18" t="s">
        <v>11111</v>
      </c>
      <c r="N2339" s="433"/>
      <c r="P2339" s="433"/>
    </row>
    <row r="2340" spans="1:16" x14ac:dyDescent="0.25">
      <c r="A2340" s="862">
        <v>3058</v>
      </c>
      <c r="B2340" s="863" t="s">
        <v>10272</v>
      </c>
      <c r="C2340" s="862">
        <v>3058</v>
      </c>
      <c r="D2340" s="165" t="s">
        <v>2172</v>
      </c>
      <c r="E2340" s="165" t="s">
        <v>10273</v>
      </c>
      <c r="F2340" s="163">
        <v>1</v>
      </c>
      <c r="G2340" s="864"/>
      <c r="H2340" s="864">
        <v>0</v>
      </c>
      <c r="I2340" s="864">
        <v>11012.679703119764</v>
      </c>
      <c r="J2340" s="864">
        <v>11264.846449233366</v>
      </c>
      <c r="K2340" s="864">
        <v>11530.283310532337</v>
      </c>
      <c r="L2340" s="18" t="s">
        <v>4863</v>
      </c>
      <c r="N2340" s="433"/>
      <c r="P2340" s="433"/>
    </row>
    <row r="2341" spans="1:16" x14ac:dyDescent="0.25">
      <c r="A2341" s="862">
        <v>3059</v>
      </c>
      <c r="B2341" s="863" t="s">
        <v>10274</v>
      </c>
      <c r="C2341" s="862">
        <v>3059</v>
      </c>
      <c r="D2341" s="165" t="s">
        <v>2172</v>
      </c>
      <c r="E2341" s="165" t="s">
        <v>10275</v>
      </c>
      <c r="F2341" s="163">
        <v>1</v>
      </c>
      <c r="G2341" s="864"/>
      <c r="H2341" s="864">
        <v>0</v>
      </c>
      <c r="I2341" s="864">
        <v>11818.506526844007</v>
      </c>
      <c r="J2341" s="864">
        <v>12100.323686574917</v>
      </c>
      <c r="K2341" s="864">
        <v>12396.896937931218</v>
      </c>
      <c r="L2341" s="18" t="s">
        <v>11112</v>
      </c>
      <c r="N2341" s="433"/>
      <c r="P2341" s="433"/>
    </row>
    <row r="2342" spans="1:16" x14ac:dyDescent="0.25">
      <c r="A2342" s="862">
        <v>3060</v>
      </c>
      <c r="B2342" s="863" t="s">
        <v>10276</v>
      </c>
      <c r="C2342" s="862">
        <v>3060</v>
      </c>
      <c r="D2342" s="165" t="s">
        <v>2172</v>
      </c>
      <c r="E2342" s="165" t="s">
        <v>10277</v>
      </c>
      <c r="F2342" s="163">
        <v>1</v>
      </c>
      <c r="G2342" s="864"/>
      <c r="H2342" s="864">
        <v>0</v>
      </c>
      <c r="I2342" s="864">
        <v>0</v>
      </c>
      <c r="J2342" s="864">
        <v>0</v>
      </c>
      <c r="K2342" s="864">
        <v>10602.845461711815</v>
      </c>
      <c r="L2342" s="18" t="s">
        <v>11113</v>
      </c>
      <c r="N2342" s="433"/>
      <c r="P2342" s="433"/>
    </row>
    <row r="2343" spans="1:16" x14ac:dyDescent="0.25">
      <c r="A2343" s="862">
        <v>3061</v>
      </c>
      <c r="B2343" s="863" t="s">
        <v>10278</v>
      </c>
      <c r="C2343" s="862">
        <v>3061</v>
      </c>
      <c r="D2343" s="165" t="s">
        <v>2172</v>
      </c>
      <c r="E2343" s="165" t="s">
        <v>10279</v>
      </c>
      <c r="F2343" s="163">
        <v>1</v>
      </c>
      <c r="G2343" s="864"/>
      <c r="H2343" s="864">
        <v>0</v>
      </c>
      <c r="I2343" s="864">
        <v>0</v>
      </c>
      <c r="J2343" s="864">
        <v>12956.042699266176</v>
      </c>
      <c r="K2343" s="864">
        <v>13271.484395651669</v>
      </c>
      <c r="L2343" s="18" t="s">
        <v>4864</v>
      </c>
      <c r="N2343" s="433"/>
      <c r="P2343" s="433"/>
    </row>
    <row r="2344" spans="1:16" x14ac:dyDescent="0.25">
      <c r="A2344" s="862">
        <v>3062</v>
      </c>
      <c r="B2344" s="863" t="s">
        <v>10280</v>
      </c>
      <c r="C2344" s="862">
        <v>3062</v>
      </c>
      <c r="D2344" s="165" t="s">
        <v>2172</v>
      </c>
      <c r="E2344" s="165" t="s">
        <v>10281</v>
      </c>
      <c r="F2344" s="163">
        <v>1</v>
      </c>
      <c r="G2344" s="864"/>
      <c r="H2344" s="864">
        <v>0</v>
      </c>
      <c r="I2344" s="864">
        <v>0</v>
      </c>
      <c r="J2344" s="864">
        <v>12961.613857633913</v>
      </c>
      <c r="K2344" s="864">
        <v>13277.228341977552</v>
      </c>
      <c r="L2344" s="18" t="s">
        <v>11114</v>
      </c>
      <c r="N2344" s="433"/>
      <c r="P2344" s="433"/>
    </row>
    <row r="2345" spans="1:16" x14ac:dyDescent="0.25">
      <c r="A2345" s="862">
        <v>3063</v>
      </c>
      <c r="B2345" s="863" t="s">
        <v>10282</v>
      </c>
      <c r="C2345" s="862">
        <v>3063</v>
      </c>
      <c r="D2345" s="165" t="s">
        <v>2172</v>
      </c>
      <c r="E2345" s="165" t="s">
        <v>10283</v>
      </c>
      <c r="F2345" s="163">
        <v>1</v>
      </c>
      <c r="G2345" s="864"/>
      <c r="H2345" s="864">
        <v>0</v>
      </c>
      <c r="I2345" s="864">
        <v>0</v>
      </c>
      <c r="J2345" s="864">
        <v>0</v>
      </c>
      <c r="K2345" s="864">
        <v>11566.213996754326</v>
      </c>
      <c r="L2345" s="18" t="s">
        <v>11115</v>
      </c>
      <c r="N2345" s="433"/>
      <c r="P2345" s="433"/>
    </row>
    <row r="2346" spans="1:16" x14ac:dyDescent="0.25">
      <c r="A2346" s="862">
        <v>3064</v>
      </c>
      <c r="B2346" s="863" t="s">
        <v>10284</v>
      </c>
      <c r="C2346" s="862">
        <v>3064</v>
      </c>
      <c r="D2346" s="165" t="s">
        <v>2172</v>
      </c>
      <c r="E2346" s="165" t="s">
        <v>10285</v>
      </c>
      <c r="F2346" s="163">
        <v>1</v>
      </c>
      <c r="G2346" s="864"/>
      <c r="H2346" s="864">
        <v>0</v>
      </c>
      <c r="I2346" s="864">
        <v>0</v>
      </c>
      <c r="J2346" s="864">
        <v>0</v>
      </c>
      <c r="K2346" s="864">
        <v>12136.483876693288</v>
      </c>
      <c r="L2346" s="18" t="s">
        <v>11116</v>
      </c>
      <c r="N2346" s="433"/>
      <c r="P2346" s="433"/>
    </row>
    <row r="2347" spans="1:16" x14ac:dyDescent="0.25">
      <c r="A2347" s="862">
        <v>3065</v>
      </c>
      <c r="B2347" s="863" t="s">
        <v>10286</v>
      </c>
      <c r="C2347" s="862">
        <v>3065</v>
      </c>
      <c r="D2347" s="165" t="s">
        <v>2172</v>
      </c>
      <c r="E2347" s="165" t="s">
        <v>10287</v>
      </c>
      <c r="F2347" s="163">
        <v>1</v>
      </c>
      <c r="G2347" s="864"/>
      <c r="H2347" s="864">
        <v>0</v>
      </c>
      <c r="I2347" s="864">
        <v>11289.38395794901</v>
      </c>
      <c r="J2347" s="864">
        <v>11555.546528672176</v>
      </c>
      <c r="K2347" s="864">
        <v>11835.704924004911</v>
      </c>
      <c r="L2347" s="18" t="s">
        <v>4133</v>
      </c>
      <c r="N2347" s="433"/>
      <c r="P2347" s="433"/>
    </row>
    <row r="2348" spans="1:16" x14ac:dyDescent="0.25">
      <c r="A2348" s="862">
        <v>3066</v>
      </c>
      <c r="B2348" s="863" t="s">
        <v>10288</v>
      </c>
      <c r="C2348" s="862">
        <v>3066</v>
      </c>
      <c r="D2348" s="165" t="s">
        <v>2172</v>
      </c>
      <c r="E2348" s="165" t="s">
        <v>10289</v>
      </c>
      <c r="F2348" s="163">
        <v>1</v>
      </c>
      <c r="G2348" s="864"/>
      <c r="H2348" s="864">
        <v>0</v>
      </c>
      <c r="I2348" s="864">
        <v>11843.044035559649</v>
      </c>
      <c r="J2348" s="864">
        <v>12125.586904714753</v>
      </c>
      <c r="K2348" s="864">
        <v>12422.989538270145</v>
      </c>
      <c r="L2348" s="18" t="s">
        <v>11117</v>
      </c>
      <c r="N2348" s="433"/>
      <c r="P2348" s="433"/>
    </row>
    <row r="2349" spans="1:16" x14ac:dyDescent="0.25">
      <c r="A2349" s="862">
        <v>3067</v>
      </c>
      <c r="B2349" s="863" t="s">
        <v>10290</v>
      </c>
      <c r="C2349" s="862">
        <v>3067</v>
      </c>
      <c r="D2349" s="165" t="s">
        <v>2172</v>
      </c>
      <c r="E2349" s="165" t="s">
        <v>10291</v>
      </c>
      <c r="F2349" s="163">
        <v>1</v>
      </c>
      <c r="G2349" s="864"/>
      <c r="H2349" s="864">
        <v>0</v>
      </c>
      <c r="I2349" s="864">
        <v>10104.551391862238</v>
      </c>
      <c r="J2349" s="864">
        <v>10335.672564674047</v>
      </c>
      <c r="K2349" s="864">
        <v>10578.958009739112</v>
      </c>
      <c r="L2349" s="18" t="s">
        <v>4135</v>
      </c>
      <c r="N2349" s="433"/>
      <c r="P2349" s="433"/>
    </row>
    <row r="2350" spans="1:16" x14ac:dyDescent="0.25">
      <c r="A2350" s="862">
        <v>3068</v>
      </c>
      <c r="B2350" s="863" t="s">
        <v>10292</v>
      </c>
      <c r="C2350" s="862">
        <v>3068</v>
      </c>
      <c r="D2350" s="165" t="s">
        <v>2172</v>
      </c>
      <c r="E2350" s="165" t="s">
        <v>10293</v>
      </c>
      <c r="F2350" s="163">
        <v>1</v>
      </c>
      <c r="G2350" s="864"/>
      <c r="H2350" s="864">
        <v>0</v>
      </c>
      <c r="I2350" s="864">
        <v>10696.967674905623</v>
      </c>
      <c r="J2350" s="864">
        <v>10945.609546673113</v>
      </c>
      <c r="K2350" s="864">
        <v>11207.348745667825</v>
      </c>
      <c r="L2350" s="18" t="s">
        <v>4134</v>
      </c>
      <c r="N2350" s="433"/>
      <c r="P2350" s="433"/>
    </row>
    <row r="2351" spans="1:16" x14ac:dyDescent="0.25">
      <c r="A2351" s="862">
        <v>3069</v>
      </c>
      <c r="B2351" s="863" t="s">
        <v>10294</v>
      </c>
      <c r="C2351" s="862">
        <v>3069</v>
      </c>
      <c r="D2351" s="165" t="s">
        <v>2172</v>
      </c>
      <c r="E2351" s="165" t="s">
        <v>10295</v>
      </c>
      <c r="F2351" s="163">
        <v>1</v>
      </c>
      <c r="G2351" s="864"/>
      <c r="H2351" s="864">
        <v>0</v>
      </c>
      <c r="I2351" s="864">
        <v>11250.627752516264</v>
      </c>
      <c r="J2351" s="864">
        <v>11515.649922715693</v>
      </c>
      <c r="K2351" s="864">
        <v>11794.633359933054</v>
      </c>
      <c r="L2351" s="18" t="s">
        <v>11118</v>
      </c>
      <c r="N2351" s="433"/>
      <c r="P2351" s="433"/>
    </row>
    <row r="2352" spans="1:16" x14ac:dyDescent="0.25">
      <c r="A2352" s="862">
        <v>3070</v>
      </c>
      <c r="B2352" s="863" t="s">
        <v>10296</v>
      </c>
      <c r="C2352" s="862">
        <v>3070</v>
      </c>
      <c r="D2352" s="165" t="s">
        <v>2172</v>
      </c>
      <c r="E2352" s="165" t="s">
        <v>10297</v>
      </c>
      <c r="F2352" s="163">
        <v>1</v>
      </c>
      <c r="G2352" s="864"/>
      <c r="H2352" s="864">
        <v>0</v>
      </c>
      <c r="I2352" s="864">
        <v>10658.211469472877</v>
      </c>
      <c r="J2352" s="864">
        <v>10905.712940716627</v>
      </c>
      <c r="K2352" s="864">
        <v>11166.242624004337</v>
      </c>
      <c r="L2352" s="18" t="s">
        <v>11119</v>
      </c>
      <c r="N2352" s="433"/>
      <c r="P2352" s="433"/>
    </row>
    <row r="2353" spans="1:16" x14ac:dyDescent="0.25">
      <c r="A2353" s="862">
        <v>3071</v>
      </c>
      <c r="B2353" s="863" t="s">
        <v>10298</v>
      </c>
      <c r="C2353" s="862">
        <v>3071</v>
      </c>
      <c r="D2353" s="165" t="s">
        <v>2172</v>
      </c>
      <c r="E2353" s="165" t="s">
        <v>10299</v>
      </c>
      <c r="F2353" s="163">
        <v>1</v>
      </c>
      <c r="G2353" s="864"/>
      <c r="H2353" s="864">
        <v>0</v>
      </c>
      <c r="I2353" s="864">
        <v>0</v>
      </c>
      <c r="J2353" s="864">
        <v>0</v>
      </c>
      <c r="K2353" s="864">
        <v>12197.386485230452</v>
      </c>
      <c r="L2353" s="18" t="s">
        <v>11120</v>
      </c>
      <c r="N2353" s="433"/>
      <c r="P2353" s="433"/>
    </row>
    <row r="2354" spans="1:16" x14ac:dyDescent="0.25">
      <c r="A2354" s="862">
        <v>3072</v>
      </c>
      <c r="B2354" s="863" t="s">
        <v>10300</v>
      </c>
      <c r="C2354" s="862">
        <v>3072</v>
      </c>
      <c r="D2354" s="165" t="s">
        <v>2172</v>
      </c>
      <c r="E2354" s="165" t="s">
        <v>10301</v>
      </c>
      <c r="F2354" s="163">
        <v>1</v>
      </c>
      <c r="G2354" s="864"/>
      <c r="H2354" s="864">
        <v>0</v>
      </c>
      <c r="I2354" s="864">
        <v>0</v>
      </c>
      <c r="J2354" s="864">
        <v>0</v>
      </c>
      <c r="K2354" s="864">
        <v>12767.65636516942</v>
      </c>
      <c r="L2354" s="18" t="s">
        <v>11121</v>
      </c>
      <c r="N2354" s="433"/>
      <c r="P2354" s="433"/>
    </row>
    <row r="2355" spans="1:16" x14ac:dyDescent="0.25">
      <c r="A2355" s="862">
        <v>3073</v>
      </c>
      <c r="B2355" s="863" t="s">
        <v>10302</v>
      </c>
      <c r="C2355" s="862">
        <v>3073</v>
      </c>
      <c r="D2355" s="165" t="s">
        <v>2172</v>
      </c>
      <c r="E2355" s="165" t="s">
        <v>10303</v>
      </c>
      <c r="F2355" s="163">
        <v>1</v>
      </c>
      <c r="G2355" s="864"/>
      <c r="H2355" s="864">
        <v>0</v>
      </c>
      <c r="I2355" s="864">
        <v>11787.678027798585</v>
      </c>
      <c r="J2355" s="864">
        <v>12068.56213255552</v>
      </c>
      <c r="K2355" s="864">
        <v>12364.236886529477</v>
      </c>
      <c r="L2355" s="18" t="s">
        <v>4136</v>
      </c>
      <c r="N2355" s="433"/>
      <c r="P2355" s="433"/>
    </row>
    <row r="2356" spans="1:16" x14ac:dyDescent="0.25">
      <c r="A2356" s="862">
        <v>3074</v>
      </c>
      <c r="B2356" s="863" t="s">
        <v>10304</v>
      </c>
      <c r="C2356" s="862">
        <v>3074</v>
      </c>
      <c r="D2356" s="165" t="s">
        <v>2172</v>
      </c>
      <c r="E2356" s="165" t="s">
        <v>10305</v>
      </c>
      <c r="F2356" s="163">
        <v>1</v>
      </c>
      <c r="G2356" s="864"/>
      <c r="H2356" s="864">
        <v>0</v>
      </c>
      <c r="I2356" s="864">
        <v>12341.338105409221</v>
      </c>
      <c r="J2356" s="864">
        <v>12638.602508598098</v>
      </c>
      <c r="K2356" s="864">
        <v>12951.52150079471</v>
      </c>
      <c r="L2356" s="18" t="s">
        <v>11122</v>
      </c>
      <c r="N2356" s="433"/>
      <c r="P2356" s="433"/>
    </row>
    <row r="2357" spans="1:16" x14ac:dyDescent="0.25">
      <c r="A2357" s="862">
        <v>3075</v>
      </c>
      <c r="B2357" s="863" t="s">
        <v>10306</v>
      </c>
      <c r="C2357" s="862">
        <v>3075</v>
      </c>
      <c r="D2357" s="165" t="s">
        <v>2172</v>
      </c>
      <c r="E2357" s="165" t="s">
        <v>10307</v>
      </c>
      <c r="F2357" s="163">
        <v>1</v>
      </c>
      <c r="G2357" s="864"/>
      <c r="H2357" s="864">
        <v>9428.2044307092547</v>
      </c>
      <c r="I2357" s="864">
        <v>9653.6581584939777</v>
      </c>
      <c r="J2357" s="864">
        <v>9890.9996977989267</v>
      </c>
      <c r="K2357" s="864">
        <v>10140.816527681787</v>
      </c>
      <c r="L2357" s="18" t="s">
        <v>1457</v>
      </c>
      <c r="N2357" s="433"/>
      <c r="P2357" s="433"/>
    </row>
    <row r="2358" spans="1:16" x14ac:dyDescent="0.25">
      <c r="A2358" s="862">
        <v>3076</v>
      </c>
      <c r="B2358" s="863" t="s">
        <v>10308</v>
      </c>
      <c r="C2358" s="862">
        <v>3076</v>
      </c>
      <c r="D2358" s="165" t="s">
        <v>2172</v>
      </c>
      <c r="E2358" s="165" t="s">
        <v>10309</v>
      </c>
      <c r="F2358" s="163">
        <v>1</v>
      </c>
      <c r="G2358" s="864"/>
      <c r="H2358" s="864">
        <v>10725.313873385659</v>
      </c>
      <c r="I2358" s="864">
        <v>10991.718347250233</v>
      </c>
      <c r="J2358" s="864">
        <v>11272.153203315995</v>
      </c>
      <c r="K2358" s="864">
        <v>11567.344151007153</v>
      </c>
      <c r="L2358" s="18" t="s">
        <v>1458</v>
      </c>
      <c r="N2358" s="433"/>
      <c r="P2358" s="433"/>
    </row>
    <row r="2359" spans="1:16" x14ac:dyDescent="0.25">
      <c r="A2359" s="862">
        <v>3077</v>
      </c>
      <c r="B2359" s="863" t="s">
        <v>10310</v>
      </c>
      <c r="C2359" s="862">
        <v>3077</v>
      </c>
      <c r="D2359" s="165" t="s">
        <v>2172</v>
      </c>
      <c r="E2359" s="165" t="s">
        <v>10311</v>
      </c>
      <c r="F2359" s="163">
        <v>1</v>
      </c>
      <c r="G2359" s="864"/>
      <c r="H2359" s="864">
        <v>10265.033625781683</v>
      </c>
      <c r="I2359" s="864">
        <v>10516.889353570628</v>
      </c>
      <c r="J2359" s="864">
        <v>10782.049754136569</v>
      </c>
      <c r="K2359" s="864">
        <v>11061.136864128823</v>
      </c>
      <c r="L2359" s="18" t="s">
        <v>1459</v>
      </c>
      <c r="N2359" s="433"/>
      <c r="P2359" s="433"/>
    </row>
    <row r="2360" spans="1:16" x14ac:dyDescent="0.25">
      <c r="A2360" s="862">
        <v>3078</v>
      </c>
      <c r="B2360" s="863" t="s">
        <v>10312</v>
      </c>
      <c r="C2360" s="862">
        <v>3078</v>
      </c>
      <c r="D2360" s="165" t="s">
        <v>2172</v>
      </c>
      <c r="E2360" s="165" t="s">
        <v>10313</v>
      </c>
      <c r="F2360" s="163">
        <v>1</v>
      </c>
      <c r="G2360" s="864"/>
      <c r="H2360" s="864">
        <v>8639.8840680243593</v>
      </c>
      <c r="I2360" s="864">
        <v>8840.4563298365247</v>
      </c>
      <c r="J2360" s="864">
        <v>9051.603214687022</v>
      </c>
      <c r="K2360" s="864">
        <v>9273.8430864502898</v>
      </c>
      <c r="L2360" s="18" t="s">
        <v>1460</v>
      </c>
      <c r="N2360" s="433"/>
      <c r="P2360" s="433"/>
    </row>
    <row r="2361" spans="1:16" x14ac:dyDescent="0.25">
      <c r="A2361" s="862">
        <v>3079</v>
      </c>
      <c r="B2361" s="863" t="s">
        <v>10314</v>
      </c>
      <c r="C2361" s="862">
        <v>3079</v>
      </c>
      <c r="D2361" s="165" t="s">
        <v>2172</v>
      </c>
      <c r="E2361" s="165" t="s">
        <v>10315</v>
      </c>
      <c r="F2361" s="163">
        <v>1</v>
      </c>
      <c r="G2361" s="864"/>
      <c r="H2361" s="864">
        <v>9936.9935107007677</v>
      </c>
      <c r="I2361" s="864">
        <v>10178.516518592776</v>
      </c>
      <c r="J2361" s="864">
        <v>10432.75672020409</v>
      </c>
      <c r="K2361" s="864">
        <v>10700.37070977566</v>
      </c>
      <c r="L2361" s="18" t="s">
        <v>1461</v>
      </c>
      <c r="N2361" s="433"/>
      <c r="P2361" s="433"/>
    </row>
    <row r="2362" spans="1:16" x14ac:dyDescent="0.25">
      <c r="A2362" s="862">
        <v>3080</v>
      </c>
      <c r="B2362" s="863" t="s">
        <v>10316</v>
      </c>
      <c r="C2362" s="862">
        <v>3080</v>
      </c>
      <c r="D2362" s="165" t="s">
        <v>2172</v>
      </c>
      <c r="E2362" s="165" t="s">
        <v>10317</v>
      </c>
      <c r="F2362" s="163">
        <v>1</v>
      </c>
      <c r="G2362" s="864"/>
      <c r="H2362" s="864">
        <v>9476.7132630967899</v>
      </c>
      <c r="I2362" s="864">
        <v>9703.6875249131717</v>
      </c>
      <c r="J2362" s="864">
        <v>9942.6187134330339</v>
      </c>
      <c r="K2362" s="864">
        <v>10194.128865305694</v>
      </c>
      <c r="L2362" s="18" t="s">
        <v>1462</v>
      </c>
      <c r="N2362" s="433"/>
      <c r="P2362" s="433"/>
    </row>
    <row r="2363" spans="1:16" x14ac:dyDescent="0.25">
      <c r="A2363" s="862">
        <v>3081</v>
      </c>
      <c r="B2363" s="863" t="s">
        <v>10318</v>
      </c>
      <c r="C2363" s="862">
        <v>3081</v>
      </c>
      <c r="D2363" s="165" t="s">
        <v>2172</v>
      </c>
      <c r="E2363" s="165" t="s">
        <v>10319</v>
      </c>
      <c r="F2363" s="163">
        <v>1</v>
      </c>
      <c r="G2363" s="864"/>
      <c r="H2363" s="864">
        <v>0</v>
      </c>
      <c r="I2363" s="864">
        <v>25330.937643474408</v>
      </c>
      <c r="J2363" s="864">
        <v>26164.081374127476</v>
      </c>
      <c r="K2363" s="864">
        <v>27041.042565567051</v>
      </c>
      <c r="L2363" s="18" t="s">
        <v>4137</v>
      </c>
      <c r="N2363" s="433"/>
      <c r="P2363" s="433"/>
    </row>
    <row r="2364" spans="1:16" x14ac:dyDescent="0.25">
      <c r="A2364" s="862">
        <v>3082</v>
      </c>
      <c r="B2364" s="863" t="s">
        <v>10320</v>
      </c>
      <c r="C2364" s="862">
        <v>3082</v>
      </c>
      <c r="D2364" s="165" t="s">
        <v>2172</v>
      </c>
      <c r="E2364" s="165" t="s">
        <v>10321</v>
      </c>
      <c r="F2364" s="163">
        <v>1</v>
      </c>
      <c r="G2364" s="864"/>
      <c r="H2364" s="864">
        <v>0</v>
      </c>
      <c r="I2364" s="864">
        <v>0</v>
      </c>
      <c r="J2364" s="864">
        <v>0</v>
      </c>
      <c r="K2364" s="864">
        <v>19399.14060596795</v>
      </c>
      <c r="L2364" s="18" t="s">
        <v>11123</v>
      </c>
      <c r="N2364" s="433"/>
      <c r="P2364" s="433"/>
    </row>
    <row r="2365" spans="1:16" x14ac:dyDescent="0.25">
      <c r="A2365" s="862">
        <v>3083</v>
      </c>
      <c r="B2365" s="863" t="s">
        <v>10322</v>
      </c>
      <c r="C2365" s="862">
        <v>3083</v>
      </c>
      <c r="D2365" s="165" t="s">
        <v>2172</v>
      </c>
      <c r="E2365" s="165" t="s">
        <v>10323</v>
      </c>
      <c r="F2365" s="163">
        <v>1</v>
      </c>
      <c r="G2365" s="864"/>
      <c r="H2365" s="864">
        <v>0</v>
      </c>
      <c r="I2365" s="864">
        <v>0</v>
      </c>
      <c r="J2365" s="864">
        <v>0</v>
      </c>
      <c r="K2365" s="864">
        <v>20651.779621900379</v>
      </c>
      <c r="L2365" s="18" t="s">
        <v>11124</v>
      </c>
      <c r="N2365" s="433"/>
      <c r="P2365" s="433"/>
    </row>
    <row r="2366" spans="1:16" x14ac:dyDescent="0.25">
      <c r="A2366" s="862">
        <v>3084</v>
      </c>
      <c r="B2366" s="863" t="s">
        <v>10324</v>
      </c>
      <c r="C2366" s="862">
        <v>3084</v>
      </c>
      <c r="D2366" s="165" t="s">
        <v>2172</v>
      </c>
      <c r="E2366" s="165" t="s">
        <v>10325</v>
      </c>
      <c r="F2366" s="163">
        <v>1</v>
      </c>
      <c r="G2366" s="864"/>
      <c r="H2366" s="864">
        <v>0</v>
      </c>
      <c r="I2366" s="864">
        <v>0</v>
      </c>
      <c r="J2366" s="864">
        <v>0</v>
      </c>
      <c r="K2366" s="864">
        <v>21649.801355186977</v>
      </c>
      <c r="L2366" s="18" t="s">
        <v>11125</v>
      </c>
      <c r="N2366" s="433"/>
      <c r="P2366" s="433"/>
    </row>
    <row r="2367" spans="1:16" x14ac:dyDescent="0.25">
      <c r="A2367" s="862">
        <v>3085</v>
      </c>
      <c r="B2367" s="863" t="s">
        <v>10326</v>
      </c>
      <c r="C2367" s="862">
        <v>3085</v>
      </c>
      <c r="D2367" s="165" t="s">
        <v>2172</v>
      </c>
      <c r="E2367" s="165" t="s">
        <v>10327</v>
      </c>
      <c r="F2367" s="163">
        <v>1</v>
      </c>
      <c r="G2367" s="864"/>
      <c r="H2367" s="864">
        <v>0</v>
      </c>
      <c r="I2367" s="864">
        <v>0</v>
      </c>
      <c r="J2367" s="864">
        <v>0</v>
      </c>
      <c r="K2367" s="864">
        <v>28997.375327265428</v>
      </c>
      <c r="L2367" s="18" t="s">
        <v>11126</v>
      </c>
      <c r="N2367" s="433"/>
      <c r="P2367" s="433"/>
    </row>
    <row r="2368" spans="1:16" x14ac:dyDescent="0.25">
      <c r="A2368" s="862">
        <v>3086</v>
      </c>
      <c r="B2368" s="863" t="s">
        <v>10328</v>
      </c>
      <c r="C2368" s="862">
        <v>3086</v>
      </c>
      <c r="D2368" s="165" t="s">
        <v>2172</v>
      </c>
      <c r="E2368" s="165" t="s">
        <v>10329</v>
      </c>
      <c r="F2368" s="163">
        <v>1</v>
      </c>
      <c r="G2368" s="864"/>
      <c r="H2368" s="864">
        <v>0</v>
      </c>
      <c r="I2368" s="864">
        <v>0</v>
      </c>
      <c r="J2368" s="864">
        <v>0</v>
      </c>
      <c r="K2368" s="864">
        <v>22973.345653437627</v>
      </c>
      <c r="L2368" s="18" t="s">
        <v>11127</v>
      </c>
      <c r="N2368" s="433"/>
      <c r="P2368" s="433"/>
    </row>
    <row r="2369" spans="1:16" x14ac:dyDescent="0.25">
      <c r="A2369" s="862">
        <v>3087</v>
      </c>
      <c r="B2369" s="863" t="s">
        <v>10330</v>
      </c>
      <c r="C2369" s="862">
        <v>3087</v>
      </c>
      <c r="D2369" s="165" t="s">
        <v>2172</v>
      </c>
      <c r="E2369" s="165" t="s">
        <v>10331</v>
      </c>
      <c r="F2369" s="163">
        <v>1</v>
      </c>
      <c r="G2369" s="864"/>
      <c r="H2369" s="864">
        <v>20374.294858483161</v>
      </c>
      <c r="I2369" s="864">
        <v>20831.547902403381</v>
      </c>
      <c r="J2369" s="864">
        <v>21312.849664639522</v>
      </c>
      <c r="K2369" s="864">
        <v>21819.479965597024</v>
      </c>
      <c r="L2369" s="18" t="s">
        <v>1463</v>
      </c>
      <c r="N2369" s="433"/>
      <c r="P2369" s="433"/>
    </row>
    <row r="2370" spans="1:16" x14ac:dyDescent="0.25">
      <c r="A2370" s="862">
        <v>3088</v>
      </c>
      <c r="B2370" s="863" t="s">
        <v>10330</v>
      </c>
      <c r="C2370" s="862">
        <v>3088</v>
      </c>
      <c r="D2370" s="165" t="s">
        <v>2172</v>
      </c>
      <c r="E2370" s="165" t="s">
        <v>10331</v>
      </c>
      <c r="F2370" s="163">
        <v>1</v>
      </c>
      <c r="G2370" s="864"/>
      <c r="H2370" s="864">
        <v>0</v>
      </c>
      <c r="I2370" s="864">
        <v>24621.334341647165</v>
      </c>
      <c r="J2370" s="864">
        <v>25428.775092509259</v>
      </c>
      <c r="K2370" s="864">
        <v>26278.748155168323</v>
      </c>
      <c r="L2370" s="18" t="s">
        <v>4138</v>
      </c>
      <c r="N2370" s="433"/>
      <c r="P2370" s="433"/>
    </row>
    <row r="2371" spans="1:16" x14ac:dyDescent="0.25">
      <c r="A2371" s="862">
        <v>3089</v>
      </c>
      <c r="B2371" s="863" t="s">
        <v>10332</v>
      </c>
      <c r="C2371" s="862">
        <v>3089</v>
      </c>
      <c r="D2371" s="165" t="s">
        <v>2172</v>
      </c>
      <c r="E2371" s="165" t="s">
        <v>10333</v>
      </c>
      <c r="F2371" s="163">
        <v>1</v>
      </c>
      <c r="G2371" s="864"/>
      <c r="H2371" s="864">
        <v>0</v>
      </c>
      <c r="I2371" s="864">
        <v>25906.552100419878</v>
      </c>
      <c r="J2371" s="864">
        <v>26760.503005189446</v>
      </c>
      <c r="K2371" s="864">
        <v>27659.372927022279</v>
      </c>
      <c r="L2371" s="18" t="s">
        <v>4139</v>
      </c>
      <c r="N2371" s="433"/>
      <c r="P2371" s="433"/>
    </row>
    <row r="2372" spans="1:16" x14ac:dyDescent="0.25">
      <c r="A2372" s="862">
        <v>3090</v>
      </c>
      <c r="B2372" s="863" t="s">
        <v>10334</v>
      </c>
      <c r="C2372" s="862">
        <v>3090</v>
      </c>
      <c r="D2372" s="165" t="s">
        <v>2172</v>
      </c>
      <c r="E2372" s="165" t="s">
        <v>10335</v>
      </c>
      <c r="F2372" s="163">
        <v>1</v>
      </c>
      <c r="G2372" s="864"/>
      <c r="H2372" s="864">
        <v>21385.351898052155</v>
      </c>
      <c r="I2372" s="864">
        <v>21868.141823550421</v>
      </c>
      <c r="J2372" s="864">
        <v>22376.349577565768</v>
      </c>
      <c r="K2372" s="864">
        <v>22911.314507034109</v>
      </c>
      <c r="L2372" s="18" t="s">
        <v>1464</v>
      </c>
      <c r="N2372" s="433"/>
      <c r="P2372" s="433"/>
    </row>
    <row r="2373" spans="1:16" x14ac:dyDescent="0.25">
      <c r="A2373" s="862">
        <v>3091</v>
      </c>
      <c r="B2373" s="863" t="s">
        <v>10336</v>
      </c>
      <c r="C2373" s="862">
        <v>3091</v>
      </c>
      <c r="D2373" s="165" t="s">
        <v>2172</v>
      </c>
      <c r="E2373" s="165" t="s">
        <v>10337</v>
      </c>
      <c r="F2373" s="163">
        <v>1</v>
      </c>
      <c r="G2373" s="864"/>
      <c r="H2373" s="864">
        <v>21385.351898052155</v>
      </c>
      <c r="I2373" s="864">
        <v>0</v>
      </c>
      <c r="J2373" s="864">
        <v>0</v>
      </c>
      <c r="K2373" s="864">
        <v>0</v>
      </c>
      <c r="L2373" s="18" t="s">
        <v>1465</v>
      </c>
      <c r="N2373" s="433"/>
      <c r="P2373" s="433"/>
    </row>
    <row r="2374" spans="1:16" x14ac:dyDescent="0.25">
      <c r="A2374" s="862">
        <v>3092</v>
      </c>
      <c r="B2374" s="863" t="s">
        <v>10338</v>
      </c>
      <c r="C2374" s="862">
        <v>3092</v>
      </c>
      <c r="D2374" s="165" t="s">
        <v>2172</v>
      </c>
      <c r="E2374" s="165" t="s">
        <v>10339</v>
      </c>
      <c r="F2374" s="163">
        <v>1</v>
      </c>
      <c r="G2374" s="864"/>
      <c r="H2374" s="864">
        <v>22441.025330639637</v>
      </c>
      <c r="I2374" s="864">
        <v>22950.483141795175</v>
      </c>
      <c r="J2374" s="864">
        <v>23486.787418199416</v>
      </c>
      <c r="K2374" s="864">
        <v>24051.307270053538</v>
      </c>
      <c r="L2374" s="18" t="s">
        <v>1466</v>
      </c>
      <c r="N2374" s="433"/>
      <c r="P2374" s="433"/>
    </row>
    <row r="2375" spans="1:16" x14ac:dyDescent="0.25">
      <c r="A2375" s="862">
        <v>3093</v>
      </c>
      <c r="B2375" s="863" t="s">
        <v>10340</v>
      </c>
      <c r="C2375" s="862">
        <v>3093</v>
      </c>
      <c r="D2375" s="165" t="s">
        <v>2172</v>
      </c>
      <c r="E2375" s="165" t="s">
        <v>10341</v>
      </c>
      <c r="F2375" s="163">
        <v>1</v>
      </c>
      <c r="G2375" s="864"/>
      <c r="H2375" s="864">
        <v>22268.756479818247</v>
      </c>
      <c r="I2375" s="864">
        <v>0</v>
      </c>
      <c r="J2375" s="864">
        <v>0</v>
      </c>
      <c r="K2375" s="864">
        <v>0</v>
      </c>
      <c r="L2375" s="18" t="s">
        <v>1467</v>
      </c>
      <c r="N2375" s="433"/>
      <c r="P2375" s="433"/>
    </row>
    <row r="2376" spans="1:16" x14ac:dyDescent="0.25">
      <c r="A2376" s="862">
        <v>3094</v>
      </c>
      <c r="B2376" s="863" t="s">
        <v>10342</v>
      </c>
      <c r="C2376" s="862">
        <v>3094</v>
      </c>
      <c r="D2376" s="165" t="s">
        <v>2172</v>
      </c>
      <c r="E2376" s="165" t="s">
        <v>10343</v>
      </c>
      <c r="F2376" s="163">
        <v>1</v>
      </c>
      <c r="G2376" s="864"/>
      <c r="H2376" s="864">
        <v>23324.429912405736</v>
      </c>
      <c r="I2376" s="864">
        <v>0</v>
      </c>
      <c r="J2376" s="864">
        <v>0</v>
      </c>
      <c r="K2376" s="864">
        <v>0</v>
      </c>
      <c r="L2376" s="18" t="s">
        <v>1468</v>
      </c>
      <c r="N2376" s="433"/>
      <c r="P2376" s="433"/>
    </row>
    <row r="2377" spans="1:16" x14ac:dyDescent="0.25">
      <c r="A2377" s="862">
        <v>3095</v>
      </c>
      <c r="B2377" s="863" t="s">
        <v>10344</v>
      </c>
      <c r="C2377" s="862">
        <v>3095</v>
      </c>
      <c r="D2377" s="165" t="s">
        <v>2172</v>
      </c>
      <c r="E2377" s="165" t="s">
        <v>10345</v>
      </c>
      <c r="F2377" s="163">
        <v>1</v>
      </c>
      <c r="G2377" s="864"/>
      <c r="H2377" s="864">
        <v>23324.429912405736</v>
      </c>
      <c r="I2377" s="864">
        <v>0</v>
      </c>
      <c r="J2377" s="864">
        <v>0</v>
      </c>
      <c r="K2377" s="864">
        <v>0</v>
      </c>
      <c r="L2377" s="18" t="s">
        <v>1469</v>
      </c>
      <c r="N2377" s="433"/>
      <c r="P2377" s="433"/>
    </row>
    <row r="2378" spans="1:16" x14ac:dyDescent="0.25">
      <c r="A2378" s="862">
        <v>3096</v>
      </c>
      <c r="B2378" s="863" t="s">
        <v>10346</v>
      </c>
      <c r="C2378" s="862">
        <v>3096</v>
      </c>
      <c r="D2378" s="165" t="s">
        <v>2172</v>
      </c>
      <c r="E2378" s="165" t="s">
        <v>10347</v>
      </c>
      <c r="F2378" s="163">
        <v>1</v>
      </c>
      <c r="G2378" s="864"/>
      <c r="H2378" s="864">
        <v>24380.103344993215</v>
      </c>
      <c r="I2378" s="864">
        <v>0</v>
      </c>
      <c r="J2378" s="864">
        <v>0</v>
      </c>
      <c r="K2378" s="864">
        <v>0</v>
      </c>
      <c r="L2378" s="18" t="s">
        <v>1470</v>
      </c>
      <c r="N2378" s="433"/>
      <c r="P2378" s="433"/>
    </row>
    <row r="2379" spans="1:16" x14ac:dyDescent="0.25">
      <c r="A2379" s="862">
        <v>3097</v>
      </c>
      <c r="B2379" s="863" t="s">
        <v>10348</v>
      </c>
      <c r="C2379" s="862">
        <v>3097</v>
      </c>
      <c r="D2379" s="165" t="s">
        <v>2172</v>
      </c>
      <c r="E2379" s="165" t="s">
        <v>10349</v>
      </c>
      <c r="F2379" s="163">
        <v>1</v>
      </c>
      <c r="G2379" s="864"/>
      <c r="H2379" s="864">
        <v>21799.895517539062</v>
      </c>
      <c r="I2379" s="864">
        <v>0</v>
      </c>
      <c r="J2379" s="864">
        <v>0</v>
      </c>
      <c r="K2379" s="864">
        <v>0</v>
      </c>
      <c r="L2379" s="18" t="s">
        <v>4865</v>
      </c>
      <c r="N2379" s="433"/>
      <c r="P2379" s="433"/>
    </row>
    <row r="2380" spans="1:16" x14ac:dyDescent="0.25">
      <c r="A2380" s="862">
        <v>3098</v>
      </c>
      <c r="B2380" s="863" t="s">
        <v>10350</v>
      </c>
      <c r="C2380" s="862">
        <v>3098</v>
      </c>
      <c r="D2380" s="165" t="s">
        <v>2172</v>
      </c>
      <c r="E2380" s="165" t="s">
        <v>10351</v>
      </c>
      <c r="F2380" s="163">
        <v>1</v>
      </c>
      <c r="G2380" s="864"/>
      <c r="H2380" s="864">
        <v>22605.490507899714</v>
      </c>
      <c r="I2380" s="864">
        <v>0</v>
      </c>
      <c r="J2380" s="864">
        <v>0</v>
      </c>
      <c r="K2380" s="864">
        <v>0</v>
      </c>
      <c r="L2380" s="18" t="s">
        <v>4866</v>
      </c>
      <c r="N2380" s="433"/>
      <c r="P2380" s="433"/>
    </row>
    <row r="2381" spans="1:16" x14ac:dyDescent="0.25">
      <c r="A2381" s="862">
        <v>3099</v>
      </c>
      <c r="B2381" s="863" t="s">
        <v>10352</v>
      </c>
      <c r="C2381" s="862">
        <v>3099</v>
      </c>
      <c r="D2381" s="165" t="s">
        <v>2172</v>
      </c>
      <c r="E2381" s="165" t="s">
        <v>10353</v>
      </c>
      <c r="F2381" s="163">
        <v>1</v>
      </c>
      <c r="G2381" s="864"/>
      <c r="H2381" s="864">
        <v>22417.925984206082</v>
      </c>
      <c r="I2381" s="864">
        <v>0</v>
      </c>
      <c r="J2381" s="864">
        <v>0</v>
      </c>
      <c r="K2381" s="864">
        <v>0</v>
      </c>
      <c r="L2381" s="18" t="s">
        <v>4867</v>
      </c>
      <c r="N2381" s="433"/>
      <c r="P2381" s="433"/>
    </row>
    <row r="2382" spans="1:16" x14ac:dyDescent="0.25">
      <c r="A2382" s="862">
        <v>3100</v>
      </c>
      <c r="B2382" s="863" t="s">
        <v>10354</v>
      </c>
      <c r="C2382" s="862">
        <v>3100</v>
      </c>
      <c r="D2382" s="165" t="s">
        <v>2172</v>
      </c>
      <c r="E2382" s="165" t="s">
        <v>10355</v>
      </c>
      <c r="F2382" s="163">
        <v>1</v>
      </c>
      <c r="G2382" s="864"/>
      <c r="H2382" s="864">
        <v>23223.520974566734</v>
      </c>
      <c r="I2382" s="864">
        <v>0</v>
      </c>
      <c r="J2382" s="864">
        <v>0</v>
      </c>
      <c r="K2382" s="864">
        <v>0</v>
      </c>
      <c r="L2382" s="18" t="s">
        <v>4868</v>
      </c>
      <c r="N2382" s="433"/>
      <c r="P2382" s="433"/>
    </row>
    <row r="2383" spans="1:16" x14ac:dyDescent="0.25">
      <c r="A2383" s="862">
        <v>3101</v>
      </c>
      <c r="B2383" s="863" t="s">
        <v>10356</v>
      </c>
      <c r="C2383" s="862">
        <v>3101</v>
      </c>
      <c r="D2383" s="165" t="s">
        <v>2172</v>
      </c>
      <c r="E2383" s="165" t="s">
        <v>10357</v>
      </c>
      <c r="F2383" s="163">
        <v>1</v>
      </c>
      <c r="G2383" s="864"/>
      <c r="H2383" s="864">
        <v>23581.54332623411</v>
      </c>
      <c r="I2383" s="864">
        <v>0</v>
      </c>
      <c r="J2383" s="864">
        <v>0</v>
      </c>
      <c r="K2383" s="864">
        <v>0</v>
      </c>
      <c r="L2383" s="18" t="s">
        <v>1471</v>
      </c>
      <c r="N2383" s="433"/>
      <c r="P2383" s="433"/>
    </row>
    <row r="2384" spans="1:16" x14ac:dyDescent="0.25">
      <c r="A2384" s="862">
        <v>3102</v>
      </c>
      <c r="B2384" s="863" t="s">
        <v>10358</v>
      </c>
      <c r="C2384" s="862">
        <v>3102</v>
      </c>
      <c r="D2384" s="165" t="s">
        <v>2172</v>
      </c>
      <c r="E2384" s="165" t="s">
        <v>10359</v>
      </c>
      <c r="F2384" s="163">
        <v>1</v>
      </c>
      <c r="G2384" s="864"/>
      <c r="H2384" s="864">
        <v>26079.089195099725</v>
      </c>
      <c r="I2384" s="864">
        <v>0</v>
      </c>
      <c r="J2384" s="864">
        <v>0</v>
      </c>
      <c r="K2384" s="864">
        <v>0</v>
      </c>
      <c r="L2384" s="18" t="s">
        <v>4869</v>
      </c>
      <c r="N2384" s="433"/>
      <c r="P2384" s="433"/>
    </row>
    <row r="2385" spans="1:16" x14ac:dyDescent="0.25">
      <c r="A2385" s="862">
        <v>3103</v>
      </c>
      <c r="B2385" s="863" t="s">
        <v>10360</v>
      </c>
      <c r="C2385" s="862">
        <v>3103</v>
      </c>
      <c r="D2385" s="165" t="s">
        <v>2172</v>
      </c>
      <c r="E2385" s="165" t="s">
        <v>10361</v>
      </c>
      <c r="F2385" s="163">
        <v>1</v>
      </c>
      <c r="G2385" s="864"/>
      <c r="H2385" s="864">
        <v>26532.236377177596</v>
      </c>
      <c r="I2385" s="864">
        <v>0</v>
      </c>
      <c r="J2385" s="864">
        <v>0</v>
      </c>
      <c r="K2385" s="864">
        <v>0</v>
      </c>
      <c r="L2385" s="18" t="s">
        <v>4870</v>
      </c>
      <c r="N2385" s="433"/>
      <c r="P2385" s="433"/>
    </row>
    <row r="2386" spans="1:16" x14ac:dyDescent="0.25">
      <c r="A2386" s="862">
        <v>3104</v>
      </c>
      <c r="B2386" s="863" t="s">
        <v>10362</v>
      </c>
      <c r="C2386" s="862">
        <v>3104</v>
      </c>
      <c r="D2386" s="165" t="s">
        <v>2172</v>
      </c>
      <c r="E2386" s="165" t="s">
        <v>10363</v>
      </c>
      <c r="F2386" s="163">
        <v>1</v>
      </c>
      <c r="G2386" s="864"/>
      <c r="H2386" s="864">
        <v>24532.739487312923</v>
      </c>
      <c r="I2386" s="864">
        <v>25393.87018232156</v>
      </c>
      <c r="J2386" s="864">
        <v>26300.315595537984</v>
      </c>
      <c r="K2386" s="864">
        <v>27254.442162246385</v>
      </c>
      <c r="L2386" s="18" t="s">
        <v>1472</v>
      </c>
      <c r="N2386" s="433"/>
      <c r="P2386" s="433"/>
    </row>
    <row r="2387" spans="1:16" x14ac:dyDescent="0.25">
      <c r="A2387" s="862">
        <v>3105</v>
      </c>
      <c r="B2387" s="863" t="s">
        <v>10364</v>
      </c>
      <c r="C2387" s="862">
        <v>3105</v>
      </c>
      <c r="D2387" s="165" t="s">
        <v>2172</v>
      </c>
      <c r="E2387" s="165" t="s">
        <v>10365</v>
      </c>
      <c r="F2387" s="163">
        <v>1</v>
      </c>
      <c r="G2387" s="864"/>
      <c r="H2387" s="864">
        <v>27099.556466016264</v>
      </c>
      <c r="I2387" s="864">
        <v>0</v>
      </c>
      <c r="J2387" s="864">
        <v>0</v>
      </c>
      <c r="K2387" s="864">
        <v>0</v>
      </c>
      <c r="L2387" s="18" t="s">
        <v>4871</v>
      </c>
      <c r="N2387" s="433"/>
      <c r="P2387" s="433"/>
    </row>
    <row r="2388" spans="1:16" x14ac:dyDescent="0.25">
      <c r="A2388" s="862">
        <v>3106</v>
      </c>
      <c r="B2388" s="863" t="s">
        <v>10366</v>
      </c>
      <c r="C2388" s="862">
        <v>3106</v>
      </c>
      <c r="D2388" s="165" t="s">
        <v>2172</v>
      </c>
      <c r="E2388" s="165" t="s">
        <v>10367</v>
      </c>
      <c r="F2388" s="163">
        <v>1</v>
      </c>
      <c r="G2388" s="864"/>
      <c r="H2388" s="864">
        <v>27905.151456376912</v>
      </c>
      <c r="I2388" s="864">
        <v>0</v>
      </c>
      <c r="J2388" s="864">
        <v>0</v>
      </c>
      <c r="K2388" s="864">
        <v>0</v>
      </c>
      <c r="L2388" s="18" t="s">
        <v>4872</v>
      </c>
      <c r="N2388" s="433"/>
      <c r="P2388" s="433"/>
    </row>
    <row r="2389" spans="1:16" x14ac:dyDescent="0.25">
      <c r="A2389" s="862">
        <v>3107</v>
      </c>
      <c r="B2389" s="863" t="s">
        <v>10368</v>
      </c>
      <c r="C2389" s="862">
        <v>3107</v>
      </c>
      <c r="D2389" s="165" t="s">
        <v>2172</v>
      </c>
      <c r="E2389" s="165" t="s">
        <v>10369</v>
      </c>
      <c r="F2389" s="163">
        <v>1</v>
      </c>
      <c r="G2389" s="864"/>
      <c r="H2389" s="864">
        <v>28358.298638454777</v>
      </c>
      <c r="I2389" s="864">
        <v>0</v>
      </c>
      <c r="J2389" s="864">
        <v>0</v>
      </c>
      <c r="K2389" s="864">
        <v>0</v>
      </c>
      <c r="L2389" s="18" t="s">
        <v>4873</v>
      </c>
      <c r="N2389" s="433"/>
      <c r="P2389" s="433"/>
    </row>
    <row r="2390" spans="1:16" x14ac:dyDescent="0.25">
      <c r="A2390" s="862">
        <v>3108</v>
      </c>
      <c r="B2390" s="863" t="s">
        <v>10370</v>
      </c>
      <c r="C2390" s="862">
        <v>3108</v>
      </c>
      <c r="D2390" s="165" t="s">
        <v>2172</v>
      </c>
      <c r="E2390" s="165" t="s">
        <v>10371</v>
      </c>
      <c r="F2390" s="163">
        <v>1</v>
      </c>
      <c r="G2390" s="864"/>
      <c r="H2390" s="864">
        <v>0</v>
      </c>
      <c r="I2390" s="864">
        <v>0</v>
      </c>
      <c r="J2390" s="864">
        <v>0</v>
      </c>
      <c r="K2390" s="864">
        <v>28997.375327265432</v>
      </c>
      <c r="L2390" s="18" t="s">
        <v>11128</v>
      </c>
      <c r="N2390" s="433"/>
      <c r="P2390" s="433"/>
    </row>
    <row r="2391" spans="1:16" x14ac:dyDescent="0.25">
      <c r="A2391" s="862">
        <v>3109</v>
      </c>
      <c r="B2391" s="863" t="s">
        <v>10372</v>
      </c>
      <c r="C2391" s="862">
        <v>3109</v>
      </c>
      <c r="D2391" s="165" t="s">
        <v>2172</v>
      </c>
      <c r="E2391" s="165" t="s">
        <v>10373</v>
      </c>
      <c r="F2391" s="163">
        <v>1</v>
      </c>
      <c r="G2391" s="864"/>
      <c r="H2391" s="864">
        <v>0</v>
      </c>
      <c r="I2391" s="864">
        <v>0</v>
      </c>
      <c r="J2391" s="864">
        <v>0</v>
      </c>
      <c r="K2391" s="864">
        <v>29778.074333741766</v>
      </c>
      <c r="L2391" s="18" t="s">
        <v>11129</v>
      </c>
      <c r="N2391" s="433"/>
      <c r="P2391" s="433"/>
    </row>
    <row r="2392" spans="1:16" x14ac:dyDescent="0.25">
      <c r="A2392" s="862">
        <v>3110</v>
      </c>
      <c r="B2392" s="863" t="s">
        <v>10374</v>
      </c>
      <c r="C2392" s="862">
        <v>3110</v>
      </c>
      <c r="D2392" s="165" t="s">
        <v>2172</v>
      </c>
      <c r="E2392" s="165" t="s">
        <v>10375</v>
      </c>
      <c r="F2392" s="163">
        <v>1</v>
      </c>
      <c r="G2392" s="864"/>
      <c r="H2392" s="864">
        <v>25692.987612846558</v>
      </c>
      <c r="I2392" s="864">
        <v>26599.030228567812</v>
      </c>
      <c r="J2392" s="864">
        <v>27552.753997781027</v>
      </c>
      <c r="K2392" s="864">
        <v>28556.676404831083</v>
      </c>
      <c r="L2392" s="18" t="s">
        <v>1473</v>
      </c>
      <c r="N2392" s="433"/>
      <c r="P2392" s="433"/>
    </row>
    <row r="2393" spans="1:16" x14ac:dyDescent="0.25">
      <c r="A2393" s="862">
        <v>3111</v>
      </c>
      <c r="B2393" s="863" t="s">
        <v>10376</v>
      </c>
      <c r="C2393" s="862">
        <v>3111</v>
      </c>
      <c r="D2393" s="165" t="s">
        <v>2172</v>
      </c>
      <c r="E2393" s="165" t="s">
        <v>10377</v>
      </c>
      <c r="F2393" s="163">
        <v>1</v>
      </c>
      <c r="G2393" s="864"/>
      <c r="H2393" s="864">
        <v>15117.203333429867</v>
      </c>
      <c r="I2393" s="864">
        <v>0</v>
      </c>
      <c r="J2393" s="864">
        <v>0</v>
      </c>
      <c r="K2393" s="864">
        <v>0</v>
      </c>
      <c r="L2393" s="18" t="s">
        <v>1474</v>
      </c>
      <c r="N2393" s="433"/>
      <c r="P2393" s="433"/>
    </row>
    <row r="2394" spans="1:16" x14ac:dyDescent="0.25">
      <c r="A2394" s="862">
        <v>3112</v>
      </c>
      <c r="B2394" s="863" t="s">
        <v>10378</v>
      </c>
      <c r="C2394" s="862">
        <v>3112</v>
      </c>
      <c r="D2394" s="165" t="s">
        <v>2172</v>
      </c>
      <c r="E2394" s="165" t="s">
        <v>10379</v>
      </c>
      <c r="F2394" s="163">
        <v>1</v>
      </c>
      <c r="G2394" s="864"/>
      <c r="H2394" s="864">
        <v>16706.729881269021</v>
      </c>
      <c r="I2394" s="864">
        <v>17321.831660161581</v>
      </c>
      <c r="J2394" s="864">
        <v>17969.340157987321</v>
      </c>
      <c r="K2394" s="864">
        <v>18650.924390313619</v>
      </c>
      <c r="L2394" s="18" t="s">
        <v>1475</v>
      </c>
      <c r="N2394" s="433"/>
      <c r="P2394" s="433"/>
    </row>
    <row r="2395" spans="1:16" x14ac:dyDescent="0.25">
      <c r="A2395" s="862">
        <v>3113</v>
      </c>
      <c r="B2395" s="863" t="s">
        <v>10380</v>
      </c>
      <c r="C2395" s="862">
        <v>3113</v>
      </c>
      <c r="D2395" s="165" t="s">
        <v>2172</v>
      </c>
      <c r="E2395" s="165" t="s">
        <v>10381</v>
      </c>
      <c r="F2395" s="163">
        <v>1</v>
      </c>
      <c r="G2395" s="864"/>
      <c r="H2395" s="864">
        <v>15932.345152834554</v>
      </c>
      <c r="I2395" s="864">
        <v>16514.414331956184</v>
      </c>
      <c r="J2395" s="864">
        <v>17127.151672128308</v>
      </c>
      <c r="K2395" s="864">
        <v>17772.087104287679</v>
      </c>
      <c r="L2395" s="18" t="s">
        <v>1476</v>
      </c>
      <c r="N2395" s="433"/>
      <c r="P2395" s="433"/>
    </row>
    <row r="2396" spans="1:16" x14ac:dyDescent="0.25">
      <c r="A2396" s="862">
        <v>3114</v>
      </c>
      <c r="B2396" s="863" t="s">
        <v>10382</v>
      </c>
      <c r="C2396" s="862">
        <v>3114</v>
      </c>
      <c r="D2396" s="165" t="s">
        <v>2172</v>
      </c>
      <c r="E2396" s="165" t="s">
        <v>10383</v>
      </c>
      <c r="F2396" s="163">
        <v>1</v>
      </c>
      <c r="G2396" s="864"/>
      <c r="H2396" s="864">
        <v>17412.04775778954</v>
      </c>
      <c r="I2396" s="864">
        <v>0</v>
      </c>
      <c r="J2396" s="864">
        <v>0</v>
      </c>
      <c r="K2396" s="864">
        <v>0</v>
      </c>
      <c r="L2396" s="18" t="s">
        <v>1477</v>
      </c>
      <c r="N2396" s="433"/>
      <c r="P2396" s="433"/>
    </row>
    <row r="2397" spans="1:16" x14ac:dyDescent="0.25">
      <c r="A2397" s="862">
        <v>3115</v>
      </c>
      <c r="B2397" s="863" t="s">
        <v>10384</v>
      </c>
      <c r="C2397" s="862">
        <v>3115</v>
      </c>
      <c r="D2397" s="165" t="s">
        <v>2172</v>
      </c>
      <c r="E2397" s="165" t="s">
        <v>10385</v>
      </c>
      <c r="F2397" s="163">
        <v>1</v>
      </c>
      <c r="G2397" s="864"/>
      <c r="H2397" s="864">
        <v>16393.120483533672</v>
      </c>
      <c r="I2397" s="864">
        <v>0</v>
      </c>
      <c r="J2397" s="864">
        <v>0</v>
      </c>
      <c r="K2397" s="864">
        <v>0</v>
      </c>
      <c r="L2397" s="18" t="s">
        <v>1478</v>
      </c>
      <c r="N2397" s="433"/>
      <c r="P2397" s="433"/>
    </row>
    <row r="2398" spans="1:16" x14ac:dyDescent="0.25">
      <c r="A2398" s="862">
        <v>3116</v>
      </c>
      <c r="B2398" s="863" t="s">
        <v>10386</v>
      </c>
      <c r="C2398" s="862">
        <v>3116</v>
      </c>
      <c r="D2398" s="165" t="s">
        <v>2172</v>
      </c>
      <c r="E2398" s="165" t="s">
        <v>10387</v>
      </c>
      <c r="F2398" s="163">
        <v>1</v>
      </c>
      <c r="G2398" s="864"/>
      <c r="H2398" s="864">
        <v>18100.622392451041</v>
      </c>
      <c r="I2398" s="864">
        <v>18775.182850931302</v>
      </c>
      <c r="J2398" s="864">
        <v>19485.279432533567</v>
      </c>
      <c r="K2398" s="864">
        <v>20232.720237455815</v>
      </c>
      <c r="L2398" s="18" t="s">
        <v>1479</v>
      </c>
      <c r="N2398" s="433"/>
      <c r="P2398" s="433"/>
    </row>
    <row r="2399" spans="1:16" x14ac:dyDescent="0.25">
      <c r="A2399" s="862">
        <v>3117</v>
      </c>
      <c r="B2399" s="863" t="s">
        <v>10388</v>
      </c>
      <c r="C2399" s="862">
        <v>3117</v>
      </c>
      <c r="D2399" s="165" t="s">
        <v>2172</v>
      </c>
      <c r="E2399" s="165" t="s">
        <v>10389</v>
      </c>
      <c r="F2399" s="163">
        <v>1</v>
      </c>
      <c r="G2399" s="864"/>
      <c r="H2399" s="864">
        <v>16511.095844611886</v>
      </c>
      <c r="I2399" s="864">
        <v>17117.852545667589</v>
      </c>
      <c r="J2399" s="864">
        <v>17756.529169449306</v>
      </c>
      <c r="K2399" s="864">
        <v>18428.864273839736</v>
      </c>
      <c r="L2399" s="18" t="s">
        <v>1480</v>
      </c>
      <c r="N2399" s="433"/>
      <c r="P2399" s="433"/>
    </row>
    <row r="2400" spans="1:16" x14ac:dyDescent="0.25">
      <c r="A2400" s="862">
        <v>3118</v>
      </c>
      <c r="B2400" s="863" t="s">
        <v>10390</v>
      </c>
      <c r="C2400" s="862">
        <v>3118</v>
      </c>
      <c r="D2400" s="165" t="s">
        <v>2172</v>
      </c>
      <c r="E2400" s="165" t="s">
        <v>10391</v>
      </c>
      <c r="F2400" s="163">
        <v>1</v>
      </c>
      <c r="G2400" s="864"/>
      <c r="H2400" s="864">
        <v>18805.940268971564</v>
      </c>
      <c r="I2400" s="864">
        <v>19510.543007664557</v>
      </c>
      <c r="J2400" s="864">
        <v>20252.211800416306</v>
      </c>
      <c r="K2400" s="864">
        <v>21032.963374370727</v>
      </c>
      <c r="L2400" s="18" t="s">
        <v>1481</v>
      </c>
      <c r="N2400" s="433"/>
      <c r="P2400" s="433"/>
    </row>
    <row r="2401" spans="1:16" x14ac:dyDescent="0.25">
      <c r="A2401" s="862">
        <v>3119</v>
      </c>
      <c r="B2401" s="863" t="s">
        <v>10392</v>
      </c>
      <c r="C2401" s="862">
        <v>3119</v>
      </c>
      <c r="D2401" s="165" t="s">
        <v>2172</v>
      </c>
      <c r="E2401" s="165" t="s">
        <v>10393</v>
      </c>
      <c r="F2401" s="163">
        <v>1</v>
      </c>
      <c r="G2401" s="864"/>
      <c r="H2401" s="864">
        <v>17216.413721132412</v>
      </c>
      <c r="I2401" s="864">
        <v>17853.282244716145</v>
      </c>
      <c r="J2401" s="864">
        <v>18523.531079647357</v>
      </c>
      <c r="K2401" s="864">
        <v>19229.176953069957</v>
      </c>
      <c r="L2401" s="18" t="s">
        <v>1482</v>
      </c>
      <c r="N2401" s="433"/>
      <c r="P2401" s="433"/>
    </row>
    <row r="2402" spans="1:16" x14ac:dyDescent="0.25">
      <c r="A2402" s="862">
        <v>3120</v>
      </c>
      <c r="B2402" s="863" t="s">
        <v>10394</v>
      </c>
      <c r="C2402" s="862">
        <v>3120</v>
      </c>
      <c r="D2402" s="165" t="s">
        <v>2172</v>
      </c>
      <c r="E2402" s="165" t="s">
        <v>10395</v>
      </c>
      <c r="F2402" s="163">
        <v>1</v>
      </c>
      <c r="G2402" s="864"/>
      <c r="H2402" s="864">
        <v>20266.781125340098</v>
      </c>
      <c r="I2402" s="864">
        <v>0</v>
      </c>
      <c r="J2402" s="864">
        <v>0</v>
      </c>
      <c r="K2402" s="864">
        <v>0</v>
      </c>
      <c r="L2402" s="18" t="s">
        <v>3146</v>
      </c>
      <c r="N2402" s="433"/>
      <c r="P2402" s="433"/>
    </row>
    <row r="2403" spans="1:16" x14ac:dyDescent="0.25">
      <c r="A2403" s="862">
        <v>3121</v>
      </c>
      <c r="B2403" s="863" t="s">
        <v>10396</v>
      </c>
      <c r="C2403" s="862">
        <v>3121</v>
      </c>
      <c r="D2403" s="165" t="s">
        <v>2172</v>
      </c>
      <c r="E2403" s="165" t="s">
        <v>10397</v>
      </c>
      <c r="F2403" s="163">
        <v>1</v>
      </c>
      <c r="G2403" s="864"/>
      <c r="H2403" s="864">
        <v>18737.254628307994</v>
      </c>
      <c r="I2403" s="864">
        <v>0</v>
      </c>
      <c r="J2403" s="864">
        <v>0</v>
      </c>
      <c r="K2403" s="864">
        <v>0</v>
      </c>
      <c r="L2403" s="18" t="s">
        <v>3147</v>
      </c>
      <c r="N2403" s="433"/>
      <c r="P2403" s="433"/>
    </row>
    <row r="2404" spans="1:16" x14ac:dyDescent="0.25">
      <c r="A2404" s="862">
        <v>3122</v>
      </c>
      <c r="B2404" s="863" t="s">
        <v>10398</v>
      </c>
      <c r="C2404" s="862">
        <v>3122</v>
      </c>
      <c r="D2404" s="165" t="s">
        <v>2172</v>
      </c>
      <c r="E2404" s="165" t="s">
        <v>10399</v>
      </c>
      <c r="F2404" s="163">
        <v>1</v>
      </c>
      <c r="G2404" s="864"/>
      <c r="H2404" s="864">
        <v>19416.007121436021</v>
      </c>
      <c r="I2404" s="864">
        <v>0</v>
      </c>
      <c r="J2404" s="864">
        <v>0</v>
      </c>
      <c r="K2404" s="864">
        <v>0</v>
      </c>
      <c r="L2404" s="18" t="s">
        <v>3148</v>
      </c>
      <c r="N2404" s="433"/>
      <c r="P2404" s="433"/>
    </row>
    <row r="2405" spans="1:16" x14ac:dyDescent="0.25">
      <c r="A2405" s="862">
        <v>3123</v>
      </c>
      <c r="B2405" s="863" t="s">
        <v>10400</v>
      </c>
      <c r="C2405" s="862">
        <v>3123</v>
      </c>
      <c r="D2405" s="165" t="s">
        <v>2172</v>
      </c>
      <c r="E2405" s="165" t="s">
        <v>10401</v>
      </c>
      <c r="F2405" s="163">
        <v>1</v>
      </c>
      <c r="G2405" s="864"/>
      <c r="H2405" s="864">
        <v>17886.480624403914</v>
      </c>
      <c r="I2405" s="864">
        <v>0</v>
      </c>
      <c r="J2405" s="864">
        <v>0</v>
      </c>
      <c r="K2405" s="864">
        <v>0</v>
      </c>
      <c r="L2405" s="18" t="s">
        <v>3149</v>
      </c>
      <c r="N2405" s="433"/>
      <c r="P2405" s="433"/>
    </row>
    <row r="2406" spans="1:16" x14ac:dyDescent="0.25">
      <c r="A2406" s="862">
        <v>3124</v>
      </c>
      <c r="B2406" s="863" t="s">
        <v>10402</v>
      </c>
      <c r="C2406" s="862">
        <v>3124</v>
      </c>
      <c r="D2406" s="165" t="s">
        <v>2172</v>
      </c>
      <c r="E2406" s="165" t="s">
        <v>10403</v>
      </c>
      <c r="F2406" s="163">
        <v>1</v>
      </c>
      <c r="G2406" s="864"/>
      <c r="H2406" s="864">
        <v>19050.183263670177</v>
      </c>
      <c r="I2406" s="864">
        <v>0</v>
      </c>
      <c r="J2406" s="864">
        <v>0</v>
      </c>
      <c r="K2406" s="864">
        <v>0</v>
      </c>
      <c r="L2406" s="18" t="s">
        <v>3150</v>
      </c>
      <c r="N2406" s="433"/>
      <c r="P2406" s="433"/>
    </row>
    <row r="2407" spans="1:16" x14ac:dyDescent="0.25">
      <c r="A2407" s="862">
        <v>3125</v>
      </c>
      <c r="B2407" s="863" t="s">
        <v>10404</v>
      </c>
      <c r="C2407" s="862">
        <v>3125</v>
      </c>
      <c r="D2407" s="165" t="s">
        <v>2172</v>
      </c>
      <c r="E2407" s="165" t="s">
        <v>10405</v>
      </c>
      <c r="F2407" s="163">
        <v>1</v>
      </c>
      <c r="G2407" s="864"/>
      <c r="H2407" s="864">
        <v>17699.191665583658</v>
      </c>
      <c r="I2407" s="864">
        <v>18349.760025282918</v>
      </c>
      <c r="J2407" s="864">
        <v>19034.612746428651</v>
      </c>
      <c r="K2407" s="864">
        <v>19755.488386903537</v>
      </c>
      <c r="L2407" s="18" t="s">
        <v>3151</v>
      </c>
      <c r="N2407" s="433"/>
      <c r="P2407" s="433"/>
    </row>
    <row r="2408" spans="1:16" x14ac:dyDescent="0.25">
      <c r="A2408" s="862">
        <v>3126</v>
      </c>
      <c r="B2408" s="863" t="s">
        <v>10406</v>
      </c>
      <c r="C2408" s="862">
        <v>3126</v>
      </c>
      <c r="D2408" s="165" t="s">
        <v>2172</v>
      </c>
      <c r="E2408" s="165" t="s">
        <v>10407</v>
      </c>
      <c r="F2408" s="163">
        <v>1</v>
      </c>
      <c r="G2408" s="864"/>
      <c r="H2408" s="864">
        <v>19899.751940423976</v>
      </c>
      <c r="I2408" s="864">
        <v>20643.228833373712</v>
      </c>
      <c r="J2408" s="864">
        <v>21425.788507526118</v>
      </c>
      <c r="K2408" s="864">
        <v>22249.58677465572</v>
      </c>
      <c r="L2408" s="18" t="s">
        <v>3152</v>
      </c>
      <c r="N2408" s="433"/>
      <c r="P2408" s="433"/>
    </row>
    <row r="2409" spans="1:16" x14ac:dyDescent="0.25">
      <c r="A2409" s="862">
        <v>3127</v>
      </c>
      <c r="B2409" s="863" t="s">
        <v>10408</v>
      </c>
      <c r="C2409" s="862">
        <v>3127</v>
      </c>
      <c r="D2409" s="165" t="s">
        <v>2172</v>
      </c>
      <c r="E2409" s="165" t="s">
        <v>10409</v>
      </c>
      <c r="F2409" s="163">
        <v>1</v>
      </c>
      <c r="G2409" s="864"/>
      <c r="H2409" s="864">
        <v>18374.467261891448</v>
      </c>
      <c r="I2409" s="864">
        <v>19053.547970866683</v>
      </c>
      <c r="J2409" s="864">
        <v>19768.373429909836</v>
      </c>
      <c r="K2409" s="864">
        <v>20520.821281534209</v>
      </c>
      <c r="L2409" s="18" t="s">
        <v>3153</v>
      </c>
      <c r="N2409" s="433"/>
      <c r="P2409" s="433"/>
    </row>
    <row r="2410" spans="1:16" x14ac:dyDescent="0.25">
      <c r="A2410" s="862">
        <v>3128</v>
      </c>
      <c r="B2410" s="863" t="s">
        <v>10410</v>
      </c>
      <c r="C2410" s="862">
        <v>3128</v>
      </c>
      <c r="D2410" s="165" t="s">
        <v>2172</v>
      </c>
      <c r="E2410" s="165" t="s">
        <v>10411</v>
      </c>
      <c r="F2410" s="163">
        <v>1</v>
      </c>
      <c r="G2410" s="864"/>
      <c r="H2410" s="864">
        <v>25630.902520111602</v>
      </c>
      <c r="I2410" s="864">
        <v>0</v>
      </c>
      <c r="J2410" s="864">
        <v>0</v>
      </c>
      <c r="K2410" s="864">
        <v>0</v>
      </c>
      <c r="L2410" s="18" t="s">
        <v>1483</v>
      </c>
      <c r="N2410" s="433"/>
      <c r="P2410" s="433"/>
    </row>
    <row r="2411" spans="1:16" x14ac:dyDescent="0.25">
      <c r="A2411" s="862">
        <v>3129</v>
      </c>
      <c r="B2411" s="863" t="s">
        <v>10412</v>
      </c>
      <c r="C2411" s="862">
        <v>3129</v>
      </c>
      <c r="D2411" s="165" t="s">
        <v>2172</v>
      </c>
      <c r="E2411" s="165" t="s">
        <v>10413</v>
      </c>
      <c r="F2411" s="163">
        <v>1</v>
      </c>
      <c r="G2411" s="864"/>
      <c r="H2411" s="864">
        <v>23868.140950070119</v>
      </c>
      <c r="I2411" s="864">
        <v>0</v>
      </c>
      <c r="J2411" s="864">
        <v>0</v>
      </c>
      <c r="K2411" s="864">
        <v>0</v>
      </c>
      <c r="L2411" s="18" t="s">
        <v>1484</v>
      </c>
      <c r="N2411" s="433"/>
      <c r="P2411" s="433"/>
    </row>
    <row r="2412" spans="1:16" x14ac:dyDescent="0.25">
      <c r="A2412" s="862">
        <v>3130</v>
      </c>
      <c r="B2412" s="863" t="s">
        <v>10414</v>
      </c>
      <c r="C2412" s="862">
        <v>3130</v>
      </c>
      <c r="D2412" s="165" t="s">
        <v>2172</v>
      </c>
      <c r="E2412" s="165" t="s">
        <v>10415</v>
      </c>
      <c r="F2412" s="163">
        <v>1</v>
      </c>
      <c r="G2412" s="864"/>
      <c r="H2412" s="864">
        <v>21763.614754962618</v>
      </c>
      <c r="I2412" s="864">
        <v>0</v>
      </c>
      <c r="J2412" s="864">
        <v>0</v>
      </c>
      <c r="K2412" s="864">
        <v>0</v>
      </c>
      <c r="L2412" s="18" t="s">
        <v>1485</v>
      </c>
      <c r="N2412" s="433"/>
      <c r="P2412" s="433"/>
    </row>
    <row r="2413" spans="1:16" x14ac:dyDescent="0.25">
      <c r="A2413" s="862">
        <v>3131</v>
      </c>
      <c r="B2413" s="863" t="s">
        <v>10416</v>
      </c>
      <c r="C2413" s="862">
        <v>3131</v>
      </c>
      <c r="D2413" s="165" t="s">
        <v>2172</v>
      </c>
      <c r="E2413" s="165" t="s">
        <v>10417</v>
      </c>
      <c r="F2413" s="163">
        <v>1</v>
      </c>
      <c r="G2413" s="864"/>
      <c r="H2413" s="864">
        <v>20342.262395813948</v>
      </c>
      <c r="I2413" s="864">
        <v>0</v>
      </c>
      <c r="J2413" s="864">
        <v>0</v>
      </c>
      <c r="K2413" s="864">
        <v>0</v>
      </c>
      <c r="L2413" s="18" t="s">
        <v>1486</v>
      </c>
      <c r="N2413" s="433"/>
      <c r="P2413" s="433"/>
    </row>
    <row r="2414" spans="1:16" x14ac:dyDescent="0.25">
      <c r="A2414" s="862">
        <v>3132</v>
      </c>
      <c r="B2414" s="863" t="s">
        <v>10418</v>
      </c>
      <c r="C2414" s="862">
        <v>3132</v>
      </c>
      <c r="D2414" s="165" t="s">
        <v>2172</v>
      </c>
      <c r="E2414" s="165" t="s">
        <v>10419</v>
      </c>
      <c r="F2414" s="163">
        <v>1</v>
      </c>
      <c r="G2414" s="864"/>
      <c r="H2414" s="864">
        <v>22587.41794034759</v>
      </c>
      <c r="I2414" s="864">
        <v>0</v>
      </c>
      <c r="J2414" s="864">
        <v>0</v>
      </c>
      <c r="K2414" s="864">
        <v>0</v>
      </c>
      <c r="L2414" s="18" t="s">
        <v>1487</v>
      </c>
      <c r="N2414" s="433"/>
      <c r="P2414" s="433"/>
    </row>
    <row r="2415" spans="1:16" x14ac:dyDescent="0.25">
      <c r="A2415" s="862">
        <v>3133</v>
      </c>
      <c r="B2415" s="863" t="s">
        <v>10420</v>
      </c>
      <c r="C2415" s="862">
        <v>3133</v>
      </c>
      <c r="D2415" s="165" t="s">
        <v>2172</v>
      </c>
      <c r="E2415" s="165" t="s">
        <v>10421</v>
      </c>
      <c r="F2415" s="163">
        <v>1</v>
      </c>
      <c r="G2415" s="864"/>
      <c r="H2415" s="864">
        <v>21160.749773793967</v>
      </c>
      <c r="I2415" s="864">
        <v>0</v>
      </c>
      <c r="J2415" s="864">
        <v>0</v>
      </c>
      <c r="K2415" s="864">
        <v>0</v>
      </c>
      <c r="L2415" s="18" t="s">
        <v>1488</v>
      </c>
      <c r="N2415" s="433"/>
      <c r="P2415" s="433"/>
    </row>
    <row r="2416" spans="1:16" x14ac:dyDescent="0.25">
      <c r="A2416" s="862">
        <v>3134</v>
      </c>
      <c r="B2416" s="863" t="s">
        <v>10422</v>
      </c>
      <c r="C2416" s="862">
        <v>3134</v>
      </c>
      <c r="D2416" s="165" t="s">
        <v>2172</v>
      </c>
      <c r="E2416" s="165" t="s">
        <v>10423</v>
      </c>
      <c r="F2416" s="163">
        <v>1</v>
      </c>
      <c r="G2416" s="864"/>
      <c r="H2416" s="864">
        <v>0</v>
      </c>
      <c r="I2416" s="864">
        <v>0</v>
      </c>
      <c r="J2416" s="864">
        <v>0</v>
      </c>
      <c r="K2416" s="864">
        <v>21322.418041588149</v>
      </c>
      <c r="L2416" s="18" t="s">
        <v>11130</v>
      </c>
      <c r="N2416" s="433"/>
      <c r="P2416" s="433"/>
    </row>
    <row r="2417" spans="1:16" x14ac:dyDescent="0.25">
      <c r="A2417" s="862">
        <v>3135</v>
      </c>
      <c r="B2417" s="863" t="s">
        <v>10424</v>
      </c>
      <c r="C2417" s="862">
        <v>3135</v>
      </c>
      <c r="D2417" s="165" t="s">
        <v>2172</v>
      </c>
      <c r="E2417" s="165" t="s">
        <v>10425</v>
      </c>
      <c r="F2417" s="163">
        <v>1</v>
      </c>
      <c r="G2417" s="864"/>
      <c r="H2417" s="864">
        <v>0</v>
      </c>
      <c r="I2417" s="864">
        <v>0</v>
      </c>
      <c r="J2417" s="864">
        <v>0</v>
      </c>
      <c r="K2417" s="864">
        <v>20122.180475270143</v>
      </c>
      <c r="L2417" s="18" t="s">
        <v>11131</v>
      </c>
      <c r="N2417" s="433"/>
      <c r="P2417" s="433"/>
    </row>
    <row r="2418" spans="1:16" x14ac:dyDescent="0.25">
      <c r="A2418" s="862">
        <v>3136</v>
      </c>
      <c r="B2418" s="863" t="s">
        <v>10426</v>
      </c>
      <c r="C2418" s="862">
        <v>3136</v>
      </c>
      <c r="D2418" s="165" t="s">
        <v>2172</v>
      </c>
      <c r="E2418" s="165" t="s">
        <v>10427</v>
      </c>
      <c r="F2418" s="163">
        <v>1</v>
      </c>
      <c r="G2418" s="864"/>
      <c r="H2418" s="864">
        <v>26307.533911725328</v>
      </c>
      <c r="I2418" s="864">
        <v>27115.069475779186</v>
      </c>
      <c r="J2418" s="864">
        <v>27965.109359184939</v>
      </c>
      <c r="K2418" s="864">
        <v>28859.885736263004</v>
      </c>
      <c r="L2418" s="18" t="s">
        <v>3154</v>
      </c>
      <c r="N2418" s="433"/>
      <c r="P2418" s="433"/>
    </row>
    <row r="2419" spans="1:16" x14ac:dyDescent="0.25">
      <c r="A2419" s="862">
        <v>3137</v>
      </c>
      <c r="B2419" s="863" t="s">
        <v>10428</v>
      </c>
      <c r="C2419" s="862">
        <v>3137</v>
      </c>
      <c r="D2419" s="165" t="s">
        <v>2172</v>
      </c>
      <c r="E2419" s="165" t="s">
        <v>10429</v>
      </c>
      <c r="F2419" s="163">
        <v>1</v>
      </c>
      <c r="G2419" s="864"/>
      <c r="H2419" s="864">
        <v>0</v>
      </c>
      <c r="I2419" s="864">
        <v>28669.034831864665</v>
      </c>
      <c r="J2419" s="864">
        <v>30636.23145902314</v>
      </c>
      <c r="K2419" s="864">
        <v>31671.58831465778</v>
      </c>
      <c r="L2419" s="18" t="s">
        <v>4874</v>
      </c>
      <c r="N2419" s="433"/>
      <c r="P2419" s="433"/>
    </row>
    <row r="2420" spans="1:16" x14ac:dyDescent="0.25">
      <c r="A2420" s="862">
        <v>3138</v>
      </c>
      <c r="B2420" s="863" t="s">
        <v>10430</v>
      </c>
      <c r="C2420" s="862">
        <v>3138</v>
      </c>
      <c r="D2420" s="165" t="s">
        <v>2172</v>
      </c>
      <c r="E2420" s="165" t="s">
        <v>10431</v>
      </c>
      <c r="F2420" s="163">
        <v>1</v>
      </c>
      <c r="G2420" s="864"/>
      <c r="H2420" s="864">
        <v>0</v>
      </c>
      <c r="I2420" s="864">
        <v>0</v>
      </c>
      <c r="J2420" s="864">
        <v>26964.657541173678</v>
      </c>
      <c r="K2420" s="864">
        <v>27794.282330273662</v>
      </c>
      <c r="L2420" s="18" t="s">
        <v>4875</v>
      </c>
      <c r="N2420" s="433"/>
      <c r="P2420" s="433"/>
    </row>
    <row r="2421" spans="1:16" x14ac:dyDescent="0.25">
      <c r="A2421" s="862">
        <v>3139</v>
      </c>
      <c r="B2421" s="863" t="s">
        <v>10432</v>
      </c>
      <c r="C2421" s="862">
        <v>3139</v>
      </c>
      <c r="D2421" s="165" t="s">
        <v>2172</v>
      </c>
      <c r="E2421" s="165" t="s">
        <v>10433</v>
      </c>
      <c r="F2421" s="163">
        <v>1</v>
      </c>
      <c r="G2421" s="864"/>
      <c r="H2421" s="864">
        <v>27589.815339176879</v>
      </c>
      <c r="I2421" s="864">
        <v>28440.459769794412</v>
      </c>
      <c r="J2421" s="864">
        <v>29335.88719771594</v>
      </c>
      <c r="K2421" s="864">
        <v>30278.422804525271</v>
      </c>
      <c r="L2421" s="18" t="s">
        <v>3155</v>
      </c>
      <c r="N2421" s="433"/>
      <c r="P2421" s="433"/>
    </row>
    <row r="2422" spans="1:16" x14ac:dyDescent="0.25">
      <c r="A2422" s="862">
        <v>3140</v>
      </c>
      <c r="B2422" s="863" t="s">
        <v>10434</v>
      </c>
      <c r="C2422" s="862">
        <v>3140</v>
      </c>
      <c r="D2422" s="165" t="s">
        <v>2172</v>
      </c>
      <c r="E2422" s="165" t="s">
        <v>10435</v>
      </c>
      <c r="F2422" s="163">
        <v>1</v>
      </c>
      <c r="G2422" s="864"/>
      <c r="H2422" s="864">
        <v>0</v>
      </c>
      <c r="I2422" s="864">
        <v>29994.425125879887</v>
      </c>
      <c r="J2422" s="864">
        <v>32057.419234290952</v>
      </c>
      <c r="K2422" s="864">
        <v>33143.232530294044</v>
      </c>
      <c r="L2422" s="18" t="s">
        <v>4876</v>
      </c>
      <c r="N2422" s="433"/>
      <c r="P2422" s="433"/>
    </row>
    <row r="2423" spans="1:16" x14ac:dyDescent="0.25">
      <c r="A2423" s="862">
        <v>3141</v>
      </c>
      <c r="B2423" s="863" t="s">
        <v>10436</v>
      </c>
      <c r="C2423" s="862">
        <v>3141</v>
      </c>
      <c r="D2423" s="165" t="s">
        <v>2172</v>
      </c>
      <c r="E2423" s="165" t="s">
        <v>10437</v>
      </c>
      <c r="F2423" s="163">
        <v>1</v>
      </c>
      <c r="G2423" s="864"/>
      <c r="H2423" s="864">
        <v>28411.47139948565</v>
      </c>
      <c r="I2423" s="864">
        <v>0</v>
      </c>
      <c r="J2423" s="864">
        <v>0</v>
      </c>
      <c r="K2423" s="864">
        <v>0</v>
      </c>
      <c r="L2423" s="18" t="s">
        <v>3156</v>
      </c>
      <c r="N2423" s="433"/>
      <c r="P2423" s="433"/>
    </row>
    <row r="2424" spans="1:16" x14ac:dyDescent="0.25">
      <c r="A2424" s="862">
        <v>3142</v>
      </c>
      <c r="B2424" s="863" t="s">
        <v>10438</v>
      </c>
      <c r="C2424" s="862">
        <v>3142</v>
      </c>
      <c r="D2424" s="165" t="s">
        <v>2172</v>
      </c>
      <c r="E2424" s="165" t="s">
        <v>10439</v>
      </c>
      <c r="F2424" s="163">
        <v>1</v>
      </c>
      <c r="G2424" s="864"/>
      <c r="H2424" s="864">
        <v>29693.752826937212</v>
      </c>
      <c r="I2424" s="864">
        <v>0</v>
      </c>
      <c r="J2424" s="864">
        <v>0</v>
      </c>
      <c r="K2424" s="864">
        <v>0</v>
      </c>
      <c r="L2424" s="18" t="s">
        <v>3157</v>
      </c>
      <c r="N2424" s="433"/>
      <c r="P2424" s="433"/>
    </row>
    <row r="2425" spans="1:16" x14ac:dyDescent="0.25">
      <c r="A2425" s="862">
        <v>3143</v>
      </c>
      <c r="B2425" s="863" t="s">
        <v>10440</v>
      </c>
      <c r="C2425" s="862">
        <v>3143</v>
      </c>
      <c r="D2425" s="165" t="s">
        <v>2172</v>
      </c>
      <c r="E2425" s="165" t="s">
        <v>10441</v>
      </c>
      <c r="F2425" s="163">
        <v>1</v>
      </c>
      <c r="G2425" s="864"/>
      <c r="H2425" s="864">
        <v>22044.830293795072</v>
      </c>
      <c r="I2425" s="864">
        <v>22709.088168655166</v>
      </c>
      <c r="J2425" s="864">
        <v>23408.27027090394</v>
      </c>
      <c r="K2425" s="864">
        <v>24144.283249440123</v>
      </c>
      <c r="L2425" s="18" t="s">
        <v>3158</v>
      </c>
      <c r="N2425" s="433"/>
      <c r="P2425" s="433"/>
    </row>
    <row r="2426" spans="1:16" x14ac:dyDescent="0.25">
      <c r="A2426" s="862">
        <v>3144</v>
      </c>
      <c r="B2426" s="863" t="s">
        <v>10442</v>
      </c>
      <c r="C2426" s="862">
        <v>3144</v>
      </c>
      <c r="D2426" s="165" t="s">
        <v>2172</v>
      </c>
      <c r="E2426" s="165" t="s">
        <v>10443</v>
      </c>
      <c r="F2426" s="163">
        <v>1</v>
      </c>
      <c r="G2426" s="864"/>
      <c r="H2426" s="864">
        <v>0</v>
      </c>
      <c r="I2426" s="864">
        <v>20909.519306307979</v>
      </c>
      <c r="J2426" s="864">
        <v>22234.686794547495</v>
      </c>
      <c r="K2426" s="864">
        <v>22932.148262424256</v>
      </c>
      <c r="L2426" s="18" t="s">
        <v>4877</v>
      </c>
      <c r="N2426" s="433"/>
      <c r="P2426" s="433"/>
    </row>
    <row r="2427" spans="1:16" x14ac:dyDescent="0.25">
      <c r="A2427" s="862">
        <v>3145</v>
      </c>
      <c r="B2427" s="863" t="s">
        <v>10444</v>
      </c>
      <c r="C2427" s="862">
        <v>3145</v>
      </c>
      <c r="D2427" s="165" t="s">
        <v>2172</v>
      </c>
      <c r="E2427" s="165" t="s">
        <v>10445</v>
      </c>
      <c r="F2427" s="163">
        <v>1</v>
      </c>
      <c r="G2427" s="864"/>
      <c r="H2427" s="864">
        <v>22461.674257682207</v>
      </c>
      <c r="I2427" s="864">
        <v>23152.392698965952</v>
      </c>
      <c r="J2427" s="864">
        <v>23879.476980220337</v>
      </c>
      <c r="K2427" s="864">
        <v>24644.833750344071</v>
      </c>
      <c r="L2427" s="18" t="s">
        <v>1489</v>
      </c>
      <c r="N2427" s="433"/>
      <c r="P2427" s="433"/>
    </row>
    <row r="2428" spans="1:16" x14ac:dyDescent="0.25">
      <c r="A2428" s="862">
        <v>3146</v>
      </c>
      <c r="B2428" s="863" t="s">
        <v>10446</v>
      </c>
      <c r="C2428" s="862">
        <v>3146</v>
      </c>
      <c r="D2428" s="165" t="s">
        <v>2172</v>
      </c>
      <c r="E2428" s="165" t="s">
        <v>10447</v>
      </c>
      <c r="F2428" s="163">
        <v>1</v>
      </c>
      <c r="G2428" s="864"/>
      <c r="H2428" s="864">
        <v>21540.054292637669</v>
      </c>
      <c r="I2428" s="864">
        <v>22199.196768013397</v>
      </c>
      <c r="J2428" s="864">
        <v>22893.077456251111</v>
      </c>
      <c r="K2428" s="864">
        <v>23623.463495354499</v>
      </c>
      <c r="L2428" s="18" t="s">
        <v>1490</v>
      </c>
      <c r="N2428" s="433"/>
      <c r="P2428" s="433"/>
    </row>
    <row r="2429" spans="1:16" x14ac:dyDescent="0.25">
      <c r="A2429" s="862">
        <v>3147</v>
      </c>
      <c r="B2429" s="863" t="s">
        <v>10448</v>
      </c>
      <c r="C2429" s="862">
        <v>3147</v>
      </c>
      <c r="D2429" s="165" t="s">
        <v>2172</v>
      </c>
      <c r="E2429" s="165" t="s">
        <v>10449</v>
      </c>
      <c r="F2429" s="163">
        <v>1</v>
      </c>
      <c r="G2429" s="864"/>
      <c r="H2429" s="864">
        <v>0</v>
      </c>
      <c r="I2429" s="864">
        <v>19959.028673821274</v>
      </c>
      <c r="J2429" s="864">
        <v>20553.159072113947</v>
      </c>
      <c r="K2429" s="864">
        <v>21178.539910892898</v>
      </c>
      <c r="L2429" s="18" t="s">
        <v>4140</v>
      </c>
      <c r="N2429" s="433"/>
      <c r="P2429" s="433"/>
    </row>
    <row r="2430" spans="1:16" x14ac:dyDescent="0.25">
      <c r="A2430" s="862">
        <v>3148</v>
      </c>
      <c r="B2430" s="863" t="s">
        <v>10450</v>
      </c>
      <c r="C2430" s="862">
        <v>3148</v>
      </c>
      <c r="D2430" s="165" t="s">
        <v>2172</v>
      </c>
      <c r="E2430" s="165" t="s">
        <v>10451</v>
      </c>
      <c r="F2430" s="163">
        <v>1</v>
      </c>
      <c r="G2430" s="864"/>
      <c r="H2430" s="864">
        <v>24629.114261287406</v>
      </c>
      <c r="I2430" s="864">
        <v>25393.959491462705</v>
      </c>
      <c r="J2430" s="864">
        <v>26199.216377564455</v>
      </c>
      <c r="K2430" s="864">
        <v>27046.791568491375</v>
      </c>
      <c r="L2430" s="18" t="s">
        <v>1491</v>
      </c>
      <c r="N2430" s="433"/>
      <c r="P2430" s="433"/>
    </row>
    <row r="2431" spans="1:16" x14ac:dyDescent="0.25">
      <c r="A2431" s="862">
        <v>3149</v>
      </c>
      <c r="B2431" s="863" t="s">
        <v>10452</v>
      </c>
      <c r="C2431" s="862">
        <v>3149</v>
      </c>
      <c r="D2431" s="165" t="s">
        <v>2172</v>
      </c>
      <c r="E2431" s="165" t="s">
        <v>10453</v>
      </c>
      <c r="F2431" s="163">
        <v>1</v>
      </c>
      <c r="G2431" s="864"/>
      <c r="H2431" s="864">
        <v>21891.296394595247</v>
      </c>
      <c r="I2431" s="864">
        <v>22550.345862707625</v>
      </c>
      <c r="J2431" s="864">
        <v>23244.133543681994</v>
      </c>
      <c r="K2431" s="864">
        <v>23974.426575522015</v>
      </c>
      <c r="L2431" s="18" t="s">
        <v>3159</v>
      </c>
      <c r="N2431" s="433"/>
      <c r="P2431" s="433"/>
    </row>
    <row r="2432" spans="1:16" x14ac:dyDescent="0.25">
      <c r="A2432" s="862">
        <v>3150</v>
      </c>
      <c r="B2432" s="863" t="s">
        <v>10454</v>
      </c>
      <c r="C2432" s="862">
        <v>3150</v>
      </c>
      <c r="D2432" s="165" t="s">
        <v>2172</v>
      </c>
      <c r="E2432" s="165" t="s">
        <v>10455</v>
      </c>
      <c r="F2432" s="163">
        <v>1</v>
      </c>
      <c r="G2432" s="864"/>
      <c r="H2432" s="864">
        <v>0</v>
      </c>
      <c r="I2432" s="864">
        <v>20823.859616760772</v>
      </c>
      <c r="J2432" s="864">
        <v>21447.054784850949</v>
      </c>
      <c r="K2432" s="864">
        <v>22103.035013272714</v>
      </c>
      <c r="L2432" s="18" t="s">
        <v>4141</v>
      </c>
      <c r="N2432" s="433"/>
      <c r="P2432" s="433"/>
    </row>
    <row r="2433" spans="1:16" x14ac:dyDescent="0.25">
      <c r="A2433" s="862">
        <v>3151</v>
      </c>
      <c r="B2433" s="863" t="s">
        <v>10456</v>
      </c>
      <c r="C2433" s="862">
        <v>3151</v>
      </c>
      <c r="D2433" s="165" t="s">
        <v>2172</v>
      </c>
      <c r="E2433" s="165" t="s">
        <v>10457</v>
      </c>
      <c r="F2433" s="163">
        <v>1</v>
      </c>
      <c r="G2433" s="864"/>
      <c r="H2433" s="864">
        <v>0</v>
      </c>
      <c r="I2433" s="864">
        <v>24104.311218793107</v>
      </c>
      <c r="J2433" s="864">
        <v>25741.611082841984</v>
      </c>
      <c r="K2433" s="864">
        <v>26603.32337779841</v>
      </c>
      <c r="L2433" s="18" t="s">
        <v>4878</v>
      </c>
      <c r="N2433" s="433"/>
      <c r="P2433" s="433"/>
    </row>
    <row r="2434" spans="1:16" x14ac:dyDescent="0.25">
      <c r="A2434" s="862">
        <v>3152</v>
      </c>
      <c r="B2434" s="863" t="s">
        <v>10458</v>
      </c>
      <c r="C2434" s="862">
        <v>3152</v>
      </c>
      <c r="D2434" s="165" t="s">
        <v>2172</v>
      </c>
      <c r="E2434" s="165" t="s">
        <v>10459</v>
      </c>
      <c r="F2434" s="163">
        <v>1</v>
      </c>
      <c r="G2434" s="864"/>
      <c r="H2434" s="864">
        <v>0</v>
      </c>
      <c r="I2434" s="864">
        <v>22377.824972846247</v>
      </c>
      <c r="J2434" s="864">
        <v>23866.127201005198</v>
      </c>
      <c r="K2434" s="864">
        <v>24649.434372955875</v>
      </c>
      <c r="L2434" s="18" t="s">
        <v>4879</v>
      </c>
      <c r="N2434" s="433"/>
      <c r="P2434" s="433"/>
    </row>
    <row r="2435" spans="1:16" x14ac:dyDescent="0.25">
      <c r="A2435" s="862">
        <v>3153</v>
      </c>
      <c r="B2435" s="863" t="s">
        <v>10460</v>
      </c>
      <c r="C2435" s="862">
        <v>3153</v>
      </c>
      <c r="D2435" s="165" t="s">
        <v>2172</v>
      </c>
      <c r="E2435" s="165" t="s">
        <v>10461</v>
      </c>
      <c r="F2435" s="163">
        <v>1</v>
      </c>
      <c r="G2435" s="864"/>
      <c r="H2435" s="864">
        <v>0</v>
      </c>
      <c r="I2435" s="864">
        <v>0</v>
      </c>
      <c r="J2435" s="864">
        <v>0</v>
      </c>
      <c r="K2435" s="864">
        <v>21944.884753943279</v>
      </c>
      <c r="L2435" s="18" t="s">
        <v>11132</v>
      </c>
      <c r="N2435" s="433"/>
      <c r="P2435" s="433"/>
    </row>
    <row r="2436" spans="1:16" x14ac:dyDescent="0.25">
      <c r="A2436" s="862">
        <v>3154</v>
      </c>
      <c r="B2436" s="863" t="s">
        <v>10462</v>
      </c>
      <c r="C2436" s="862">
        <v>3154</v>
      </c>
      <c r="D2436" s="165" t="s">
        <v>2172</v>
      </c>
      <c r="E2436" s="165" t="s">
        <v>10463</v>
      </c>
      <c r="F2436" s="163">
        <v>1</v>
      </c>
      <c r="G2436" s="864"/>
      <c r="H2436" s="864">
        <v>0</v>
      </c>
      <c r="I2436" s="864">
        <v>0</v>
      </c>
      <c r="J2436" s="864">
        <v>0</v>
      </c>
      <c r="K2436" s="864">
        <v>20744.647187625276</v>
      </c>
      <c r="L2436" s="18" t="s">
        <v>11133</v>
      </c>
      <c r="N2436" s="433"/>
      <c r="P2436" s="433"/>
    </row>
    <row r="2437" spans="1:16" x14ac:dyDescent="0.25">
      <c r="A2437" s="862">
        <v>3155</v>
      </c>
      <c r="B2437" s="863" t="s">
        <v>10464</v>
      </c>
      <c r="C2437" s="862">
        <v>3155</v>
      </c>
      <c r="D2437" s="165" t="s">
        <v>2172</v>
      </c>
      <c r="E2437" s="165" t="s">
        <v>10465</v>
      </c>
      <c r="F2437" s="163">
        <v>1</v>
      </c>
      <c r="G2437" s="864"/>
      <c r="H2437" s="864">
        <v>0</v>
      </c>
      <c r="I2437" s="864">
        <v>0</v>
      </c>
      <c r="J2437" s="864">
        <v>0</v>
      </c>
      <c r="K2437" s="864">
        <v>23155.886662853562</v>
      </c>
      <c r="L2437" s="18" t="s">
        <v>11134</v>
      </c>
      <c r="N2437" s="433"/>
      <c r="P2437" s="433"/>
    </row>
    <row r="2438" spans="1:16" x14ac:dyDescent="0.25">
      <c r="A2438" s="862">
        <v>3156</v>
      </c>
      <c r="B2438" s="863" t="s">
        <v>10466</v>
      </c>
      <c r="C2438" s="862">
        <v>3156</v>
      </c>
      <c r="D2438" s="165" t="s">
        <v>2172</v>
      </c>
      <c r="E2438" s="165" t="s">
        <v>10467</v>
      </c>
      <c r="F2438" s="163">
        <v>1</v>
      </c>
      <c r="G2438" s="864"/>
      <c r="H2438" s="864">
        <v>0</v>
      </c>
      <c r="I2438" s="864">
        <v>0</v>
      </c>
      <c r="J2438" s="864">
        <v>0</v>
      </c>
      <c r="K2438" s="864">
        <v>21956.8192064221</v>
      </c>
      <c r="L2438" s="18" t="s">
        <v>11135</v>
      </c>
      <c r="N2438" s="433"/>
      <c r="P2438" s="433"/>
    </row>
    <row r="2439" spans="1:16" x14ac:dyDescent="0.25">
      <c r="A2439" s="862">
        <v>3157</v>
      </c>
      <c r="B2439" s="863" t="s">
        <v>10468</v>
      </c>
      <c r="C2439" s="862">
        <v>3157</v>
      </c>
      <c r="D2439" s="165" t="s">
        <v>2172</v>
      </c>
      <c r="E2439" s="165" t="s">
        <v>10469</v>
      </c>
      <c r="F2439" s="163">
        <v>1</v>
      </c>
      <c r="G2439" s="864"/>
      <c r="H2439" s="864">
        <v>19399.562167210694</v>
      </c>
      <c r="I2439" s="864">
        <v>19986.019466276823</v>
      </c>
      <c r="J2439" s="864">
        <v>20603.355176775833</v>
      </c>
      <c r="K2439" s="864">
        <v>21253.150422184692</v>
      </c>
      <c r="L2439" s="18" t="s">
        <v>1492</v>
      </c>
      <c r="N2439" s="433"/>
      <c r="P2439" s="433"/>
    </row>
    <row r="2440" spans="1:16" x14ac:dyDescent="0.25">
      <c r="A2440" s="862">
        <v>3158</v>
      </c>
      <c r="B2440" s="863" t="s">
        <v>10470</v>
      </c>
      <c r="C2440" s="862">
        <v>3158</v>
      </c>
      <c r="D2440" s="165" t="s">
        <v>2172</v>
      </c>
      <c r="E2440" s="165" t="s">
        <v>10471</v>
      </c>
      <c r="F2440" s="163">
        <v>1</v>
      </c>
      <c r="G2440" s="864"/>
      <c r="H2440" s="864">
        <v>20783.310366913105</v>
      </c>
      <c r="I2440" s="864">
        <v>21417.201370288767</v>
      </c>
      <c r="J2440" s="864">
        <v>22084.435477576128</v>
      </c>
      <c r="K2440" s="864">
        <v>22786.779826778875</v>
      </c>
      <c r="L2440" s="18" t="s">
        <v>1493</v>
      </c>
      <c r="N2440" s="433"/>
      <c r="P2440" s="433"/>
    </row>
    <row r="2441" spans="1:16" x14ac:dyDescent="0.25">
      <c r="A2441" s="862">
        <v>3159</v>
      </c>
      <c r="B2441" s="863" t="s">
        <v>10472</v>
      </c>
      <c r="C2441" s="862">
        <v>3159</v>
      </c>
      <c r="D2441" s="165" t="s">
        <v>2172</v>
      </c>
      <c r="E2441" s="165" t="s">
        <v>10473</v>
      </c>
      <c r="F2441" s="163">
        <v>1</v>
      </c>
      <c r="G2441" s="864"/>
      <c r="H2441" s="864">
        <v>20601.103209154262</v>
      </c>
      <c r="I2441" s="864">
        <v>21228.716222253661</v>
      </c>
      <c r="J2441" s="864">
        <v>21889.393317474707</v>
      </c>
      <c r="K2441" s="864">
        <v>22584.855129189393</v>
      </c>
      <c r="L2441" s="18" t="s">
        <v>1494</v>
      </c>
      <c r="N2441" s="433"/>
      <c r="P2441" s="433"/>
    </row>
    <row r="2442" spans="1:16" x14ac:dyDescent="0.25">
      <c r="A2442" s="862">
        <v>3160</v>
      </c>
      <c r="B2442" s="863" t="s">
        <v>10474</v>
      </c>
      <c r="C2442" s="862">
        <v>3160</v>
      </c>
      <c r="D2442" s="165" t="s">
        <v>2172</v>
      </c>
      <c r="E2442" s="165" t="s">
        <v>10475</v>
      </c>
      <c r="F2442" s="163">
        <v>1</v>
      </c>
      <c r="G2442" s="864"/>
      <c r="H2442" s="864">
        <v>19221.730251299774</v>
      </c>
      <c r="I2442" s="864">
        <v>19802.095574616356</v>
      </c>
      <c r="J2442" s="864">
        <v>20413.013783944072</v>
      </c>
      <c r="K2442" s="864">
        <v>21056.066002759908</v>
      </c>
      <c r="L2442" s="18" t="s">
        <v>1495</v>
      </c>
      <c r="N2442" s="433"/>
      <c r="P2442" s="433"/>
    </row>
    <row r="2443" spans="1:16" x14ac:dyDescent="0.25">
      <c r="A2443" s="862">
        <v>3161</v>
      </c>
      <c r="B2443" s="863" t="s">
        <v>10476</v>
      </c>
      <c r="C2443" s="862">
        <v>3161</v>
      </c>
      <c r="D2443" s="165" t="s">
        <v>2172</v>
      </c>
      <c r="E2443" s="165" t="s">
        <v>10477</v>
      </c>
      <c r="F2443" s="163">
        <v>1</v>
      </c>
      <c r="G2443" s="864"/>
      <c r="H2443" s="864">
        <v>19738.731961088983</v>
      </c>
      <c r="I2443" s="864">
        <v>20336.815168074118</v>
      </c>
      <c r="J2443" s="864">
        <v>20966.381333703903</v>
      </c>
      <c r="K2443" s="864">
        <v>21629.058085087025</v>
      </c>
      <c r="L2443" s="18" t="s">
        <v>1496</v>
      </c>
      <c r="N2443" s="433"/>
      <c r="P2443" s="433"/>
    </row>
    <row r="2444" spans="1:16" x14ac:dyDescent="0.25">
      <c r="A2444" s="862">
        <v>3162</v>
      </c>
      <c r="B2444" s="863" t="s">
        <v>10478</v>
      </c>
      <c r="C2444" s="862">
        <v>3162</v>
      </c>
      <c r="D2444" s="165" t="s">
        <v>2172</v>
      </c>
      <c r="E2444" s="165" t="s">
        <v>10479</v>
      </c>
      <c r="F2444" s="163">
        <v>1</v>
      </c>
      <c r="G2444" s="864"/>
      <c r="H2444" s="864">
        <v>18578.601446941753</v>
      </c>
      <c r="I2444" s="864">
        <v>19136.924048843906</v>
      </c>
      <c r="J2444" s="864">
        <v>19724.636945965289</v>
      </c>
      <c r="K2444" s="864">
        <v>20343.274758151219</v>
      </c>
      <c r="L2444" s="18" t="s">
        <v>1497</v>
      </c>
      <c r="N2444" s="433"/>
      <c r="P2444" s="433"/>
    </row>
    <row r="2445" spans="1:16" x14ac:dyDescent="0.25">
      <c r="A2445" s="862">
        <v>3163</v>
      </c>
      <c r="B2445" s="863" t="s">
        <v>10480</v>
      </c>
      <c r="C2445" s="862">
        <v>3163</v>
      </c>
      <c r="D2445" s="165" t="s">
        <v>2172</v>
      </c>
      <c r="E2445" s="165" t="s">
        <v>10481</v>
      </c>
      <c r="F2445" s="163">
        <v>1</v>
      </c>
      <c r="G2445" s="864"/>
      <c r="H2445" s="864">
        <v>19560.900045178063</v>
      </c>
      <c r="I2445" s="864">
        <v>20152.891276413644</v>
      </c>
      <c r="J2445" s="864">
        <v>20776.03994087215</v>
      </c>
      <c r="K2445" s="864">
        <v>21431.973665662241</v>
      </c>
      <c r="L2445" s="18" t="s">
        <v>1498</v>
      </c>
      <c r="N2445" s="433"/>
      <c r="P2445" s="433"/>
    </row>
    <row r="2446" spans="1:16" x14ac:dyDescent="0.25">
      <c r="A2446" s="862">
        <v>3164</v>
      </c>
      <c r="B2446" s="863" t="s">
        <v>10482</v>
      </c>
      <c r="C2446" s="862">
        <v>3164</v>
      </c>
      <c r="D2446" s="165" t="s">
        <v>2172</v>
      </c>
      <c r="E2446" s="165" t="s">
        <v>10483</v>
      </c>
      <c r="F2446" s="163">
        <v>1</v>
      </c>
      <c r="G2446" s="864"/>
      <c r="H2446" s="864">
        <v>18400.769531030837</v>
      </c>
      <c r="I2446" s="864">
        <v>18953.000157183433</v>
      </c>
      <c r="J2446" s="864">
        <v>19534.295553133528</v>
      </c>
      <c r="K2446" s="864">
        <v>20146.190338726439</v>
      </c>
      <c r="L2446" s="18" t="s">
        <v>1499</v>
      </c>
      <c r="N2446" s="433"/>
      <c r="P2446" s="433"/>
    </row>
    <row r="2447" spans="1:16" x14ac:dyDescent="0.25">
      <c r="A2447" s="862">
        <v>3165</v>
      </c>
      <c r="B2447" s="863" t="s">
        <v>10484</v>
      </c>
      <c r="C2447" s="862">
        <v>3165</v>
      </c>
      <c r="D2447" s="165" t="s">
        <v>2172</v>
      </c>
      <c r="E2447" s="165" t="s">
        <v>10485</v>
      </c>
      <c r="F2447" s="163">
        <v>1</v>
      </c>
      <c r="G2447" s="864"/>
      <c r="H2447" s="864">
        <v>25117.861225035784</v>
      </c>
      <c r="I2447" s="864">
        <v>25900.284827984618</v>
      </c>
      <c r="J2447" s="864">
        <v>26723.910648598383</v>
      </c>
      <c r="K2447" s="864">
        <v>27590.877853934198</v>
      </c>
      <c r="L2447" s="18" t="s">
        <v>1500</v>
      </c>
      <c r="N2447" s="433"/>
      <c r="P2447" s="433"/>
    </row>
    <row r="2448" spans="1:16" x14ac:dyDescent="0.25">
      <c r="A2448" s="862">
        <v>3166</v>
      </c>
      <c r="B2448" s="863" t="s">
        <v>10486</v>
      </c>
      <c r="C2448" s="862">
        <v>3166</v>
      </c>
      <c r="D2448" s="165" t="s">
        <v>2172</v>
      </c>
      <c r="E2448" s="165" t="s">
        <v>10487</v>
      </c>
      <c r="F2448" s="163">
        <v>1</v>
      </c>
      <c r="G2448" s="864"/>
      <c r="H2448" s="864">
        <v>0</v>
      </c>
      <c r="I2448" s="864">
        <v>27454.250184070086</v>
      </c>
      <c r="J2448" s="864">
        <v>29365.642453217355</v>
      </c>
      <c r="K2448" s="864">
        <v>30371.655517264426</v>
      </c>
      <c r="L2448" s="18" t="s">
        <v>4880</v>
      </c>
      <c r="N2448" s="433"/>
      <c r="P2448" s="433"/>
    </row>
    <row r="2449" spans="1:16" x14ac:dyDescent="0.25">
      <c r="A2449" s="862">
        <v>3167</v>
      </c>
      <c r="B2449" s="863" t="s">
        <v>10488</v>
      </c>
      <c r="C2449" s="862">
        <v>3167</v>
      </c>
      <c r="D2449" s="165" t="s">
        <v>2172</v>
      </c>
      <c r="E2449" s="165" t="s">
        <v>10489</v>
      </c>
      <c r="F2449" s="163">
        <v>1</v>
      </c>
      <c r="G2449" s="864"/>
      <c r="H2449" s="864">
        <v>0</v>
      </c>
      <c r="I2449" s="864">
        <v>25985.944517531818</v>
      </c>
      <c r="J2449" s="864">
        <v>27734.202046759659</v>
      </c>
      <c r="K2449" s="864">
        <v>28654.32290310114</v>
      </c>
      <c r="L2449" s="18" t="s">
        <v>4881</v>
      </c>
      <c r="N2449" s="433"/>
      <c r="P2449" s="433"/>
    </row>
    <row r="2450" spans="1:16" x14ac:dyDescent="0.25">
      <c r="A2450" s="862">
        <v>3168</v>
      </c>
      <c r="B2450" s="863" t="s">
        <v>10490</v>
      </c>
      <c r="C2450" s="862">
        <v>3168</v>
      </c>
      <c r="D2450" s="165" t="s">
        <v>2172</v>
      </c>
      <c r="E2450" s="165" t="s">
        <v>10491</v>
      </c>
      <c r="F2450" s="163">
        <v>1</v>
      </c>
      <c r="G2450" s="864"/>
      <c r="H2450" s="864">
        <v>0</v>
      </c>
      <c r="I2450" s="864">
        <v>27539.909873617293</v>
      </c>
      <c r="J2450" s="864">
        <v>29460.835387258143</v>
      </c>
      <c r="K2450" s="864">
        <v>30471.824339894549</v>
      </c>
      <c r="L2450" s="18" t="s">
        <v>4882</v>
      </c>
      <c r="N2450" s="433"/>
      <c r="P2450" s="433"/>
    </row>
    <row r="2451" spans="1:16" x14ac:dyDescent="0.25">
      <c r="A2451" s="862">
        <v>3169</v>
      </c>
      <c r="B2451" s="863" t="s">
        <v>10492</v>
      </c>
      <c r="C2451" s="862">
        <v>3169</v>
      </c>
      <c r="D2451" s="165" t="s">
        <v>2172</v>
      </c>
      <c r="E2451" s="165" t="s">
        <v>10493</v>
      </c>
      <c r="F2451" s="163">
        <v>1</v>
      </c>
      <c r="G2451" s="864"/>
      <c r="H2451" s="864">
        <v>27448.18235780768</v>
      </c>
      <c r="I2451" s="864">
        <v>0</v>
      </c>
      <c r="J2451" s="864">
        <v>0</v>
      </c>
      <c r="K2451" s="864">
        <v>0</v>
      </c>
      <c r="L2451" s="18" t="s">
        <v>1501</v>
      </c>
      <c r="N2451" s="433"/>
      <c r="P2451" s="433"/>
    </row>
    <row r="2452" spans="1:16" x14ac:dyDescent="0.25">
      <c r="A2452" s="862">
        <v>3170</v>
      </c>
      <c r="B2452" s="863" t="s">
        <v>10494</v>
      </c>
      <c r="C2452" s="862">
        <v>3170</v>
      </c>
      <c r="D2452" s="165" t="s">
        <v>2172</v>
      </c>
      <c r="E2452" s="165" t="s">
        <v>10495</v>
      </c>
      <c r="F2452" s="163">
        <v>1</v>
      </c>
      <c r="G2452" s="864"/>
      <c r="H2452" s="864">
        <v>0</v>
      </c>
      <c r="I2452" s="864">
        <v>0</v>
      </c>
      <c r="J2452" s="864">
        <v>0</v>
      </c>
      <c r="K2452" s="864">
        <v>20588.562549127364</v>
      </c>
      <c r="L2452" s="18" t="s">
        <v>11136</v>
      </c>
      <c r="N2452" s="433"/>
      <c r="P2452" s="433"/>
    </row>
    <row r="2453" spans="1:16" x14ac:dyDescent="0.25">
      <c r="A2453" s="862">
        <v>3171</v>
      </c>
      <c r="B2453" s="863" t="s">
        <v>10496</v>
      </c>
      <c r="C2453" s="862">
        <v>3171</v>
      </c>
      <c r="D2453" s="165" t="s">
        <v>2172</v>
      </c>
      <c r="E2453" s="165" t="s">
        <v>10497</v>
      </c>
      <c r="F2453" s="163">
        <v>1</v>
      </c>
      <c r="G2453" s="864"/>
      <c r="H2453" s="864">
        <v>0</v>
      </c>
      <c r="I2453" s="864">
        <v>0</v>
      </c>
      <c r="J2453" s="864">
        <v>0</v>
      </c>
      <c r="K2453" s="864">
        <v>19388.324982809358</v>
      </c>
      <c r="L2453" s="18" t="s">
        <v>11137</v>
      </c>
      <c r="N2453" s="433"/>
      <c r="P2453" s="433"/>
    </row>
    <row r="2454" spans="1:16" x14ac:dyDescent="0.25">
      <c r="A2454" s="862">
        <v>3172</v>
      </c>
      <c r="B2454" s="863" t="s">
        <v>10498</v>
      </c>
      <c r="C2454" s="862">
        <v>3172</v>
      </c>
      <c r="D2454" s="165" t="s">
        <v>2172</v>
      </c>
      <c r="E2454" s="165" t="s">
        <v>10499</v>
      </c>
      <c r="F2454" s="163">
        <v>1</v>
      </c>
      <c r="G2454" s="864"/>
      <c r="H2454" s="864">
        <v>0</v>
      </c>
      <c r="I2454" s="864">
        <v>17684.73187531111</v>
      </c>
      <c r="J2454" s="864">
        <v>18202.410303128428</v>
      </c>
      <c r="K2454" s="864">
        <v>18747.293355476209</v>
      </c>
      <c r="L2454" s="18" t="s">
        <v>4142</v>
      </c>
      <c r="N2454" s="433"/>
      <c r="P2454" s="433"/>
    </row>
    <row r="2455" spans="1:16" x14ac:dyDescent="0.25">
      <c r="A2455" s="862">
        <v>3173</v>
      </c>
      <c r="B2455" s="863" t="s">
        <v>10500</v>
      </c>
      <c r="C2455" s="862">
        <v>3173</v>
      </c>
      <c r="D2455" s="165" t="s">
        <v>2172</v>
      </c>
      <c r="E2455" s="165" t="s">
        <v>10501</v>
      </c>
      <c r="F2455" s="163">
        <v>1</v>
      </c>
      <c r="G2455" s="864"/>
      <c r="H2455" s="864">
        <v>0</v>
      </c>
      <c r="I2455" s="864">
        <v>16695.33741672559</v>
      </c>
      <c r="J2455" s="864">
        <v>17179.71924426288</v>
      </c>
      <c r="K2455" s="864">
        <v>17689.631565590305</v>
      </c>
      <c r="L2455" s="18" t="s">
        <v>4143</v>
      </c>
      <c r="N2455" s="433"/>
      <c r="P2455" s="433"/>
    </row>
    <row r="2456" spans="1:16" x14ac:dyDescent="0.25">
      <c r="A2456" s="862">
        <v>3174</v>
      </c>
      <c r="B2456" s="863" t="s">
        <v>10502</v>
      </c>
      <c r="C2456" s="862">
        <v>3174</v>
      </c>
      <c r="D2456" s="165" t="s">
        <v>2172</v>
      </c>
      <c r="E2456" s="165" t="s">
        <v>10503</v>
      </c>
      <c r="F2456" s="163">
        <v>1</v>
      </c>
      <c r="G2456" s="864"/>
      <c r="H2456" s="864">
        <v>0</v>
      </c>
      <c r="I2456" s="864">
        <v>0</v>
      </c>
      <c r="J2456" s="864">
        <v>0</v>
      </c>
      <c r="K2456" s="864">
        <v>53837.96141538192</v>
      </c>
      <c r="L2456" s="18" t="s">
        <v>11138</v>
      </c>
      <c r="N2456" s="433"/>
      <c r="P2456" s="433"/>
    </row>
    <row r="2457" spans="1:16" x14ac:dyDescent="0.25">
      <c r="A2457" s="862">
        <v>3175</v>
      </c>
      <c r="B2457" s="863" t="s">
        <v>10504</v>
      </c>
      <c r="C2457" s="862">
        <v>3175</v>
      </c>
      <c r="D2457" s="165" t="s">
        <v>2172</v>
      </c>
      <c r="E2457" s="165" t="s">
        <v>10505</v>
      </c>
      <c r="F2457" s="163">
        <v>1</v>
      </c>
      <c r="G2457" s="864"/>
      <c r="H2457" s="864">
        <v>14800.358822664644</v>
      </c>
      <c r="I2457" s="864">
        <v>0</v>
      </c>
      <c r="J2457" s="864">
        <v>0</v>
      </c>
      <c r="K2457" s="864">
        <v>0</v>
      </c>
      <c r="L2457" s="18" t="s">
        <v>1502</v>
      </c>
      <c r="N2457" s="433"/>
      <c r="P2457" s="433"/>
    </row>
    <row r="2458" spans="1:16" x14ac:dyDescent="0.25">
      <c r="A2458" s="862">
        <v>3176</v>
      </c>
      <c r="B2458" s="863" t="s">
        <v>10506</v>
      </c>
      <c r="C2458" s="862">
        <v>3176</v>
      </c>
      <c r="D2458" s="165" t="s">
        <v>2172</v>
      </c>
      <c r="E2458" s="165" t="s">
        <v>10507</v>
      </c>
      <c r="F2458" s="163">
        <v>1</v>
      </c>
      <c r="G2458" s="864"/>
      <c r="H2458" s="864">
        <v>16344.019131129684</v>
      </c>
      <c r="I2458" s="864">
        <v>16847.169353652622</v>
      </c>
      <c r="J2458" s="864">
        <v>17376.796693215158</v>
      </c>
      <c r="K2458" s="864">
        <v>17934.303629532071</v>
      </c>
      <c r="L2458" s="18" t="s">
        <v>1503</v>
      </c>
      <c r="N2458" s="433"/>
      <c r="P2458" s="433"/>
    </row>
    <row r="2459" spans="1:16" x14ac:dyDescent="0.25">
      <c r="A2459" s="862">
        <v>3177</v>
      </c>
      <c r="B2459" s="863" t="s">
        <v>10508</v>
      </c>
      <c r="C2459" s="862">
        <v>3177</v>
      </c>
      <c r="D2459" s="165" t="s">
        <v>2172</v>
      </c>
      <c r="E2459" s="165" t="s">
        <v>10509</v>
      </c>
      <c r="F2459" s="163">
        <v>1</v>
      </c>
      <c r="G2459" s="864"/>
      <c r="H2459" s="864">
        <v>17287.293933006702</v>
      </c>
      <c r="I2459" s="864">
        <v>17824.103668684318</v>
      </c>
      <c r="J2459" s="864">
        <v>18389.175495583968</v>
      </c>
      <c r="K2459" s="864">
        <v>18983.996892191033</v>
      </c>
      <c r="L2459" s="18" t="s">
        <v>1504</v>
      </c>
      <c r="N2459" s="433"/>
      <c r="P2459" s="433"/>
    </row>
    <row r="2460" spans="1:16" x14ac:dyDescent="0.25">
      <c r="A2460" s="862">
        <v>3178</v>
      </c>
      <c r="B2460" s="863" t="s">
        <v>10510</v>
      </c>
      <c r="C2460" s="862">
        <v>3178</v>
      </c>
      <c r="D2460" s="165" t="s">
        <v>2172</v>
      </c>
      <c r="E2460" s="165" t="s">
        <v>10511</v>
      </c>
      <c r="F2460" s="163">
        <v>1</v>
      </c>
      <c r="G2460" s="864"/>
      <c r="H2460" s="864">
        <v>0</v>
      </c>
      <c r="I2460" s="864">
        <v>0</v>
      </c>
      <c r="J2460" s="864">
        <v>23952.260741178961</v>
      </c>
      <c r="K2460" s="864">
        <v>24766.665384219581</v>
      </c>
      <c r="L2460" s="18" t="s">
        <v>11139</v>
      </c>
      <c r="N2460" s="433"/>
      <c r="P2460" s="433"/>
    </row>
    <row r="2461" spans="1:16" x14ac:dyDescent="0.25">
      <c r="A2461" s="862">
        <v>3179</v>
      </c>
      <c r="B2461" s="863" t="s">
        <v>10512</v>
      </c>
      <c r="C2461" s="862">
        <v>3179</v>
      </c>
      <c r="D2461" s="165" t="s">
        <v>2172</v>
      </c>
      <c r="E2461" s="165" t="s">
        <v>10513</v>
      </c>
      <c r="F2461" s="163">
        <v>1</v>
      </c>
      <c r="G2461" s="864"/>
      <c r="H2461" s="864">
        <v>0</v>
      </c>
      <c r="I2461" s="864">
        <v>25010.209704236833</v>
      </c>
      <c r="J2461" s="864">
        <v>25864.360367428086</v>
      </c>
      <c r="K2461" s="864">
        <v>26763.471143171799</v>
      </c>
      <c r="L2461" s="18" t="s">
        <v>4144</v>
      </c>
      <c r="N2461" s="433"/>
      <c r="P2461" s="433"/>
    </row>
    <row r="2462" spans="1:16" x14ac:dyDescent="0.25">
      <c r="A2462" s="862">
        <v>3180</v>
      </c>
      <c r="B2462" s="863" t="s">
        <v>10514</v>
      </c>
      <c r="C2462" s="862">
        <v>3180</v>
      </c>
      <c r="D2462" s="165" t="s">
        <v>2172</v>
      </c>
      <c r="E2462" s="165" t="s">
        <v>10515</v>
      </c>
      <c r="F2462" s="163">
        <v>1</v>
      </c>
      <c r="G2462" s="864"/>
      <c r="H2462" s="864">
        <v>28578.219267476627</v>
      </c>
      <c r="I2462" s="864">
        <v>0</v>
      </c>
      <c r="J2462" s="864">
        <v>0</v>
      </c>
      <c r="K2462" s="864">
        <v>0</v>
      </c>
      <c r="L2462" s="18" t="s">
        <v>1505</v>
      </c>
      <c r="N2462" s="433"/>
      <c r="P2462" s="433"/>
    </row>
    <row r="2463" spans="1:16" x14ac:dyDescent="0.25">
      <c r="A2463" s="862">
        <v>3181</v>
      </c>
      <c r="B2463" s="863" t="s">
        <v>10516</v>
      </c>
      <c r="C2463" s="862">
        <v>3181</v>
      </c>
      <c r="D2463" s="165" t="s">
        <v>2172</v>
      </c>
      <c r="E2463" s="165" t="s">
        <v>10517</v>
      </c>
      <c r="F2463" s="163">
        <v>1</v>
      </c>
      <c r="G2463" s="864"/>
      <c r="H2463" s="864">
        <v>37762.043237355698</v>
      </c>
      <c r="I2463" s="864">
        <v>0</v>
      </c>
      <c r="J2463" s="864">
        <v>0</v>
      </c>
      <c r="K2463" s="864">
        <v>0</v>
      </c>
      <c r="L2463" s="18" t="s">
        <v>1506</v>
      </c>
      <c r="N2463" s="433"/>
      <c r="P2463" s="433"/>
    </row>
    <row r="2464" spans="1:16" x14ac:dyDescent="0.25">
      <c r="A2464" s="862">
        <v>3182</v>
      </c>
      <c r="B2464" s="863" t="s">
        <v>10518</v>
      </c>
      <c r="C2464" s="862">
        <v>3182</v>
      </c>
      <c r="D2464" s="165" t="s">
        <v>2172</v>
      </c>
      <c r="E2464" s="165" t="s">
        <v>10519</v>
      </c>
      <c r="F2464" s="163">
        <v>1</v>
      </c>
      <c r="G2464" s="864"/>
      <c r="H2464" s="864">
        <v>33981.600940846154</v>
      </c>
      <c r="I2464" s="864">
        <v>0</v>
      </c>
      <c r="J2464" s="864">
        <v>0</v>
      </c>
      <c r="K2464" s="864">
        <v>0</v>
      </c>
      <c r="L2464" s="18" t="s">
        <v>1507</v>
      </c>
      <c r="N2464" s="433"/>
      <c r="P2464" s="433"/>
    </row>
    <row r="2465" spans="1:16" x14ac:dyDescent="0.25">
      <c r="A2465" s="862">
        <v>3183</v>
      </c>
      <c r="B2465" s="863" t="s">
        <v>10520</v>
      </c>
      <c r="C2465" s="862">
        <v>3183</v>
      </c>
      <c r="D2465" s="165" t="s">
        <v>2172</v>
      </c>
      <c r="E2465" s="165" t="s">
        <v>10521</v>
      </c>
      <c r="F2465" s="163">
        <v>1</v>
      </c>
      <c r="G2465" s="864"/>
      <c r="H2465" s="864">
        <v>20200.154154583724</v>
      </c>
      <c r="I2465" s="864">
        <v>20873.503876859588</v>
      </c>
      <c r="J2465" s="864">
        <v>21582.300279937226</v>
      </c>
      <c r="K2465" s="864">
        <v>22328.418607575197</v>
      </c>
      <c r="L2465" s="18" t="s">
        <v>3160</v>
      </c>
      <c r="N2465" s="433"/>
      <c r="P2465" s="433"/>
    </row>
    <row r="2466" spans="1:16" x14ac:dyDescent="0.25">
      <c r="A2466" s="862">
        <v>3184</v>
      </c>
      <c r="B2466" s="863" t="s">
        <v>10522</v>
      </c>
      <c r="C2466" s="862">
        <v>3184</v>
      </c>
      <c r="D2466" s="165" t="s">
        <v>2172</v>
      </c>
      <c r="E2466" s="165" t="s">
        <v>10523</v>
      </c>
      <c r="F2466" s="163">
        <v>1</v>
      </c>
      <c r="G2466" s="864"/>
      <c r="H2466" s="864">
        <v>21070.458447327019</v>
      </c>
      <c r="I2466" s="864">
        <v>0</v>
      </c>
      <c r="J2466" s="864">
        <v>0</v>
      </c>
      <c r="K2466" s="864">
        <v>0</v>
      </c>
      <c r="L2466" s="18" t="s">
        <v>3161</v>
      </c>
      <c r="N2466" s="433"/>
      <c r="P2466" s="433"/>
    </row>
    <row r="2467" spans="1:16" x14ac:dyDescent="0.25">
      <c r="A2467" s="862">
        <v>3185</v>
      </c>
      <c r="B2467" s="863" t="s">
        <v>10524</v>
      </c>
      <c r="C2467" s="862">
        <v>3185</v>
      </c>
      <c r="D2467" s="165" t="s">
        <v>2172</v>
      </c>
      <c r="E2467" s="165" t="s">
        <v>10525</v>
      </c>
      <c r="F2467" s="163">
        <v>1</v>
      </c>
      <c r="G2467" s="864"/>
      <c r="H2467" s="864">
        <v>0</v>
      </c>
      <c r="I2467" s="864">
        <v>0</v>
      </c>
      <c r="J2467" s="864">
        <v>0</v>
      </c>
      <c r="K2467" s="864">
        <v>21681.40053362363</v>
      </c>
      <c r="L2467" s="18" t="s">
        <v>11140</v>
      </c>
      <c r="N2467" s="433"/>
      <c r="P2467" s="433"/>
    </row>
    <row r="2468" spans="1:16" x14ac:dyDescent="0.25">
      <c r="A2468" s="862">
        <v>3186</v>
      </c>
      <c r="B2468" s="863" t="s">
        <v>10526</v>
      </c>
      <c r="C2468" s="862">
        <v>3186</v>
      </c>
      <c r="D2468" s="165" t="s">
        <v>2172</v>
      </c>
      <c r="E2468" s="165" t="s">
        <v>10527</v>
      </c>
      <c r="F2468" s="163">
        <v>1</v>
      </c>
      <c r="G2468" s="864"/>
      <c r="H2468" s="864">
        <v>0</v>
      </c>
      <c r="I2468" s="864">
        <v>0</v>
      </c>
      <c r="J2468" s="864">
        <v>24187.992168816054</v>
      </c>
      <c r="K2468" s="864">
        <v>25011.269916470275</v>
      </c>
      <c r="L2468" s="18" t="s">
        <v>4883</v>
      </c>
      <c r="N2468" s="433"/>
      <c r="P2468" s="433"/>
    </row>
    <row r="2469" spans="1:16" x14ac:dyDescent="0.25">
      <c r="A2469" s="862">
        <v>3187</v>
      </c>
      <c r="B2469" s="863" t="s">
        <v>10528</v>
      </c>
      <c r="C2469" s="862">
        <v>3187</v>
      </c>
      <c r="D2469" s="165" t="s">
        <v>2172</v>
      </c>
      <c r="E2469" s="165" t="s">
        <v>10529</v>
      </c>
      <c r="F2469" s="163">
        <v>1</v>
      </c>
      <c r="G2469" s="864"/>
      <c r="H2469" s="864">
        <v>22989.738775032412</v>
      </c>
      <c r="I2469" s="864">
        <v>0</v>
      </c>
      <c r="J2469" s="864">
        <v>0</v>
      </c>
      <c r="K2469" s="864">
        <v>0</v>
      </c>
      <c r="L2469" s="18" t="s">
        <v>3162</v>
      </c>
      <c r="N2469" s="433"/>
      <c r="P2469" s="433"/>
    </row>
    <row r="2470" spans="1:16" x14ac:dyDescent="0.25">
      <c r="A2470" s="862">
        <v>3188</v>
      </c>
      <c r="B2470" s="863" t="s">
        <v>10530</v>
      </c>
      <c r="C2470" s="862">
        <v>3188</v>
      </c>
      <c r="D2470" s="165" t="s">
        <v>2172</v>
      </c>
      <c r="E2470" s="165" t="s">
        <v>10531</v>
      </c>
      <c r="F2470" s="163">
        <v>1</v>
      </c>
      <c r="G2470" s="864"/>
      <c r="H2470" s="864">
        <v>24834.092243097664</v>
      </c>
      <c r="I2470" s="864">
        <v>25681.610946655041</v>
      </c>
      <c r="J2470" s="864">
        <v>26573.769599196334</v>
      </c>
      <c r="K2470" s="864">
        <v>27512.855083353916</v>
      </c>
      <c r="L2470" s="18" t="s">
        <v>3163</v>
      </c>
      <c r="N2470" s="433"/>
      <c r="P2470" s="433"/>
    </row>
    <row r="2471" spans="1:16" x14ac:dyDescent="0.25">
      <c r="A2471" s="862">
        <v>3189</v>
      </c>
      <c r="B2471" s="863" t="s">
        <v>10532</v>
      </c>
      <c r="C2471" s="862">
        <v>3189</v>
      </c>
      <c r="D2471" s="165" t="s">
        <v>2172</v>
      </c>
      <c r="E2471" s="165" t="s">
        <v>10533</v>
      </c>
      <c r="F2471" s="163">
        <v>1</v>
      </c>
      <c r="G2471" s="864"/>
      <c r="H2471" s="864">
        <v>25456.561538569676</v>
      </c>
      <c r="I2471" s="864">
        <v>26327.497920282553</v>
      </c>
      <c r="J2471" s="864">
        <v>27244.263429948183</v>
      </c>
      <c r="K2471" s="864">
        <v>28209.282163156877</v>
      </c>
      <c r="L2471" s="18" t="s">
        <v>3164</v>
      </c>
      <c r="N2471" s="433"/>
      <c r="P2471" s="433"/>
    </row>
    <row r="2472" spans="1:16" x14ac:dyDescent="0.25">
      <c r="A2472" s="862">
        <v>3190</v>
      </c>
      <c r="B2472" s="863" t="s">
        <v>10534</v>
      </c>
      <c r="C2472" s="862">
        <v>3190</v>
      </c>
      <c r="D2472" s="165" t="s">
        <v>2172</v>
      </c>
      <c r="E2472" s="165" t="s">
        <v>10535</v>
      </c>
      <c r="F2472" s="163">
        <v>1</v>
      </c>
      <c r="G2472" s="864"/>
      <c r="H2472" s="864">
        <v>27300.915006634928</v>
      </c>
      <c r="I2472" s="864">
        <v>0</v>
      </c>
      <c r="J2472" s="864">
        <v>0</v>
      </c>
      <c r="K2472" s="864">
        <v>0</v>
      </c>
      <c r="L2472" s="18" t="s">
        <v>3165</v>
      </c>
      <c r="N2472" s="433"/>
      <c r="P2472" s="433"/>
    </row>
    <row r="2473" spans="1:16" x14ac:dyDescent="0.25">
      <c r="A2473" s="862">
        <v>3191</v>
      </c>
      <c r="B2473" s="863" t="s">
        <v>10536</v>
      </c>
      <c r="C2473" s="862">
        <v>3191</v>
      </c>
      <c r="D2473" s="165" t="s">
        <v>2172</v>
      </c>
      <c r="E2473" s="165" t="s">
        <v>10537</v>
      </c>
      <c r="F2473" s="163">
        <v>2</v>
      </c>
      <c r="G2473" s="864"/>
      <c r="H2473" s="864">
        <v>12921.797792008052</v>
      </c>
      <c r="I2473" s="864">
        <v>13324.311268440362</v>
      </c>
      <c r="J2473" s="864">
        <v>13748.024742919646</v>
      </c>
      <c r="K2473" s="864">
        <v>14194.026863994255</v>
      </c>
      <c r="L2473" s="18" t="s">
        <v>1508</v>
      </c>
      <c r="N2473" s="433"/>
      <c r="P2473" s="433"/>
    </row>
    <row r="2474" spans="1:16" x14ac:dyDescent="0.25">
      <c r="A2474" s="862">
        <v>3192</v>
      </c>
      <c r="B2474" s="863" t="s">
        <v>10538</v>
      </c>
      <c r="C2474" s="862">
        <v>3192</v>
      </c>
      <c r="D2474" s="165" t="s">
        <v>2172</v>
      </c>
      <c r="E2474" s="165" t="s">
        <v>10539</v>
      </c>
      <c r="F2474" s="163">
        <v>2</v>
      </c>
      <c r="G2474" s="864"/>
      <c r="H2474" s="864">
        <v>12340.525972746007</v>
      </c>
      <c r="I2474" s="864">
        <v>12710.781073771712</v>
      </c>
      <c r="J2474" s="864">
        <v>13100.517254083827</v>
      </c>
      <c r="K2474" s="864">
        <v>13510.765864938679</v>
      </c>
      <c r="L2474" s="18" t="s">
        <v>1509</v>
      </c>
      <c r="N2474" s="433"/>
      <c r="P2474" s="433"/>
    </row>
    <row r="2475" spans="1:16" x14ac:dyDescent="0.25">
      <c r="A2475" s="862">
        <v>3193</v>
      </c>
      <c r="B2475" s="863" t="s">
        <v>10540</v>
      </c>
      <c r="C2475" s="862">
        <v>3193</v>
      </c>
      <c r="D2475" s="165" t="s">
        <v>2172</v>
      </c>
      <c r="E2475" s="165" t="s">
        <v>10541</v>
      </c>
      <c r="F2475" s="163">
        <v>2</v>
      </c>
      <c r="G2475" s="864"/>
      <c r="H2475" s="864">
        <v>14243.008583439972</v>
      </c>
      <c r="I2475" s="864">
        <v>14702.647460015065</v>
      </c>
      <c r="J2475" s="864">
        <v>15186.465793822101</v>
      </c>
      <c r="K2475" s="864">
        <v>15695.78142257752</v>
      </c>
      <c r="L2475" s="18" t="s">
        <v>1510</v>
      </c>
      <c r="N2475" s="433"/>
      <c r="P2475" s="433"/>
    </row>
    <row r="2476" spans="1:16" x14ac:dyDescent="0.25">
      <c r="A2476" s="862">
        <v>3194</v>
      </c>
      <c r="B2476" s="863" t="s">
        <v>10542</v>
      </c>
      <c r="C2476" s="862">
        <v>3194</v>
      </c>
      <c r="D2476" s="165" t="s">
        <v>2172</v>
      </c>
      <c r="E2476" s="165" t="s">
        <v>10543</v>
      </c>
      <c r="F2476" s="163">
        <v>2</v>
      </c>
      <c r="G2476" s="864"/>
      <c r="H2476" s="864">
        <v>14784.714866961929</v>
      </c>
      <c r="I2476" s="864">
        <v>15267.788335972718</v>
      </c>
      <c r="J2476" s="864">
        <v>15776.301802639879</v>
      </c>
      <c r="K2476" s="864">
        <v>16311.573104679828</v>
      </c>
      <c r="L2476" s="18" t="s">
        <v>1511</v>
      </c>
      <c r="N2476" s="433"/>
      <c r="P2476" s="433"/>
    </row>
    <row r="2477" spans="1:16" x14ac:dyDescent="0.25">
      <c r="A2477" s="862">
        <v>3195</v>
      </c>
      <c r="B2477" s="863" t="s">
        <v>10544</v>
      </c>
      <c r="C2477" s="862">
        <v>3195</v>
      </c>
      <c r="D2477" s="165" t="s">
        <v>2172</v>
      </c>
      <c r="E2477" s="165" t="s">
        <v>10545</v>
      </c>
      <c r="F2477" s="163">
        <v>2</v>
      </c>
      <c r="G2477" s="864"/>
      <c r="H2477" s="864">
        <v>14556.907427082666</v>
      </c>
      <c r="I2477" s="864">
        <v>15021.187384311281</v>
      </c>
      <c r="J2477" s="864">
        <v>15509.933285231938</v>
      </c>
      <c r="K2477" s="864">
        <v>16024.348372977038</v>
      </c>
      <c r="L2477" s="18" t="s">
        <v>1512</v>
      </c>
      <c r="N2477" s="433"/>
      <c r="P2477" s="433"/>
    </row>
    <row r="2478" spans="1:16" x14ac:dyDescent="0.25">
      <c r="A2478" s="862">
        <v>3196</v>
      </c>
      <c r="B2478" s="863" t="s">
        <v>10546</v>
      </c>
      <c r="C2478" s="862">
        <v>3196</v>
      </c>
      <c r="D2478" s="165" t="s">
        <v>2172</v>
      </c>
      <c r="E2478" s="165" t="s">
        <v>10547</v>
      </c>
      <c r="F2478" s="163">
        <v>1</v>
      </c>
      <c r="G2478" s="864"/>
      <c r="H2478" s="864">
        <v>0</v>
      </c>
      <c r="I2478" s="864">
        <v>19460.832756466752</v>
      </c>
      <c r="J2478" s="864">
        <v>19966.120003119035</v>
      </c>
      <c r="K2478" s="864">
        <v>20498.017210363374</v>
      </c>
      <c r="L2478" s="18" t="s">
        <v>4149</v>
      </c>
      <c r="N2478" s="433"/>
      <c r="P2478" s="433"/>
    </row>
    <row r="2479" spans="1:16" x14ac:dyDescent="0.25">
      <c r="A2479" s="862">
        <v>3197</v>
      </c>
      <c r="B2479" s="863" t="s">
        <v>10548</v>
      </c>
      <c r="C2479" s="862">
        <v>3197</v>
      </c>
      <c r="D2479" s="165" t="s">
        <v>2172</v>
      </c>
      <c r="E2479" s="165" t="s">
        <v>10549</v>
      </c>
      <c r="F2479" s="163">
        <v>1</v>
      </c>
      <c r="G2479" s="864"/>
      <c r="H2479" s="864">
        <v>0</v>
      </c>
      <c r="I2479" s="864">
        <v>0</v>
      </c>
      <c r="J2479" s="864">
        <v>0</v>
      </c>
      <c r="K2479" s="864">
        <v>13534.492416255358</v>
      </c>
      <c r="L2479" s="18" t="s">
        <v>11141</v>
      </c>
      <c r="N2479" s="433"/>
      <c r="P2479" s="433"/>
    </row>
    <row r="2480" spans="1:16" x14ac:dyDescent="0.25">
      <c r="A2480" s="862">
        <v>3198</v>
      </c>
      <c r="B2480" s="863" t="s">
        <v>10550</v>
      </c>
      <c r="C2480" s="862">
        <v>3198</v>
      </c>
      <c r="D2480" s="165" t="s">
        <v>2172</v>
      </c>
      <c r="E2480" s="165" t="s">
        <v>10551</v>
      </c>
      <c r="F2480" s="163">
        <v>1</v>
      </c>
      <c r="G2480" s="864"/>
      <c r="H2480" s="864">
        <v>0</v>
      </c>
      <c r="I2480" s="864">
        <v>13468.584164522834</v>
      </c>
      <c r="J2480" s="864">
        <v>13797.56783872784</v>
      </c>
      <c r="K2480" s="864">
        <v>14143.866443154153</v>
      </c>
      <c r="L2480" s="18" t="s">
        <v>4145</v>
      </c>
      <c r="N2480" s="433"/>
      <c r="P2480" s="433"/>
    </row>
    <row r="2481" spans="1:16" x14ac:dyDescent="0.25">
      <c r="A2481" s="862">
        <v>3199</v>
      </c>
      <c r="B2481" s="863" t="s">
        <v>10552</v>
      </c>
      <c r="C2481" s="862">
        <v>3199</v>
      </c>
      <c r="D2481" s="165" t="s">
        <v>2172</v>
      </c>
      <c r="E2481" s="165" t="s">
        <v>10553</v>
      </c>
      <c r="F2481" s="163">
        <v>1</v>
      </c>
      <c r="G2481" s="864"/>
      <c r="H2481" s="864">
        <v>0</v>
      </c>
      <c r="I2481" s="864">
        <v>14096.333250696547</v>
      </c>
      <c r="J2481" s="864">
        <v>14443.806317444081</v>
      </c>
      <c r="K2481" s="864">
        <v>14809.567440336219</v>
      </c>
      <c r="L2481" s="18" t="s">
        <v>4146</v>
      </c>
      <c r="N2481" s="433"/>
      <c r="P2481" s="433"/>
    </row>
    <row r="2482" spans="1:16" x14ac:dyDescent="0.25">
      <c r="A2482" s="862">
        <v>3200</v>
      </c>
      <c r="B2482" s="863" t="s">
        <v>10554</v>
      </c>
      <c r="C2482" s="862">
        <v>3200</v>
      </c>
      <c r="D2482" s="165" t="s">
        <v>2172</v>
      </c>
      <c r="E2482" s="165" t="s">
        <v>10555</v>
      </c>
      <c r="F2482" s="163">
        <v>1</v>
      </c>
      <c r="G2482" s="864"/>
      <c r="H2482" s="864">
        <v>0</v>
      </c>
      <c r="I2482" s="864">
        <v>14523.116192243217</v>
      </c>
      <c r="J2482" s="864">
        <v>14883.139227794574</v>
      </c>
      <c r="K2482" s="864">
        <v>15262.121440816947</v>
      </c>
      <c r="L2482" s="18" t="s">
        <v>4147</v>
      </c>
      <c r="N2482" s="433"/>
      <c r="P2482" s="433"/>
    </row>
    <row r="2483" spans="1:16" x14ac:dyDescent="0.25">
      <c r="A2483" s="862">
        <v>3201</v>
      </c>
      <c r="B2483" s="863" t="s">
        <v>10556</v>
      </c>
      <c r="C2483" s="862">
        <v>3201</v>
      </c>
      <c r="D2483" s="165" t="s">
        <v>2172</v>
      </c>
      <c r="E2483" s="165" t="s">
        <v>10557</v>
      </c>
      <c r="F2483" s="163">
        <v>1</v>
      </c>
      <c r="G2483" s="864"/>
      <c r="H2483" s="864">
        <v>0</v>
      </c>
      <c r="I2483" s="864">
        <v>15160.589446705342</v>
      </c>
      <c r="J2483" s="864">
        <v>15539.370323329789</v>
      </c>
      <c r="K2483" s="864">
        <v>15938.083503348536</v>
      </c>
      <c r="L2483" s="18" t="s">
        <v>4148</v>
      </c>
      <c r="N2483" s="433"/>
      <c r="P2483" s="433"/>
    </row>
    <row r="2484" spans="1:16" x14ac:dyDescent="0.25">
      <c r="A2484" s="862">
        <v>3202</v>
      </c>
      <c r="B2484" s="863" t="s">
        <v>10558</v>
      </c>
      <c r="C2484" s="862">
        <v>3202</v>
      </c>
      <c r="D2484" s="165" t="s">
        <v>2172</v>
      </c>
      <c r="E2484" s="165" t="s">
        <v>10559</v>
      </c>
      <c r="F2484" s="163">
        <v>1</v>
      </c>
      <c r="G2484" s="864"/>
      <c r="H2484" s="864">
        <v>0</v>
      </c>
      <c r="I2484" s="864">
        <v>15560.36080967311</v>
      </c>
      <c r="J2484" s="864">
        <v>15950.886309509693</v>
      </c>
      <c r="K2484" s="864">
        <v>16361.981678000662</v>
      </c>
      <c r="L2484" s="18" t="s">
        <v>4150</v>
      </c>
      <c r="N2484" s="433"/>
      <c r="P2484" s="433"/>
    </row>
    <row r="2485" spans="1:16" x14ac:dyDescent="0.25">
      <c r="A2485" s="862">
        <v>3203</v>
      </c>
      <c r="B2485" s="863" t="s">
        <v>10560</v>
      </c>
      <c r="C2485" s="862">
        <v>3203</v>
      </c>
      <c r="D2485" s="165" t="s">
        <v>2172</v>
      </c>
      <c r="E2485" s="165" t="s">
        <v>10561</v>
      </c>
      <c r="F2485" s="163">
        <v>1</v>
      </c>
      <c r="G2485" s="864"/>
      <c r="H2485" s="864">
        <v>0</v>
      </c>
      <c r="I2485" s="864">
        <v>14609.553243695711</v>
      </c>
      <c r="J2485" s="864">
        <v>14972.12654028742</v>
      </c>
      <c r="K2485" s="864">
        <v>15353.759682549093</v>
      </c>
      <c r="L2485" s="18" t="s">
        <v>4151</v>
      </c>
      <c r="N2485" s="433"/>
      <c r="P2485" s="433"/>
    </row>
    <row r="2486" spans="1:16" x14ac:dyDescent="0.25">
      <c r="A2486" s="862">
        <v>3204</v>
      </c>
      <c r="B2486" s="863" t="s">
        <v>10562</v>
      </c>
      <c r="C2486" s="862">
        <v>3204</v>
      </c>
      <c r="D2486" s="165" t="s">
        <v>2172</v>
      </c>
      <c r="E2486" s="165" t="s">
        <v>10563</v>
      </c>
      <c r="F2486" s="163">
        <v>1</v>
      </c>
      <c r="G2486" s="864"/>
      <c r="H2486" s="864">
        <v>19706.673544274272</v>
      </c>
      <c r="I2486" s="864">
        <v>0</v>
      </c>
      <c r="J2486" s="864">
        <v>0</v>
      </c>
      <c r="K2486" s="864">
        <v>0</v>
      </c>
      <c r="L2486" s="18" t="s">
        <v>1513</v>
      </c>
      <c r="N2486" s="433"/>
      <c r="P2486" s="433"/>
    </row>
    <row r="2487" spans="1:16" x14ac:dyDescent="0.25">
      <c r="A2487" s="862">
        <v>3205</v>
      </c>
      <c r="B2487" s="863" t="s">
        <v>10564</v>
      </c>
      <c r="C2487" s="862">
        <v>3205</v>
      </c>
      <c r="D2487" s="165" t="s">
        <v>2172</v>
      </c>
      <c r="E2487" s="165" t="s">
        <v>10565</v>
      </c>
      <c r="F2487" s="163">
        <v>1</v>
      </c>
      <c r="G2487" s="864"/>
      <c r="H2487" s="864">
        <v>17935.008296298685</v>
      </c>
      <c r="I2487" s="864">
        <v>0</v>
      </c>
      <c r="J2487" s="864">
        <v>0</v>
      </c>
      <c r="K2487" s="864">
        <v>0</v>
      </c>
      <c r="L2487" s="18" t="s">
        <v>1514</v>
      </c>
      <c r="N2487" s="433"/>
      <c r="P2487" s="433"/>
    </row>
    <row r="2488" spans="1:16" x14ac:dyDescent="0.25">
      <c r="A2488" s="862">
        <v>3206</v>
      </c>
      <c r="B2488" s="863" t="s">
        <v>10566</v>
      </c>
      <c r="C2488" s="862">
        <v>3206</v>
      </c>
      <c r="D2488" s="165" t="s">
        <v>2172</v>
      </c>
      <c r="E2488" s="165" t="s">
        <v>10567</v>
      </c>
      <c r="F2488" s="163">
        <v>2</v>
      </c>
      <c r="G2488" s="864"/>
      <c r="H2488" s="864">
        <v>0</v>
      </c>
      <c r="I2488" s="864">
        <v>0</v>
      </c>
      <c r="J2488" s="864">
        <v>0</v>
      </c>
      <c r="K2488" s="864">
        <v>25004.760544190769</v>
      </c>
      <c r="L2488" s="18" t="s">
        <v>11142</v>
      </c>
      <c r="N2488" s="433"/>
      <c r="P2488" s="433"/>
    </row>
    <row r="2489" spans="1:16" x14ac:dyDescent="0.25">
      <c r="A2489" s="862">
        <v>3207</v>
      </c>
      <c r="B2489" s="863" t="s">
        <v>10568</v>
      </c>
      <c r="C2489" s="862">
        <v>3207</v>
      </c>
      <c r="D2489" s="165" t="s">
        <v>2172</v>
      </c>
      <c r="E2489" s="165" t="s">
        <v>10569</v>
      </c>
      <c r="F2489" s="163">
        <v>2</v>
      </c>
      <c r="G2489" s="864"/>
      <c r="H2489" s="864">
        <v>18004.10401259426</v>
      </c>
      <c r="I2489" s="864">
        <v>18588.822877646464</v>
      </c>
      <c r="J2489" s="864">
        <v>19204.310388512782</v>
      </c>
      <c r="K2489" s="864">
        <v>19852.228166661764</v>
      </c>
      <c r="L2489" s="18" t="s">
        <v>1515</v>
      </c>
      <c r="N2489" s="433"/>
      <c r="P2489" s="433"/>
    </row>
    <row r="2490" spans="1:16" x14ac:dyDescent="0.25">
      <c r="A2490" s="862">
        <v>3208</v>
      </c>
      <c r="B2490" s="863" t="s">
        <v>10570</v>
      </c>
      <c r="C2490" s="862">
        <v>3208</v>
      </c>
      <c r="D2490" s="165" t="s">
        <v>2172</v>
      </c>
      <c r="E2490" s="165" t="s">
        <v>10571</v>
      </c>
      <c r="F2490" s="163">
        <v>2</v>
      </c>
      <c r="G2490" s="864"/>
      <c r="H2490" s="864">
        <v>14738.794864515998</v>
      </c>
      <c r="I2490" s="864">
        <v>15190.813201252586</v>
      </c>
      <c r="J2490" s="864">
        <v>15666.667211469006</v>
      </c>
      <c r="K2490" s="864">
        <v>16167.560138297657</v>
      </c>
      <c r="L2490" s="18" t="s">
        <v>1516</v>
      </c>
      <c r="N2490" s="433"/>
      <c r="P2490" s="433"/>
    </row>
    <row r="2491" spans="1:16" x14ac:dyDescent="0.25">
      <c r="A2491" s="862">
        <v>3209</v>
      </c>
      <c r="B2491" s="863" t="s">
        <v>10572</v>
      </c>
      <c r="C2491" s="862">
        <v>3209</v>
      </c>
      <c r="D2491" s="165" t="s">
        <v>2172</v>
      </c>
      <c r="E2491" s="165" t="s">
        <v>10573</v>
      </c>
      <c r="F2491" s="163">
        <v>2</v>
      </c>
      <c r="G2491" s="864"/>
      <c r="H2491" s="864">
        <v>16223.026295460661</v>
      </c>
      <c r="I2491" s="864">
        <v>16735.37868069308</v>
      </c>
      <c r="J2491" s="864">
        <v>17274.718090466369</v>
      </c>
      <c r="K2491" s="864">
        <v>17842.419659788982</v>
      </c>
      <c r="L2491" s="18" t="s">
        <v>1517</v>
      </c>
      <c r="N2491" s="433"/>
      <c r="P2491" s="433"/>
    </row>
    <row r="2492" spans="1:16" x14ac:dyDescent="0.25">
      <c r="A2492" s="862">
        <v>3210</v>
      </c>
      <c r="B2492" s="863" t="s">
        <v>10574</v>
      </c>
      <c r="C2492" s="862">
        <v>3210</v>
      </c>
      <c r="D2492" s="165" t="s">
        <v>2172</v>
      </c>
      <c r="E2492" s="165" t="s">
        <v>10575</v>
      </c>
      <c r="F2492" s="163">
        <v>2</v>
      </c>
      <c r="G2492" s="864"/>
      <c r="H2492" s="864">
        <v>0</v>
      </c>
      <c r="I2492" s="864">
        <v>0</v>
      </c>
      <c r="J2492" s="864">
        <v>0</v>
      </c>
      <c r="K2492" s="864">
        <v>22061.616405714674</v>
      </c>
      <c r="L2492" s="18" t="s">
        <v>11143</v>
      </c>
      <c r="N2492" s="433"/>
      <c r="P2492" s="433"/>
    </row>
    <row r="2493" spans="1:16" x14ac:dyDescent="0.25">
      <c r="A2493" s="862">
        <v>3211</v>
      </c>
      <c r="B2493" s="863" t="s">
        <v>10576</v>
      </c>
      <c r="C2493" s="862">
        <v>3211</v>
      </c>
      <c r="D2493" s="165" t="s">
        <v>2172</v>
      </c>
      <c r="E2493" s="165" t="s">
        <v>10577</v>
      </c>
      <c r="F2493" s="163">
        <v>1</v>
      </c>
      <c r="G2493" s="864"/>
      <c r="H2493" s="864">
        <v>25631.149461870624</v>
      </c>
      <c r="I2493" s="864">
        <v>26256.263884857435</v>
      </c>
      <c r="J2493" s="864">
        <v>26914.311744647101</v>
      </c>
      <c r="K2493" s="864">
        <v>27606.99370232044</v>
      </c>
      <c r="L2493" s="18" t="s">
        <v>1519</v>
      </c>
      <c r="N2493" s="433"/>
      <c r="P2493" s="433"/>
    </row>
    <row r="2494" spans="1:16" x14ac:dyDescent="0.25">
      <c r="A2494" s="862">
        <v>3212</v>
      </c>
      <c r="B2494" s="863" t="s">
        <v>10578</v>
      </c>
      <c r="C2494" s="862">
        <v>3212</v>
      </c>
      <c r="D2494" s="165" t="s">
        <v>2172</v>
      </c>
      <c r="E2494" s="165" t="s">
        <v>10579</v>
      </c>
      <c r="F2494" s="163">
        <v>1</v>
      </c>
      <c r="G2494" s="864"/>
      <c r="H2494" s="864">
        <v>27930.953321546905</v>
      </c>
      <c r="I2494" s="864">
        <v>0</v>
      </c>
      <c r="J2494" s="864">
        <v>0</v>
      </c>
      <c r="K2494" s="864">
        <v>0</v>
      </c>
      <c r="L2494" s="18" t="s">
        <v>3166</v>
      </c>
      <c r="N2494" s="433"/>
      <c r="P2494" s="433"/>
    </row>
    <row r="2495" spans="1:16" x14ac:dyDescent="0.25">
      <c r="A2495" s="862">
        <v>3213</v>
      </c>
      <c r="B2495" s="863" t="s">
        <v>10580</v>
      </c>
      <c r="C2495" s="862">
        <v>3213</v>
      </c>
      <c r="D2495" s="165" t="s">
        <v>2172</v>
      </c>
      <c r="E2495" s="165" t="s">
        <v>10581</v>
      </c>
      <c r="F2495" s="163">
        <v>1</v>
      </c>
      <c r="G2495" s="864"/>
      <c r="H2495" s="864">
        <v>23875.404054124752</v>
      </c>
      <c r="I2495" s="864">
        <v>24453.520843116661</v>
      </c>
      <c r="J2495" s="864">
        <v>25062.060569220714</v>
      </c>
      <c r="K2495" s="864">
        <v>25702.642909656744</v>
      </c>
      <c r="L2495" s="18" t="s">
        <v>1520</v>
      </c>
      <c r="N2495" s="433"/>
      <c r="P2495" s="433"/>
    </row>
    <row r="2496" spans="1:16" x14ac:dyDescent="0.25">
      <c r="A2496" s="862">
        <v>3214</v>
      </c>
      <c r="B2496" s="863" t="s">
        <v>10582</v>
      </c>
      <c r="C2496" s="862">
        <v>3214</v>
      </c>
      <c r="D2496" s="165" t="s">
        <v>2172</v>
      </c>
      <c r="E2496" s="165" t="s">
        <v>10583</v>
      </c>
      <c r="F2496" s="163">
        <v>1</v>
      </c>
      <c r="G2496" s="864"/>
      <c r="H2496" s="864">
        <v>20208.577751261389</v>
      </c>
      <c r="I2496" s="864">
        <v>20676.394521584032</v>
      </c>
      <c r="J2496" s="864">
        <v>21168.857380268157</v>
      </c>
      <c r="K2496" s="864">
        <v>21687.235074469296</v>
      </c>
      <c r="L2496" s="18" t="s">
        <v>1521</v>
      </c>
      <c r="N2496" s="433"/>
      <c r="P2496" s="433"/>
    </row>
    <row r="2497" spans="1:16" x14ac:dyDescent="0.25">
      <c r="A2497" s="862">
        <v>3215</v>
      </c>
      <c r="B2497" s="863" t="s">
        <v>10584</v>
      </c>
      <c r="C2497" s="862">
        <v>3215</v>
      </c>
      <c r="D2497" s="165" t="s">
        <v>2172</v>
      </c>
      <c r="E2497" s="165" t="s">
        <v>10585</v>
      </c>
      <c r="F2497" s="163">
        <v>1</v>
      </c>
      <c r="G2497" s="864"/>
      <c r="H2497" s="864">
        <v>21329.769551269237</v>
      </c>
      <c r="I2497" s="864">
        <v>21826.848490029832</v>
      </c>
      <c r="J2497" s="864">
        <v>22350.085215890405</v>
      </c>
      <c r="K2497" s="864">
        <v>22900.883449108132</v>
      </c>
      <c r="L2497" s="18" t="s">
        <v>3167</v>
      </c>
      <c r="N2497" s="433"/>
      <c r="P2497" s="433"/>
    </row>
    <row r="2498" spans="1:16" x14ac:dyDescent="0.25">
      <c r="A2498" s="862">
        <v>3216</v>
      </c>
      <c r="B2498" s="863" t="s">
        <v>10586</v>
      </c>
      <c r="C2498" s="862">
        <v>3216</v>
      </c>
      <c r="D2498" s="165" t="s">
        <v>2172</v>
      </c>
      <c r="E2498" s="165" t="s">
        <v>10587</v>
      </c>
      <c r="F2498" s="163">
        <v>1</v>
      </c>
      <c r="G2498" s="864"/>
      <c r="H2498" s="864">
        <v>26175.207913801041</v>
      </c>
      <c r="I2498" s="864">
        <v>0</v>
      </c>
      <c r="J2498" s="864">
        <v>0</v>
      </c>
      <c r="K2498" s="864">
        <v>0</v>
      </c>
      <c r="L2498" s="18" t="s">
        <v>3168</v>
      </c>
      <c r="N2498" s="433"/>
      <c r="P2498" s="433"/>
    </row>
    <row r="2499" spans="1:16" x14ac:dyDescent="0.25">
      <c r="A2499" s="862">
        <v>3217</v>
      </c>
      <c r="B2499" s="863" t="s">
        <v>10588</v>
      </c>
      <c r="C2499" s="862">
        <v>3217</v>
      </c>
      <c r="D2499" s="165" t="s">
        <v>2172</v>
      </c>
      <c r="E2499" s="165" t="s">
        <v>10589</v>
      </c>
      <c r="F2499" s="163">
        <v>1</v>
      </c>
      <c r="G2499" s="864"/>
      <c r="H2499" s="864">
        <v>0</v>
      </c>
      <c r="I2499" s="864">
        <v>0</v>
      </c>
      <c r="J2499" s="864">
        <v>0</v>
      </c>
      <c r="K2499" s="864">
        <v>28491.933624439029</v>
      </c>
      <c r="L2499" s="18" t="s">
        <v>11144</v>
      </c>
      <c r="N2499" s="433"/>
      <c r="P2499" s="433"/>
    </row>
    <row r="2500" spans="1:16" x14ac:dyDescent="0.25">
      <c r="A2500" s="862">
        <v>3218</v>
      </c>
      <c r="B2500" s="863" t="s">
        <v>10590</v>
      </c>
      <c r="C2500" s="862">
        <v>3218</v>
      </c>
      <c r="D2500" s="165" t="s">
        <v>2172</v>
      </c>
      <c r="E2500" s="165" t="s">
        <v>10591</v>
      </c>
      <c r="F2500" s="163">
        <v>1</v>
      </c>
      <c r="G2500" s="864"/>
      <c r="H2500" s="864">
        <v>0</v>
      </c>
      <c r="I2500" s="864">
        <v>0</v>
      </c>
      <c r="J2500" s="864">
        <v>0</v>
      </c>
      <c r="K2500" s="864">
        <v>29477.039587687075</v>
      </c>
      <c r="L2500" s="18" t="s">
        <v>11145</v>
      </c>
      <c r="N2500" s="433"/>
      <c r="P2500" s="433"/>
    </row>
    <row r="2501" spans="1:16" x14ac:dyDescent="0.25">
      <c r="A2501" s="862">
        <v>3219</v>
      </c>
      <c r="B2501" s="863" t="s">
        <v>10592</v>
      </c>
      <c r="C2501" s="862">
        <v>3219</v>
      </c>
      <c r="D2501" s="165" t="s">
        <v>2172</v>
      </c>
      <c r="E2501" s="165" t="s">
        <v>10593</v>
      </c>
      <c r="F2501" s="163">
        <v>1</v>
      </c>
      <c r="G2501" s="864"/>
      <c r="H2501" s="864">
        <v>0</v>
      </c>
      <c r="I2501" s="864">
        <v>0</v>
      </c>
      <c r="J2501" s="864">
        <v>0</v>
      </c>
      <c r="K2501" s="864">
        <v>30636.248926933655</v>
      </c>
      <c r="L2501" s="18" t="s">
        <v>11146</v>
      </c>
      <c r="N2501" s="433"/>
      <c r="P2501" s="433"/>
    </row>
    <row r="2502" spans="1:16" x14ac:dyDescent="0.25">
      <c r="A2502" s="862">
        <v>3220</v>
      </c>
      <c r="B2502" s="863" t="s">
        <v>10594</v>
      </c>
      <c r="C2502" s="862">
        <v>3220</v>
      </c>
      <c r="D2502" s="165" t="s">
        <v>2172</v>
      </c>
      <c r="E2502" s="165" t="s">
        <v>10595</v>
      </c>
      <c r="F2502" s="163">
        <v>1</v>
      </c>
      <c r="G2502" s="864"/>
      <c r="H2502" s="864">
        <v>0</v>
      </c>
      <c r="I2502" s="864">
        <v>19781.655796897761</v>
      </c>
      <c r="J2502" s="864">
        <v>20643.863970244856</v>
      </c>
      <c r="K2502" s="864">
        <v>21097.643537995795</v>
      </c>
      <c r="L2502" s="18" t="s">
        <v>4884</v>
      </c>
      <c r="N2502" s="433"/>
      <c r="P2502" s="433"/>
    </row>
    <row r="2503" spans="1:16" x14ac:dyDescent="0.25">
      <c r="A2503" s="862">
        <v>3221</v>
      </c>
      <c r="B2503" s="863" t="s">
        <v>10596</v>
      </c>
      <c r="C2503" s="862">
        <v>3221</v>
      </c>
      <c r="D2503" s="165" t="s">
        <v>2172</v>
      </c>
      <c r="E2503" s="165" t="s">
        <v>10597</v>
      </c>
      <c r="F2503" s="163">
        <v>1</v>
      </c>
      <c r="G2503" s="864"/>
      <c r="H2503" s="864">
        <v>24181.899703208106</v>
      </c>
      <c r="I2503" s="864">
        <v>24768.222856780398</v>
      </c>
      <c r="J2503" s="864">
        <v>25385.427856010454</v>
      </c>
      <c r="K2503" s="864">
        <v>26035.107383497758</v>
      </c>
      <c r="L2503" s="18" t="s">
        <v>1518</v>
      </c>
      <c r="N2503" s="433"/>
      <c r="P2503" s="433"/>
    </row>
    <row r="2504" spans="1:16" x14ac:dyDescent="0.25">
      <c r="A2504" s="862">
        <v>3222</v>
      </c>
      <c r="B2504" s="863" t="s">
        <v>10598</v>
      </c>
      <c r="C2504" s="862">
        <v>3222</v>
      </c>
      <c r="D2504" s="165" t="s">
        <v>2172</v>
      </c>
      <c r="E2504" s="165" t="s">
        <v>10599</v>
      </c>
      <c r="F2504" s="163">
        <v>1</v>
      </c>
      <c r="G2504" s="864"/>
      <c r="H2504" s="864">
        <v>0</v>
      </c>
      <c r="I2504" s="864">
        <v>0</v>
      </c>
      <c r="J2504" s="864">
        <v>45249.133178470147</v>
      </c>
      <c r="K2504" s="864">
        <v>46684.256368149378</v>
      </c>
      <c r="L2504" s="18" t="s">
        <v>4885</v>
      </c>
      <c r="N2504" s="433"/>
      <c r="P2504" s="433"/>
    </row>
    <row r="2505" spans="1:16" x14ac:dyDescent="0.25">
      <c r="A2505" s="862">
        <v>3223</v>
      </c>
      <c r="B2505" s="863" t="s">
        <v>10600</v>
      </c>
      <c r="C2505" s="862">
        <v>3223</v>
      </c>
      <c r="D2505" s="165" t="s">
        <v>2172</v>
      </c>
      <c r="E2505" s="165" t="s">
        <v>10601</v>
      </c>
      <c r="F2505" s="163">
        <v>1</v>
      </c>
      <c r="G2505" s="864"/>
      <c r="H2505" s="864">
        <v>0</v>
      </c>
      <c r="I2505" s="864">
        <v>51166.209560831972</v>
      </c>
      <c r="J2505" s="864">
        <v>52798.99925536861</v>
      </c>
      <c r="K2505" s="864">
        <v>54517.732381408765</v>
      </c>
      <c r="L2505" s="18" t="s">
        <v>4886</v>
      </c>
      <c r="N2505" s="433"/>
      <c r="P2505" s="433"/>
    </row>
    <row r="2506" spans="1:16" x14ac:dyDescent="0.25">
      <c r="A2506" s="862">
        <v>3224</v>
      </c>
      <c r="B2506" s="863" t="s">
        <v>10602</v>
      </c>
      <c r="C2506" s="862">
        <v>3224</v>
      </c>
      <c r="D2506" s="165" t="s">
        <v>2172</v>
      </c>
      <c r="E2506" s="165" t="s">
        <v>10603</v>
      </c>
      <c r="F2506" s="163">
        <v>1</v>
      </c>
      <c r="G2506" s="864"/>
      <c r="H2506" s="864">
        <v>30982.23916256729</v>
      </c>
      <c r="I2506" s="864">
        <v>0</v>
      </c>
      <c r="J2506" s="864">
        <v>0</v>
      </c>
      <c r="K2506" s="864">
        <v>0</v>
      </c>
      <c r="L2506" s="18" t="s">
        <v>1522</v>
      </c>
      <c r="N2506" s="433"/>
      <c r="P2506" s="433"/>
    </row>
    <row r="2507" spans="1:16" x14ac:dyDescent="0.25">
      <c r="A2507" s="862">
        <v>3225</v>
      </c>
      <c r="B2507" s="863" t="s">
        <v>10604</v>
      </c>
      <c r="C2507" s="862">
        <v>3225</v>
      </c>
      <c r="D2507" s="165" t="s">
        <v>2172</v>
      </c>
      <c r="E2507" s="165" t="s">
        <v>10605</v>
      </c>
      <c r="F2507" s="163">
        <v>1</v>
      </c>
      <c r="G2507" s="864"/>
      <c r="H2507" s="864">
        <v>0</v>
      </c>
      <c r="I2507" s="864">
        <v>39779.643753357013</v>
      </c>
      <c r="J2507" s="864">
        <v>41053.584898458452</v>
      </c>
      <c r="K2507" s="864">
        <v>42394.566662773745</v>
      </c>
      <c r="L2507" s="18" t="s">
        <v>4887</v>
      </c>
      <c r="N2507" s="433"/>
      <c r="P2507" s="433"/>
    </row>
    <row r="2508" spans="1:16" x14ac:dyDescent="0.25">
      <c r="A2508" s="862">
        <v>3226</v>
      </c>
      <c r="B2508" s="863" t="s">
        <v>10606</v>
      </c>
      <c r="C2508" s="862">
        <v>3226</v>
      </c>
      <c r="D2508" s="165" t="s">
        <v>2172</v>
      </c>
      <c r="E2508" s="165" t="s">
        <v>10607</v>
      </c>
      <c r="F2508" s="163">
        <v>1</v>
      </c>
      <c r="G2508" s="864"/>
      <c r="H2508" s="864">
        <v>0</v>
      </c>
      <c r="I2508" s="864">
        <v>38957.777930847144</v>
      </c>
      <c r="J2508" s="864">
        <v>40188.459414131466</v>
      </c>
      <c r="K2508" s="864">
        <v>41483.911824114555</v>
      </c>
      <c r="L2508" s="18" t="s">
        <v>4888</v>
      </c>
      <c r="N2508" s="433"/>
      <c r="P2508" s="433"/>
    </row>
    <row r="2509" spans="1:16" x14ac:dyDescent="0.25">
      <c r="A2509" s="862">
        <v>3227</v>
      </c>
      <c r="B2509" s="863" t="s">
        <v>10608</v>
      </c>
      <c r="C2509" s="862">
        <v>3227</v>
      </c>
      <c r="D2509" s="165" t="s">
        <v>2172</v>
      </c>
      <c r="E2509" s="165" t="s">
        <v>10609</v>
      </c>
      <c r="F2509" s="163">
        <v>1</v>
      </c>
      <c r="G2509" s="864"/>
      <c r="H2509" s="864">
        <v>0</v>
      </c>
      <c r="I2509" s="864">
        <v>40076.939596823751</v>
      </c>
      <c r="J2509" s="864">
        <v>41366.531457476885</v>
      </c>
      <c r="K2509" s="864">
        <v>42724.010837536043</v>
      </c>
      <c r="L2509" s="18" t="s">
        <v>4889</v>
      </c>
      <c r="N2509" s="433"/>
      <c r="P2509" s="433"/>
    </row>
    <row r="2510" spans="1:16" x14ac:dyDescent="0.25">
      <c r="A2510" s="862">
        <v>3228</v>
      </c>
      <c r="B2510" s="863" t="s">
        <v>10610</v>
      </c>
      <c r="C2510" s="862">
        <v>3228</v>
      </c>
      <c r="D2510" s="165" t="s">
        <v>2172</v>
      </c>
      <c r="E2510" s="165" t="s">
        <v>10611</v>
      </c>
      <c r="F2510" s="163">
        <v>1</v>
      </c>
      <c r="G2510" s="864"/>
      <c r="H2510" s="864">
        <v>41336.142589519717</v>
      </c>
      <c r="I2510" s="864">
        <v>42640.538265532348</v>
      </c>
      <c r="J2510" s="864">
        <v>44013.60060912784</v>
      </c>
      <c r="K2510" s="864">
        <v>45458.954353128735</v>
      </c>
      <c r="L2510" s="18" t="s">
        <v>1523</v>
      </c>
      <c r="N2510" s="433"/>
      <c r="P2510" s="433"/>
    </row>
    <row r="2511" spans="1:16" x14ac:dyDescent="0.25">
      <c r="A2511" s="862">
        <v>3229</v>
      </c>
      <c r="B2511" s="863" t="s">
        <v>10612</v>
      </c>
      <c r="C2511" s="862">
        <v>3229</v>
      </c>
      <c r="D2511" s="165" t="s">
        <v>2172</v>
      </c>
      <c r="E2511" s="165" t="s">
        <v>10613</v>
      </c>
      <c r="F2511" s="163">
        <v>1</v>
      </c>
      <c r="G2511" s="864"/>
      <c r="H2511" s="864">
        <v>0</v>
      </c>
      <c r="I2511" s="864">
        <v>42338.900459001314</v>
      </c>
      <c r="J2511" s="864">
        <v>43698.344647506368</v>
      </c>
      <c r="K2511" s="864">
        <v>45129.334964247704</v>
      </c>
      <c r="L2511" s="18" t="s">
        <v>4890</v>
      </c>
      <c r="N2511" s="433"/>
      <c r="P2511" s="433"/>
    </row>
    <row r="2512" spans="1:16" x14ac:dyDescent="0.25">
      <c r="A2512" s="862">
        <v>3230</v>
      </c>
      <c r="B2512" s="863" t="s">
        <v>10614</v>
      </c>
      <c r="C2512" s="862">
        <v>3230</v>
      </c>
      <c r="D2512" s="165" t="s">
        <v>2172</v>
      </c>
      <c r="E2512" s="165" t="s">
        <v>10615</v>
      </c>
      <c r="F2512" s="163">
        <v>1</v>
      </c>
      <c r="G2512" s="864"/>
      <c r="H2512" s="864">
        <v>0</v>
      </c>
      <c r="I2512" s="864">
        <v>41517.034636491444</v>
      </c>
      <c r="J2512" s="864">
        <v>42833.219163179383</v>
      </c>
      <c r="K2512" s="864">
        <v>44218.680125588537</v>
      </c>
      <c r="L2512" s="18" t="s">
        <v>4891</v>
      </c>
      <c r="N2512" s="433"/>
      <c r="P2512" s="433"/>
    </row>
    <row r="2513" spans="1:16" x14ac:dyDescent="0.25">
      <c r="A2513" s="862">
        <v>3231</v>
      </c>
      <c r="B2513" s="863" t="s">
        <v>10616</v>
      </c>
      <c r="C2513" s="862">
        <v>3231</v>
      </c>
      <c r="D2513" s="165" t="s">
        <v>2172</v>
      </c>
      <c r="E2513" s="165" t="s">
        <v>10617</v>
      </c>
      <c r="F2513" s="163">
        <v>1</v>
      </c>
      <c r="G2513" s="864"/>
      <c r="H2513" s="864">
        <v>0</v>
      </c>
      <c r="I2513" s="864">
        <v>42636.196302468059</v>
      </c>
      <c r="J2513" s="864">
        <v>44011.291206524795</v>
      </c>
      <c r="K2513" s="864">
        <v>45458.745263002325</v>
      </c>
      <c r="L2513" s="18" t="s">
        <v>4892</v>
      </c>
      <c r="N2513" s="433"/>
      <c r="P2513" s="433"/>
    </row>
    <row r="2514" spans="1:16" x14ac:dyDescent="0.25">
      <c r="A2514" s="862">
        <v>3232</v>
      </c>
      <c r="B2514" s="863" t="s">
        <v>10618</v>
      </c>
      <c r="C2514" s="862">
        <v>3232</v>
      </c>
      <c r="D2514" s="165" t="s">
        <v>2172</v>
      </c>
      <c r="E2514" s="165" t="s">
        <v>10619</v>
      </c>
      <c r="F2514" s="163">
        <v>1</v>
      </c>
      <c r="G2514" s="864"/>
      <c r="H2514" s="864">
        <v>42714.804284517901</v>
      </c>
      <c r="I2514" s="864">
        <v>44065.271330985721</v>
      </c>
      <c r="J2514" s="864">
        <v>45486.810241582214</v>
      </c>
      <c r="K2514" s="864">
        <v>46983.181253160707</v>
      </c>
      <c r="L2514" s="18" t="s">
        <v>1524</v>
      </c>
      <c r="N2514" s="433"/>
      <c r="P2514" s="433"/>
    </row>
    <row r="2515" spans="1:16" x14ac:dyDescent="0.25">
      <c r="A2515" s="862">
        <v>3233</v>
      </c>
      <c r="B2515" s="863" t="s">
        <v>10620</v>
      </c>
      <c r="C2515" s="862">
        <v>3233</v>
      </c>
      <c r="D2515" s="165" t="s">
        <v>2172</v>
      </c>
      <c r="E2515" s="165" t="s">
        <v>10621</v>
      </c>
      <c r="F2515" s="163">
        <v>1</v>
      </c>
      <c r="G2515" s="864"/>
      <c r="H2515" s="864">
        <v>36614.26598685349</v>
      </c>
      <c r="I2515" s="864">
        <v>40306.005552637274</v>
      </c>
      <c r="J2515" s="864">
        <v>0</v>
      </c>
      <c r="K2515" s="864">
        <v>0</v>
      </c>
      <c r="L2515" s="18" t="s">
        <v>4893</v>
      </c>
      <c r="N2515" s="433"/>
      <c r="P2515" s="433"/>
    </row>
    <row r="2516" spans="1:16" x14ac:dyDescent="0.25">
      <c r="A2516" s="862">
        <v>3234</v>
      </c>
      <c r="B2516" s="863" t="s">
        <v>10622</v>
      </c>
      <c r="C2516" s="862">
        <v>3234</v>
      </c>
      <c r="D2516" s="165" t="s">
        <v>2172</v>
      </c>
      <c r="E2516" s="165" t="s">
        <v>10623</v>
      </c>
      <c r="F2516" s="163">
        <v>1</v>
      </c>
      <c r="G2516" s="864"/>
      <c r="H2516" s="864">
        <v>0</v>
      </c>
      <c r="I2516" s="864">
        <v>48460.886520894455</v>
      </c>
      <c r="J2516" s="864">
        <v>50003.295026920467</v>
      </c>
      <c r="K2516" s="864">
        <v>51626.904323373725</v>
      </c>
      <c r="L2516" s="18" t="s">
        <v>4894</v>
      </c>
      <c r="N2516" s="433"/>
      <c r="P2516" s="433"/>
    </row>
    <row r="2517" spans="1:16" x14ac:dyDescent="0.25">
      <c r="A2517" s="862">
        <v>3235</v>
      </c>
      <c r="B2517" s="863" t="s">
        <v>10624</v>
      </c>
      <c r="C2517" s="862">
        <v>3235</v>
      </c>
      <c r="D2517" s="165" t="s">
        <v>2172</v>
      </c>
      <c r="E2517" s="165" t="s">
        <v>10625</v>
      </c>
      <c r="F2517" s="163">
        <v>1</v>
      </c>
      <c r="G2517" s="864"/>
      <c r="H2517" s="864">
        <v>0</v>
      </c>
      <c r="I2517" s="864">
        <v>49513.325609799438</v>
      </c>
      <c r="J2517" s="864">
        <v>51090.897411805221</v>
      </c>
      <c r="K2517" s="864">
        <v>52751.499308653401</v>
      </c>
      <c r="L2517" s="18" t="s">
        <v>4895</v>
      </c>
      <c r="N2517" s="433"/>
      <c r="P2517" s="433"/>
    </row>
    <row r="2518" spans="1:16" x14ac:dyDescent="0.25">
      <c r="A2518" s="862">
        <v>3236</v>
      </c>
      <c r="B2518" s="863" t="s">
        <v>10626</v>
      </c>
      <c r="C2518" s="862">
        <v>3236</v>
      </c>
      <c r="D2518" s="165" t="s">
        <v>2172</v>
      </c>
      <c r="E2518" s="165" t="s">
        <v>10627</v>
      </c>
      <c r="F2518" s="163">
        <v>2</v>
      </c>
      <c r="G2518" s="864"/>
      <c r="H2518" s="864">
        <v>22307.895172412151</v>
      </c>
      <c r="I2518" s="864">
        <v>24101.585806129424</v>
      </c>
      <c r="J2518" s="864">
        <v>25045.625825822808</v>
      </c>
      <c r="K2518" s="864">
        <v>26039.390573657547</v>
      </c>
      <c r="L2518" s="18" t="s">
        <v>1525</v>
      </c>
      <c r="N2518" s="433"/>
      <c r="P2518" s="433"/>
    </row>
    <row r="2519" spans="1:16" x14ac:dyDescent="0.25">
      <c r="A2519" s="862">
        <v>3237</v>
      </c>
      <c r="B2519" s="863" t="s">
        <v>10628</v>
      </c>
      <c r="C2519" s="862">
        <v>3237</v>
      </c>
      <c r="D2519" s="165" t="s">
        <v>2172</v>
      </c>
      <c r="E2519" s="165" t="s">
        <v>10629</v>
      </c>
      <c r="F2519" s="163">
        <v>2</v>
      </c>
      <c r="G2519" s="864"/>
      <c r="H2519" s="864">
        <v>0</v>
      </c>
      <c r="I2519" s="864">
        <v>0</v>
      </c>
      <c r="J2519" s="864">
        <v>28459.445401722031</v>
      </c>
      <c r="K2519" s="864">
        <v>0</v>
      </c>
      <c r="L2519" s="18" t="s">
        <v>4896</v>
      </c>
      <c r="N2519" s="433"/>
      <c r="P2519" s="433"/>
    </row>
    <row r="2520" spans="1:16" x14ac:dyDescent="0.25">
      <c r="A2520" s="862">
        <v>3238</v>
      </c>
      <c r="B2520" s="863" t="s">
        <v>10630</v>
      </c>
      <c r="C2520" s="862">
        <v>3238</v>
      </c>
      <c r="D2520" s="165" t="s">
        <v>2172</v>
      </c>
      <c r="E2520" s="165" t="s">
        <v>10631</v>
      </c>
      <c r="F2520" s="163">
        <v>2</v>
      </c>
      <c r="G2520" s="864"/>
      <c r="H2520" s="864">
        <v>0</v>
      </c>
      <c r="I2520" s="864">
        <v>0</v>
      </c>
      <c r="J2520" s="864">
        <v>29401.708483022489</v>
      </c>
      <c r="K2520" s="864">
        <v>0</v>
      </c>
      <c r="L2520" s="18" t="s">
        <v>4897</v>
      </c>
      <c r="N2520" s="433"/>
      <c r="P2520" s="433"/>
    </row>
    <row r="2521" spans="1:16" x14ac:dyDescent="0.25">
      <c r="A2521" s="862">
        <v>3239</v>
      </c>
      <c r="B2521" s="863" t="s">
        <v>10632</v>
      </c>
      <c r="C2521" s="862">
        <v>3239</v>
      </c>
      <c r="D2521" s="165" t="s">
        <v>2172</v>
      </c>
      <c r="E2521" s="165" t="s">
        <v>10633</v>
      </c>
      <c r="F2521" s="163">
        <v>2</v>
      </c>
      <c r="G2521" s="864"/>
      <c r="H2521" s="864">
        <v>23337.948530768736</v>
      </c>
      <c r="I2521" s="864">
        <v>24234.40461296482</v>
      </c>
      <c r="J2521" s="864">
        <v>25178.055397995649</v>
      </c>
      <c r="K2521" s="864">
        <v>26171.382256835012</v>
      </c>
      <c r="L2521" s="18" t="s">
        <v>1526</v>
      </c>
      <c r="N2521" s="433"/>
      <c r="P2521" s="433"/>
    </row>
    <row r="2522" spans="1:16" x14ac:dyDescent="0.25">
      <c r="A2522" s="862">
        <v>3240</v>
      </c>
      <c r="B2522" s="863" t="s">
        <v>10634</v>
      </c>
      <c r="C2522" s="862">
        <v>3240</v>
      </c>
      <c r="D2522" s="165" t="s">
        <v>2172</v>
      </c>
      <c r="E2522" s="165" t="s">
        <v>10635</v>
      </c>
      <c r="F2522" s="163">
        <v>2</v>
      </c>
      <c r="G2522" s="864"/>
      <c r="H2522" s="864">
        <v>23562.404723936852</v>
      </c>
      <c r="I2522" s="864">
        <v>24469.078216024991</v>
      </c>
      <c r="J2522" s="864">
        <v>25423.481608608894</v>
      </c>
      <c r="K2522" s="864">
        <v>26428.096272662344</v>
      </c>
      <c r="L2522" s="18" t="s">
        <v>1527</v>
      </c>
      <c r="N2522" s="433"/>
      <c r="P2522" s="433"/>
    </row>
    <row r="2523" spans="1:16" x14ac:dyDescent="0.25">
      <c r="A2523" s="862">
        <v>3241</v>
      </c>
      <c r="B2523" s="863" t="s">
        <v>10636</v>
      </c>
      <c r="C2523" s="862">
        <v>3241</v>
      </c>
      <c r="D2523" s="165" t="s">
        <v>2172</v>
      </c>
      <c r="E2523" s="165" t="s">
        <v>10637</v>
      </c>
      <c r="F2523" s="163">
        <v>2</v>
      </c>
      <c r="G2523" s="864"/>
      <c r="H2523" s="864">
        <v>21175.473113506752</v>
      </c>
      <c r="I2523" s="864">
        <v>21973.647443407797</v>
      </c>
      <c r="J2523" s="864">
        <v>22813.85911686474</v>
      </c>
      <c r="K2523" s="864">
        <v>23698.29757885445</v>
      </c>
      <c r="L2523" s="18" t="s">
        <v>1528</v>
      </c>
      <c r="N2523" s="433"/>
      <c r="P2523" s="433"/>
    </row>
    <row r="2524" spans="1:16" x14ac:dyDescent="0.25">
      <c r="A2524" s="862">
        <v>3242</v>
      </c>
      <c r="B2524" s="863" t="s">
        <v>10638</v>
      </c>
      <c r="C2524" s="862">
        <v>3242</v>
      </c>
      <c r="D2524" s="165" t="s">
        <v>2172</v>
      </c>
      <c r="E2524" s="165" t="s">
        <v>10639</v>
      </c>
      <c r="F2524" s="163">
        <v>2</v>
      </c>
      <c r="G2524" s="864"/>
      <c r="H2524" s="864">
        <v>22205.526471863341</v>
      </c>
      <c r="I2524" s="864">
        <v>23050.5549242694</v>
      </c>
      <c r="J2524" s="864">
        <v>23940.053436872313</v>
      </c>
      <c r="K2524" s="864">
        <v>24876.357417647429</v>
      </c>
      <c r="L2524" s="18" t="s">
        <v>1529</v>
      </c>
      <c r="N2524" s="433"/>
      <c r="P2524" s="433"/>
    </row>
    <row r="2525" spans="1:16" x14ac:dyDescent="0.25">
      <c r="A2525" s="862">
        <v>3243</v>
      </c>
      <c r="B2525" s="863" t="s">
        <v>10640</v>
      </c>
      <c r="C2525" s="862">
        <v>3243</v>
      </c>
      <c r="D2525" s="165" t="s">
        <v>2172</v>
      </c>
      <c r="E2525" s="165" t="s">
        <v>10641</v>
      </c>
      <c r="F2525" s="163">
        <v>1</v>
      </c>
      <c r="G2525" s="864"/>
      <c r="H2525" s="864">
        <v>0</v>
      </c>
      <c r="I2525" s="864">
        <v>15560.257056037715</v>
      </c>
      <c r="J2525" s="864">
        <v>15878.116151880417</v>
      </c>
      <c r="K2525" s="864">
        <v>16212.70854928802</v>
      </c>
      <c r="L2525" s="18" t="s">
        <v>4898</v>
      </c>
      <c r="N2525" s="433"/>
      <c r="P2525" s="433"/>
    </row>
    <row r="2526" spans="1:16" x14ac:dyDescent="0.25">
      <c r="A2526" s="862">
        <v>3244</v>
      </c>
      <c r="B2526" s="863" t="s">
        <v>10642</v>
      </c>
      <c r="C2526" s="862">
        <v>3244</v>
      </c>
      <c r="D2526" s="165" t="s">
        <v>2172</v>
      </c>
      <c r="E2526" s="165" t="s">
        <v>10643</v>
      </c>
      <c r="F2526" s="163">
        <v>1</v>
      </c>
      <c r="G2526" s="864"/>
      <c r="H2526" s="864">
        <v>15774.952386468225</v>
      </c>
      <c r="I2526" s="864">
        <v>16120.73713519756</v>
      </c>
      <c r="J2526" s="864">
        <v>16484.727863297278</v>
      </c>
      <c r="K2526" s="864">
        <v>16867.881811340954</v>
      </c>
      <c r="L2526" s="18" t="s">
        <v>1530</v>
      </c>
      <c r="N2526" s="433"/>
      <c r="P2526" s="433"/>
    </row>
    <row r="2527" spans="1:16" x14ac:dyDescent="0.25">
      <c r="A2527" s="862">
        <v>3245</v>
      </c>
      <c r="B2527" s="863" t="s">
        <v>10644</v>
      </c>
      <c r="C2527" s="862">
        <v>3245</v>
      </c>
      <c r="D2527" s="165" t="s">
        <v>2172</v>
      </c>
      <c r="E2527" s="165" t="s">
        <v>10645</v>
      </c>
      <c r="F2527" s="163">
        <v>1</v>
      </c>
      <c r="G2527" s="864"/>
      <c r="H2527" s="864">
        <v>0</v>
      </c>
      <c r="I2527" s="864">
        <v>15937.744998536444</v>
      </c>
      <c r="J2527" s="864">
        <v>16259.948493905347</v>
      </c>
      <c r="K2527" s="864">
        <v>16599.106192509971</v>
      </c>
      <c r="L2527" s="18" t="s">
        <v>4899</v>
      </c>
      <c r="N2527" s="433"/>
      <c r="P2527" s="433"/>
    </row>
    <row r="2528" spans="1:16" x14ac:dyDescent="0.25">
      <c r="A2528" s="862">
        <v>3246</v>
      </c>
      <c r="B2528" s="863" t="s">
        <v>10646</v>
      </c>
      <c r="C2528" s="862">
        <v>3246</v>
      </c>
      <c r="D2528" s="165" t="s">
        <v>2172</v>
      </c>
      <c r="E2528" s="165" t="s">
        <v>10647</v>
      </c>
      <c r="F2528" s="163">
        <v>1</v>
      </c>
      <c r="G2528" s="864"/>
      <c r="H2528" s="864">
        <v>0</v>
      </c>
      <c r="I2528" s="864">
        <v>13723.683553103841</v>
      </c>
      <c r="J2528" s="864">
        <v>13997.822526596028</v>
      </c>
      <c r="K2528" s="864">
        <v>14286.375334109462</v>
      </c>
      <c r="L2528" s="18" t="s">
        <v>4900</v>
      </c>
      <c r="N2528" s="433"/>
      <c r="P2528" s="433"/>
    </row>
    <row r="2529" spans="1:16" x14ac:dyDescent="0.25">
      <c r="A2529" s="862">
        <v>3247</v>
      </c>
      <c r="B2529" s="863" t="s">
        <v>10648</v>
      </c>
      <c r="C2529" s="862">
        <v>3247</v>
      </c>
      <c r="D2529" s="165" t="s">
        <v>2172</v>
      </c>
      <c r="E2529" s="165" t="s">
        <v>10649</v>
      </c>
      <c r="F2529" s="163">
        <v>1</v>
      </c>
      <c r="G2529" s="864"/>
      <c r="H2529" s="864">
        <v>0</v>
      </c>
      <c r="I2529" s="864">
        <v>14760.425421409002</v>
      </c>
      <c r="J2529" s="864">
        <v>15059.231748143166</v>
      </c>
      <c r="K2529" s="864">
        <v>15373.777318923518</v>
      </c>
      <c r="L2529" s="18" t="s">
        <v>4901</v>
      </c>
      <c r="N2529" s="433"/>
      <c r="P2529" s="433"/>
    </row>
    <row r="2530" spans="1:16" x14ac:dyDescent="0.25">
      <c r="A2530" s="862">
        <v>3248</v>
      </c>
      <c r="B2530" s="863" t="s">
        <v>10650</v>
      </c>
      <c r="C2530" s="862">
        <v>3248</v>
      </c>
      <c r="D2530" s="165" t="s">
        <v>2172</v>
      </c>
      <c r="E2530" s="165" t="s">
        <v>10651</v>
      </c>
      <c r="F2530" s="163">
        <v>1</v>
      </c>
      <c r="G2530" s="864"/>
      <c r="H2530" s="864">
        <v>0</v>
      </c>
      <c r="I2530" s="864">
        <v>0</v>
      </c>
      <c r="J2530" s="864">
        <v>16688.449235965265</v>
      </c>
      <c r="K2530" s="864">
        <v>17038.09976393402</v>
      </c>
      <c r="L2530" s="18" t="s">
        <v>4902</v>
      </c>
      <c r="N2530" s="433"/>
      <c r="P2530" s="433"/>
    </row>
    <row r="2531" spans="1:16" x14ac:dyDescent="0.25">
      <c r="A2531" s="862">
        <v>3249</v>
      </c>
      <c r="B2531" s="863" t="s">
        <v>10652</v>
      </c>
      <c r="C2531" s="862">
        <v>3249</v>
      </c>
      <c r="D2531" s="165" t="s">
        <v>2172</v>
      </c>
      <c r="E2531" s="165" t="s">
        <v>10653</v>
      </c>
      <c r="F2531" s="163">
        <v>1</v>
      </c>
      <c r="G2531" s="864"/>
      <c r="H2531" s="864">
        <v>0</v>
      </c>
      <c r="I2531" s="864">
        <v>0</v>
      </c>
      <c r="J2531" s="864">
        <v>17749.858457512393</v>
      </c>
      <c r="K2531" s="864">
        <v>18125.483340275496</v>
      </c>
      <c r="L2531" s="18" t="s">
        <v>4903</v>
      </c>
      <c r="N2531" s="433"/>
      <c r="P2531" s="433"/>
    </row>
    <row r="2532" spans="1:16" x14ac:dyDescent="0.25">
      <c r="A2532" s="862">
        <v>3250</v>
      </c>
      <c r="B2532" s="863" t="s">
        <v>10654</v>
      </c>
      <c r="C2532" s="862">
        <v>3250</v>
      </c>
      <c r="D2532" s="165" t="s">
        <v>2172</v>
      </c>
      <c r="E2532" s="165" t="s">
        <v>10655</v>
      </c>
      <c r="F2532" s="163">
        <v>1</v>
      </c>
      <c r="G2532" s="864"/>
      <c r="H2532" s="864">
        <v>0</v>
      </c>
      <c r="I2532" s="864">
        <v>15688.923138859232</v>
      </c>
      <c r="J2532" s="864">
        <v>16005.199106061036</v>
      </c>
      <c r="K2532" s="864">
        <v>16338.134740937461</v>
      </c>
      <c r="L2532" s="18" t="s">
        <v>4904</v>
      </c>
      <c r="N2532" s="433"/>
      <c r="P2532" s="433"/>
    </row>
    <row r="2533" spans="1:16" x14ac:dyDescent="0.25">
      <c r="A2533" s="862">
        <v>3251</v>
      </c>
      <c r="B2533" s="863" t="s">
        <v>10656</v>
      </c>
      <c r="C2533" s="862">
        <v>3251</v>
      </c>
      <c r="D2533" s="165" t="s">
        <v>2172</v>
      </c>
      <c r="E2533" s="165" t="s">
        <v>10657</v>
      </c>
      <c r="F2533" s="163">
        <v>1</v>
      </c>
      <c r="G2533" s="864"/>
      <c r="H2533" s="864">
        <v>0</v>
      </c>
      <c r="I2533" s="864">
        <v>14788.381255558945</v>
      </c>
      <c r="J2533" s="864">
        <v>15083.229760690849</v>
      </c>
      <c r="K2533" s="864">
        <v>15393.596608198121</v>
      </c>
      <c r="L2533" s="18" t="s">
        <v>4905</v>
      </c>
      <c r="N2533" s="433"/>
      <c r="P2533" s="433"/>
    </row>
    <row r="2534" spans="1:16" x14ac:dyDescent="0.25">
      <c r="A2534" s="862">
        <v>3252</v>
      </c>
      <c r="B2534" s="863" t="s">
        <v>10658</v>
      </c>
      <c r="C2534" s="862">
        <v>3252</v>
      </c>
      <c r="D2534" s="165" t="s">
        <v>2172</v>
      </c>
      <c r="E2534" s="165" t="s">
        <v>10659</v>
      </c>
      <c r="F2534" s="163">
        <v>1</v>
      </c>
      <c r="G2534" s="864"/>
      <c r="H2534" s="864">
        <v>0</v>
      </c>
      <c r="I2534" s="864">
        <v>15825.123123864107</v>
      </c>
      <c r="J2534" s="864">
        <v>16144.63898223799</v>
      </c>
      <c r="K2534" s="864">
        <v>16480.980184539614</v>
      </c>
      <c r="L2534" s="18" t="s">
        <v>4906</v>
      </c>
      <c r="N2534" s="433"/>
      <c r="P2534" s="433"/>
    </row>
    <row r="2535" spans="1:16" x14ac:dyDescent="0.25">
      <c r="A2535" s="862">
        <v>3253</v>
      </c>
      <c r="B2535" s="863" t="s">
        <v>10660</v>
      </c>
      <c r="C2535" s="862">
        <v>3253</v>
      </c>
      <c r="D2535" s="165" t="s">
        <v>2172</v>
      </c>
      <c r="E2535" s="165" t="s">
        <v>10661</v>
      </c>
      <c r="F2535" s="163">
        <v>2</v>
      </c>
      <c r="G2535" s="864"/>
      <c r="H2535" s="864">
        <v>12471.785568176287</v>
      </c>
      <c r="I2535" s="864">
        <v>12891.623806074249</v>
      </c>
      <c r="J2535" s="864">
        <v>13333.59976540501</v>
      </c>
      <c r="K2535" s="864">
        <v>13798.832495823406</v>
      </c>
      <c r="L2535" s="18" t="s">
        <v>1531</v>
      </c>
      <c r="N2535" s="433"/>
      <c r="P2535" s="433"/>
    </row>
    <row r="2536" spans="1:16" x14ac:dyDescent="0.25">
      <c r="A2536" s="862">
        <v>3254</v>
      </c>
      <c r="B2536" s="863" t="s">
        <v>10662</v>
      </c>
      <c r="C2536" s="862">
        <v>3254</v>
      </c>
      <c r="D2536" s="165" t="s">
        <v>2172</v>
      </c>
      <c r="E2536" s="165" t="s">
        <v>10663</v>
      </c>
      <c r="F2536" s="163">
        <v>2</v>
      </c>
      <c r="G2536" s="864"/>
      <c r="H2536" s="864">
        <v>12109.135473531162</v>
      </c>
      <c r="I2536" s="864">
        <v>12509.706595632671</v>
      </c>
      <c r="J2536" s="864">
        <v>12931.345043844949</v>
      </c>
      <c r="K2536" s="864">
        <v>13375.218522155661</v>
      </c>
      <c r="L2536" s="18" t="s">
        <v>1532</v>
      </c>
      <c r="N2536" s="433"/>
      <c r="P2536" s="433"/>
    </row>
    <row r="2537" spans="1:16" x14ac:dyDescent="0.25">
      <c r="A2537" s="862">
        <v>3255</v>
      </c>
      <c r="B2537" s="863" t="s">
        <v>10664</v>
      </c>
      <c r="C2537" s="862">
        <v>3255</v>
      </c>
      <c r="D2537" s="165" t="s">
        <v>2172</v>
      </c>
      <c r="E2537" s="165" t="s">
        <v>10665</v>
      </c>
      <c r="F2537" s="163">
        <v>2</v>
      </c>
      <c r="G2537" s="864"/>
      <c r="H2537" s="864">
        <v>12893.055732736484</v>
      </c>
      <c r="I2537" s="864">
        <v>13330.604147780685</v>
      </c>
      <c r="J2537" s="864">
        <v>13791.166062248423</v>
      </c>
      <c r="K2537" s="864">
        <v>14275.957834460187</v>
      </c>
      <c r="L2537" s="18" t="s">
        <v>1533</v>
      </c>
      <c r="N2537" s="433"/>
      <c r="P2537" s="433"/>
    </row>
    <row r="2538" spans="1:16" x14ac:dyDescent="0.25">
      <c r="A2538" s="862">
        <v>3256</v>
      </c>
      <c r="B2538" s="863" t="s">
        <v>10666</v>
      </c>
      <c r="C2538" s="862">
        <v>3256</v>
      </c>
      <c r="D2538" s="165" t="s">
        <v>2172</v>
      </c>
      <c r="E2538" s="165" t="s">
        <v>10667</v>
      </c>
      <c r="F2538" s="163">
        <v>2</v>
      </c>
      <c r="G2538" s="864"/>
      <c r="H2538" s="864">
        <v>12929.225204211374</v>
      </c>
      <c r="I2538" s="864">
        <v>13368.476520904249</v>
      </c>
      <c r="J2538" s="864">
        <v>13830.838645686308</v>
      </c>
      <c r="K2538" s="864">
        <v>14317.527936878023</v>
      </c>
      <c r="L2538" s="18" t="s">
        <v>1534</v>
      </c>
      <c r="N2538" s="433"/>
      <c r="P2538" s="433"/>
    </row>
    <row r="2539" spans="1:16" x14ac:dyDescent="0.25">
      <c r="A2539" s="862">
        <v>3257</v>
      </c>
      <c r="B2539" s="863" t="s">
        <v>10668</v>
      </c>
      <c r="C2539" s="862">
        <v>3257</v>
      </c>
      <c r="D2539" s="165" t="s">
        <v>2172</v>
      </c>
      <c r="E2539" s="165" t="s">
        <v>10669</v>
      </c>
      <c r="F2539" s="163">
        <v>1</v>
      </c>
      <c r="G2539" s="864"/>
      <c r="H2539" s="864">
        <v>0</v>
      </c>
      <c r="I2539" s="864">
        <v>0</v>
      </c>
      <c r="J2539" s="864">
        <v>15470.060835563383</v>
      </c>
      <c r="K2539" s="864">
        <v>15913.286949067413</v>
      </c>
      <c r="L2539" s="18" t="s">
        <v>4907</v>
      </c>
      <c r="N2539" s="433"/>
      <c r="P2539" s="433"/>
    </row>
    <row r="2540" spans="1:16" x14ac:dyDescent="0.25">
      <c r="A2540" s="862">
        <v>3258</v>
      </c>
      <c r="B2540" s="863" t="s">
        <v>10670</v>
      </c>
      <c r="C2540" s="862">
        <v>3258</v>
      </c>
      <c r="D2540" s="165" t="s">
        <v>2172</v>
      </c>
      <c r="E2540" s="165" t="s">
        <v>10671</v>
      </c>
      <c r="F2540" s="163">
        <v>1</v>
      </c>
      <c r="G2540" s="864"/>
      <c r="H2540" s="864">
        <v>0</v>
      </c>
      <c r="I2540" s="864">
        <v>0</v>
      </c>
      <c r="J2540" s="864">
        <v>14172.709161391636</v>
      </c>
      <c r="K2540" s="864">
        <v>14572.314868383568</v>
      </c>
      <c r="L2540" s="18" t="s">
        <v>4908</v>
      </c>
      <c r="N2540" s="433"/>
      <c r="P2540" s="433"/>
    </row>
    <row r="2541" spans="1:16" x14ac:dyDescent="0.25">
      <c r="A2541" s="862">
        <v>3259</v>
      </c>
      <c r="B2541" s="863" t="s">
        <v>10672</v>
      </c>
      <c r="C2541" s="862">
        <v>3259</v>
      </c>
      <c r="D2541" s="165" t="s">
        <v>2172</v>
      </c>
      <c r="E2541" s="165" t="s">
        <v>10673</v>
      </c>
      <c r="F2541" s="163">
        <v>1</v>
      </c>
      <c r="G2541" s="864"/>
      <c r="H2541" s="864">
        <v>0</v>
      </c>
      <c r="I2541" s="864">
        <v>0</v>
      </c>
      <c r="J2541" s="864">
        <v>16308.097598828865</v>
      </c>
      <c r="K2541" s="864">
        <v>16779.458409496885</v>
      </c>
      <c r="L2541" s="18" t="s">
        <v>4909</v>
      </c>
      <c r="N2541" s="433"/>
      <c r="P2541" s="433"/>
    </row>
    <row r="2542" spans="1:16" x14ac:dyDescent="0.25">
      <c r="A2542" s="862">
        <v>3260</v>
      </c>
      <c r="B2542" s="863" t="s">
        <v>10674</v>
      </c>
      <c r="C2542" s="862">
        <v>3260</v>
      </c>
      <c r="D2542" s="165" t="s">
        <v>2172</v>
      </c>
      <c r="E2542" s="165" t="s">
        <v>10675</v>
      </c>
      <c r="F2542" s="163">
        <v>1</v>
      </c>
      <c r="G2542" s="864"/>
      <c r="H2542" s="864">
        <v>0</v>
      </c>
      <c r="I2542" s="864">
        <v>0</v>
      </c>
      <c r="J2542" s="864">
        <v>15013.366837130194</v>
      </c>
      <c r="K2542" s="864">
        <v>15441.200248549463</v>
      </c>
      <c r="L2542" s="18" t="s">
        <v>4910</v>
      </c>
      <c r="N2542" s="433"/>
      <c r="P2542" s="433"/>
    </row>
    <row r="2543" spans="1:16" x14ac:dyDescent="0.25">
      <c r="A2543" s="862">
        <v>3261</v>
      </c>
      <c r="B2543" s="863" t="s">
        <v>10676</v>
      </c>
      <c r="C2543" s="862">
        <v>3261</v>
      </c>
      <c r="D2543" s="165" t="s">
        <v>2172</v>
      </c>
      <c r="E2543" s="165" t="s">
        <v>10677</v>
      </c>
      <c r="F2543" s="163">
        <v>1</v>
      </c>
      <c r="G2543" s="864"/>
      <c r="H2543" s="864">
        <v>0</v>
      </c>
      <c r="I2543" s="864">
        <v>0</v>
      </c>
      <c r="J2543" s="864">
        <v>18180.08433272213</v>
      </c>
      <c r="K2543" s="864">
        <v>18714.411060679467</v>
      </c>
      <c r="L2543" s="18" t="s">
        <v>4911</v>
      </c>
      <c r="N2543" s="433"/>
      <c r="P2543" s="433"/>
    </row>
    <row r="2544" spans="1:16" x14ac:dyDescent="0.25">
      <c r="A2544" s="862">
        <v>3262</v>
      </c>
      <c r="B2544" s="863" t="s">
        <v>10678</v>
      </c>
      <c r="C2544" s="862">
        <v>3262</v>
      </c>
      <c r="D2544" s="165" t="s">
        <v>2172</v>
      </c>
      <c r="E2544" s="165" t="s">
        <v>10679</v>
      </c>
      <c r="F2544" s="163">
        <v>1</v>
      </c>
      <c r="G2544" s="864"/>
      <c r="H2544" s="864">
        <v>0</v>
      </c>
      <c r="I2544" s="864">
        <v>0</v>
      </c>
      <c r="J2544" s="864">
        <v>16885.353571023465</v>
      </c>
      <c r="K2544" s="864">
        <v>17376.152899732049</v>
      </c>
      <c r="L2544" s="18" t="s">
        <v>4912</v>
      </c>
      <c r="N2544" s="433"/>
      <c r="P2544" s="433"/>
    </row>
    <row r="2545" spans="1:16" x14ac:dyDescent="0.25">
      <c r="A2545" s="862">
        <v>3263</v>
      </c>
      <c r="B2545" s="863" t="s">
        <v>10680</v>
      </c>
      <c r="C2545" s="862">
        <v>3263</v>
      </c>
      <c r="D2545" s="165" t="s">
        <v>2172</v>
      </c>
      <c r="E2545" s="165" t="s">
        <v>10681</v>
      </c>
      <c r="F2545" s="163">
        <v>1</v>
      </c>
      <c r="G2545" s="864"/>
      <c r="H2545" s="864">
        <v>0</v>
      </c>
      <c r="I2545" s="864">
        <v>0</v>
      </c>
      <c r="J2545" s="864">
        <v>17386.603081498914</v>
      </c>
      <c r="K2545" s="864">
        <v>17894.236724874208</v>
      </c>
      <c r="L2545" s="18" t="s">
        <v>4913</v>
      </c>
      <c r="N2545" s="433"/>
      <c r="P2545" s="433"/>
    </row>
    <row r="2546" spans="1:16" x14ac:dyDescent="0.25">
      <c r="A2546" s="862">
        <v>3264</v>
      </c>
      <c r="B2546" s="863" t="s">
        <v>10682</v>
      </c>
      <c r="C2546" s="862">
        <v>3264</v>
      </c>
      <c r="D2546" s="165" t="s">
        <v>2172</v>
      </c>
      <c r="E2546" s="165" t="s">
        <v>10683</v>
      </c>
      <c r="F2546" s="163">
        <v>1</v>
      </c>
      <c r="G2546" s="864"/>
      <c r="H2546" s="864">
        <v>0</v>
      </c>
      <c r="I2546" s="864">
        <v>0</v>
      </c>
      <c r="J2546" s="864">
        <v>16000.140383242648</v>
      </c>
      <c r="K2546" s="864">
        <v>16461.177387678588</v>
      </c>
      <c r="L2546" s="18" t="s">
        <v>4914</v>
      </c>
      <c r="N2546" s="433"/>
      <c r="P2546" s="433"/>
    </row>
    <row r="2547" spans="1:16" x14ac:dyDescent="0.25">
      <c r="A2547" s="862">
        <v>3265</v>
      </c>
      <c r="B2547" s="863" t="s">
        <v>10684</v>
      </c>
      <c r="C2547" s="862">
        <v>3265</v>
      </c>
      <c r="D2547" s="165" t="s">
        <v>2172</v>
      </c>
      <c r="E2547" s="165" t="s">
        <v>10685</v>
      </c>
      <c r="F2547" s="163">
        <v>1</v>
      </c>
      <c r="G2547" s="864"/>
      <c r="H2547" s="864">
        <v>0</v>
      </c>
      <c r="I2547" s="864">
        <v>0</v>
      </c>
      <c r="J2547" s="864">
        <v>19114.439629373097</v>
      </c>
      <c r="K2547" s="864">
        <v>19680.156308711732</v>
      </c>
      <c r="L2547" s="18" t="s">
        <v>4915</v>
      </c>
      <c r="N2547" s="433"/>
      <c r="P2547" s="433"/>
    </row>
    <row r="2548" spans="1:16" x14ac:dyDescent="0.25">
      <c r="A2548" s="862">
        <v>3266</v>
      </c>
      <c r="B2548" s="863" t="s">
        <v>10686</v>
      </c>
      <c r="C2548" s="862">
        <v>3266</v>
      </c>
      <c r="D2548" s="165" t="s">
        <v>2172</v>
      </c>
      <c r="E2548" s="165" t="s">
        <v>10687</v>
      </c>
      <c r="F2548" s="163">
        <v>1</v>
      </c>
      <c r="G2548" s="864"/>
      <c r="H2548" s="864">
        <v>0</v>
      </c>
      <c r="I2548" s="864">
        <v>0</v>
      </c>
      <c r="J2548" s="864">
        <v>17819.708867674428</v>
      </c>
      <c r="K2548" s="864">
        <v>18341.898147764317</v>
      </c>
      <c r="L2548" s="18" t="s">
        <v>4916</v>
      </c>
      <c r="N2548" s="433"/>
      <c r="P2548" s="433"/>
    </row>
    <row r="2549" spans="1:16" x14ac:dyDescent="0.25">
      <c r="A2549" s="862">
        <v>3267</v>
      </c>
      <c r="B2549" s="863" t="s">
        <v>10688</v>
      </c>
      <c r="C2549" s="862">
        <v>3267</v>
      </c>
      <c r="D2549" s="165" t="s">
        <v>2172</v>
      </c>
      <c r="E2549" s="165" t="s">
        <v>10689</v>
      </c>
      <c r="F2549" s="163">
        <v>1</v>
      </c>
      <c r="G2549" s="864"/>
      <c r="H2549" s="864">
        <v>0</v>
      </c>
      <c r="I2549" s="864">
        <v>0</v>
      </c>
      <c r="J2549" s="864">
        <v>0</v>
      </c>
      <c r="K2549" s="864">
        <v>15306.253805996241</v>
      </c>
      <c r="L2549" s="18" t="s">
        <v>11147</v>
      </c>
      <c r="N2549" s="433"/>
      <c r="P2549" s="433"/>
    </row>
    <row r="2550" spans="1:16" x14ac:dyDescent="0.25">
      <c r="A2550" s="862">
        <v>3268</v>
      </c>
      <c r="B2550" s="863" t="s">
        <v>10690</v>
      </c>
      <c r="C2550" s="862">
        <v>3268</v>
      </c>
      <c r="D2550" s="165" t="s">
        <v>2172</v>
      </c>
      <c r="E2550" s="165" t="s">
        <v>10691</v>
      </c>
      <c r="F2550" s="163">
        <v>1</v>
      </c>
      <c r="G2550" s="864"/>
      <c r="H2550" s="864">
        <v>0</v>
      </c>
      <c r="I2550" s="864">
        <v>0</v>
      </c>
      <c r="J2550" s="864">
        <v>0</v>
      </c>
      <c r="K2550" s="864">
        <v>13982.693007093754</v>
      </c>
      <c r="L2550" s="18" t="s">
        <v>11148</v>
      </c>
      <c r="N2550" s="433"/>
      <c r="P2550" s="433"/>
    </row>
    <row r="2551" spans="1:16" x14ac:dyDescent="0.25">
      <c r="A2551" s="862">
        <v>3269</v>
      </c>
      <c r="B2551" s="863" t="s">
        <v>10692</v>
      </c>
      <c r="C2551" s="862">
        <v>3269</v>
      </c>
      <c r="D2551" s="165" t="s">
        <v>2172</v>
      </c>
      <c r="E2551" s="165" t="s">
        <v>10693</v>
      </c>
      <c r="F2551" s="163">
        <v>1</v>
      </c>
      <c r="G2551" s="864"/>
      <c r="H2551" s="864">
        <v>0</v>
      </c>
      <c r="I2551" s="864">
        <v>0</v>
      </c>
      <c r="J2551" s="864">
        <v>15781.949419859217</v>
      </c>
      <c r="K2551" s="864">
        <v>16235.638850490348</v>
      </c>
      <c r="L2551" s="18" t="s">
        <v>4917</v>
      </c>
      <c r="N2551" s="433"/>
      <c r="P2551" s="433"/>
    </row>
    <row r="2552" spans="1:16" x14ac:dyDescent="0.25">
      <c r="A2552" s="862">
        <v>3270</v>
      </c>
      <c r="B2552" s="863" t="s">
        <v>10694</v>
      </c>
      <c r="C2552" s="862">
        <v>3270</v>
      </c>
      <c r="D2552" s="165" t="s">
        <v>2172</v>
      </c>
      <c r="E2552" s="165" t="s">
        <v>10695</v>
      </c>
      <c r="F2552" s="163">
        <v>1</v>
      </c>
      <c r="G2552" s="864"/>
      <c r="H2552" s="864">
        <v>0</v>
      </c>
      <c r="I2552" s="864">
        <v>0</v>
      </c>
      <c r="J2552" s="864">
        <v>14487.218658160542</v>
      </c>
      <c r="K2552" s="864">
        <v>14897.380689542933</v>
      </c>
      <c r="L2552" s="18" t="s">
        <v>4918</v>
      </c>
      <c r="N2552" s="433"/>
      <c r="P2552" s="433"/>
    </row>
    <row r="2553" spans="1:16" x14ac:dyDescent="0.25">
      <c r="A2553" s="862">
        <v>3271</v>
      </c>
      <c r="B2553" s="863" t="s">
        <v>10696</v>
      </c>
      <c r="C2553" s="862">
        <v>3271</v>
      </c>
      <c r="D2553" s="165" t="s">
        <v>2172</v>
      </c>
      <c r="E2553" s="165" t="s">
        <v>10697</v>
      </c>
      <c r="F2553" s="163">
        <v>1</v>
      </c>
      <c r="G2553" s="864"/>
      <c r="H2553" s="864">
        <v>0</v>
      </c>
      <c r="I2553" s="864">
        <v>0</v>
      </c>
      <c r="J2553" s="864">
        <v>17509.785967733402</v>
      </c>
      <c r="K2553" s="864">
        <v>18021.558434327864</v>
      </c>
      <c r="L2553" s="18" t="s">
        <v>4919</v>
      </c>
      <c r="N2553" s="433"/>
      <c r="P2553" s="433"/>
    </row>
    <row r="2554" spans="1:16" x14ac:dyDescent="0.25">
      <c r="A2554" s="862">
        <v>3272</v>
      </c>
      <c r="B2554" s="863" t="s">
        <v>10698</v>
      </c>
      <c r="C2554" s="862">
        <v>3272</v>
      </c>
      <c r="D2554" s="165" t="s">
        <v>2172</v>
      </c>
      <c r="E2554" s="165" t="s">
        <v>10699</v>
      </c>
      <c r="F2554" s="163">
        <v>1</v>
      </c>
      <c r="G2554" s="864"/>
      <c r="H2554" s="864">
        <v>0</v>
      </c>
      <c r="I2554" s="864">
        <v>0</v>
      </c>
      <c r="J2554" s="864">
        <v>16215.055206034731</v>
      </c>
      <c r="K2554" s="864">
        <v>16683.300273380453</v>
      </c>
      <c r="L2554" s="18" t="s">
        <v>4920</v>
      </c>
      <c r="N2554" s="433"/>
      <c r="P2554" s="433"/>
    </row>
    <row r="2555" spans="1:16" x14ac:dyDescent="0.25">
      <c r="A2555" s="862">
        <v>3273</v>
      </c>
      <c r="B2555" s="863" t="s">
        <v>10700</v>
      </c>
      <c r="C2555" s="862">
        <v>3273</v>
      </c>
      <c r="D2555" s="165" t="s">
        <v>2173</v>
      </c>
      <c r="E2555" s="165" t="s">
        <v>10701</v>
      </c>
      <c r="F2555" s="163">
        <v>1</v>
      </c>
      <c r="G2555" s="864"/>
      <c r="H2555" s="864">
        <v>20013.127661498558</v>
      </c>
      <c r="I2555" s="864">
        <v>0</v>
      </c>
      <c r="J2555" s="864">
        <v>0</v>
      </c>
      <c r="K2555" s="864">
        <v>0</v>
      </c>
      <c r="L2555" s="18" t="s">
        <v>4921</v>
      </c>
      <c r="N2555" s="433"/>
      <c r="P2555" s="433"/>
    </row>
    <row r="2556" spans="1:16" x14ac:dyDescent="0.25">
      <c r="A2556" s="862">
        <v>3274</v>
      </c>
      <c r="B2556" s="863" t="s">
        <v>10702</v>
      </c>
      <c r="C2556" s="862">
        <v>3274</v>
      </c>
      <c r="D2556" s="165" t="s">
        <v>2173</v>
      </c>
      <c r="E2556" s="165" t="s">
        <v>10703</v>
      </c>
      <c r="F2556" s="163">
        <v>1</v>
      </c>
      <c r="G2556" s="864"/>
      <c r="H2556" s="864">
        <v>21225.882850622442</v>
      </c>
      <c r="I2556" s="864">
        <v>0</v>
      </c>
      <c r="J2556" s="864">
        <v>0</v>
      </c>
      <c r="K2556" s="864">
        <v>0</v>
      </c>
      <c r="L2556" s="18" t="s">
        <v>1536</v>
      </c>
      <c r="N2556" s="433"/>
      <c r="P2556" s="433"/>
    </row>
    <row r="2557" spans="1:16" x14ac:dyDescent="0.25">
      <c r="A2557" s="862">
        <v>3275</v>
      </c>
      <c r="B2557" s="863" t="s">
        <v>10704</v>
      </c>
      <c r="C2557" s="862">
        <v>3275</v>
      </c>
      <c r="D2557" s="165" t="s">
        <v>2173</v>
      </c>
      <c r="E2557" s="165" t="s">
        <v>10705</v>
      </c>
      <c r="F2557" s="163">
        <v>1</v>
      </c>
      <c r="G2557" s="864"/>
      <c r="H2557" s="864">
        <v>0</v>
      </c>
      <c r="I2557" s="864">
        <v>21408.359318941395</v>
      </c>
      <c r="J2557" s="864">
        <v>22041.080042237532</v>
      </c>
      <c r="K2557" s="864">
        <v>0</v>
      </c>
      <c r="L2557" s="18" t="s">
        <v>4152</v>
      </c>
      <c r="N2557" s="433"/>
      <c r="P2557" s="433"/>
    </row>
    <row r="2558" spans="1:16" x14ac:dyDescent="0.25">
      <c r="A2558" s="862">
        <v>3276</v>
      </c>
      <c r="B2558" s="863" t="s">
        <v>10706</v>
      </c>
      <c r="C2558" s="862">
        <v>3276</v>
      </c>
      <c r="D2558" s="165" t="s">
        <v>2173</v>
      </c>
      <c r="E2558" s="165" t="s">
        <v>10707</v>
      </c>
      <c r="F2558" s="163">
        <v>1</v>
      </c>
      <c r="G2558" s="864"/>
      <c r="H2558" s="864">
        <v>18214.863618903943</v>
      </c>
      <c r="I2558" s="864">
        <v>0</v>
      </c>
      <c r="J2558" s="864">
        <v>0</v>
      </c>
      <c r="K2558" s="864">
        <v>0</v>
      </c>
      <c r="L2558" s="18" t="s">
        <v>4922</v>
      </c>
      <c r="N2558" s="433"/>
      <c r="P2558" s="433"/>
    </row>
    <row r="2559" spans="1:16" x14ac:dyDescent="0.25">
      <c r="A2559" s="862">
        <v>3277</v>
      </c>
      <c r="B2559" s="863" t="s">
        <v>10708</v>
      </c>
      <c r="C2559" s="862">
        <v>3277</v>
      </c>
      <c r="D2559" s="165" t="s">
        <v>2173</v>
      </c>
      <c r="E2559" s="165" t="s">
        <v>10709</v>
      </c>
      <c r="F2559" s="163">
        <v>1</v>
      </c>
      <c r="G2559" s="864"/>
      <c r="H2559" s="864">
        <v>0</v>
      </c>
      <c r="I2559" s="864">
        <v>23271.231810629914</v>
      </c>
      <c r="J2559" s="864">
        <v>23965.473232918834</v>
      </c>
      <c r="K2559" s="864">
        <v>24696.26344200383</v>
      </c>
      <c r="L2559" s="18" t="s">
        <v>4153</v>
      </c>
      <c r="P2559" s="433"/>
    </row>
    <row r="2560" spans="1:16" x14ac:dyDescent="0.25">
      <c r="A2560" s="862">
        <v>3278</v>
      </c>
      <c r="B2560" s="863" t="s">
        <v>10710</v>
      </c>
      <c r="C2560" s="862">
        <v>3278</v>
      </c>
      <c r="D2560" s="165" t="s">
        <v>2173</v>
      </c>
      <c r="E2560" s="165" t="s">
        <v>10711</v>
      </c>
      <c r="F2560" s="163">
        <v>1</v>
      </c>
      <c r="G2560" s="864"/>
      <c r="H2560" s="864">
        <v>0</v>
      </c>
      <c r="I2560" s="864">
        <v>24613.032253928985</v>
      </c>
      <c r="J2560" s="864">
        <v>25351.577484780861</v>
      </c>
      <c r="K2560" s="864">
        <v>26129.009140569076</v>
      </c>
      <c r="L2560" s="18" t="s">
        <v>4154</v>
      </c>
      <c r="P2560" s="433"/>
    </row>
    <row r="2561" spans="1:16" x14ac:dyDescent="0.25">
      <c r="A2561" s="862">
        <v>3279</v>
      </c>
      <c r="B2561" s="863" t="s">
        <v>10712</v>
      </c>
      <c r="C2561" s="862">
        <v>3279</v>
      </c>
      <c r="D2561" s="165" t="s">
        <v>2173</v>
      </c>
      <c r="E2561" s="165" t="s">
        <v>10713</v>
      </c>
      <c r="F2561" s="163">
        <v>1</v>
      </c>
      <c r="G2561" s="864"/>
      <c r="H2561" s="864">
        <v>0</v>
      </c>
      <c r="I2561" s="864">
        <v>23335.633973913995</v>
      </c>
      <c r="J2561" s="864">
        <v>24031.990402139341</v>
      </c>
      <c r="K2561" s="864">
        <v>24765.006933262677</v>
      </c>
      <c r="L2561" s="18" t="s">
        <v>4155</v>
      </c>
      <c r="P2561" s="433"/>
    </row>
    <row r="2562" spans="1:16" x14ac:dyDescent="0.25">
      <c r="A2562" s="862">
        <v>3280</v>
      </c>
      <c r="B2562" s="863" t="s">
        <v>10714</v>
      </c>
      <c r="C2562" s="862">
        <v>3280</v>
      </c>
      <c r="D2562" s="165" t="s">
        <v>2173</v>
      </c>
      <c r="E2562" s="165" t="s">
        <v>10715</v>
      </c>
      <c r="F2562" s="163">
        <v>1</v>
      </c>
      <c r="G2562" s="864"/>
      <c r="H2562" s="864">
        <v>31980.634604491344</v>
      </c>
      <c r="I2562" s="864">
        <v>33018.545938765303</v>
      </c>
      <c r="J2562" s="864">
        <v>34111.076373713193</v>
      </c>
      <c r="K2562" s="864">
        <v>35261.120127984861</v>
      </c>
      <c r="L2562" s="18" t="s">
        <v>1537</v>
      </c>
      <c r="P2562" s="433"/>
    </row>
    <row r="2563" spans="1:16" x14ac:dyDescent="0.25">
      <c r="A2563" s="862">
        <v>3281</v>
      </c>
      <c r="B2563" s="863" t="s">
        <v>10716</v>
      </c>
      <c r="C2563" s="862">
        <v>3281</v>
      </c>
      <c r="D2563" s="165" t="s">
        <v>2173</v>
      </c>
      <c r="E2563" s="165" t="s">
        <v>10717</v>
      </c>
      <c r="F2563" s="163">
        <v>1</v>
      </c>
      <c r="G2563" s="864"/>
      <c r="H2563" s="864">
        <v>25690.446673507351</v>
      </c>
      <c r="I2563" s="864">
        <v>0</v>
      </c>
      <c r="J2563" s="864">
        <v>0</v>
      </c>
      <c r="K2563" s="864">
        <v>0</v>
      </c>
      <c r="L2563" s="18" t="s">
        <v>3169</v>
      </c>
      <c r="P2563" s="433"/>
    </row>
    <row r="2564" spans="1:16" x14ac:dyDescent="0.25">
      <c r="A2564" s="862">
        <v>3282</v>
      </c>
      <c r="B2564" s="863" t="s">
        <v>10718</v>
      </c>
      <c r="C2564" s="862">
        <v>3282</v>
      </c>
      <c r="D2564" s="165" t="s">
        <v>2173</v>
      </c>
      <c r="E2564" s="165" t="s">
        <v>10719</v>
      </c>
      <c r="F2564" s="163">
        <v>1</v>
      </c>
      <c r="G2564" s="864"/>
      <c r="H2564" s="864">
        <v>27211.677437908227</v>
      </c>
      <c r="I2564" s="864">
        <v>0</v>
      </c>
      <c r="J2564" s="864">
        <v>0</v>
      </c>
      <c r="K2564" s="864">
        <v>0</v>
      </c>
      <c r="L2564" s="18" t="s">
        <v>5033</v>
      </c>
      <c r="P2564" s="433"/>
    </row>
    <row r="2565" spans="1:16" x14ac:dyDescent="0.25">
      <c r="A2565" s="862">
        <v>3283</v>
      </c>
      <c r="B2565" s="863" t="s">
        <v>10720</v>
      </c>
      <c r="C2565" s="862">
        <v>3283</v>
      </c>
      <c r="D2565" s="165" t="s">
        <v>2173</v>
      </c>
      <c r="E2565" s="165" t="s">
        <v>10721</v>
      </c>
      <c r="F2565" s="163">
        <v>1</v>
      </c>
      <c r="G2565" s="864"/>
      <c r="H2565" s="864">
        <v>23571.519936749646</v>
      </c>
      <c r="I2565" s="864">
        <v>23571.519936749646</v>
      </c>
      <c r="J2565" s="864">
        <v>24274.406909620786</v>
      </c>
      <c r="K2565" s="864">
        <v>25014.287933695668</v>
      </c>
      <c r="L2565" s="18" t="s">
        <v>2115</v>
      </c>
      <c r="P2565" s="433"/>
    </row>
    <row r="2566" spans="1:16" x14ac:dyDescent="0.25">
      <c r="A2566" s="862">
        <v>3284</v>
      </c>
      <c r="B2566" s="863" t="s">
        <v>10722</v>
      </c>
      <c r="C2566" s="862">
        <v>3284</v>
      </c>
      <c r="D2566" s="165" t="s">
        <v>2173</v>
      </c>
      <c r="E2566" s="165" t="s">
        <v>10723</v>
      </c>
      <c r="F2566" s="163">
        <v>1</v>
      </c>
      <c r="G2566" s="864"/>
      <c r="H2566" s="864">
        <v>25374.044259138394</v>
      </c>
      <c r="I2566" s="864">
        <v>26150.882229049723</v>
      </c>
      <c r="J2566" s="864">
        <v>26968.64741909919</v>
      </c>
      <c r="K2566" s="864">
        <v>27829.45483522322</v>
      </c>
      <c r="L2566" s="18" t="s">
        <v>2116</v>
      </c>
      <c r="P2566" s="433"/>
    </row>
    <row r="2567" spans="1:16" x14ac:dyDescent="0.25">
      <c r="A2567" s="862">
        <v>3285</v>
      </c>
      <c r="B2567" s="863" t="s">
        <v>10724</v>
      </c>
      <c r="C2567" s="862">
        <v>3285</v>
      </c>
      <c r="D2567" s="165" t="s">
        <v>2173</v>
      </c>
      <c r="E2567" s="165" t="s">
        <v>10725</v>
      </c>
      <c r="F2567" s="163">
        <v>1</v>
      </c>
      <c r="G2567" s="864"/>
      <c r="H2567" s="864">
        <v>0</v>
      </c>
      <c r="I2567" s="864">
        <v>32492.017925520915</v>
      </c>
      <c r="J2567" s="864">
        <v>33489.484409431701</v>
      </c>
      <c r="K2567" s="864">
        <v>34539.417882712689</v>
      </c>
      <c r="L2567" s="18" t="s">
        <v>4156</v>
      </c>
      <c r="P2567" s="433"/>
    </row>
    <row r="2568" spans="1:16" x14ac:dyDescent="0.25">
      <c r="A2568" s="862">
        <v>3286</v>
      </c>
      <c r="B2568" s="863" t="s">
        <v>10726</v>
      </c>
      <c r="C2568" s="862">
        <v>3286</v>
      </c>
      <c r="D2568" s="165" t="s">
        <v>2173</v>
      </c>
      <c r="E2568" s="165" t="s">
        <v>10727</v>
      </c>
      <c r="F2568" s="163">
        <v>1</v>
      </c>
      <c r="G2568" s="864"/>
      <c r="H2568" s="864">
        <v>27017.879413959046</v>
      </c>
      <c r="I2568" s="864">
        <v>27850.894909971143</v>
      </c>
      <c r="J2568" s="864">
        <v>28727.768950138528</v>
      </c>
      <c r="K2568" s="864">
        <v>29650.764961866851</v>
      </c>
      <c r="L2568" s="18" t="s">
        <v>2117</v>
      </c>
      <c r="P2568" s="433"/>
    </row>
    <row r="2569" spans="1:16" x14ac:dyDescent="0.25">
      <c r="A2569" s="862">
        <v>3287</v>
      </c>
      <c r="B2569" s="863" t="s">
        <v>10728</v>
      </c>
      <c r="C2569" s="862">
        <v>3287</v>
      </c>
      <c r="D2569" s="165" t="s">
        <v>2173</v>
      </c>
      <c r="E2569" s="165" t="s">
        <v>10729</v>
      </c>
      <c r="F2569" s="163">
        <v>1</v>
      </c>
      <c r="G2569" s="864"/>
      <c r="H2569" s="864">
        <v>28361.763486805808</v>
      </c>
      <c r="I2569" s="864">
        <v>29222.793535133682</v>
      </c>
      <c r="J2569" s="864">
        <v>30129.166342309072</v>
      </c>
      <c r="K2569" s="864">
        <v>31083.25665183954</v>
      </c>
      <c r="L2569" s="18" t="s">
        <v>3170</v>
      </c>
      <c r="P2569" s="433"/>
    </row>
    <row r="2570" spans="1:16" x14ac:dyDescent="0.25">
      <c r="A2570" s="862">
        <v>3288</v>
      </c>
      <c r="B2570" s="863" t="s">
        <v>10730</v>
      </c>
      <c r="C2570" s="862">
        <v>3288</v>
      </c>
      <c r="D2570" s="165" t="s">
        <v>2173</v>
      </c>
      <c r="E2570" s="165" t="s">
        <v>10731</v>
      </c>
      <c r="F2570" s="163">
        <v>1</v>
      </c>
      <c r="G2570" s="864"/>
      <c r="H2570" s="864">
        <v>0</v>
      </c>
      <c r="I2570" s="864">
        <v>42897.491414809629</v>
      </c>
      <c r="J2570" s="864">
        <v>44238.553599970837</v>
      </c>
      <c r="K2570" s="864">
        <v>45650.19019374741</v>
      </c>
      <c r="L2570" s="18" t="s">
        <v>4157</v>
      </c>
      <c r="P2570" s="433"/>
    </row>
    <row r="2571" spans="1:16" x14ac:dyDescent="0.25">
      <c r="A2571" s="862">
        <v>3289</v>
      </c>
      <c r="B2571" s="863" t="s">
        <v>10732</v>
      </c>
      <c r="C2571" s="862">
        <v>3289</v>
      </c>
      <c r="D2571" s="165" t="s">
        <v>2173</v>
      </c>
      <c r="E2571" s="165" t="s">
        <v>10733</v>
      </c>
      <c r="F2571" s="163">
        <v>1</v>
      </c>
      <c r="G2571" s="864"/>
      <c r="H2571" s="864">
        <v>0</v>
      </c>
      <c r="I2571" s="864">
        <v>0</v>
      </c>
      <c r="J2571" s="864">
        <v>31661.709043511182</v>
      </c>
      <c r="K2571" s="864">
        <v>32631.754660983079</v>
      </c>
      <c r="L2571" s="18" t="s">
        <v>4923</v>
      </c>
      <c r="P2571" s="433"/>
    </row>
    <row r="2572" spans="1:16" x14ac:dyDescent="0.25">
      <c r="A2572" s="862">
        <v>3290</v>
      </c>
      <c r="B2572" s="863" t="s">
        <v>10734</v>
      </c>
      <c r="C2572" s="862">
        <v>3290</v>
      </c>
      <c r="D2572" s="165" t="s">
        <v>2173</v>
      </c>
      <c r="E2572" s="165" t="s">
        <v>10735</v>
      </c>
      <c r="F2572" s="163">
        <v>1</v>
      </c>
      <c r="G2572" s="864"/>
      <c r="H2572" s="864">
        <v>0</v>
      </c>
      <c r="I2572" s="864">
        <v>0</v>
      </c>
      <c r="J2572" s="864">
        <v>32726.207610190333</v>
      </c>
      <c r="K2572" s="864">
        <v>33731.392010500691</v>
      </c>
      <c r="L2572" s="18" t="s">
        <v>4924</v>
      </c>
      <c r="P2572" s="433"/>
    </row>
    <row r="2573" spans="1:16" x14ac:dyDescent="0.25">
      <c r="A2573" s="862">
        <v>3291</v>
      </c>
      <c r="B2573" s="863" t="s">
        <v>10736</v>
      </c>
      <c r="C2573" s="862">
        <v>3291</v>
      </c>
      <c r="D2573" s="165" t="s">
        <v>2173</v>
      </c>
      <c r="E2573" s="165" t="s">
        <v>10737</v>
      </c>
      <c r="F2573" s="163">
        <v>1</v>
      </c>
      <c r="G2573" s="864"/>
      <c r="H2573" s="864">
        <v>0</v>
      </c>
      <c r="I2573" s="864">
        <v>0</v>
      </c>
      <c r="J2573" s="864">
        <v>36877.752020239015</v>
      </c>
      <c r="K2573" s="864">
        <v>38020.0407527438</v>
      </c>
      <c r="L2573" s="18" t="s">
        <v>4925</v>
      </c>
      <c r="P2573" s="433"/>
    </row>
    <row r="2574" spans="1:16" x14ac:dyDescent="0.25">
      <c r="A2574" s="862">
        <v>3292</v>
      </c>
      <c r="B2574" s="863" t="s">
        <v>10738</v>
      </c>
      <c r="C2574" s="862">
        <v>3292</v>
      </c>
      <c r="D2574" s="165" t="s">
        <v>2173</v>
      </c>
      <c r="E2574" s="165" t="s">
        <v>10739</v>
      </c>
      <c r="F2574" s="163">
        <v>1</v>
      </c>
      <c r="G2574" s="864"/>
      <c r="H2574" s="864">
        <v>37143.876661908806</v>
      </c>
      <c r="I2574" s="864">
        <v>0</v>
      </c>
      <c r="J2574" s="864">
        <v>0</v>
      </c>
      <c r="K2574" s="864">
        <v>0</v>
      </c>
      <c r="L2574" s="18" t="s">
        <v>4926</v>
      </c>
      <c r="P2574" s="433"/>
    </row>
    <row r="2575" spans="1:16" x14ac:dyDescent="0.25">
      <c r="A2575" s="862">
        <v>3293</v>
      </c>
      <c r="B2575" s="863" t="s">
        <v>10740</v>
      </c>
      <c r="C2575" s="862">
        <v>3293</v>
      </c>
      <c r="D2575" s="165" t="s">
        <v>2173</v>
      </c>
      <c r="E2575" s="165" t="s">
        <v>10741</v>
      </c>
      <c r="F2575" s="163">
        <v>1</v>
      </c>
      <c r="G2575" s="864"/>
      <c r="H2575" s="864">
        <v>0</v>
      </c>
      <c r="I2575" s="864">
        <v>39065.296574764681</v>
      </c>
      <c r="J2575" s="864">
        <v>40279.82945741358</v>
      </c>
      <c r="K2575" s="864">
        <v>41558.25778256284</v>
      </c>
      <c r="L2575" s="18" t="s">
        <v>4158</v>
      </c>
      <c r="P2575" s="433"/>
    </row>
    <row r="2576" spans="1:16" x14ac:dyDescent="0.25">
      <c r="A2576" s="862">
        <v>3294</v>
      </c>
      <c r="B2576" s="863" t="s">
        <v>10742</v>
      </c>
      <c r="C2576" s="862">
        <v>3294</v>
      </c>
      <c r="D2576" s="165" t="s">
        <v>2173</v>
      </c>
      <c r="E2576" s="165" t="s">
        <v>10743</v>
      </c>
      <c r="F2576" s="163">
        <v>1</v>
      </c>
      <c r="G2576" s="864"/>
      <c r="H2576" s="864">
        <v>0</v>
      </c>
      <c r="I2576" s="864">
        <v>0</v>
      </c>
      <c r="J2576" s="864">
        <v>48054.986970370119</v>
      </c>
      <c r="K2576" s="864">
        <v>49566.3627914643</v>
      </c>
      <c r="L2576" s="18" t="s">
        <v>4927</v>
      </c>
      <c r="P2576" s="433"/>
    </row>
    <row r="2577" spans="1:16" x14ac:dyDescent="0.25">
      <c r="A2577" s="862">
        <v>3295</v>
      </c>
      <c r="B2577" s="863" t="s">
        <v>10744</v>
      </c>
      <c r="C2577" s="862">
        <v>3295</v>
      </c>
      <c r="D2577" s="165" t="s">
        <v>2173</v>
      </c>
      <c r="E2577" s="165" t="s">
        <v>10745</v>
      </c>
      <c r="F2577" s="163">
        <v>1</v>
      </c>
      <c r="G2577" s="864"/>
      <c r="H2577" s="864">
        <v>0</v>
      </c>
      <c r="I2577" s="864">
        <v>0</v>
      </c>
      <c r="J2577" s="864">
        <v>0</v>
      </c>
      <c r="K2577" s="864">
        <v>29910.60890132398</v>
      </c>
      <c r="L2577" s="18" t="s">
        <v>11149</v>
      </c>
      <c r="P2577" s="433"/>
    </row>
    <row r="2578" spans="1:16" x14ac:dyDescent="0.25">
      <c r="A2578" s="862">
        <v>3296</v>
      </c>
      <c r="B2578" s="863" t="s">
        <v>10746</v>
      </c>
      <c r="C2578" s="862">
        <v>3296</v>
      </c>
      <c r="D2578" s="165" t="s">
        <v>2173</v>
      </c>
      <c r="E2578" s="165" t="s">
        <v>10747</v>
      </c>
      <c r="F2578" s="163">
        <v>1</v>
      </c>
      <c r="G2578" s="864"/>
      <c r="H2578" s="864">
        <v>0</v>
      </c>
      <c r="I2578" s="864">
        <v>25434.392428438157</v>
      </c>
      <c r="J2578" s="864">
        <v>26198.800100302087</v>
      </c>
      <c r="K2578" s="864">
        <v>27003.429990325349</v>
      </c>
      <c r="L2578" s="18" t="s">
        <v>4159</v>
      </c>
      <c r="P2578" s="433"/>
    </row>
    <row r="2579" spans="1:16" x14ac:dyDescent="0.25">
      <c r="A2579" s="862">
        <v>3297</v>
      </c>
      <c r="B2579" s="863" t="s">
        <v>10748</v>
      </c>
      <c r="C2579" s="862">
        <v>3297</v>
      </c>
      <c r="D2579" s="165" t="s">
        <v>2173</v>
      </c>
      <c r="E2579" s="165" t="s">
        <v>10749</v>
      </c>
      <c r="F2579" s="163">
        <v>1</v>
      </c>
      <c r="G2579" s="864"/>
      <c r="H2579" s="864">
        <v>0</v>
      </c>
      <c r="I2579" s="864">
        <v>28894.012770145386</v>
      </c>
      <c r="J2579" s="864">
        <v>29772.630762576144</v>
      </c>
      <c r="K2579" s="864">
        <v>30697.519148037045</v>
      </c>
      <c r="L2579" s="18" t="s">
        <v>4160</v>
      </c>
      <c r="P2579" s="433"/>
    </row>
    <row r="2580" spans="1:16" x14ac:dyDescent="0.25">
      <c r="A2580" s="862">
        <v>3298</v>
      </c>
      <c r="B2580" s="863" t="s">
        <v>10750</v>
      </c>
      <c r="C2580" s="862">
        <v>3298</v>
      </c>
      <c r="D2580" s="165" t="s">
        <v>2173</v>
      </c>
      <c r="E2580" s="165" t="s">
        <v>10751</v>
      </c>
      <c r="F2580" s="163">
        <v>1</v>
      </c>
      <c r="G2580" s="864"/>
      <c r="H2580" s="864">
        <v>0</v>
      </c>
      <c r="I2580" s="864">
        <v>31289.134545173474</v>
      </c>
      <c r="J2580" s="864">
        <v>32246.861180699907</v>
      </c>
      <c r="K2580" s="864">
        <v>33255.01401039472</v>
      </c>
      <c r="L2580" s="18" t="s">
        <v>4161</v>
      </c>
      <c r="P2580" s="433"/>
    </row>
    <row r="2581" spans="1:16" x14ac:dyDescent="0.25">
      <c r="A2581" s="862">
        <v>3299</v>
      </c>
      <c r="B2581" s="863" t="s">
        <v>10752</v>
      </c>
      <c r="C2581" s="862">
        <v>3299</v>
      </c>
      <c r="D2581" s="165" t="s">
        <v>2173</v>
      </c>
      <c r="E2581" s="165" t="s">
        <v>10753</v>
      </c>
      <c r="F2581" s="163">
        <v>1</v>
      </c>
      <c r="G2581" s="864"/>
      <c r="H2581" s="864">
        <v>0</v>
      </c>
      <c r="I2581" s="864">
        <v>27297.264920126665</v>
      </c>
      <c r="J2581" s="864">
        <v>28123.156185616084</v>
      </c>
      <c r="K2581" s="864">
        <v>28992.534941587714</v>
      </c>
      <c r="L2581" s="18" t="s">
        <v>4162</v>
      </c>
      <c r="P2581" s="433"/>
    </row>
    <row r="2582" spans="1:16" x14ac:dyDescent="0.25">
      <c r="A2582" s="862">
        <v>3300</v>
      </c>
      <c r="B2582" s="863" t="s">
        <v>10754</v>
      </c>
      <c r="C2582" s="862">
        <v>3300</v>
      </c>
      <c r="D2582" s="165" t="s">
        <v>2173</v>
      </c>
      <c r="E2582" s="165" t="s">
        <v>10755</v>
      </c>
      <c r="F2582" s="163">
        <v>1</v>
      </c>
      <c r="G2582" s="864"/>
      <c r="H2582" s="864">
        <v>0</v>
      </c>
      <c r="I2582" s="864">
        <v>0</v>
      </c>
      <c r="J2582" s="864">
        <v>24636.01850342879</v>
      </c>
      <c r="K2582" s="864">
        <v>25374.044259138394</v>
      </c>
      <c r="L2582" s="18" t="s">
        <v>4928</v>
      </c>
      <c r="P2582" s="433"/>
    </row>
    <row r="2583" spans="1:16" x14ac:dyDescent="0.25">
      <c r="A2583" s="862">
        <v>3301</v>
      </c>
      <c r="B2583" s="863" t="s">
        <v>10756</v>
      </c>
      <c r="C2583" s="862">
        <v>3301</v>
      </c>
      <c r="D2583" s="165" t="s">
        <v>2173</v>
      </c>
      <c r="E2583" s="165" t="s">
        <v>10757</v>
      </c>
      <c r="F2583" s="163">
        <v>1</v>
      </c>
      <c r="G2583" s="864"/>
      <c r="H2583" s="864">
        <v>0</v>
      </c>
      <c r="I2583" s="864">
        <v>0</v>
      </c>
      <c r="J2583" s="864">
        <v>26498.890995117308</v>
      </c>
      <c r="K2583" s="864">
        <v>27298.437449819696</v>
      </c>
      <c r="L2583" s="18" t="s">
        <v>4929</v>
      </c>
      <c r="P2583" s="433"/>
    </row>
    <row r="2584" spans="1:16" x14ac:dyDescent="0.25">
      <c r="A2584" s="862">
        <v>3302</v>
      </c>
      <c r="B2584" s="863" t="s">
        <v>10758</v>
      </c>
      <c r="C2584" s="862">
        <v>3302</v>
      </c>
      <c r="D2584" s="165" t="s">
        <v>2173</v>
      </c>
      <c r="E2584" s="165" t="s">
        <v>10759</v>
      </c>
      <c r="F2584" s="163">
        <v>1</v>
      </c>
      <c r="G2584" s="864"/>
      <c r="H2584" s="864">
        <v>0</v>
      </c>
      <c r="I2584" s="864">
        <v>0</v>
      </c>
      <c r="J2584" s="864">
        <v>23039.270653410062</v>
      </c>
      <c r="K2584" s="864">
        <v>23724.569682178324</v>
      </c>
      <c r="L2584" s="18" t="s">
        <v>4930</v>
      </c>
      <c r="P2584" s="433"/>
    </row>
    <row r="2585" spans="1:16" x14ac:dyDescent="0.25">
      <c r="A2585" s="862">
        <v>3303</v>
      </c>
      <c r="B2585" s="863" t="s">
        <v>10760</v>
      </c>
      <c r="C2585" s="862">
        <v>3303</v>
      </c>
      <c r="D2585" s="165" t="s">
        <v>2173</v>
      </c>
      <c r="E2585" s="165" t="s">
        <v>10761</v>
      </c>
      <c r="F2585" s="163">
        <v>1</v>
      </c>
      <c r="G2585" s="864"/>
      <c r="H2585" s="864">
        <v>0</v>
      </c>
      <c r="I2585" s="864">
        <v>0</v>
      </c>
      <c r="J2585" s="864">
        <v>21974.772086730914</v>
      </c>
      <c r="K2585" s="864">
        <v>22624.932332660708</v>
      </c>
      <c r="L2585" s="18" t="s">
        <v>4931</v>
      </c>
      <c r="P2585" s="433"/>
    </row>
    <row r="2586" spans="1:16" x14ac:dyDescent="0.25">
      <c r="A2586" s="862">
        <v>3304</v>
      </c>
      <c r="B2586" s="863" t="s">
        <v>10762</v>
      </c>
      <c r="C2586" s="862">
        <v>3304</v>
      </c>
      <c r="D2586" s="165" t="s">
        <v>2173</v>
      </c>
      <c r="E2586" s="165" t="s">
        <v>10763</v>
      </c>
      <c r="F2586" s="163">
        <v>1</v>
      </c>
      <c r="G2586" s="864"/>
      <c r="H2586" s="864">
        <v>0</v>
      </c>
      <c r="I2586" s="864">
        <v>0</v>
      </c>
      <c r="J2586" s="864">
        <v>24369.893861759007</v>
      </c>
      <c r="K2586" s="864">
        <v>25099.125645417167</v>
      </c>
      <c r="L2586" s="18" t="s">
        <v>4932</v>
      </c>
      <c r="P2586" s="433"/>
    </row>
    <row r="2587" spans="1:16" x14ac:dyDescent="0.25">
      <c r="A2587" s="862">
        <v>3305</v>
      </c>
      <c r="B2587" s="863" t="s">
        <v>10764</v>
      </c>
      <c r="C2587" s="862">
        <v>3305</v>
      </c>
      <c r="D2587" s="165" t="s">
        <v>2173</v>
      </c>
      <c r="E2587" s="165" t="s">
        <v>10765</v>
      </c>
      <c r="F2587" s="163">
        <v>1</v>
      </c>
      <c r="G2587" s="864"/>
      <c r="H2587" s="864">
        <v>0</v>
      </c>
      <c r="I2587" s="864">
        <v>0</v>
      </c>
      <c r="J2587" s="864">
        <v>28361.763486805808</v>
      </c>
      <c r="K2587" s="864">
        <v>29222.83064050099</v>
      </c>
      <c r="L2587" s="18" t="s">
        <v>4933</v>
      </c>
      <c r="P2587" s="433"/>
    </row>
    <row r="2588" spans="1:16" x14ac:dyDescent="0.25">
      <c r="A2588" s="862">
        <v>3306</v>
      </c>
      <c r="B2588" s="863" t="s">
        <v>10766</v>
      </c>
      <c r="C2588" s="862">
        <v>3306</v>
      </c>
      <c r="D2588" s="165" t="s">
        <v>2173</v>
      </c>
      <c r="E2588" s="165" t="s">
        <v>10767</v>
      </c>
      <c r="F2588" s="163">
        <v>1</v>
      </c>
      <c r="G2588" s="864"/>
      <c r="H2588" s="864">
        <v>0</v>
      </c>
      <c r="I2588" s="864">
        <v>0</v>
      </c>
      <c r="J2588" s="864">
        <v>33787.23558829572</v>
      </c>
      <c r="K2588" s="864">
        <v>34848.263566401103</v>
      </c>
      <c r="L2588" s="18" t="s">
        <v>4934</v>
      </c>
      <c r="P2588" s="433"/>
    </row>
    <row r="2589" spans="1:16" x14ac:dyDescent="0.25">
      <c r="A2589" s="862">
        <v>3307</v>
      </c>
      <c r="B2589" s="863" t="s">
        <v>10768</v>
      </c>
      <c r="C2589" s="862">
        <v>3307</v>
      </c>
      <c r="D2589" s="165" t="s">
        <v>2173</v>
      </c>
      <c r="E2589" s="165" t="s">
        <v>10769</v>
      </c>
      <c r="F2589" s="163">
        <v>1</v>
      </c>
      <c r="G2589" s="864"/>
      <c r="H2589" s="864">
        <v>0</v>
      </c>
      <c r="I2589" s="864">
        <v>30756.885261833897</v>
      </c>
      <c r="J2589" s="864">
        <v>31697.023953257445</v>
      </c>
      <c r="K2589" s="864">
        <v>32686.661204666736</v>
      </c>
      <c r="L2589" s="18" t="s">
        <v>4163</v>
      </c>
      <c r="P2589" s="433"/>
    </row>
    <row r="2590" spans="1:16" x14ac:dyDescent="0.25">
      <c r="A2590" s="862">
        <v>3308</v>
      </c>
      <c r="B2590" s="863" t="s">
        <v>10770</v>
      </c>
      <c r="C2590" s="862">
        <v>3308</v>
      </c>
      <c r="D2590" s="165" t="s">
        <v>2173</v>
      </c>
      <c r="E2590" s="165" t="s">
        <v>10771</v>
      </c>
      <c r="F2590" s="163">
        <v>1</v>
      </c>
      <c r="G2590" s="864"/>
      <c r="H2590" s="864">
        <v>0</v>
      </c>
      <c r="I2590" s="864">
        <v>0</v>
      </c>
      <c r="J2590" s="864">
        <v>31714.933971845134</v>
      </c>
      <c r="K2590" s="864">
        <v>32686.72354158041</v>
      </c>
      <c r="L2590" s="18" t="s">
        <v>4935</v>
      </c>
      <c r="P2590" s="433"/>
    </row>
    <row r="2591" spans="1:16" x14ac:dyDescent="0.25">
      <c r="A2591" s="862">
        <v>3309</v>
      </c>
      <c r="B2591" s="863" t="s">
        <v>10772</v>
      </c>
      <c r="C2591" s="862">
        <v>3309</v>
      </c>
      <c r="D2591" s="165" t="s">
        <v>2173</v>
      </c>
      <c r="E2591" s="165" t="s">
        <v>10773</v>
      </c>
      <c r="F2591" s="163">
        <v>1</v>
      </c>
      <c r="G2591" s="864"/>
      <c r="H2591" s="864">
        <v>0</v>
      </c>
      <c r="I2591" s="864">
        <v>29160.137411815176</v>
      </c>
      <c r="J2591" s="864">
        <v>30047.549376297371</v>
      </c>
      <c r="K2591" s="864">
        <v>30981.676998217394</v>
      </c>
      <c r="L2591" s="18" t="s">
        <v>4164</v>
      </c>
      <c r="P2591" s="433"/>
    </row>
    <row r="2592" spans="1:16" x14ac:dyDescent="0.25">
      <c r="A2592" s="862">
        <v>3310</v>
      </c>
      <c r="B2592" s="863" t="s">
        <v>10774</v>
      </c>
      <c r="C2592" s="862">
        <v>3310</v>
      </c>
      <c r="D2592" s="165" t="s">
        <v>2173</v>
      </c>
      <c r="E2592" s="165" t="s">
        <v>10775</v>
      </c>
      <c r="F2592" s="163">
        <v>1</v>
      </c>
      <c r="G2592" s="864"/>
      <c r="H2592" s="864">
        <v>0</v>
      </c>
      <c r="I2592" s="864">
        <v>31081.557324671041</v>
      </c>
      <c r="J2592" s="864">
        <v>32032.419467245916</v>
      </c>
      <c r="K2592" s="864">
        <v>33033.336750316135</v>
      </c>
      <c r="L2592" s="18" t="s">
        <v>4165</v>
      </c>
      <c r="P2592" s="433"/>
    </row>
    <row r="2593" spans="1:16" x14ac:dyDescent="0.25">
      <c r="A2593" s="862">
        <v>3311</v>
      </c>
      <c r="B2593" s="863" t="s">
        <v>10776</v>
      </c>
      <c r="C2593" s="862">
        <v>3311</v>
      </c>
      <c r="D2593" s="165" t="s">
        <v>2173</v>
      </c>
      <c r="E2593" s="165" t="s">
        <v>10777</v>
      </c>
      <c r="F2593" s="163">
        <v>1</v>
      </c>
      <c r="G2593" s="864"/>
      <c r="H2593" s="864">
        <v>0</v>
      </c>
      <c r="I2593" s="864">
        <v>0</v>
      </c>
      <c r="J2593" s="864">
        <v>33152.007036861993</v>
      </c>
      <c r="K2593" s="864">
        <v>34171.254371381205</v>
      </c>
      <c r="L2593" s="18" t="s">
        <v>4936</v>
      </c>
      <c r="P2593" s="433"/>
    </row>
    <row r="2594" spans="1:16" x14ac:dyDescent="0.25">
      <c r="A2594" s="862">
        <v>3312</v>
      </c>
      <c r="B2594" s="863" t="s">
        <v>10778</v>
      </c>
      <c r="C2594" s="862">
        <v>3312</v>
      </c>
      <c r="D2594" s="165" t="s">
        <v>2173</v>
      </c>
      <c r="E2594" s="165" t="s">
        <v>10779</v>
      </c>
      <c r="F2594" s="163">
        <v>1</v>
      </c>
      <c r="G2594" s="864"/>
      <c r="H2594" s="864">
        <v>0</v>
      </c>
      <c r="I2594" s="864">
        <v>34594.402594712243</v>
      </c>
      <c r="J2594" s="864">
        <v>35661.29322085192</v>
      </c>
      <c r="K2594" s="864">
        <v>36784.324267725067</v>
      </c>
      <c r="L2594" s="18" t="s">
        <v>4166</v>
      </c>
      <c r="P2594" s="433"/>
    </row>
    <row r="2595" spans="1:16" x14ac:dyDescent="0.25">
      <c r="A2595" s="862">
        <v>3313</v>
      </c>
      <c r="B2595" s="863" t="s">
        <v>10780</v>
      </c>
      <c r="C2595" s="862">
        <v>3313</v>
      </c>
      <c r="D2595" s="165" t="s">
        <v>2173</v>
      </c>
      <c r="E2595" s="165" t="s">
        <v>10781</v>
      </c>
      <c r="F2595" s="163">
        <v>1</v>
      </c>
      <c r="G2595" s="864"/>
      <c r="H2595" s="864">
        <v>0</v>
      </c>
      <c r="I2595" s="864">
        <v>0</v>
      </c>
      <c r="J2595" s="864">
        <v>36877.752020239015</v>
      </c>
      <c r="K2595" s="864">
        <v>38020.0407527438</v>
      </c>
      <c r="L2595" s="18" t="s">
        <v>4937</v>
      </c>
      <c r="P2595" s="433"/>
    </row>
    <row r="2596" spans="1:16" x14ac:dyDescent="0.25">
      <c r="A2596" s="862">
        <v>3314</v>
      </c>
      <c r="B2596" s="863" t="s">
        <v>10782</v>
      </c>
      <c r="C2596" s="862">
        <v>3314</v>
      </c>
      <c r="D2596" s="165" t="s">
        <v>2173</v>
      </c>
      <c r="E2596" s="165" t="s">
        <v>10783</v>
      </c>
      <c r="F2596" s="163">
        <v>1</v>
      </c>
      <c r="G2596" s="864"/>
      <c r="H2596" s="864">
        <v>31028.332396337089</v>
      </c>
      <c r="I2596" s="864">
        <v>31977.450586648589</v>
      </c>
      <c r="J2596" s="864">
        <v>32976.512601353519</v>
      </c>
      <c r="K2596" s="864">
        <v>34028.152921530571</v>
      </c>
      <c r="L2596" s="18" t="s">
        <v>4167</v>
      </c>
      <c r="P2596" s="433"/>
    </row>
    <row r="2597" spans="1:16" x14ac:dyDescent="0.25">
      <c r="A2597" s="862">
        <v>3315</v>
      </c>
      <c r="B2597" s="863" t="s">
        <v>10784</v>
      </c>
      <c r="C2597" s="862">
        <v>3315</v>
      </c>
      <c r="D2597" s="165" t="s">
        <v>2173</v>
      </c>
      <c r="E2597" s="165" t="s">
        <v>10785</v>
      </c>
      <c r="F2597" s="163">
        <v>1</v>
      </c>
      <c r="G2597" s="864"/>
      <c r="H2597" s="864">
        <v>0</v>
      </c>
      <c r="I2597" s="864">
        <v>0</v>
      </c>
      <c r="J2597" s="864">
        <v>34748.754886880721</v>
      </c>
      <c r="K2597" s="864">
        <v>35820.728948341282</v>
      </c>
      <c r="L2597" s="18" t="s">
        <v>4938</v>
      </c>
      <c r="P2597" s="433"/>
    </row>
    <row r="2598" spans="1:16" x14ac:dyDescent="0.25">
      <c r="A2598" s="862">
        <v>3316</v>
      </c>
      <c r="B2598" s="863" t="s">
        <v>10786</v>
      </c>
      <c r="C2598" s="862">
        <v>3316</v>
      </c>
      <c r="D2598" s="165" t="s">
        <v>2173</v>
      </c>
      <c r="E2598" s="165" t="s">
        <v>10787</v>
      </c>
      <c r="F2598" s="163">
        <v>1</v>
      </c>
      <c r="G2598" s="864"/>
      <c r="H2598" s="864">
        <v>35385.805252480044</v>
      </c>
      <c r="I2598" s="864">
        <v>0</v>
      </c>
      <c r="J2598" s="864">
        <v>0</v>
      </c>
      <c r="K2598" s="864">
        <v>0</v>
      </c>
      <c r="L2598" s="18" t="s">
        <v>2118</v>
      </c>
      <c r="P2598" s="433"/>
    </row>
    <row r="2599" spans="1:16" x14ac:dyDescent="0.25">
      <c r="A2599" s="862">
        <v>3317</v>
      </c>
      <c r="B2599" s="863" t="s">
        <v>10788</v>
      </c>
      <c r="C2599" s="862">
        <v>3317</v>
      </c>
      <c r="D2599" s="165" t="s">
        <v>2173</v>
      </c>
      <c r="E2599" s="165" t="s">
        <v>10789</v>
      </c>
      <c r="F2599" s="163">
        <v>1</v>
      </c>
      <c r="G2599" s="864"/>
      <c r="H2599" s="864">
        <v>35870.189809268661</v>
      </c>
      <c r="I2599" s="864">
        <v>0</v>
      </c>
      <c r="J2599" s="864">
        <v>0</v>
      </c>
      <c r="K2599" s="864">
        <v>0</v>
      </c>
      <c r="L2599" s="18" t="s">
        <v>2119</v>
      </c>
      <c r="P2599" s="433"/>
    </row>
    <row r="2600" spans="1:16" x14ac:dyDescent="0.25">
      <c r="A2600" s="862">
        <v>3318</v>
      </c>
      <c r="B2600" s="863" t="s">
        <v>10790</v>
      </c>
      <c r="C2600" s="862">
        <v>3318</v>
      </c>
      <c r="D2600" s="165" t="s">
        <v>2173</v>
      </c>
      <c r="E2600" s="165" t="s">
        <v>10791</v>
      </c>
      <c r="F2600" s="163">
        <v>1</v>
      </c>
      <c r="G2600" s="864"/>
      <c r="H2600" s="864">
        <v>42732.494136974354</v>
      </c>
      <c r="I2600" s="864">
        <v>44068.101833141627</v>
      </c>
      <c r="J2600" s="864">
        <v>45474.024200353131</v>
      </c>
      <c r="K2600" s="864">
        <v>46953.934669972143</v>
      </c>
      <c r="L2600" s="18" t="s">
        <v>2120</v>
      </c>
      <c r="P2600" s="433"/>
    </row>
    <row r="2601" spans="1:16" x14ac:dyDescent="0.25">
      <c r="A2601" s="862">
        <v>3319</v>
      </c>
      <c r="B2601" s="863" t="s">
        <v>10792</v>
      </c>
      <c r="C2601" s="862">
        <v>3319</v>
      </c>
      <c r="D2601" s="165" t="s">
        <v>2173</v>
      </c>
      <c r="E2601" s="165" t="s">
        <v>10793</v>
      </c>
      <c r="F2601" s="163">
        <v>1</v>
      </c>
      <c r="G2601" s="864"/>
      <c r="H2601" s="864">
        <v>40515.616787850078</v>
      </c>
      <c r="I2601" s="864">
        <v>41751.225519128595</v>
      </c>
      <c r="J2601" s="864">
        <v>43051.879959293939</v>
      </c>
      <c r="K2601" s="864">
        <v>44420.993802138219</v>
      </c>
      <c r="L2601" s="18" t="s">
        <v>4168</v>
      </c>
      <c r="P2601" s="433"/>
    </row>
    <row r="2602" spans="1:16" x14ac:dyDescent="0.25">
      <c r="A2602" s="862">
        <v>3320</v>
      </c>
      <c r="B2602" s="863" t="s">
        <v>10794</v>
      </c>
      <c r="C2602" s="862">
        <v>3320</v>
      </c>
      <c r="D2602" s="165" t="s">
        <v>2173</v>
      </c>
      <c r="E2602" s="165" t="s">
        <v>10795</v>
      </c>
      <c r="F2602" s="163">
        <v>1</v>
      </c>
      <c r="G2602" s="864"/>
      <c r="H2602" s="864">
        <v>44282.064825585199</v>
      </c>
      <c r="I2602" s="864">
        <v>45663.237912803837</v>
      </c>
      <c r="J2602" s="864">
        <v>47117.137519941556</v>
      </c>
      <c r="K2602" s="864">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3694</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25"/>
    </row>
    <row r="21" spans="1:11" x14ac:dyDescent="0.25">
      <c r="B21" s="13" t="s">
        <v>1585</v>
      </c>
      <c r="F21" s="321" t="s">
        <v>3199</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3204</v>
      </c>
      <c r="C24" s="15">
        <f>A24</f>
        <v>1</v>
      </c>
      <c r="D24" s="41" t="b">
        <v>1</v>
      </c>
      <c r="E24" s="100">
        <v>14</v>
      </c>
      <c r="F24" s="100" t="s">
        <v>3173</v>
      </c>
    </row>
    <row r="25" spans="1:11" x14ac:dyDescent="0.25">
      <c r="A25" s="14">
        <v>2</v>
      </c>
      <c r="B25" s="32" t="s">
        <v>4173</v>
      </c>
      <c r="C25" s="15">
        <f>A25</f>
        <v>2</v>
      </c>
      <c r="D25" s="41" t="b">
        <v>1</v>
      </c>
      <c r="E25" s="100">
        <v>15</v>
      </c>
      <c r="F25" s="100" t="s">
        <v>3174</v>
      </c>
    </row>
    <row r="26" spans="1:11" x14ac:dyDescent="0.25">
      <c r="A26" s="14"/>
      <c r="B26" s="43"/>
      <c r="C26" s="15"/>
      <c r="D26" s="41"/>
      <c r="E26" s="100"/>
    </row>
    <row r="28" spans="1:11" x14ac:dyDescent="0.25">
      <c r="K28" s="825"/>
    </row>
    <row r="29" spans="1:11" x14ac:dyDescent="0.25">
      <c r="B29" s="13" t="s">
        <v>1593</v>
      </c>
    </row>
    <row r="30" spans="1:11" x14ac:dyDescent="0.25">
      <c r="A30" s="2" t="s">
        <v>444</v>
      </c>
      <c r="B30" s="2" t="s">
        <v>445</v>
      </c>
      <c r="C30" s="3" t="s">
        <v>446</v>
      </c>
      <c r="D30" s="2" t="s">
        <v>1597</v>
      </c>
      <c r="E30" s="2" t="s">
        <v>1634</v>
      </c>
      <c r="F30" s="2" t="s">
        <v>5244</v>
      </c>
    </row>
    <row r="31" spans="1:11" x14ac:dyDescent="0.25">
      <c r="A31" s="14">
        <v>1</v>
      </c>
      <c r="B31" s="32" t="s">
        <v>1594</v>
      </c>
      <c r="C31" s="15">
        <f>A31</f>
        <v>1</v>
      </c>
      <c r="D31" s="21" t="b">
        <v>1</v>
      </c>
      <c r="E31" s="793" t="b">
        <v>1</v>
      </c>
      <c r="F31" s="793" t="s">
        <v>5409</v>
      </c>
    </row>
    <row r="32" spans="1:11" x14ac:dyDescent="0.25">
      <c r="A32" s="14">
        <v>2</v>
      </c>
      <c r="B32" s="32" t="s">
        <v>1595</v>
      </c>
      <c r="C32" s="15">
        <f>A32</f>
        <v>2</v>
      </c>
      <c r="D32" s="21" t="b">
        <v>1</v>
      </c>
      <c r="E32" s="793" t="b">
        <v>0</v>
      </c>
      <c r="F32" s="793" t="s">
        <v>5410</v>
      </c>
    </row>
    <row r="33" spans="1:9" x14ac:dyDescent="0.25">
      <c r="A33" s="14">
        <v>3</v>
      </c>
      <c r="B33" s="32" t="s">
        <v>1596</v>
      </c>
      <c r="C33" s="15">
        <f>A33</f>
        <v>3</v>
      </c>
      <c r="D33" s="21" t="b">
        <v>0</v>
      </c>
      <c r="E33" s="793" t="b">
        <v>0</v>
      </c>
      <c r="F33" s="793" t="s">
        <v>5411</v>
      </c>
    </row>
    <row r="35" spans="1:9" x14ac:dyDescent="0.25">
      <c r="I35" s="825"/>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25"/>
    </row>
    <row r="51" spans="1:9" x14ac:dyDescent="0.25">
      <c r="B51" s="268" t="s">
        <v>5450</v>
      </c>
      <c r="F51" s="321" t="s">
        <v>3199</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3206</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x14ac:dyDescent="0.25">
      <c r="B65" s="324" t="s">
        <v>3205</v>
      </c>
      <c r="C65" t="s">
        <v>3208</v>
      </c>
    </row>
    <row r="66" spans="1:6" x14ac:dyDescent="0.25">
      <c r="B66" s="324" t="s">
        <v>3207</v>
      </c>
      <c r="C66" t="s">
        <v>3209</v>
      </c>
    </row>
    <row r="68" spans="1:6" x14ac:dyDescent="0.25">
      <c r="B68" s="13" t="s">
        <v>1588</v>
      </c>
      <c r="F68" s="449"/>
    </row>
    <row r="69" spans="1:6" x14ac:dyDescent="0.25">
      <c r="A69" s="2" t="s">
        <v>444</v>
      </c>
      <c r="B69" s="2" t="s">
        <v>445</v>
      </c>
      <c r="C69" s="3" t="s">
        <v>446</v>
      </c>
      <c r="D69" s="2" t="s">
        <v>1589</v>
      </c>
      <c r="E69" s="321" t="s">
        <v>3199</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5260</v>
      </c>
      <c r="B1" s="230"/>
      <c r="C1" s="230"/>
      <c r="D1" s="230"/>
      <c r="E1" s="230"/>
      <c r="G1" s="230" t="s">
        <v>5256</v>
      </c>
      <c r="H1" s="230"/>
    </row>
    <row r="2" spans="1:8" ht="15.75" thickTop="1" x14ac:dyDescent="0.25"/>
    <row r="3" spans="1:8" x14ac:dyDescent="0.25">
      <c r="A3" s="350" t="s">
        <v>5250</v>
      </c>
      <c r="B3" s="350" t="s">
        <v>5257</v>
      </c>
      <c r="C3" s="350" t="s">
        <v>5266</v>
      </c>
      <c r="D3" s="350" t="s">
        <v>5256</v>
      </c>
      <c r="E3" s="350" t="s">
        <v>5260</v>
      </c>
      <c r="G3" s="350" t="s">
        <v>5257</v>
      </c>
      <c r="H3" s="350" t="s">
        <v>5258</v>
      </c>
    </row>
    <row r="4" spans="1:8" x14ac:dyDescent="0.25">
      <c r="A4" s="675" t="s">
        <v>5252</v>
      </c>
      <c r="B4" s="675" t="s">
        <v>1645</v>
      </c>
      <c r="C4" s="675" t="s">
        <v>5261</v>
      </c>
      <c r="D4" s="675" t="b">
        <v>0</v>
      </c>
      <c r="E4" s="681">
        <v>0.129</v>
      </c>
      <c r="G4" s="675" t="s">
        <v>1645</v>
      </c>
      <c r="H4" s="349">
        <v>0.3</v>
      </c>
    </row>
    <row r="5" spans="1:8" x14ac:dyDescent="0.25">
      <c r="A5" s="675" t="s">
        <v>5252</v>
      </c>
      <c r="B5" s="675" t="s">
        <v>1645</v>
      </c>
      <c r="C5" s="675" t="s">
        <v>5261</v>
      </c>
      <c r="D5" s="675" t="b">
        <v>1</v>
      </c>
      <c r="E5" s="681">
        <v>0.11990000000000001</v>
      </c>
      <c r="G5" s="675" t="s">
        <v>1646</v>
      </c>
      <c r="H5" s="349">
        <v>0.35</v>
      </c>
    </row>
    <row r="6" spans="1:8" x14ac:dyDescent="0.25">
      <c r="A6" s="675" t="s">
        <v>5252</v>
      </c>
      <c r="B6" s="675" t="s">
        <v>1645</v>
      </c>
      <c r="C6" s="675">
        <v>60</v>
      </c>
      <c r="D6" s="675" t="b">
        <v>0</v>
      </c>
      <c r="E6" s="681">
        <v>0.13200000000000001</v>
      </c>
    </row>
    <row r="7" spans="1:8" s="563" customFormat="1" x14ac:dyDescent="0.25">
      <c r="A7" s="675" t="s">
        <v>5252</v>
      </c>
      <c r="B7" s="675" t="s">
        <v>1645</v>
      </c>
      <c r="C7" s="675">
        <v>60</v>
      </c>
      <c r="D7" s="675" t="b">
        <v>1</v>
      </c>
      <c r="E7" s="681">
        <v>0.125</v>
      </c>
    </row>
    <row r="8" spans="1:8" s="563" customFormat="1" x14ac:dyDescent="0.25">
      <c r="A8" s="675" t="s">
        <v>5252</v>
      </c>
      <c r="B8" s="675" t="s">
        <v>1646</v>
      </c>
      <c r="C8" s="675" t="s">
        <v>5261</v>
      </c>
      <c r="D8" s="675" t="b">
        <v>0</v>
      </c>
      <c r="E8" s="681">
        <v>0.13200000000000001</v>
      </c>
    </row>
    <row r="9" spans="1:8" x14ac:dyDescent="0.25">
      <c r="A9" s="675" t="s">
        <v>5252</v>
      </c>
      <c r="B9" s="675" t="s">
        <v>1646</v>
      </c>
      <c r="C9" s="675" t="s">
        <v>5261</v>
      </c>
      <c r="D9" s="675" t="b">
        <v>1</v>
      </c>
      <c r="E9" s="681">
        <v>0.129</v>
      </c>
    </row>
    <row r="10" spans="1:8" x14ac:dyDescent="0.25">
      <c r="A10" s="675" t="s">
        <v>5252</v>
      </c>
      <c r="B10" s="675" t="s">
        <v>1646</v>
      </c>
      <c r="C10" s="675">
        <v>60</v>
      </c>
      <c r="D10" s="675" t="b">
        <v>0</v>
      </c>
      <c r="E10" s="681">
        <v>0.1399</v>
      </c>
    </row>
    <row r="11" spans="1:8" x14ac:dyDescent="0.25">
      <c r="A11" s="675" t="s">
        <v>5252</v>
      </c>
      <c r="B11" s="675" t="s">
        <v>1646</v>
      </c>
      <c r="C11" s="675">
        <v>60</v>
      </c>
      <c r="D11" s="675" t="b">
        <v>1</v>
      </c>
      <c r="E11" s="681">
        <v>0.13200000000000001</v>
      </c>
    </row>
    <row r="12" spans="1:8" x14ac:dyDescent="0.25">
      <c r="A12" s="675" t="s">
        <v>5253</v>
      </c>
      <c r="B12" s="675" t="s">
        <v>1645</v>
      </c>
      <c r="C12" s="675" t="s">
        <v>5261</v>
      </c>
      <c r="D12" s="675" t="b">
        <v>0</v>
      </c>
      <c r="E12" s="681">
        <v>0.11990000000000001</v>
      </c>
    </row>
    <row r="13" spans="1:8" x14ac:dyDescent="0.25">
      <c r="A13" s="675" t="s">
        <v>5253</v>
      </c>
      <c r="B13" s="675" t="s">
        <v>1645</v>
      </c>
      <c r="C13" s="675" t="s">
        <v>5261</v>
      </c>
      <c r="D13" s="675" t="b">
        <v>1</v>
      </c>
      <c r="E13" s="681">
        <v>0.115</v>
      </c>
    </row>
    <row r="14" spans="1:8" x14ac:dyDescent="0.25">
      <c r="A14" s="675" t="s">
        <v>5253</v>
      </c>
      <c r="B14" s="675" t="s">
        <v>1645</v>
      </c>
      <c r="C14" s="675">
        <v>60</v>
      </c>
      <c r="D14" s="675" t="b">
        <v>0</v>
      </c>
      <c r="E14" s="681">
        <v>0.125</v>
      </c>
    </row>
    <row r="15" spans="1:8" x14ac:dyDescent="0.25">
      <c r="A15" s="675" t="s">
        <v>5253</v>
      </c>
      <c r="B15" s="675" t="s">
        <v>1645</v>
      </c>
      <c r="C15" s="675">
        <v>60</v>
      </c>
      <c r="D15" s="675" t="b">
        <v>1</v>
      </c>
      <c r="E15" s="681">
        <v>0.11990000000000001</v>
      </c>
    </row>
    <row r="16" spans="1:8" x14ac:dyDescent="0.25">
      <c r="A16" s="675" t="s">
        <v>5253</v>
      </c>
      <c r="B16" s="675" t="s">
        <v>1646</v>
      </c>
      <c r="C16" s="675" t="s">
        <v>5261</v>
      </c>
      <c r="D16" s="675" t="b">
        <v>0</v>
      </c>
      <c r="E16" s="681">
        <v>0.11990000000000001</v>
      </c>
    </row>
    <row r="17" spans="1:5" x14ac:dyDescent="0.25">
      <c r="A17" s="675" t="s">
        <v>5253</v>
      </c>
      <c r="B17" s="675" t="s">
        <v>1646</v>
      </c>
      <c r="C17" s="675" t="s">
        <v>5261</v>
      </c>
      <c r="D17" s="675" t="b">
        <v>1</v>
      </c>
      <c r="E17" s="681">
        <v>0.115</v>
      </c>
    </row>
    <row r="18" spans="1:5" x14ac:dyDescent="0.25">
      <c r="A18" s="675" t="s">
        <v>5253</v>
      </c>
      <c r="B18" s="675" t="s">
        <v>1646</v>
      </c>
      <c r="C18" s="675">
        <v>60</v>
      </c>
      <c r="D18" s="675" t="b">
        <v>0</v>
      </c>
      <c r="E18" s="681">
        <v>0.125</v>
      </c>
    </row>
    <row r="19" spans="1:5" x14ac:dyDescent="0.25">
      <c r="A19" s="675" t="s">
        <v>5253</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5241</v>
      </c>
      <c r="B1" s="230"/>
      <c r="C1" s="230"/>
    </row>
    <row r="2" spans="1:6" s="563" customFormat="1" ht="15.75" thickTop="1" x14ac:dyDescent="0.25">
      <c r="D2"/>
    </row>
    <row r="3" spans="1:6" x14ac:dyDescent="0.25">
      <c r="A3" s="350" t="s">
        <v>5241</v>
      </c>
      <c r="B3" s="350" t="s">
        <v>5244</v>
      </c>
    </row>
    <row r="4" spans="1:6" x14ac:dyDescent="0.25">
      <c r="A4" s="730" t="s">
        <v>5242</v>
      </c>
      <c r="B4" s="671" t="s">
        <v>5245</v>
      </c>
    </row>
    <row r="5" spans="1:6" x14ac:dyDescent="0.25">
      <c r="A5" s="730" t="s">
        <v>5243</v>
      </c>
      <c r="B5" s="671" t="s">
        <v>5246</v>
      </c>
    </row>
    <row r="7" spans="1:6" ht="18" thickBot="1" x14ac:dyDescent="0.35">
      <c r="A7" s="230" t="s">
        <v>5250</v>
      </c>
      <c r="B7" s="230"/>
      <c r="C7" s="230"/>
    </row>
    <row r="8" spans="1:6" ht="15.75" thickTop="1" x14ac:dyDescent="0.25"/>
    <row r="9" spans="1:6" x14ac:dyDescent="0.25">
      <c r="A9" s="350" t="s">
        <v>5250</v>
      </c>
      <c r="B9" s="350" t="s">
        <v>5244</v>
      </c>
      <c r="C9" s="350" t="s">
        <v>3715</v>
      </c>
    </row>
    <row r="10" spans="1:6" x14ac:dyDescent="0.25">
      <c r="A10" s="671" t="s">
        <v>3190</v>
      </c>
      <c r="B10" s="671" t="s">
        <v>5252</v>
      </c>
      <c r="C10" s="58">
        <v>2.5000000000000001E-2</v>
      </c>
    </row>
    <row r="11" spans="1:6" x14ac:dyDescent="0.25">
      <c r="A11" s="671" t="s">
        <v>5251</v>
      </c>
      <c r="B11" s="671" t="s">
        <v>5253</v>
      </c>
      <c r="C11" s="843">
        <v>2.5000000000000001E-2</v>
      </c>
    </row>
    <row r="12" spans="1:6" x14ac:dyDescent="0.25">
      <c r="F12" s="792"/>
    </row>
    <row r="13" spans="1:6" s="563" customFormat="1" ht="18" thickBot="1" x14ac:dyDescent="0.35">
      <c r="A13" s="230" t="s">
        <v>5264</v>
      </c>
      <c r="B13" s="230"/>
      <c r="C13" s="230"/>
      <c r="D13"/>
    </row>
    <row r="14" spans="1:6" s="563" customFormat="1" ht="15.75" thickTop="1" x14ac:dyDescent="0.25">
      <c r="D14"/>
    </row>
    <row r="15" spans="1:6" x14ac:dyDescent="0.25">
      <c r="A15" s="350" t="s">
        <v>5257</v>
      </c>
      <c r="B15" s="350" t="s">
        <v>5250</v>
      </c>
      <c r="C15" s="350" t="s">
        <v>5263</v>
      </c>
    </row>
    <row r="16" spans="1:6" x14ac:dyDescent="0.25">
      <c r="A16" s="680" t="s">
        <v>1645</v>
      </c>
      <c r="B16" s="680" t="s">
        <v>5252</v>
      </c>
      <c r="C16" s="681">
        <v>0.1</v>
      </c>
    </row>
    <row r="17" spans="1:3" x14ac:dyDescent="0.25">
      <c r="A17" s="680" t="s">
        <v>1645</v>
      </c>
      <c r="B17" s="680" t="s">
        <v>5253</v>
      </c>
      <c r="C17" s="681">
        <v>0.15</v>
      </c>
    </row>
    <row r="18" spans="1:3" x14ac:dyDescent="0.25">
      <c r="A18" s="680" t="s">
        <v>1646</v>
      </c>
      <c r="B18" s="680" t="s">
        <v>5252</v>
      </c>
      <c r="C18" s="681">
        <v>0.25</v>
      </c>
    </row>
    <row r="19" spans="1:3" x14ac:dyDescent="0.25">
      <c r="A19" s="680" t="s">
        <v>1646</v>
      </c>
      <c r="B19" s="680" t="s">
        <v>5253</v>
      </c>
      <c r="C19" s="681">
        <v>0.25</v>
      </c>
    </row>
    <row r="21" spans="1:3" ht="18" thickBot="1" x14ac:dyDescent="0.35">
      <c r="A21" s="230" t="s">
        <v>5332</v>
      </c>
      <c r="B21" s="230"/>
      <c r="C21" s="230"/>
    </row>
    <row r="22" spans="1:3" ht="15.75" thickTop="1" x14ac:dyDescent="0.25">
      <c r="A22" s="731"/>
      <c r="B22" s="731"/>
      <c r="C22" s="731"/>
    </row>
    <row r="23" spans="1:3" x14ac:dyDescent="0.25">
      <c r="A23" s="350" t="s">
        <v>5332</v>
      </c>
      <c r="B23" s="350" t="s">
        <v>5244</v>
      </c>
      <c r="C23" s="731"/>
    </row>
    <row r="24" spans="1:3" x14ac:dyDescent="0.25">
      <c r="A24" s="732" t="s">
        <v>5333</v>
      </c>
      <c r="B24" s="732" t="s">
        <v>5335</v>
      </c>
      <c r="C24" s="731"/>
    </row>
    <row r="25" spans="1:3" x14ac:dyDescent="0.25">
      <c r="A25" s="732" t="s">
        <v>5334</v>
      </c>
      <c r="B25" s="732" t="s">
        <v>5336</v>
      </c>
      <c r="C25" s="731"/>
    </row>
    <row r="27" spans="1:3" ht="18" thickBot="1" x14ac:dyDescent="0.35">
      <c r="A27" s="230" t="s">
        <v>2140</v>
      </c>
      <c r="B27" s="230"/>
    </row>
    <row r="28" spans="1:3" ht="15.75" thickTop="1" x14ac:dyDescent="0.25">
      <c r="A28" s="792"/>
      <c r="B28" s="792"/>
    </row>
    <row r="29" spans="1:3" x14ac:dyDescent="0.25">
      <c r="A29" s="350" t="s">
        <v>2140</v>
      </c>
      <c r="B29" s="350" t="s">
        <v>5244</v>
      </c>
    </row>
    <row r="30" spans="1:3" x14ac:dyDescent="0.25">
      <c r="A30" s="793" t="s">
        <v>5187</v>
      </c>
      <c r="B30" s="793" t="s">
        <v>5412</v>
      </c>
    </row>
    <row r="31" spans="1:3" x14ac:dyDescent="0.25">
      <c r="A31" s="793" t="s">
        <v>5414</v>
      </c>
      <c r="B31" s="793" t="s">
        <v>5413</v>
      </c>
    </row>
    <row r="33" spans="1:3" ht="18" thickBot="1" x14ac:dyDescent="0.35">
      <c r="A33" s="230" t="s">
        <v>5434</v>
      </c>
      <c r="B33" s="230"/>
      <c r="C33" s="230"/>
    </row>
    <row r="34" spans="1:3" ht="15.75" thickTop="1" x14ac:dyDescent="0.25"/>
    <row r="35" spans="1:3" x14ac:dyDescent="0.25">
      <c r="A35" s="350" t="s">
        <v>2140</v>
      </c>
      <c r="B35" s="350" t="s">
        <v>5241</v>
      </c>
      <c r="C35" s="350" t="s">
        <v>5432</v>
      </c>
    </row>
    <row r="36" spans="1:3" x14ac:dyDescent="0.25">
      <c r="A36" s="809" t="s">
        <v>5412</v>
      </c>
      <c r="B36" s="809" t="s">
        <v>5245</v>
      </c>
      <c r="C36" s="91" t="s">
        <v>4364</v>
      </c>
    </row>
    <row r="37" spans="1:3" x14ac:dyDescent="0.25">
      <c r="A37" s="809" t="s">
        <v>5412</v>
      </c>
      <c r="B37" s="809" t="s">
        <v>5246</v>
      </c>
      <c r="C37" s="91" t="s">
        <v>5430</v>
      </c>
    </row>
    <row r="38" spans="1:3" x14ac:dyDescent="0.25">
      <c r="A38" s="809" t="s">
        <v>5413</v>
      </c>
      <c r="B38" s="809" t="s">
        <v>5245</v>
      </c>
      <c r="C38" s="91" t="s">
        <v>5431</v>
      </c>
    </row>
    <row r="40" spans="1:3" ht="18" thickBot="1" x14ac:dyDescent="0.35">
      <c r="A40" s="811" t="s">
        <v>5441</v>
      </c>
      <c r="B40" s="230"/>
      <c r="C40" s="230"/>
    </row>
    <row r="41" spans="1:3" ht="15.75" thickTop="1" x14ac:dyDescent="0.25"/>
    <row r="42" spans="1:3" x14ac:dyDescent="0.25">
      <c r="A42" s="350" t="s">
        <v>5241</v>
      </c>
      <c r="B42" s="350" t="s">
        <v>5250</v>
      </c>
      <c r="C42" s="350" t="s">
        <v>5439</v>
      </c>
    </row>
    <row r="43" spans="1:3" x14ac:dyDescent="0.25">
      <c r="A43" s="163" t="s">
        <v>5246</v>
      </c>
      <c r="B43" s="809" t="s">
        <v>5253</v>
      </c>
      <c r="C43" s="163" t="s">
        <v>5243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94" customWidth="1"/>
    <col min="7" max="7" width="27.42578125" customWidth="1"/>
  </cols>
  <sheetData>
    <row r="1" spans="1:8" x14ac:dyDescent="0.25">
      <c r="A1" s="350" t="s">
        <v>2140</v>
      </c>
      <c r="B1" s="350" t="s">
        <v>5241</v>
      </c>
      <c r="C1" s="350" t="s">
        <v>1564</v>
      </c>
      <c r="D1" s="350" t="s">
        <v>5257</v>
      </c>
      <c r="E1" s="350" t="s">
        <v>1592</v>
      </c>
      <c r="F1" s="350" t="s">
        <v>5423</v>
      </c>
      <c r="G1" s="350" t="s">
        <v>5421</v>
      </c>
    </row>
    <row r="2" spans="1:8" ht="15" customHeight="1" x14ac:dyDescent="0.25">
      <c r="A2" s="716" t="s">
        <v>5412</v>
      </c>
      <c r="B2" s="716" t="s">
        <v>5245</v>
      </c>
      <c r="C2" s="801" t="s">
        <v>5252</v>
      </c>
      <c r="D2" s="716" t="s">
        <v>1645</v>
      </c>
      <c r="E2" s="716" t="s">
        <v>5409</v>
      </c>
      <c r="F2" s="716">
        <v>1</v>
      </c>
      <c r="G2" s="802" t="s">
        <v>11151</v>
      </c>
      <c r="H2" s="794" t="s">
        <v>506</v>
      </c>
    </row>
    <row r="3" spans="1:8" x14ac:dyDescent="0.25">
      <c r="A3" s="716" t="s">
        <v>5412</v>
      </c>
      <c r="B3" s="716" t="s">
        <v>5245</v>
      </c>
      <c r="C3" s="801" t="s">
        <v>5252</v>
      </c>
      <c r="D3" s="716" t="s">
        <v>1645</v>
      </c>
      <c r="E3" s="716" t="s">
        <v>5410</v>
      </c>
      <c r="F3" s="716">
        <v>2</v>
      </c>
      <c r="G3" s="802" t="s">
        <v>11152</v>
      </c>
      <c r="H3" s="794" t="s">
        <v>506</v>
      </c>
    </row>
    <row r="4" spans="1:8" x14ac:dyDescent="0.25">
      <c r="A4" s="716" t="s">
        <v>5412</v>
      </c>
      <c r="B4" s="716" t="s">
        <v>5245</v>
      </c>
      <c r="C4" s="801" t="s">
        <v>5252</v>
      </c>
      <c r="D4" s="716" t="s">
        <v>1645</v>
      </c>
      <c r="E4" s="716" t="s">
        <v>5411</v>
      </c>
      <c r="F4" s="716">
        <v>3</v>
      </c>
      <c r="G4" s="802" t="s">
        <v>11153</v>
      </c>
      <c r="H4" s="794" t="s">
        <v>506</v>
      </c>
    </row>
    <row r="5" spans="1:8" ht="15" customHeight="1" x14ac:dyDescent="0.25">
      <c r="A5" s="716" t="s">
        <v>5412</v>
      </c>
      <c r="B5" s="716" t="s">
        <v>5245</v>
      </c>
      <c r="C5" s="801" t="s">
        <v>5252</v>
      </c>
      <c r="D5" s="716" t="s">
        <v>1646</v>
      </c>
      <c r="E5" s="716" t="s">
        <v>5409</v>
      </c>
      <c r="F5" s="716">
        <v>4</v>
      </c>
      <c r="G5" s="802" t="s">
        <v>11154</v>
      </c>
      <c r="H5" s="794" t="s">
        <v>506</v>
      </c>
    </row>
    <row r="6" spans="1:8" x14ac:dyDescent="0.25">
      <c r="A6" s="716" t="s">
        <v>5412</v>
      </c>
      <c r="B6" s="716" t="s">
        <v>5245</v>
      </c>
      <c r="C6" s="801" t="s">
        <v>5252</v>
      </c>
      <c r="D6" s="716" t="s">
        <v>1646</v>
      </c>
      <c r="E6" s="716" t="s">
        <v>5410</v>
      </c>
      <c r="F6" s="716">
        <v>5</v>
      </c>
      <c r="G6" s="802" t="s">
        <v>11155</v>
      </c>
      <c r="H6" s="794" t="s">
        <v>506</v>
      </c>
    </row>
    <row r="7" spans="1:8" x14ac:dyDescent="0.25">
      <c r="A7" s="716" t="s">
        <v>5412</v>
      </c>
      <c r="B7" s="716" t="s">
        <v>5245</v>
      </c>
      <c r="C7" s="801" t="s">
        <v>5252</v>
      </c>
      <c r="D7" s="716" t="s">
        <v>1646</v>
      </c>
      <c r="E7" s="716" t="s">
        <v>5411</v>
      </c>
      <c r="F7" s="716">
        <v>6</v>
      </c>
      <c r="G7" s="802" t="s">
        <v>11156</v>
      </c>
      <c r="H7" s="794" t="s">
        <v>506</v>
      </c>
    </row>
    <row r="8" spans="1:8" ht="15" customHeight="1" x14ac:dyDescent="0.25">
      <c r="A8" s="795"/>
      <c r="B8" s="795"/>
      <c r="C8" s="795"/>
      <c r="D8" s="795"/>
      <c r="E8" s="795"/>
      <c r="F8" s="795"/>
      <c r="G8" s="803"/>
      <c r="H8" s="794" t="s">
        <v>506</v>
      </c>
    </row>
    <row r="9" spans="1:8" x14ac:dyDescent="0.25">
      <c r="A9" s="716" t="s">
        <v>5412</v>
      </c>
      <c r="B9" s="716" t="s">
        <v>5245</v>
      </c>
      <c r="C9" s="801" t="s">
        <v>5253</v>
      </c>
      <c r="D9" s="716" t="s">
        <v>1645</v>
      </c>
      <c r="E9" s="716" t="s">
        <v>5409</v>
      </c>
      <c r="F9" s="716">
        <v>7</v>
      </c>
      <c r="G9" s="802" t="s">
        <v>11157</v>
      </c>
      <c r="H9" s="794" t="s">
        <v>506</v>
      </c>
    </row>
    <row r="10" spans="1:8" x14ac:dyDescent="0.25">
      <c r="A10" s="716" t="s">
        <v>5412</v>
      </c>
      <c r="B10" s="716" t="s">
        <v>5245</v>
      </c>
      <c r="C10" s="801" t="s">
        <v>5253</v>
      </c>
      <c r="D10" s="716" t="s">
        <v>1645</v>
      </c>
      <c r="E10" s="716" t="s">
        <v>5410</v>
      </c>
      <c r="F10" s="716">
        <v>8</v>
      </c>
      <c r="G10" s="802" t="s">
        <v>11158</v>
      </c>
      <c r="H10" s="794" t="s">
        <v>506</v>
      </c>
    </row>
    <row r="11" spans="1:8" x14ac:dyDescent="0.25">
      <c r="A11" s="716" t="s">
        <v>5412</v>
      </c>
      <c r="B11" s="716" t="s">
        <v>5245</v>
      </c>
      <c r="C11" s="801" t="s">
        <v>5253</v>
      </c>
      <c r="D11" s="716" t="s">
        <v>1645</v>
      </c>
      <c r="E11" s="716" t="s">
        <v>5411</v>
      </c>
      <c r="F11" s="716">
        <v>9</v>
      </c>
      <c r="G11" s="802" t="s">
        <v>11159</v>
      </c>
      <c r="H11" s="794" t="s">
        <v>506</v>
      </c>
    </row>
    <row r="12" spans="1:8" x14ac:dyDescent="0.25">
      <c r="A12" s="716" t="s">
        <v>5412</v>
      </c>
      <c r="B12" s="716" t="s">
        <v>5245</v>
      </c>
      <c r="C12" s="801" t="s">
        <v>5253</v>
      </c>
      <c r="D12" s="716" t="s">
        <v>1646</v>
      </c>
      <c r="E12" s="716" t="s">
        <v>5409</v>
      </c>
      <c r="F12" s="716">
        <v>10</v>
      </c>
      <c r="G12" s="802" t="s">
        <v>11160</v>
      </c>
      <c r="H12" s="794" t="s">
        <v>506</v>
      </c>
    </row>
    <row r="13" spans="1:8" x14ac:dyDescent="0.25">
      <c r="A13" s="716" t="s">
        <v>5412</v>
      </c>
      <c r="B13" s="716" t="s">
        <v>5245</v>
      </c>
      <c r="C13" s="801" t="s">
        <v>5253</v>
      </c>
      <c r="D13" s="716" t="s">
        <v>1646</v>
      </c>
      <c r="E13" s="716" t="s">
        <v>5410</v>
      </c>
      <c r="F13" s="716">
        <v>11</v>
      </c>
      <c r="G13" s="802" t="s">
        <v>11161</v>
      </c>
      <c r="H13" s="794" t="s">
        <v>506</v>
      </c>
    </row>
    <row r="14" spans="1:8" x14ac:dyDescent="0.25">
      <c r="A14" s="716" t="s">
        <v>5412</v>
      </c>
      <c r="B14" s="716" t="s">
        <v>5245</v>
      </c>
      <c r="C14" s="801" t="s">
        <v>5253</v>
      </c>
      <c r="D14" s="716" t="s">
        <v>1646</v>
      </c>
      <c r="E14" s="716" t="s">
        <v>5411</v>
      </c>
      <c r="F14" s="716">
        <v>12</v>
      </c>
      <c r="G14" s="802" t="s">
        <v>11162</v>
      </c>
      <c r="H14" s="794" t="s">
        <v>506</v>
      </c>
    </row>
    <row r="15" spans="1:8" x14ac:dyDescent="0.25">
      <c r="A15" s="795"/>
      <c r="B15" s="795"/>
      <c r="C15" s="795"/>
      <c r="D15" s="795"/>
      <c r="E15" s="795"/>
      <c r="F15" s="795"/>
      <c r="G15" s="803"/>
      <c r="H15" s="794" t="s">
        <v>506</v>
      </c>
    </row>
    <row r="16" spans="1:8" x14ac:dyDescent="0.25">
      <c r="A16" s="716" t="s">
        <v>5412</v>
      </c>
      <c r="B16" s="801" t="s">
        <v>5246</v>
      </c>
      <c r="C16" s="716" t="s">
        <v>5253</v>
      </c>
      <c r="D16" s="716" t="s">
        <v>1645</v>
      </c>
      <c r="E16" s="716" t="s">
        <v>5409</v>
      </c>
      <c r="F16" s="716">
        <v>13</v>
      </c>
      <c r="G16" s="802" t="s">
        <v>11163</v>
      </c>
      <c r="H16" s="794" t="s">
        <v>506</v>
      </c>
    </row>
    <row r="17" spans="1:8" x14ac:dyDescent="0.25">
      <c r="A17" s="716" t="s">
        <v>5412</v>
      </c>
      <c r="B17" s="801" t="s">
        <v>5246</v>
      </c>
      <c r="C17" s="716" t="s">
        <v>5253</v>
      </c>
      <c r="D17" s="716" t="s">
        <v>1646</v>
      </c>
      <c r="E17" s="716" t="s">
        <v>5409</v>
      </c>
      <c r="F17" s="716">
        <v>14</v>
      </c>
      <c r="G17" s="807" t="s">
        <v>11164</v>
      </c>
      <c r="H17" s="794" t="s">
        <v>506</v>
      </c>
    </row>
    <row r="18" spans="1:8" x14ac:dyDescent="0.25">
      <c r="A18" s="795"/>
      <c r="B18" s="795"/>
      <c r="C18" s="795"/>
      <c r="D18" s="795"/>
      <c r="E18" s="795"/>
      <c r="F18" s="795"/>
      <c r="G18" s="803"/>
      <c r="H18" s="794" t="s">
        <v>506</v>
      </c>
    </row>
    <row r="19" spans="1:8" x14ac:dyDescent="0.25">
      <c r="A19" s="804" t="s">
        <v>5413</v>
      </c>
      <c r="B19" s="805" t="s">
        <v>5245</v>
      </c>
      <c r="C19" s="805" t="s">
        <v>5252</v>
      </c>
      <c r="D19" s="805" t="s">
        <v>1645</v>
      </c>
      <c r="E19" s="805" t="s">
        <v>5409</v>
      </c>
      <c r="F19" s="805">
        <v>15</v>
      </c>
      <c r="G19" s="806" t="s">
        <v>11165</v>
      </c>
      <c r="H19" s="794" t="s">
        <v>506</v>
      </c>
    </row>
    <row r="20" spans="1:8" x14ac:dyDescent="0.25">
      <c r="A20" s="804" t="s">
        <v>5413</v>
      </c>
      <c r="B20" s="805" t="s">
        <v>5245</v>
      </c>
      <c r="C20" s="805" t="s">
        <v>5252</v>
      </c>
      <c r="D20" s="805" t="s">
        <v>1645</v>
      </c>
      <c r="E20" s="805" t="s">
        <v>5410</v>
      </c>
      <c r="F20" s="805">
        <v>16</v>
      </c>
      <c r="G20" s="806" t="s">
        <v>11166</v>
      </c>
      <c r="H20" s="794" t="s">
        <v>506</v>
      </c>
    </row>
    <row r="21" spans="1:8" x14ac:dyDescent="0.25">
      <c r="A21" s="804" t="s">
        <v>5413</v>
      </c>
      <c r="B21" s="805" t="s">
        <v>5245</v>
      </c>
      <c r="C21" s="805" t="s">
        <v>5252</v>
      </c>
      <c r="D21" s="805" t="s">
        <v>1645</v>
      </c>
      <c r="E21" s="805" t="s">
        <v>5411</v>
      </c>
      <c r="F21" s="805">
        <v>17</v>
      </c>
      <c r="G21" s="806" t="s">
        <v>11167</v>
      </c>
      <c r="H21" s="794" t="s">
        <v>506</v>
      </c>
    </row>
    <row r="22" spans="1:8" x14ac:dyDescent="0.25">
      <c r="A22" s="804" t="s">
        <v>5413</v>
      </c>
      <c r="B22" s="805" t="s">
        <v>5245</v>
      </c>
      <c r="C22" s="805" t="s">
        <v>5252</v>
      </c>
      <c r="D22" s="805" t="s">
        <v>1646</v>
      </c>
      <c r="E22" s="805" t="s">
        <v>5409</v>
      </c>
      <c r="F22" s="805">
        <v>18</v>
      </c>
      <c r="G22" s="806" t="s">
        <v>11168</v>
      </c>
      <c r="H22" s="794" t="s">
        <v>506</v>
      </c>
    </row>
    <row r="23" spans="1:8" x14ac:dyDescent="0.25">
      <c r="A23" s="804" t="s">
        <v>5413</v>
      </c>
      <c r="B23" s="805" t="s">
        <v>5245</v>
      </c>
      <c r="C23" s="805" t="s">
        <v>5252</v>
      </c>
      <c r="D23" s="805" t="s">
        <v>1646</v>
      </c>
      <c r="E23" s="805" t="s">
        <v>5410</v>
      </c>
      <c r="F23" s="805">
        <v>19</v>
      </c>
      <c r="G23" s="806" t="s">
        <v>11169</v>
      </c>
      <c r="H23" s="794" t="s">
        <v>506</v>
      </c>
    </row>
    <row r="24" spans="1:8" x14ac:dyDescent="0.25">
      <c r="A24" s="804" t="s">
        <v>5413</v>
      </c>
      <c r="B24" s="805" t="s">
        <v>5245</v>
      </c>
      <c r="C24" s="805" t="s">
        <v>5252</v>
      </c>
      <c r="D24" s="805" t="s">
        <v>1646</v>
      </c>
      <c r="E24" s="805" t="s">
        <v>5411</v>
      </c>
      <c r="F24" s="805">
        <v>20</v>
      </c>
      <c r="G24" s="806" t="s">
        <v>11170</v>
      </c>
      <c r="H24" s="794" t="s">
        <v>506</v>
      </c>
    </row>
    <row r="27" spans="1:8" x14ac:dyDescent="0.25">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5"/>
  <sheetViews>
    <sheetView topLeftCell="A245" workbookViewId="0">
      <selection activeCell="D264" sqref="D264"/>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8.85546875" customWidth="1"/>
    <col min="6" max="6" width="15.42578125" customWidth="1"/>
    <col min="7" max="7" width="27" customWidth="1"/>
  </cols>
  <sheetData>
    <row r="1" spans="1:4" x14ac:dyDescent="0.25">
      <c r="A1" s="308" t="s">
        <v>3390</v>
      </c>
    </row>
    <row r="3" spans="1:4" x14ac:dyDescent="0.25">
      <c r="A3" t="s">
        <v>1706</v>
      </c>
      <c r="B3" t="s">
        <v>3391</v>
      </c>
      <c r="C3" t="s">
        <v>3392</v>
      </c>
      <c r="D3" t="s">
        <v>3393</v>
      </c>
    </row>
    <row r="4" spans="1:4" x14ac:dyDescent="0.25">
      <c r="A4" s="299">
        <v>41733</v>
      </c>
      <c r="B4" t="s">
        <v>3394</v>
      </c>
      <c r="C4" t="s">
        <v>3395</v>
      </c>
      <c r="D4" t="s">
        <v>3389</v>
      </c>
    </row>
    <row r="5" spans="1:4" x14ac:dyDescent="0.25">
      <c r="A5" s="299">
        <v>41733</v>
      </c>
      <c r="B5" t="s">
        <v>3394</v>
      </c>
      <c r="C5" t="s">
        <v>3395</v>
      </c>
      <c r="D5" t="s">
        <v>3396</v>
      </c>
    </row>
    <row r="6" spans="1:4" x14ac:dyDescent="0.25">
      <c r="A6" s="299">
        <v>41733</v>
      </c>
      <c r="B6" t="s">
        <v>3394</v>
      </c>
      <c r="C6" t="s">
        <v>3395</v>
      </c>
      <c r="D6" t="s">
        <v>3691</v>
      </c>
    </row>
    <row r="7" spans="1:4" x14ac:dyDescent="0.25">
      <c r="A7" s="299">
        <v>41733</v>
      </c>
      <c r="B7" t="s">
        <v>3394</v>
      </c>
      <c r="C7" t="s">
        <v>3395</v>
      </c>
    </row>
    <row r="8" spans="1:4" x14ac:dyDescent="0.25">
      <c r="A8" s="299">
        <v>41733</v>
      </c>
      <c r="B8" t="s">
        <v>3394</v>
      </c>
      <c r="C8" t="s">
        <v>3395</v>
      </c>
    </row>
    <row r="9" spans="1:4" x14ac:dyDescent="0.25">
      <c r="A9" s="299">
        <v>41736</v>
      </c>
      <c r="B9" t="s">
        <v>3735</v>
      </c>
      <c r="C9" t="s">
        <v>3736</v>
      </c>
      <c r="D9" t="s">
        <v>3734</v>
      </c>
    </row>
    <row r="10" spans="1:4" x14ac:dyDescent="0.25">
      <c r="A10" s="299">
        <v>41736</v>
      </c>
      <c r="B10" t="s">
        <v>3735</v>
      </c>
      <c r="C10" t="s">
        <v>3736</v>
      </c>
      <c r="D10" t="s">
        <v>3733</v>
      </c>
    </row>
    <row r="11" spans="1:4" x14ac:dyDescent="0.25">
      <c r="A11" s="299">
        <v>41736</v>
      </c>
      <c r="B11" t="s">
        <v>3735</v>
      </c>
      <c r="C11" t="s">
        <v>3736</v>
      </c>
      <c r="D11" t="s">
        <v>3732</v>
      </c>
    </row>
    <row r="12" spans="1:4" x14ac:dyDescent="0.25">
      <c r="A12" s="299">
        <v>41736</v>
      </c>
      <c r="B12" t="s">
        <v>3735</v>
      </c>
      <c r="C12" t="s">
        <v>3736</v>
      </c>
      <c r="D12" t="s">
        <v>3731</v>
      </c>
    </row>
    <row r="13" spans="1:4" x14ac:dyDescent="0.25">
      <c r="A13" s="299">
        <v>41736</v>
      </c>
      <c r="B13" t="s">
        <v>3735</v>
      </c>
      <c r="C13" t="s">
        <v>3736</v>
      </c>
      <c r="D13" t="s">
        <v>3730</v>
      </c>
    </row>
    <row r="14" spans="1:4" x14ac:dyDescent="0.25">
      <c r="A14" s="299">
        <v>41736</v>
      </c>
      <c r="B14" t="s">
        <v>3735</v>
      </c>
      <c r="C14" t="s">
        <v>3736</v>
      </c>
      <c r="D14" t="s">
        <v>3729</v>
      </c>
    </row>
    <row r="15" spans="1:4" x14ac:dyDescent="0.25">
      <c r="A15" s="299">
        <v>41736</v>
      </c>
      <c r="B15" t="s">
        <v>3735</v>
      </c>
      <c r="C15" t="s">
        <v>3736</v>
      </c>
      <c r="D15" t="s">
        <v>3728</v>
      </c>
    </row>
    <row r="16" spans="1:4" x14ac:dyDescent="0.25">
      <c r="A16" s="299">
        <v>41736</v>
      </c>
      <c r="B16" t="s">
        <v>3735</v>
      </c>
      <c r="C16" t="s">
        <v>3736</v>
      </c>
      <c r="D16" t="s">
        <v>3727</v>
      </c>
    </row>
    <row r="17" spans="1:5" x14ac:dyDescent="0.25">
      <c r="A17" s="299">
        <v>41736</v>
      </c>
      <c r="B17" t="s">
        <v>3735</v>
      </c>
      <c r="C17" t="s">
        <v>3736</v>
      </c>
      <c r="D17" t="s">
        <v>3726</v>
      </c>
    </row>
    <row r="18" spans="1:5" x14ac:dyDescent="0.25">
      <c r="A18" s="299">
        <v>41736</v>
      </c>
      <c r="B18" t="s">
        <v>3735</v>
      </c>
      <c r="C18" t="s">
        <v>3736</v>
      </c>
      <c r="D18" t="s">
        <v>3725</v>
      </c>
    </row>
    <row r="19" spans="1:5" x14ac:dyDescent="0.25">
      <c r="A19" s="299">
        <v>41737</v>
      </c>
      <c r="B19" t="s">
        <v>3735</v>
      </c>
      <c r="C19" t="s">
        <v>3736</v>
      </c>
      <c r="D19" t="s">
        <v>3724</v>
      </c>
    </row>
    <row r="20" spans="1:5" x14ac:dyDescent="0.25">
      <c r="A20" s="299">
        <v>41737</v>
      </c>
      <c r="B20" t="s">
        <v>3735</v>
      </c>
      <c r="C20" t="s">
        <v>3736</v>
      </c>
      <c r="D20" t="s">
        <v>3723</v>
      </c>
      <c r="E20" s="331"/>
    </row>
    <row r="21" spans="1:5" x14ac:dyDescent="0.25">
      <c r="A21" s="299">
        <v>41738</v>
      </c>
      <c r="B21" t="s">
        <v>3735</v>
      </c>
      <c r="C21" t="s">
        <v>3736</v>
      </c>
      <c r="D21" t="s">
        <v>3722</v>
      </c>
    </row>
    <row r="22" spans="1:5" x14ac:dyDescent="0.25">
      <c r="A22" s="299">
        <v>41738</v>
      </c>
      <c r="B22" t="s">
        <v>3735</v>
      </c>
      <c r="C22" t="s">
        <v>3736</v>
      </c>
      <c r="D22" t="s">
        <v>3721</v>
      </c>
    </row>
    <row r="23" spans="1:5" x14ac:dyDescent="0.25">
      <c r="A23" s="299">
        <v>41738</v>
      </c>
      <c r="B23" t="s">
        <v>3735</v>
      </c>
      <c r="C23" t="s">
        <v>3736</v>
      </c>
      <c r="D23" t="s">
        <v>3720</v>
      </c>
    </row>
    <row r="24" spans="1:5" x14ac:dyDescent="0.25">
      <c r="A24" s="299">
        <v>41738</v>
      </c>
      <c r="B24" t="s">
        <v>3735</v>
      </c>
      <c r="C24" t="s">
        <v>3736</v>
      </c>
      <c r="D24" t="s">
        <v>3719</v>
      </c>
    </row>
    <row r="25" spans="1:5" x14ac:dyDescent="0.25">
      <c r="A25" s="299">
        <v>41738</v>
      </c>
      <c r="B25" t="s">
        <v>3735</v>
      </c>
      <c r="C25" t="s">
        <v>3736</v>
      </c>
      <c r="D25" t="s">
        <v>3718</v>
      </c>
    </row>
    <row r="26" spans="1:5" x14ac:dyDescent="0.25">
      <c r="A26" s="299">
        <v>41739</v>
      </c>
      <c r="B26" t="s">
        <v>3735</v>
      </c>
      <c r="C26" t="s">
        <v>3736</v>
      </c>
      <c r="D26" t="s">
        <v>3717</v>
      </c>
    </row>
    <row r="27" spans="1:5" x14ac:dyDescent="0.25">
      <c r="A27" s="299">
        <v>41739</v>
      </c>
      <c r="B27" t="s">
        <v>3738</v>
      </c>
      <c r="C27" t="s">
        <v>3736</v>
      </c>
      <c r="D27" t="s">
        <v>3737</v>
      </c>
    </row>
    <row r="28" spans="1:5" x14ac:dyDescent="0.25">
      <c r="A28" s="299">
        <v>41744</v>
      </c>
      <c r="B28" t="s">
        <v>4170</v>
      </c>
      <c r="C28" t="s">
        <v>4171</v>
      </c>
      <c r="D28" t="s">
        <v>4169</v>
      </c>
    </row>
    <row r="29" spans="1:5" x14ac:dyDescent="0.25">
      <c r="A29" s="299">
        <v>41757</v>
      </c>
      <c r="B29" t="s">
        <v>4170</v>
      </c>
      <c r="C29" t="s">
        <v>4171</v>
      </c>
      <c r="D29" t="s">
        <v>4172</v>
      </c>
    </row>
    <row r="30" spans="1:5" x14ac:dyDescent="0.25">
      <c r="A30" s="299">
        <v>41766</v>
      </c>
      <c r="B30" t="s">
        <v>4170</v>
      </c>
      <c r="C30" t="s">
        <v>4171</v>
      </c>
      <c r="D30" t="s">
        <v>4177</v>
      </c>
    </row>
    <row r="31" spans="1:5" x14ac:dyDescent="0.25">
      <c r="A31" s="299">
        <v>41766</v>
      </c>
      <c r="B31" t="s">
        <v>3394</v>
      </c>
      <c r="C31" t="s">
        <v>3395</v>
      </c>
      <c r="D31" t="s">
        <v>4178</v>
      </c>
    </row>
    <row r="32" spans="1:5" x14ac:dyDescent="0.25">
      <c r="A32" s="299">
        <v>41766</v>
      </c>
      <c r="B32" t="s">
        <v>4170</v>
      </c>
      <c r="C32" t="s">
        <v>4171</v>
      </c>
      <c r="D32" t="s">
        <v>4180</v>
      </c>
    </row>
    <row r="33" spans="1:4" x14ac:dyDescent="0.25">
      <c r="A33" s="299">
        <v>41771</v>
      </c>
      <c r="B33" t="s">
        <v>4170</v>
      </c>
      <c r="C33" t="s">
        <v>4171</v>
      </c>
      <c r="D33" t="s">
        <v>4206</v>
      </c>
    </row>
    <row r="34" spans="1:4" x14ac:dyDescent="0.25">
      <c r="A34" s="299">
        <v>41772</v>
      </c>
      <c r="B34" t="s">
        <v>4170</v>
      </c>
      <c r="C34" t="s">
        <v>4171</v>
      </c>
      <c r="D34" t="s">
        <v>4207</v>
      </c>
    </row>
    <row r="35" spans="1:4" x14ac:dyDescent="0.25">
      <c r="A35" s="299">
        <v>41782</v>
      </c>
      <c r="B35" t="s">
        <v>4209</v>
      </c>
      <c r="C35" t="s">
        <v>4171</v>
      </c>
      <c r="D35" t="s">
        <v>4208</v>
      </c>
    </row>
    <row r="36" spans="1:4" x14ac:dyDescent="0.25">
      <c r="A36" s="299">
        <v>41785</v>
      </c>
      <c r="B36" t="s">
        <v>4209</v>
      </c>
      <c r="C36" t="s">
        <v>4171</v>
      </c>
      <c r="D36" t="s">
        <v>4217</v>
      </c>
    </row>
    <row r="37" spans="1:4" x14ac:dyDescent="0.25">
      <c r="A37" s="299">
        <v>41792</v>
      </c>
      <c r="B37" t="s">
        <v>4209</v>
      </c>
      <c r="C37" t="s">
        <v>4171</v>
      </c>
      <c r="D37" t="s">
        <v>4218</v>
      </c>
    </row>
    <row r="38" spans="1:4" x14ac:dyDescent="0.25">
      <c r="A38" s="299">
        <v>41803</v>
      </c>
      <c r="B38" t="s">
        <v>4209</v>
      </c>
      <c r="C38" t="s">
        <v>4171</v>
      </c>
      <c r="D38" t="s">
        <v>4219</v>
      </c>
    </row>
    <row r="39" spans="1:4" x14ac:dyDescent="0.25">
      <c r="A39" s="299">
        <v>41814</v>
      </c>
      <c r="B39" t="s">
        <v>4209</v>
      </c>
      <c r="C39" t="s">
        <v>4171</v>
      </c>
      <c r="D39" t="s">
        <v>4239</v>
      </c>
    </row>
    <row r="40" spans="1:4" x14ac:dyDescent="0.25">
      <c r="A40" s="299">
        <v>41822</v>
      </c>
      <c r="B40" t="s">
        <v>4170</v>
      </c>
      <c r="C40" t="s">
        <v>4171</v>
      </c>
      <c r="D40" t="s">
        <v>4241</v>
      </c>
    </row>
    <row r="41" spans="1:4" x14ac:dyDescent="0.25">
      <c r="A41" s="299">
        <v>41830</v>
      </c>
      <c r="B41" t="s">
        <v>4170</v>
      </c>
      <c r="C41" t="s">
        <v>4171</v>
      </c>
      <c r="D41" t="s">
        <v>4242</v>
      </c>
    </row>
    <row r="42" spans="1:4" x14ac:dyDescent="0.25">
      <c r="A42" s="299">
        <v>41841</v>
      </c>
      <c r="B42" t="s">
        <v>4170</v>
      </c>
      <c r="C42" t="s">
        <v>4171</v>
      </c>
      <c r="D42" t="s">
        <v>4259</v>
      </c>
    </row>
    <row r="43" spans="1:4" x14ac:dyDescent="0.25">
      <c r="A43" s="299">
        <v>41842</v>
      </c>
      <c r="B43" t="s">
        <v>4261</v>
      </c>
      <c r="C43" t="s">
        <v>4262</v>
      </c>
      <c r="D43" t="s">
        <v>4260</v>
      </c>
    </row>
    <row r="44" spans="1:4" x14ac:dyDescent="0.25">
      <c r="A44" s="299">
        <v>41843</v>
      </c>
      <c r="B44" t="s">
        <v>4170</v>
      </c>
      <c r="C44" t="s">
        <v>4171</v>
      </c>
      <c r="D44" t="s">
        <v>4263</v>
      </c>
    </row>
    <row r="45" spans="1:4" x14ac:dyDescent="0.25">
      <c r="A45" s="299">
        <v>41849</v>
      </c>
      <c r="B45" t="s">
        <v>4261</v>
      </c>
      <c r="C45" t="s">
        <v>4262</v>
      </c>
      <c r="D45" t="s">
        <v>4272</v>
      </c>
    </row>
    <row r="46" spans="1:4" x14ac:dyDescent="0.25">
      <c r="A46" s="299">
        <v>41850</v>
      </c>
      <c r="B46" t="s">
        <v>4170</v>
      </c>
      <c r="C46" t="s">
        <v>4171</v>
      </c>
      <c r="D46" t="s">
        <v>4273</v>
      </c>
    </row>
    <row r="47" spans="1:4" x14ac:dyDescent="0.25">
      <c r="A47" s="299">
        <v>41852</v>
      </c>
      <c r="B47" t="s">
        <v>4170</v>
      </c>
      <c r="C47" t="s">
        <v>4171</v>
      </c>
      <c r="D47" t="s">
        <v>4276</v>
      </c>
    </row>
    <row r="48" spans="1:4" x14ac:dyDescent="0.25">
      <c r="A48" s="299">
        <v>41865</v>
      </c>
      <c r="B48" t="s">
        <v>4209</v>
      </c>
      <c r="C48" t="s">
        <v>4171</v>
      </c>
      <c r="D48" t="s">
        <v>4277</v>
      </c>
    </row>
    <row r="49" spans="1:4" x14ac:dyDescent="0.25">
      <c r="A49" s="299">
        <v>41866</v>
      </c>
      <c r="B49" t="s">
        <v>4261</v>
      </c>
      <c r="C49" t="s">
        <v>4289</v>
      </c>
      <c r="D49" t="s">
        <v>4288</v>
      </c>
    </row>
    <row r="50" spans="1:4" x14ac:dyDescent="0.25">
      <c r="A50" s="299">
        <v>41877</v>
      </c>
      <c r="B50" t="s">
        <v>4340</v>
      </c>
      <c r="C50" t="s">
        <v>4341</v>
      </c>
      <c r="D50" t="s">
        <v>4339</v>
      </c>
    </row>
    <row r="51" spans="1:4" x14ac:dyDescent="0.25">
      <c r="A51" s="299">
        <v>41883</v>
      </c>
      <c r="B51" t="s">
        <v>4340</v>
      </c>
      <c r="C51" t="s">
        <v>4341</v>
      </c>
      <c r="D51" t="s">
        <v>4351</v>
      </c>
    </row>
    <row r="52" spans="1:4" x14ac:dyDescent="0.25">
      <c r="A52" s="299">
        <v>41900</v>
      </c>
      <c r="B52" t="s">
        <v>4340</v>
      </c>
      <c r="C52" t="s">
        <v>4341</v>
      </c>
      <c r="D52" t="s">
        <v>4367</v>
      </c>
    </row>
    <row r="53" spans="1:4" x14ac:dyDescent="0.25">
      <c r="A53" s="299">
        <v>41907</v>
      </c>
      <c r="B53" t="s">
        <v>4340</v>
      </c>
      <c r="C53" t="s">
        <v>4341</v>
      </c>
      <c r="D53" t="s">
        <v>4368</v>
      </c>
    </row>
    <row r="54" spans="1:4" x14ac:dyDescent="0.25">
      <c r="A54" s="299">
        <v>41907</v>
      </c>
      <c r="B54" t="s">
        <v>3735</v>
      </c>
      <c r="C54" t="s">
        <v>3736</v>
      </c>
      <c r="D54" t="s">
        <v>4369</v>
      </c>
    </row>
    <row r="55" spans="1:4" x14ac:dyDescent="0.25">
      <c r="A55" s="299">
        <v>41907</v>
      </c>
      <c r="B55" t="s">
        <v>3735</v>
      </c>
      <c r="C55" t="s">
        <v>3736</v>
      </c>
      <c r="D55" t="s">
        <v>4371</v>
      </c>
    </row>
    <row r="56" spans="1:4" x14ac:dyDescent="0.25">
      <c r="A56" s="299">
        <v>41908</v>
      </c>
      <c r="B56" t="s">
        <v>3735</v>
      </c>
      <c r="C56" t="s">
        <v>3736</v>
      </c>
      <c r="D56" t="s">
        <v>4372</v>
      </c>
    </row>
    <row r="57" spans="1:4" x14ac:dyDescent="0.25">
      <c r="A57" s="299">
        <v>41908</v>
      </c>
      <c r="B57" t="s">
        <v>3735</v>
      </c>
      <c r="C57" t="s">
        <v>3736</v>
      </c>
      <c r="D57" t="s">
        <v>4373</v>
      </c>
    </row>
    <row r="58" spans="1:4" x14ac:dyDescent="0.25">
      <c r="A58" s="299">
        <v>41908</v>
      </c>
      <c r="B58" t="s">
        <v>3735</v>
      </c>
      <c r="C58" t="s">
        <v>3736</v>
      </c>
      <c r="D58" t="s">
        <v>4374</v>
      </c>
    </row>
    <row r="59" spans="1:4" x14ac:dyDescent="0.25">
      <c r="A59" s="299">
        <v>41908</v>
      </c>
      <c r="B59" t="s">
        <v>3735</v>
      </c>
      <c r="C59" t="s">
        <v>3736</v>
      </c>
      <c r="D59" t="s">
        <v>4375</v>
      </c>
    </row>
    <row r="60" spans="1:4" ht="60" x14ac:dyDescent="0.25">
      <c r="A60" s="299">
        <v>41908</v>
      </c>
      <c r="B60" t="s">
        <v>3738</v>
      </c>
      <c r="C60" t="s">
        <v>3736</v>
      </c>
      <c r="D60" s="519" t="s">
        <v>4376</v>
      </c>
    </row>
    <row r="61" spans="1:4" x14ac:dyDescent="0.25">
      <c r="A61" s="299">
        <v>41908</v>
      </c>
      <c r="B61" t="s">
        <v>3738</v>
      </c>
      <c r="C61" t="s">
        <v>3736</v>
      </c>
      <c r="D61" t="s">
        <v>4377</v>
      </c>
    </row>
    <row r="62" spans="1:4" x14ac:dyDescent="0.25">
      <c r="A62" s="299">
        <v>41908</v>
      </c>
      <c r="B62" t="s">
        <v>3738</v>
      </c>
      <c r="C62" t="s">
        <v>3736</v>
      </c>
      <c r="D62" t="s">
        <v>4378</v>
      </c>
    </row>
    <row r="63" spans="1:4" x14ac:dyDescent="0.25">
      <c r="A63" s="299">
        <v>41908</v>
      </c>
      <c r="B63" t="s">
        <v>3738</v>
      </c>
      <c r="C63" t="s">
        <v>3736</v>
      </c>
      <c r="D63" t="s">
        <v>4379</v>
      </c>
    </row>
    <row r="64" spans="1:4" ht="90" x14ac:dyDescent="0.25">
      <c r="A64" s="299">
        <v>41912</v>
      </c>
      <c r="B64" t="s">
        <v>3738</v>
      </c>
      <c r="C64" t="s">
        <v>3736</v>
      </c>
      <c r="D64" s="519" t="s">
        <v>4380</v>
      </c>
    </row>
    <row r="65" spans="1:4" ht="45" x14ac:dyDescent="0.25">
      <c r="A65" s="299">
        <v>41912</v>
      </c>
      <c r="B65" t="s">
        <v>3738</v>
      </c>
      <c r="C65" t="s">
        <v>3736</v>
      </c>
      <c r="D65" s="519" t="s">
        <v>4381</v>
      </c>
    </row>
    <row r="66" spans="1:4" x14ac:dyDescent="0.25">
      <c r="A66" s="299">
        <v>41912</v>
      </c>
      <c r="B66" t="s">
        <v>3738</v>
      </c>
      <c r="C66" t="s">
        <v>3736</v>
      </c>
      <c r="D66" t="s">
        <v>4382</v>
      </c>
    </row>
    <row r="67" spans="1:4" x14ac:dyDescent="0.25">
      <c r="A67" s="299">
        <v>41912</v>
      </c>
      <c r="B67" t="s">
        <v>3738</v>
      </c>
      <c r="C67" t="s">
        <v>3736</v>
      </c>
      <c r="D67" t="s">
        <v>4383</v>
      </c>
    </row>
    <row r="68" spans="1:4" x14ac:dyDescent="0.25">
      <c r="A68" s="299">
        <v>41914</v>
      </c>
      <c r="B68" t="s">
        <v>4340</v>
      </c>
      <c r="C68" t="s">
        <v>4341</v>
      </c>
      <c r="D68" t="s">
        <v>4399</v>
      </c>
    </row>
    <row r="69" spans="1:4" x14ac:dyDescent="0.25">
      <c r="A69" s="299">
        <v>41914</v>
      </c>
      <c r="B69" t="s">
        <v>4340</v>
      </c>
      <c r="C69" t="s">
        <v>4341</v>
      </c>
      <c r="D69" t="s">
        <v>4400</v>
      </c>
    </row>
    <row r="70" spans="1:4" x14ac:dyDescent="0.25">
      <c r="A70" s="299">
        <v>41920</v>
      </c>
      <c r="B70" t="s">
        <v>3735</v>
      </c>
      <c r="C70" t="s">
        <v>3736</v>
      </c>
      <c r="D70" t="s">
        <v>4401</v>
      </c>
    </row>
    <row r="71" spans="1:4" x14ac:dyDescent="0.25">
      <c r="A71" s="299">
        <v>41920</v>
      </c>
      <c r="B71" t="s">
        <v>3735</v>
      </c>
      <c r="C71" t="s">
        <v>3736</v>
      </c>
      <c r="D71" t="s">
        <v>4402</v>
      </c>
    </row>
    <row r="72" spans="1:4" x14ac:dyDescent="0.25">
      <c r="A72" s="299">
        <v>41920</v>
      </c>
      <c r="B72" t="s">
        <v>3735</v>
      </c>
      <c r="C72" t="s">
        <v>3736</v>
      </c>
      <c r="D72" t="s">
        <v>4403</v>
      </c>
    </row>
    <row r="73" spans="1:4" x14ac:dyDescent="0.25">
      <c r="A73" s="299">
        <v>41948</v>
      </c>
      <c r="B73" t="s">
        <v>4170</v>
      </c>
      <c r="C73" t="s">
        <v>4171</v>
      </c>
      <c r="D73" t="s">
        <v>4404</v>
      </c>
    </row>
    <row r="74" spans="1:4" x14ac:dyDescent="0.25">
      <c r="A74" s="299">
        <v>41950</v>
      </c>
      <c r="B74" t="s">
        <v>4340</v>
      </c>
      <c r="C74" t="s">
        <v>4341</v>
      </c>
      <c r="D74" t="s">
        <v>4424</v>
      </c>
    </row>
    <row r="75" spans="1:4" x14ac:dyDescent="0.25">
      <c r="A75" s="299">
        <v>41950</v>
      </c>
      <c r="B75" t="s">
        <v>4340</v>
      </c>
      <c r="C75" t="s">
        <v>4341</v>
      </c>
      <c r="D75" t="s">
        <v>4425</v>
      </c>
    </row>
    <row r="76" spans="1:4" x14ac:dyDescent="0.25">
      <c r="A76" s="299">
        <v>42012</v>
      </c>
      <c r="B76" t="s">
        <v>4209</v>
      </c>
      <c r="C76" t="s">
        <v>4171</v>
      </c>
      <c r="D76" t="s">
        <v>4426</v>
      </c>
    </row>
    <row r="77" spans="1:4" x14ac:dyDescent="0.25">
      <c r="A77" s="299">
        <v>42013</v>
      </c>
      <c r="B77" t="s">
        <v>4340</v>
      </c>
      <c r="C77" t="s">
        <v>4341</v>
      </c>
      <c r="D77" t="s">
        <v>4939</v>
      </c>
    </row>
    <row r="78" spans="1:4" x14ac:dyDescent="0.25">
      <c r="A78" s="299">
        <v>42013</v>
      </c>
      <c r="B78" t="s">
        <v>4340</v>
      </c>
      <c r="C78" t="s">
        <v>4341</v>
      </c>
      <c r="D78" t="s">
        <v>4940</v>
      </c>
    </row>
    <row r="79" spans="1:4" x14ac:dyDescent="0.25">
      <c r="A79" s="299">
        <v>42013</v>
      </c>
      <c r="B79" t="s">
        <v>4209</v>
      </c>
      <c r="C79" t="s">
        <v>4171</v>
      </c>
      <c r="D79" t="s">
        <v>4941</v>
      </c>
    </row>
    <row r="80" spans="1:4" x14ac:dyDescent="0.25">
      <c r="A80" s="299">
        <v>42016</v>
      </c>
      <c r="B80" t="s">
        <v>4261</v>
      </c>
      <c r="C80" t="s">
        <v>4289</v>
      </c>
      <c r="D80" t="s">
        <v>4943</v>
      </c>
    </row>
    <row r="81" spans="1:4" x14ac:dyDescent="0.25">
      <c r="A81" s="299">
        <v>42024</v>
      </c>
      <c r="B81" t="s">
        <v>4340</v>
      </c>
      <c r="C81" t="s">
        <v>4341</v>
      </c>
      <c r="D81" t="s">
        <v>4955</v>
      </c>
    </row>
    <row r="82" spans="1:4" x14ac:dyDescent="0.25">
      <c r="A82" s="299">
        <v>42024</v>
      </c>
      <c r="B82" t="s">
        <v>4340</v>
      </c>
      <c r="C82" t="s">
        <v>4341</v>
      </c>
      <c r="D82" t="s">
        <v>4956</v>
      </c>
    </row>
    <row r="83" spans="1:4" x14ac:dyDescent="0.25">
      <c r="A83" s="299">
        <v>42025</v>
      </c>
      <c r="B83" t="s">
        <v>4209</v>
      </c>
      <c r="C83" t="s">
        <v>4171</v>
      </c>
      <c r="D83" t="s">
        <v>4957</v>
      </c>
    </row>
    <row r="84" spans="1:4" x14ac:dyDescent="0.25">
      <c r="A84" s="299">
        <v>42041</v>
      </c>
      <c r="B84" t="s">
        <v>4340</v>
      </c>
      <c r="C84" t="s">
        <v>4341</v>
      </c>
      <c r="D84" t="s">
        <v>4959</v>
      </c>
    </row>
    <row r="85" spans="1:4" x14ac:dyDescent="0.25">
      <c r="A85" s="299">
        <v>42041</v>
      </c>
      <c r="B85" t="s">
        <v>4170</v>
      </c>
      <c r="C85" t="s">
        <v>4964</v>
      </c>
      <c r="D85" t="s">
        <v>4963</v>
      </c>
    </row>
    <row r="86" spans="1:4" x14ac:dyDescent="0.25">
      <c r="A86" s="299">
        <v>42041</v>
      </c>
      <c r="B86" t="s">
        <v>4170</v>
      </c>
      <c r="C86" t="s">
        <v>4964</v>
      </c>
      <c r="D86" t="s">
        <v>4965</v>
      </c>
    </row>
    <row r="87" spans="1:4" x14ac:dyDescent="0.25">
      <c r="A87">
        <v>42046</v>
      </c>
      <c r="B87" t="s">
        <v>4261</v>
      </c>
      <c r="C87" t="s">
        <v>4289</v>
      </c>
      <c r="D87" t="s">
        <v>4974</v>
      </c>
    </row>
    <row r="88" spans="1:4" x14ac:dyDescent="0.25">
      <c r="A88">
        <v>42048</v>
      </c>
      <c r="B88" t="s">
        <v>4261</v>
      </c>
      <c r="C88" t="s">
        <v>4289</v>
      </c>
      <c r="D88" t="s">
        <v>4975</v>
      </c>
    </row>
    <row r="89" spans="1:4" x14ac:dyDescent="0.25">
      <c r="A89">
        <v>42048</v>
      </c>
      <c r="B89" t="s">
        <v>4261</v>
      </c>
      <c r="C89" t="s">
        <v>4289</v>
      </c>
      <c r="D89" t="s">
        <v>4976</v>
      </c>
    </row>
    <row r="90" spans="1:4" x14ac:dyDescent="0.25">
      <c r="A90">
        <v>42048</v>
      </c>
      <c r="B90" t="s">
        <v>4261</v>
      </c>
      <c r="C90" t="s">
        <v>4289</v>
      </c>
      <c r="D90" t="s">
        <v>4977</v>
      </c>
    </row>
    <row r="91" spans="1:4" x14ac:dyDescent="0.25">
      <c r="A91">
        <v>42048</v>
      </c>
      <c r="B91" t="s">
        <v>4261</v>
      </c>
      <c r="C91" t="s">
        <v>4289</v>
      </c>
      <c r="D91" t="s">
        <v>4978</v>
      </c>
    </row>
    <row r="92" spans="1:4" x14ac:dyDescent="0.25">
      <c r="A92">
        <v>42048</v>
      </c>
      <c r="B92" t="s">
        <v>4261</v>
      </c>
      <c r="C92" t="s">
        <v>4289</v>
      </c>
      <c r="D92" t="s">
        <v>4979</v>
      </c>
    </row>
    <row r="93" spans="1:4" x14ac:dyDescent="0.25">
      <c r="A93">
        <v>42051</v>
      </c>
      <c r="B93" t="s">
        <v>4261</v>
      </c>
      <c r="C93" t="s">
        <v>4289</v>
      </c>
      <c r="D93" t="s">
        <v>4980</v>
      </c>
    </row>
    <row r="94" spans="1:4" x14ac:dyDescent="0.25">
      <c r="A94">
        <v>42052</v>
      </c>
      <c r="B94" t="s">
        <v>4261</v>
      </c>
      <c r="C94" t="s">
        <v>4289</v>
      </c>
      <c r="D94" t="s">
        <v>4981</v>
      </c>
    </row>
    <row r="95" spans="1:4" x14ac:dyDescent="0.25">
      <c r="A95" s="299">
        <v>42058</v>
      </c>
      <c r="B95" t="s">
        <v>4170</v>
      </c>
      <c r="C95" t="s">
        <v>4964</v>
      </c>
      <c r="D95" t="s">
        <v>4982</v>
      </c>
    </row>
    <row r="96" spans="1:4" x14ac:dyDescent="0.25">
      <c r="A96" s="299">
        <v>42067</v>
      </c>
      <c r="B96" t="s">
        <v>4170</v>
      </c>
      <c r="C96" t="s">
        <v>4964</v>
      </c>
      <c r="D96" t="s">
        <v>4987</v>
      </c>
    </row>
    <row r="97" spans="1:4" x14ac:dyDescent="0.25">
      <c r="A97" s="299">
        <v>42069</v>
      </c>
      <c r="B97" t="s">
        <v>4170</v>
      </c>
      <c r="C97" t="s">
        <v>4964</v>
      </c>
      <c r="D97" t="s">
        <v>4989</v>
      </c>
    </row>
    <row r="98" spans="1:4" x14ac:dyDescent="0.25">
      <c r="A98" s="299">
        <v>42072</v>
      </c>
      <c r="B98" t="s">
        <v>4170</v>
      </c>
      <c r="C98" t="s">
        <v>4964</v>
      </c>
      <c r="D98" t="s">
        <v>4990</v>
      </c>
    </row>
    <row r="99" spans="1:4" x14ac:dyDescent="0.25">
      <c r="A99" s="299">
        <v>42072</v>
      </c>
      <c r="B99" t="s">
        <v>4170</v>
      </c>
      <c r="C99" t="s">
        <v>4964</v>
      </c>
      <c r="D99" t="s">
        <v>4991</v>
      </c>
    </row>
    <row r="100" spans="1:4" x14ac:dyDescent="0.25">
      <c r="A100" s="299">
        <v>42073</v>
      </c>
      <c r="B100" t="s">
        <v>4261</v>
      </c>
      <c r="C100" t="s">
        <v>4289</v>
      </c>
      <c r="D100" t="s">
        <v>4992</v>
      </c>
    </row>
    <row r="101" spans="1:4" x14ac:dyDescent="0.25">
      <c r="A101" s="299">
        <v>42073</v>
      </c>
      <c r="B101" t="s">
        <v>4261</v>
      </c>
      <c r="C101" t="s">
        <v>4289</v>
      </c>
      <c r="D101" t="s">
        <v>4993</v>
      </c>
    </row>
    <row r="102" spans="1:4" x14ac:dyDescent="0.25">
      <c r="A102" s="299">
        <v>42073</v>
      </c>
      <c r="B102" t="s">
        <v>4261</v>
      </c>
      <c r="C102" t="s">
        <v>4289</v>
      </c>
      <c r="D102" t="s">
        <v>4994</v>
      </c>
    </row>
    <row r="103" spans="1:4" x14ac:dyDescent="0.25">
      <c r="A103" s="299">
        <v>42075</v>
      </c>
      <c r="B103" t="s">
        <v>4340</v>
      </c>
      <c r="C103" t="s">
        <v>4341</v>
      </c>
      <c r="D103" t="s">
        <v>4995</v>
      </c>
    </row>
    <row r="104" spans="1:4" x14ac:dyDescent="0.25">
      <c r="A104" s="299">
        <v>42076</v>
      </c>
      <c r="B104" t="s">
        <v>4340</v>
      </c>
      <c r="C104" t="s">
        <v>4341</v>
      </c>
      <c r="D104" t="s">
        <v>5026</v>
      </c>
    </row>
    <row r="105" spans="1:4" x14ac:dyDescent="0.25">
      <c r="A105" s="299">
        <v>42081</v>
      </c>
      <c r="B105" t="s">
        <v>4340</v>
      </c>
      <c r="C105" t="s">
        <v>4341</v>
      </c>
      <c r="D105" t="s">
        <v>5027</v>
      </c>
    </row>
    <row r="106" spans="1:4" x14ac:dyDescent="0.25">
      <c r="A106" s="299">
        <v>42130</v>
      </c>
      <c r="B106" t="s">
        <v>4261</v>
      </c>
      <c r="C106" t="s">
        <v>4289</v>
      </c>
      <c r="D106" t="s">
        <v>5034</v>
      </c>
    </row>
    <row r="107" spans="1:4" x14ac:dyDescent="0.25">
      <c r="A107" s="299">
        <v>42130</v>
      </c>
      <c r="B107" t="s">
        <v>4261</v>
      </c>
      <c r="C107" t="s">
        <v>4289</v>
      </c>
      <c r="D107" s="563" t="s">
        <v>5035</v>
      </c>
    </row>
    <row r="108" spans="1:4" ht="60" x14ac:dyDescent="0.25">
      <c r="A108" s="299">
        <v>42130</v>
      </c>
      <c r="B108" s="563" t="s">
        <v>3735</v>
      </c>
      <c r="C108" s="563" t="s">
        <v>3736</v>
      </c>
      <c r="D108" s="519" t="s">
        <v>5036</v>
      </c>
    </row>
    <row r="109" spans="1:4" ht="60" x14ac:dyDescent="0.25">
      <c r="A109" s="299">
        <v>42130</v>
      </c>
      <c r="B109" s="563" t="s">
        <v>3735</v>
      </c>
      <c r="C109" s="563" t="s">
        <v>3736</v>
      </c>
      <c r="D109" s="519" t="s">
        <v>5037</v>
      </c>
    </row>
    <row r="110" spans="1:4" ht="60" x14ac:dyDescent="0.25">
      <c r="A110" s="299">
        <v>42130</v>
      </c>
      <c r="B110" s="563" t="s">
        <v>4209</v>
      </c>
      <c r="C110" s="563" t="s">
        <v>4964</v>
      </c>
      <c r="D110" s="519" t="s">
        <v>5036</v>
      </c>
    </row>
    <row r="111" spans="1:4" x14ac:dyDescent="0.25">
      <c r="A111" s="299">
        <v>42130</v>
      </c>
      <c r="B111" t="s">
        <v>4261</v>
      </c>
      <c r="C111" t="s">
        <v>4289</v>
      </c>
      <c r="D111" t="s">
        <v>5038</v>
      </c>
    </row>
    <row r="112" spans="1:4" x14ac:dyDescent="0.25">
      <c r="A112" s="299">
        <v>42131</v>
      </c>
      <c r="B112" t="s">
        <v>4261</v>
      </c>
      <c r="C112" t="s">
        <v>4289</v>
      </c>
      <c r="D112" t="s">
        <v>5039</v>
      </c>
    </row>
    <row r="113" spans="1:4" x14ac:dyDescent="0.25">
      <c r="A113" s="299">
        <v>42131</v>
      </c>
      <c r="B113" t="s">
        <v>4261</v>
      </c>
      <c r="C113" t="s">
        <v>4289</v>
      </c>
      <c r="D113" t="s">
        <v>5040</v>
      </c>
    </row>
    <row r="114" spans="1:4" x14ac:dyDescent="0.25">
      <c r="A114" s="299">
        <v>42136</v>
      </c>
      <c r="B114" s="563" t="s">
        <v>4170</v>
      </c>
      <c r="C114" s="563" t="s">
        <v>4964</v>
      </c>
      <c r="D114" s="563" t="s">
        <v>5041</v>
      </c>
    </row>
    <row r="115" spans="1:4" x14ac:dyDescent="0.25">
      <c r="A115" s="299">
        <v>42136</v>
      </c>
      <c r="B115" t="s">
        <v>4261</v>
      </c>
      <c r="C115" t="s">
        <v>4289</v>
      </c>
      <c r="D115" t="s">
        <v>5042</v>
      </c>
    </row>
    <row r="116" spans="1:4" x14ac:dyDescent="0.25">
      <c r="A116" s="299">
        <v>42137</v>
      </c>
      <c r="B116" s="563" t="s">
        <v>4170</v>
      </c>
      <c r="C116" s="563" t="s">
        <v>4964</v>
      </c>
      <c r="D116" s="563" t="s">
        <v>5043</v>
      </c>
    </row>
    <row r="117" spans="1:4" x14ac:dyDescent="0.25">
      <c r="A117" s="299">
        <v>42137</v>
      </c>
      <c r="B117" t="s">
        <v>4261</v>
      </c>
      <c r="C117" t="s">
        <v>4289</v>
      </c>
      <c r="D117" t="s">
        <v>5044</v>
      </c>
    </row>
    <row r="118" spans="1:4" x14ac:dyDescent="0.25">
      <c r="A118" s="299">
        <v>42142</v>
      </c>
      <c r="B118" t="s">
        <v>4261</v>
      </c>
      <c r="C118" t="s">
        <v>4289</v>
      </c>
      <c r="D118" s="563" t="s">
        <v>5046</v>
      </c>
    </row>
    <row r="119" spans="1:4" x14ac:dyDescent="0.25">
      <c r="A119" s="299">
        <v>42143</v>
      </c>
      <c r="B119" t="s">
        <v>4261</v>
      </c>
      <c r="C119" t="s">
        <v>4289</v>
      </c>
      <c r="D119" t="s">
        <v>5045</v>
      </c>
    </row>
    <row r="120" spans="1:4" x14ac:dyDescent="0.25">
      <c r="A120" s="299">
        <v>42145</v>
      </c>
      <c r="B120" s="563" t="s">
        <v>4170</v>
      </c>
      <c r="C120" s="563" t="s">
        <v>4964</v>
      </c>
      <c r="D120" s="563" t="s">
        <v>5047</v>
      </c>
    </row>
    <row r="121" spans="1:4" x14ac:dyDescent="0.25">
      <c r="A121" s="299">
        <v>42145</v>
      </c>
      <c r="B121" t="s">
        <v>4261</v>
      </c>
      <c r="C121" t="s">
        <v>4289</v>
      </c>
      <c r="D121" t="s">
        <v>5048</v>
      </c>
    </row>
    <row r="122" spans="1:4" x14ac:dyDescent="0.25">
      <c r="A122" s="299">
        <v>42145</v>
      </c>
      <c r="B122" t="s">
        <v>4261</v>
      </c>
      <c r="C122" t="s">
        <v>4289</v>
      </c>
      <c r="D122" t="s">
        <v>5061</v>
      </c>
    </row>
    <row r="123" spans="1:4" x14ac:dyDescent="0.25">
      <c r="A123" s="299">
        <v>42145</v>
      </c>
      <c r="B123" t="s">
        <v>4261</v>
      </c>
      <c r="C123" t="s">
        <v>4289</v>
      </c>
      <c r="D123" t="s">
        <v>5062</v>
      </c>
    </row>
    <row r="124" spans="1:4" x14ac:dyDescent="0.25">
      <c r="A124" s="299">
        <v>42152</v>
      </c>
      <c r="B124" t="s">
        <v>4261</v>
      </c>
      <c r="C124" t="s">
        <v>4289</v>
      </c>
      <c r="D124" t="s">
        <v>5064</v>
      </c>
    </row>
    <row r="125" spans="1:4" ht="105" x14ac:dyDescent="0.25">
      <c r="A125" s="299">
        <v>42156</v>
      </c>
      <c r="B125" t="s">
        <v>4261</v>
      </c>
      <c r="C125" t="s">
        <v>4289</v>
      </c>
      <c r="D125" s="519" t="s">
        <v>5065</v>
      </c>
    </row>
    <row r="126" spans="1:4" x14ac:dyDescent="0.25">
      <c r="A126" s="299">
        <v>42156</v>
      </c>
      <c r="B126" t="s">
        <v>4261</v>
      </c>
      <c r="C126" t="s">
        <v>4289</v>
      </c>
      <c r="D126" t="s">
        <v>5067</v>
      </c>
    </row>
    <row r="127" spans="1:4" x14ac:dyDescent="0.25">
      <c r="A127" s="299">
        <v>42157</v>
      </c>
      <c r="B127" t="s">
        <v>4261</v>
      </c>
      <c r="C127" t="s">
        <v>4289</v>
      </c>
      <c r="D127" t="s">
        <v>5066</v>
      </c>
    </row>
    <row r="128" spans="1:4" x14ac:dyDescent="0.25">
      <c r="A128" s="299">
        <v>42158</v>
      </c>
      <c r="B128" t="s">
        <v>4340</v>
      </c>
      <c r="C128" t="s">
        <v>4341</v>
      </c>
      <c r="D128" t="s">
        <v>5159</v>
      </c>
    </row>
    <row r="129" spans="1:4" x14ac:dyDescent="0.25">
      <c r="A129" s="299">
        <v>42165</v>
      </c>
      <c r="B129" t="s">
        <v>4340</v>
      </c>
      <c r="C129" t="s">
        <v>4341</v>
      </c>
      <c r="D129" t="s">
        <v>5162</v>
      </c>
    </row>
    <row r="130" spans="1:4" x14ac:dyDescent="0.25">
      <c r="A130" s="299">
        <v>42165</v>
      </c>
      <c r="B130" t="s">
        <v>4261</v>
      </c>
      <c r="C130" t="s">
        <v>4289</v>
      </c>
      <c r="D130" t="s">
        <v>5163</v>
      </c>
    </row>
    <row r="131" spans="1:4" x14ac:dyDescent="0.25">
      <c r="A131" s="299">
        <v>42166</v>
      </c>
      <c r="B131" t="s">
        <v>4340</v>
      </c>
      <c r="C131" t="s">
        <v>4341</v>
      </c>
      <c r="D131" t="s">
        <v>5164</v>
      </c>
    </row>
    <row r="132" spans="1:4" x14ac:dyDescent="0.25">
      <c r="A132" s="299">
        <v>42172</v>
      </c>
      <c r="B132" s="563" t="s">
        <v>4170</v>
      </c>
      <c r="C132" s="563" t="s">
        <v>4964</v>
      </c>
      <c r="D132" s="563" t="s">
        <v>5165</v>
      </c>
    </row>
    <row r="133" spans="1:4" ht="60" x14ac:dyDescent="0.25">
      <c r="A133" s="299">
        <v>42177</v>
      </c>
      <c r="B133" s="563" t="s">
        <v>3735</v>
      </c>
      <c r="C133" s="563" t="s">
        <v>3736</v>
      </c>
      <c r="D133" s="519" t="s">
        <v>5171</v>
      </c>
    </row>
    <row r="134" spans="1:4" ht="285" x14ac:dyDescent="0.25">
      <c r="A134" s="299">
        <v>42178</v>
      </c>
      <c r="B134" s="563" t="s">
        <v>3735</v>
      </c>
      <c r="C134" s="563" t="s">
        <v>3736</v>
      </c>
      <c r="D134" s="519" t="s">
        <v>5172</v>
      </c>
    </row>
    <row r="135" spans="1:4" x14ac:dyDescent="0.25">
      <c r="A135" s="299">
        <v>42178</v>
      </c>
      <c r="B135" s="563" t="s">
        <v>3735</v>
      </c>
      <c r="C135" s="563" t="s">
        <v>3736</v>
      </c>
      <c r="D135" s="563" t="s">
        <v>5173</v>
      </c>
    </row>
    <row r="136" spans="1:4" x14ac:dyDescent="0.25">
      <c r="A136" s="299">
        <v>42178</v>
      </c>
      <c r="B136" s="563" t="s">
        <v>3735</v>
      </c>
      <c r="C136" s="563" t="s">
        <v>3736</v>
      </c>
      <c r="D136" s="563" t="s">
        <v>5174</v>
      </c>
    </row>
    <row r="137" spans="1:4" x14ac:dyDescent="0.25">
      <c r="A137" s="299">
        <v>42181</v>
      </c>
      <c r="B137" s="563" t="s">
        <v>4209</v>
      </c>
      <c r="C137" s="563" t="s">
        <v>4964</v>
      </c>
      <c r="D137" s="563" t="s">
        <v>5175</v>
      </c>
    </row>
    <row r="138" spans="1:4" x14ac:dyDescent="0.25">
      <c r="A138" s="299">
        <v>42181</v>
      </c>
      <c r="B138" s="563" t="s">
        <v>4209</v>
      </c>
      <c r="C138" s="563" t="s">
        <v>4964</v>
      </c>
      <c r="D138" s="563" t="s">
        <v>5177</v>
      </c>
    </row>
    <row r="139" spans="1:4" x14ac:dyDescent="0.25">
      <c r="A139" s="299">
        <v>42181</v>
      </c>
      <c r="B139" t="s">
        <v>4261</v>
      </c>
      <c r="C139" t="s">
        <v>4289</v>
      </c>
      <c r="D139" t="s">
        <v>5178</v>
      </c>
    </row>
    <row r="140" spans="1:4" x14ac:dyDescent="0.25">
      <c r="A140" s="299">
        <v>42181</v>
      </c>
      <c r="B140" t="s">
        <v>4261</v>
      </c>
      <c r="C140" t="s">
        <v>4289</v>
      </c>
      <c r="D140" t="s">
        <v>5179</v>
      </c>
    </row>
    <row r="141" spans="1:4" x14ac:dyDescent="0.25">
      <c r="A141" s="299">
        <v>42184</v>
      </c>
      <c r="B141" s="563" t="s">
        <v>3735</v>
      </c>
      <c r="C141" s="563" t="s">
        <v>3736</v>
      </c>
      <c r="D141" s="563" t="s">
        <v>5180</v>
      </c>
    </row>
    <row r="142" spans="1:4" x14ac:dyDescent="0.25">
      <c r="A142" s="299">
        <v>42184</v>
      </c>
      <c r="B142" s="563" t="s">
        <v>3735</v>
      </c>
      <c r="C142" s="563" t="s">
        <v>3736</v>
      </c>
      <c r="D142" s="563" t="s">
        <v>5181</v>
      </c>
    </row>
    <row r="143" spans="1:4" x14ac:dyDescent="0.25">
      <c r="A143" s="299">
        <v>42184</v>
      </c>
      <c r="B143" s="563" t="s">
        <v>3735</v>
      </c>
      <c r="C143" s="563" t="s">
        <v>3736</v>
      </c>
      <c r="D143" s="563" t="s">
        <v>5182</v>
      </c>
    </row>
    <row r="144" spans="1:4" x14ac:dyDescent="0.25">
      <c r="A144" s="299">
        <v>42184</v>
      </c>
      <c r="B144" s="563" t="s">
        <v>3735</v>
      </c>
      <c r="C144" s="563" t="s">
        <v>3736</v>
      </c>
      <c r="D144" s="563" t="s">
        <v>5183</v>
      </c>
    </row>
    <row r="145" spans="1:4" x14ac:dyDescent="0.25">
      <c r="A145" s="299">
        <v>42261</v>
      </c>
      <c r="B145" s="563" t="s">
        <v>3735</v>
      </c>
      <c r="C145" s="563" t="s">
        <v>3736</v>
      </c>
      <c r="D145" s="563" t="s">
        <v>5184</v>
      </c>
    </row>
    <row r="146" spans="1:4" x14ac:dyDescent="0.25">
      <c r="A146" s="299">
        <v>42262</v>
      </c>
      <c r="B146" s="563" t="s">
        <v>3735</v>
      </c>
      <c r="C146" s="563" t="s">
        <v>3736</v>
      </c>
      <c r="D146" s="563" t="s">
        <v>5219</v>
      </c>
    </row>
    <row r="147" spans="1:4" x14ac:dyDescent="0.25">
      <c r="A147" s="299">
        <v>42264</v>
      </c>
      <c r="B147" s="563" t="s">
        <v>3735</v>
      </c>
      <c r="C147" s="563" t="s">
        <v>3736</v>
      </c>
      <c r="D147" s="563" t="s">
        <v>5220</v>
      </c>
    </row>
    <row r="148" spans="1:4" x14ac:dyDescent="0.25">
      <c r="A148" s="299">
        <v>42264</v>
      </c>
      <c r="B148" s="563" t="s">
        <v>3735</v>
      </c>
      <c r="C148" s="563" t="s">
        <v>3736</v>
      </c>
      <c r="D148" s="563" t="s">
        <v>5221</v>
      </c>
    </row>
    <row r="149" spans="1:4" x14ac:dyDescent="0.25">
      <c r="A149" s="299">
        <v>42265</v>
      </c>
      <c r="B149" s="563" t="s">
        <v>3735</v>
      </c>
      <c r="C149" s="563" t="s">
        <v>3736</v>
      </c>
      <c r="D149" s="563" t="s">
        <v>5222</v>
      </c>
    </row>
    <row r="150" spans="1:4" x14ac:dyDescent="0.25">
      <c r="A150" s="299">
        <v>42265</v>
      </c>
      <c r="B150" s="563" t="s">
        <v>3735</v>
      </c>
      <c r="C150" s="563" t="s">
        <v>3736</v>
      </c>
      <c r="D150" s="563" t="s">
        <v>5223</v>
      </c>
    </row>
    <row r="151" spans="1:4" x14ac:dyDescent="0.25">
      <c r="A151" s="299">
        <v>42265</v>
      </c>
      <c r="B151" s="563" t="s">
        <v>3735</v>
      </c>
      <c r="C151" s="563" t="s">
        <v>3736</v>
      </c>
      <c r="D151" s="563" t="s">
        <v>5224</v>
      </c>
    </row>
    <row r="152" spans="1:4" x14ac:dyDescent="0.25">
      <c r="A152" s="670">
        <v>42265</v>
      </c>
      <c r="B152" s="309" t="s">
        <v>3735</v>
      </c>
      <c r="C152" s="309" t="s">
        <v>3736</v>
      </c>
      <c r="D152" s="309" t="s">
        <v>5226</v>
      </c>
    </row>
    <row r="154" spans="1:4" x14ac:dyDescent="0.25">
      <c r="D154" s="308" t="s">
        <v>5240</v>
      </c>
    </row>
    <row r="156" spans="1:4" x14ac:dyDescent="0.25">
      <c r="A156" s="672"/>
      <c r="B156" s="672"/>
      <c r="C156" s="673">
        <v>1</v>
      </c>
      <c r="D156" s="674" t="s">
        <v>5230</v>
      </c>
    </row>
    <row r="157" spans="1:4" x14ac:dyDescent="0.25">
      <c r="D157" t="s">
        <v>5229</v>
      </c>
    </row>
    <row r="158" spans="1:4" x14ac:dyDescent="0.25">
      <c r="D158" t="s">
        <v>5228</v>
      </c>
    </row>
    <row r="159" spans="1:4" x14ac:dyDescent="0.25">
      <c r="D159" s="563"/>
    </row>
    <row r="160" spans="1:4" x14ac:dyDescent="0.25">
      <c r="A160" s="672"/>
      <c r="B160" s="672"/>
      <c r="C160" s="673">
        <v>2</v>
      </c>
      <c r="D160" s="674" t="s">
        <v>5227</v>
      </c>
    </row>
    <row r="161" spans="1:4" x14ac:dyDescent="0.25">
      <c r="D161" s="563" t="s">
        <v>5232</v>
      </c>
    </row>
    <row r="162" spans="1:4" x14ac:dyDescent="0.25">
      <c r="D162" s="318" t="s">
        <v>5238</v>
      </c>
    </row>
    <row r="164" spans="1:4" x14ac:dyDescent="0.25">
      <c r="A164" s="672"/>
      <c r="B164" s="672"/>
      <c r="C164" s="673">
        <v>3</v>
      </c>
      <c r="D164" s="674" t="s">
        <v>5234</v>
      </c>
    </row>
    <row r="165" spans="1:4" x14ac:dyDescent="0.25">
      <c r="D165" s="318" t="s">
        <v>5235</v>
      </c>
    </row>
    <row r="167" spans="1:4" x14ac:dyDescent="0.25">
      <c r="A167" s="672"/>
      <c r="B167" s="672"/>
      <c r="C167" s="673">
        <v>4</v>
      </c>
      <c r="D167" s="674" t="s">
        <v>5236</v>
      </c>
    </row>
    <row r="168" spans="1:4" x14ac:dyDescent="0.25">
      <c r="D168" s="318" t="s">
        <v>5239</v>
      </c>
    </row>
    <row r="169" spans="1:4" x14ac:dyDescent="0.25">
      <c r="D169" s="318" t="s">
        <v>5237</v>
      </c>
    </row>
    <row r="171" spans="1:4" x14ac:dyDescent="0.25">
      <c r="A171" s="670">
        <v>42268</v>
      </c>
      <c r="B171" s="309" t="s">
        <v>3735</v>
      </c>
      <c r="C171" s="309" t="s">
        <v>3736</v>
      </c>
      <c r="D171" s="309" t="s">
        <v>5248</v>
      </c>
    </row>
    <row r="172" spans="1:4" x14ac:dyDescent="0.25">
      <c r="D172" s="563" t="s">
        <v>5249</v>
      </c>
    </row>
    <row r="173" spans="1:4" x14ac:dyDescent="0.25">
      <c r="D173" s="563" t="s">
        <v>5255</v>
      </c>
    </row>
    <row r="174" spans="1:4" x14ac:dyDescent="0.25">
      <c r="D174" s="563" t="s">
        <v>5262</v>
      </c>
    </row>
    <row r="175" spans="1:4" x14ac:dyDescent="0.25">
      <c r="D175" s="563" t="s">
        <v>5265</v>
      </c>
    </row>
    <row r="176" spans="1:4" x14ac:dyDescent="0.25">
      <c r="D176" s="563" t="s">
        <v>5268</v>
      </c>
    </row>
    <row r="177" spans="4:4" x14ac:dyDescent="0.25">
      <c r="D177" s="563" t="s">
        <v>5269</v>
      </c>
    </row>
    <row r="178" spans="4:4" x14ac:dyDescent="0.25">
      <c r="D178" s="563" t="s">
        <v>5271</v>
      </c>
    </row>
    <row r="179" spans="4:4" x14ac:dyDescent="0.25">
      <c r="D179" s="563" t="s">
        <v>5272</v>
      </c>
    </row>
    <row r="180" spans="4:4" x14ac:dyDescent="0.25">
      <c r="D180" s="563" t="s">
        <v>5273</v>
      </c>
    </row>
    <row r="181" spans="4:4" x14ac:dyDescent="0.25">
      <c r="D181" s="563" t="s">
        <v>5274</v>
      </c>
    </row>
    <row r="182" spans="4:4" x14ac:dyDescent="0.25">
      <c r="D182" s="563" t="s">
        <v>5289</v>
      </c>
    </row>
    <row r="183" spans="4:4" x14ac:dyDescent="0.25">
      <c r="D183" s="563" t="s">
        <v>5291</v>
      </c>
    </row>
    <row r="184" spans="4:4" x14ac:dyDescent="0.25">
      <c r="D184" s="705" t="s">
        <v>5295</v>
      </c>
    </row>
    <row r="185" spans="4:4" x14ac:dyDescent="0.25">
      <c r="D185" s="705" t="s">
        <v>5296</v>
      </c>
    </row>
    <row r="186" spans="4:4" x14ac:dyDescent="0.25">
      <c r="D186" s="705" t="s">
        <v>5297</v>
      </c>
    </row>
    <row r="187" spans="4:4" x14ac:dyDescent="0.25">
      <c r="D187" s="705" t="s">
        <v>5302</v>
      </c>
    </row>
    <row r="188" spans="4:4" x14ac:dyDescent="0.25">
      <c r="D188" s="706" t="s">
        <v>5310</v>
      </c>
    </row>
    <row r="189" spans="4:4" x14ac:dyDescent="0.25">
      <c r="D189" s="706" t="s">
        <v>5318</v>
      </c>
    </row>
    <row r="190" spans="4:4" x14ac:dyDescent="0.25">
      <c r="D190" s="729" t="s">
        <v>5321</v>
      </c>
    </row>
    <row r="191" spans="4:4" x14ac:dyDescent="0.25">
      <c r="D191" s="729" t="s">
        <v>5322</v>
      </c>
    </row>
    <row r="192" spans="4:4" x14ac:dyDescent="0.25">
      <c r="D192" s="729" t="s">
        <v>5323</v>
      </c>
    </row>
    <row r="193" spans="1:4" x14ac:dyDescent="0.25">
      <c r="D193" s="729" t="s">
        <v>5325</v>
      </c>
    </row>
    <row r="194" spans="1:4" x14ac:dyDescent="0.25">
      <c r="D194" s="729" t="s">
        <v>5326</v>
      </c>
    </row>
    <row r="195" spans="1:4" x14ac:dyDescent="0.25">
      <c r="D195" s="729" t="s">
        <v>5327</v>
      </c>
    </row>
    <row r="196" spans="1:4" x14ac:dyDescent="0.25">
      <c r="D196" s="731" t="s">
        <v>5331</v>
      </c>
    </row>
    <row r="197" spans="1:4" x14ac:dyDescent="0.25">
      <c r="D197" s="731" t="s">
        <v>5337</v>
      </c>
    </row>
    <row r="198" spans="1:4" x14ac:dyDescent="0.25">
      <c r="D198" s="735" t="s">
        <v>5338</v>
      </c>
    </row>
    <row r="199" spans="1:4" x14ac:dyDescent="0.25">
      <c r="D199" s="735" t="s">
        <v>5342</v>
      </c>
    </row>
    <row r="200" spans="1:4" x14ac:dyDescent="0.25">
      <c r="D200" s="735" t="s">
        <v>5361</v>
      </c>
    </row>
    <row r="201" spans="1:4" x14ac:dyDescent="0.25">
      <c r="D201" s="735" t="s">
        <v>5394</v>
      </c>
    </row>
    <row r="202" spans="1:4" x14ac:dyDescent="0.25">
      <c r="D202" s="735" t="s">
        <v>5395</v>
      </c>
    </row>
    <row r="203" spans="1:4" x14ac:dyDescent="0.25">
      <c r="D203" s="735" t="s">
        <v>5396</v>
      </c>
    </row>
    <row r="204" spans="1:4" x14ac:dyDescent="0.25">
      <c r="D204" s="735" t="s">
        <v>5398</v>
      </c>
    </row>
    <row r="205" spans="1:4" x14ac:dyDescent="0.25">
      <c r="D205" s="738" t="s">
        <v>5399</v>
      </c>
    </row>
    <row r="206" spans="1:4" x14ac:dyDescent="0.25">
      <c r="D206" s="785" t="s">
        <v>5402</v>
      </c>
    </row>
    <row r="207" spans="1:4" x14ac:dyDescent="0.25">
      <c r="D207" s="785" t="s">
        <v>5406</v>
      </c>
    </row>
    <row r="208" spans="1:4" x14ac:dyDescent="0.25">
      <c r="A208" s="670">
        <v>42272</v>
      </c>
      <c r="B208" s="309"/>
      <c r="C208" s="309"/>
      <c r="D208" s="309" t="s">
        <v>5407</v>
      </c>
    </row>
    <row r="209" spans="1:4" x14ac:dyDescent="0.25">
      <c r="D209" s="792" t="s">
        <v>5408</v>
      </c>
    </row>
    <row r="210" spans="1:4" x14ac:dyDescent="0.25">
      <c r="D210" s="792" t="s">
        <v>5415</v>
      </c>
    </row>
    <row r="211" spans="1:4" x14ac:dyDescent="0.25">
      <c r="D211" s="792" t="s">
        <v>5416</v>
      </c>
    </row>
    <row r="212" spans="1:4" x14ac:dyDescent="0.25">
      <c r="D212" s="792" t="s">
        <v>5420</v>
      </c>
    </row>
    <row r="213" spans="1:4" x14ac:dyDescent="0.25">
      <c r="D213" s="794" t="s">
        <v>5422</v>
      </c>
    </row>
    <row r="214" spans="1:4" x14ac:dyDescent="0.25">
      <c r="D214" s="794" t="s">
        <v>5425</v>
      </c>
    </row>
    <row r="215" spans="1:4" x14ac:dyDescent="0.25">
      <c r="D215" s="794" t="s">
        <v>5426</v>
      </c>
    </row>
    <row r="216" spans="1:4" x14ac:dyDescent="0.25">
      <c r="D216" s="799" t="s">
        <v>5428</v>
      </c>
    </row>
    <row r="217" spans="1:4" x14ac:dyDescent="0.25">
      <c r="D217" s="799" t="s">
        <v>5429</v>
      </c>
    </row>
    <row r="218" spans="1:4" x14ac:dyDescent="0.25">
      <c r="D218" s="808" t="s">
        <v>5435</v>
      </c>
    </row>
    <row r="219" spans="1:4" x14ac:dyDescent="0.25">
      <c r="D219" s="808" t="s">
        <v>5443</v>
      </c>
    </row>
    <row r="220" spans="1:4" x14ac:dyDescent="0.25">
      <c r="D220" s="812" t="s">
        <v>5446</v>
      </c>
    </row>
    <row r="221" spans="1:4" x14ac:dyDescent="0.25">
      <c r="A221" s="670">
        <v>42275</v>
      </c>
      <c r="B221" s="309"/>
      <c r="C221" s="309"/>
      <c r="D221" s="309" t="s">
        <v>5447</v>
      </c>
    </row>
    <row r="222" spans="1:4" x14ac:dyDescent="0.25">
      <c r="D222" s="813" t="s">
        <v>5448</v>
      </c>
    </row>
    <row r="223" spans="1:4" x14ac:dyDescent="0.25">
      <c r="D223" s="813" t="s">
        <v>5449</v>
      </c>
    </row>
    <row r="224" spans="1:4" x14ac:dyDescent="0.25">
      <c r="D224" s="308" t="s">
        <v>5452</v>
      </c>
    </row>
    <row r="225" spans="1:4" x14ac:dyDescent="0.25">
      <c r="D225" s="820" t="s">
        <v>5453</v>
      </c>
    </row>
    <row r="226" spans="1:4" x14ac:dyDescent="0.25">
      <c r="D226" s="821" t="s">
        <v>5454</v>
      </c>
    </row>
    <row r="227" spans="1:4" x14ac:dyDescent="0.25">
      <c r="D227" s="821" t="s">
        <v>5455</v>
      </c>
    </row>
    <row r="228" spans="1:4" x14ac:dyDescent="0.25">
      <c r="A228" s="299">
        <v>42276</v>
      </c>
      <c r="B228" s="823" t="s">
        <v>3735</v>
      </c>
      <c r="C228" s="823" t="s">
        <v>3736</v>
      </c>
      <c r="D228" s="823" t="s">
        <v>5462</v>
      </c>
    </row>
    <row r="229" spans="1:4" x14ac:dyDescent="0.25">
      <c r="A229" s="299">
        <v>42276</v>
      </c>
      <c r="B229" s="823" t="s">
        <v>3735</v>
      </c>
      <c r="C229" s="823" t="s">
        <v>3736</v>
      </c>
      <c r="D229" s="823" t="s">
        <v>5465</v>
      </c>
    </row>
    <row r="230" spans="1:4" x14ac:dyDescent="0.25">
      <c r="A230" s="299">
        <v>42276</v>
      </c>
      <c r="B230" s="825" t="s">
        <v>3735</v>
      </c>
      <c r="C230" s="825" t="s">
        <v>3736</v>
      </c>
      <c r="D230" s="825" t="s">
        <v>5467</v>
      </c>
    </row>
    <row r="231" spans="1:4" x14ac:dyDescent="0.25">
      <c r="A231" s="299">
        <v>42276</v>
      </c>
      <c r="B231" s="825" t="s">
        <v>3735</v>
      </c>
      <c r="C231" s="825" t="s">
        <v>3736</v>
      </c>
      <c r="D231" s="825" t="s">
        <v>5469</v>
      </c>
    </row>
    <row r="232" spans="1:4" x14ac:dyDescent="0.25">
      <c r="A232" s="299">
        <v>42276</v>
      </c>
      <c r="B232" s="825" t="s">
        <v>3735</v>
      </c>
      <c r="C232" s="825" t="s">
        <v>3736</v>
      </c>
      <c r="D232" s="825" t="s">
        <v>5471</v>
      </c>
    </row>
    <row r="233" spans="1:4" x14ac:dyDescent="0.25">
      <c r="A233" s="299">
        <v>42276</v>
      </c>
      <c r="B233" s="825" t="s">
        <v>3735</v>
      </c>
      <c r="C233" s="825" t="s">
        <v>3736</v>
      </c>
      <c r="D233" s="825" t="s">
        <v>5474</v>
      </c>
    </row>
    <row r="234" spans="1:4" x14ac:dyDescent="0.25">
      <c r="A234" s="299">
        <v>42276</v>
      </c>
      <c r="B234" s="825" t="s">
        <v>3735</v>
      </c>
      <c r="C234" s="825" t="s">
        <v>3736</v>
      </c>
      <c r="D234" s="825" t="s">
        <v>5477</v>
      </c>
    </row>
    <row r="235" spans="1:4" x14ac:dyDescent="0.25">
      <c r="A235" s="299">
        <v>42276</v>
      </c>
      <c r="B235" s="827" t="s">
        <v>3735</v>
      </c>
      <c r="C235" s="827" t="s">
        <v>3736</v>
      </c>
      <c r="D235" s="827" t="s">
        <v>5500</v>
      </c>
    </row>
    <row r="236" spans="1:4" x14ac:dyDescent="0.25">
      <c r="A236" s="299">
        <v>42276</v>
      </c>
      <c r="B236" s="827" t="s">
        <v>3735</v>
      </c>
      <c r="C236" s="827" t="s">
        <v>3736</v>
      </c>
      <c r="D236" s="827" t="s">
        <v>5501</v>
      </c>
    </row>
    <row r="237" spans="1:4" x14ac:dyDescent="0.25">
      <c r="A237" s="299">
        <v>42299</v>
      </c>
      <c r="B237" s="833" t="s">
        <v>3735</v>
      </c>
      <c r="C237" s="833" t="s">
        <v>3736</v>
      </c>
      <c r="D237" s="833" t="s">
        <v>5502</v>
      </c>
    </row>
    <row r="239" spans="1:4" x14ac:dyDescent="0.25">
      <c r="A239" s="670">
        <v>42304</v>
      </c>
      <c r="B239" s="309" t="s">
        <v>3735</v>
      </c>
      <c r="C239" s="309" t="s">
        <v>3736</v>
      </c>
      <c r="D239" s="309" t="s">
        <v>5503</v>
      </c>
    </row>
    <row r="240" spans="1:4" x14ac:dyDescent="0.25">
      <c r="D240" s="840" t="s">
        <v>5504</v>
      </c>
    </row>
    <row r="242" spans="1:4" x14ac:dyDescent="0.25">
      <c r="D242" s="308" t="s">
        <v>5505</v>
      </c>
    </row>
    <row r="243" spans="1:4" x14ac:dyDescent="0.25">
      <c r="D243" s="840" t="s">
        <v>5507</v>
      </c>
    </row>
    <row r="244" spans="1:4" x14ac:dyDescent="0.25">
      <c r="D244" s="840" t="s">
        <v>5508</v>
      </c>
    </row>
    <row r="245" spans="1:4" x14ac:dyDescent="0.25">
      <c r="D245" s="840" t="s">
        <v>5509</v>
      </c>
    </row>
    <row r="247" spans="1:4" x14ac:dyDescent="0.25">
      <c r="D247" s="308" t="s">
        <v>5506</v>
      </c>
    </row>
    <row r="248" spans="1:4" x14ac:dyDescent="0.25">
      <c r="D248" s="318" t="s">
        <v>5510</v>
      </c>
    </row>
    <row r="249" spans="1:4" x14ac:dyDescent="0.25">
      <c r="D249" s="318" t="s">
        <v>5511</v>
      </c>
    </row>
    <row r="250" spans="1:4" x14ac:dyDescent="0.25">
      <c r="D250" s="318" t="s">
        <v>5512</v>
      </c>
    </row>
    <row r="251" spans="1:4" x14ac:dyDescent="0.25">
      <c r="D251" s="318" t="s">
        <v>5513</v>
      </c>
    </row>
    <row r="253" spans="1:4" x14ac:dyDescent="0.25">
      <c r="A253" s="299">
        <v>42306</v>
      </c>
      <c r="B253" t="s">
        <v>4261</v>
      </c>
      <c r="C253" t="s">
        <v>4289</v>
      </c>
      <c r="D253" t="s">
        <v>5545</v>
      </c>
    </row>
    <row r="254" spans="1:4" x14ac:dyDescent="0.25">
      <c r="A254" s="299">
        <v>42327</v>
      </c>
      <c r="B254" t="s">
        <v>4340</v>
      </c>
      <c r="C254" t="s">
        <v>4341</v>
      </c>
      <c r="D254" t="s">
        <v>5606</v>
      </c>
    </row>
    <row r="256" spans="1:4" x14ac:dyDescent="0.25">
      <c r="A256" s="670">
        <v>42346</v>
      </c>
      <c r="B256" s="309" t="s">
        <v>3735</v>
      </c>
      <c r="C256" s="309" t="s">
        <v>3736</v>
      </c>
      <c r="D256" s="309" t="s">
        <v>5610</v>
      </c>
    </row>
    <row r="257" spans="1:4" x14ac:dyDescent="0.25">
      <c r="A257" s="299">
        <v>42346</v>
      </c>
      <c r="B257" s="844" t="s">
        <v>3735</v>
      </c>
      <c r="C257" s="844" t="s">
        <v>3736</v>
      </c>
      <c r="D257" s="844" t="s">
        <v>5608</v>
      </c>
    </row>
    <row r="258" spans="1:4" x14ac:dyDescent="0.25">
      <c r="A258" s="299">
        <v>42346</v>
      </c>
      <c r="B258" s="860" t="s">
        <v>3735</v>
      </c>
      <c r="C258" s="860" t="s">
        <v>3736</v>
      </c>
      <c r="D258" s="860" t="s">
        <v>5609</v>
      </c>
    </row>
    <row r="259" spans="1:4" x14ac:dyDescent="0.25">
      <c r="A259" s="299">
        <v>42377</v>
      </c>
      <c r="B259" t="s">
        <v>4261</v>
      </c>
      <c r="C259" t="s">
        <v>4289</v>
      </c>
      <c r="D259" t="s">
        <v>11150</v>
      </c>
    </row>
    <row r="260" spans="1:4" x14ac:dyDescent="0.25">
      <c r="A260" s="299">
        <v>42383</v>
      </c>
      <c r="B260" t="s">
        <v>4261</v>
      </c>
      <c r="C260" t="s">
        <v>4289</v>
      </c>
      <c r="D260" t="s">
        <v>11171</v>
      </c>
    </row>
    <row r="262" spans="1:4" x14ac:dyDescent="0.25">
      <c r="A262" s="670">
        <v>42387</v>
      </c>
      <c r="B262" s="309" t="s">
        <v>3735</v>
      </c>
      <c r="C262" s="309" t="s">
        <v>3736</v>
      </c>
      <c r="D262" s="309" t="s">
        <v>11177</v>
      </c>
    </row>
    <row r="263" spans="1:4" x14ac:dyDescent="0.25">
      <c r="D263" s="868" t="s">
        <v>11185</v>
      </c>
    </row>
    <row r="265" spans="1:4" x14ac:dyDescent="0.25">
      <c r="D265" s="308" t="s">
        <v>5505</v>
      </c>
    </row>
    <row r="266" spans="1:4" x14ac:dyDescent="0.25">
      <c r="D266" s="868" t="s">
        <v>11178</v>
      </c>
    </row>
    <row r="267" spans="1:4" x14ac:dyDescent="0.25">
      <c r="D267" s="868" t="s">
        <v>11179</v>
      </c>
    </row>
    <row r="268" spans="1:4" x14ac:dyDescent="0.25">
      <c r="D268" s="868" t="s">
        <v>11180</v>
      </c>
    </row>
    <row r="269" spans="1:4" x14ac:dyDescent="0.25">
      <c r="D269" s="868"/>
    </row>
    <row r="270" spans="1:4" x14ac:dyDescent="0.25">
      <c r="D270" s="308" t="s">
        <v>5506</v>
      </c>
    </row>
    <row r="271" spans="1:4" x14ac:dyDescent="0.25">
      <c r="D271" s="318" t="s">
        <v>11181</v>
      </c>
    </row>
    <row r="272" spans="1:4" x14ac:dyDescent="0.25">
      <c r="D272" s="318" t="s">
        <v>11182</v>
      </c>
    </row>
    <row r="273" spans="4:7" x14ac:dyDescent="0.25">
      <c r="D273" s="318" t="s">
        <v>11183</v>
      </c>
    </row>
    <row r="274" spans="4:7" x14ac:dyDescent="0.25">
      <c r="D274" s="318" t="s">
        <v>11184</v>
      </c>
    </row>
    <row r="275" spans="4:7" x14ac:dyDescent="0.25">
      <c r="D275" s="299">
        <v>42398</v>
      </c>
      <c r="E275" t="s">
        <v>4261</v>
      </c>
      <c r="F275" t="s">
        <v>4289</v>
      </c>
      <c r="G275" t="s">
        <v>11186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2016-01-29T17:15:11Z</dcterms:modified>
</cp:coreProperties>
</file>