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oky9\Documents\CIBAAS\Preludio\"/>
    </mc:Choice>
  </mc:AlternateContent>
  <xr:revisionPtr revIDLastSave="0" documentId="13_ncr:1_{6E18EA9A-75C3-45CD-A05C-31C52E574B6B}" xr6:coauthVersionLast="47" xr6:coauthVersionMax="47" xr10:uidLastSave="{00000000-0000-0000-0000-000000000000}"/>
  <bookViews>
    <workbookView xWindow="-120" yWindow="-120" windowWidth="29040" windowHeight="16440" tabRatio="720" firstSheet="3" activeTab="14" xr2:uid="{00000000-000D-0000-FFFF-FFFF00000000}"/>
  </bookViews>
  <sheets>
    <sheet name="REEMBOLSO ALEXIS" sheetId="6" state="hidden" r:id="rId1"/>
    <sheet name="ALEXIS" sheetId="4" r:id="rId2"/>
    <sheet name="EFECTIVO" sheetId="32" r:id="rId3"/>
    <sheet name="Hoja2" sheetId="33" r:id="rId4"/>
    <sheet name="120424" sheetId="34" r:id="rId5"/>
    <sheet name="260424" sheetId="35" r:id="rId6"/>
    <sheet name="030524" sheetId="36" r:id="rId7"/>
    <sheet name="GENERAL" sheetId="25" r:id="rId8"/>
    <sheet name="DESGLOSE COMPLETO OBRA " sheetId="1" r:id="rId9"/>
    <sheet name="TABLAROCA" sheetId="28" r:id="rId10"/>
    <sheet name="PLOMERIA" sheetId="14" r:id="rId11"/>
    <sheet name="PERSONAL" sheetId="23" r:id="rId12"/>
    <sheet name="JORGE" sheetId="12" r:id="rId13"/>
    <sheet name="FORTUNATO" sheetId="22" r:id="rId14"/>
    <sheet name="HERRERO" sheetId="27" r:id="rId15"/>
    <sheet name="ACERO" sheetId="7" r:id="rId16"/>
    <sheet name="COMPRA Y RENTA DE EQUIPO" sheetId="15" r:id="rId17"/>
    <sheet name="YESERO" sheetId="31" r:id="rId18"/>
    <sheet name="MADERA" sheetId="16" r:id="rId19"/>
    <sheet name="ELECTRICIDAD" sheetId="19" r:id="rId20"/>
    <sheet name="AGLOMERANTES" sheetId="8" r:id="rId21"/>
    <sheet name="MISCELANEOS" sheetId="9" r:id="rId22"/>
    <sheet name="EPOXY" sheetId="20" r:id="rId23"/>
    <sheet name="PINTURAS" sheetId="10" r:id="rId24"/>
    <sheet name="GASTOS ADMINISTRATIVOS" sheetId="11" r:id="rId25"/>
    <sheet name="COMPRAS SD" sheetId="2" r:id="rId26"/>
    <sheet name="ASESORIAS" sheetId="21" r:id="rId27"/>
    <sheet name="ANTICIPOS" sheetId="5" r:id="rId28"/>
    <sheet name="ALEXIS MATS" sheetId="29" state="hidden" r:id="rId29"/>
    <sheet name="PROYECCION DE GASTOS " sheetId="24" state="hidden" r:id="rId30"/>
  </sheets>
  <definedNames>
    <definedName name="_xlnm._FilterDatabase" localSheetId="8" hidden="1">'DESGLOSE COMPLETO OBRA '!$C$3:$K$375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36" l="1"/>
  <c r="P8" i="36"/>
  <c r="P7" i="36"/>
  <c r="P5" i="36"/>
  <c r="P6" i="36"/>
  <c r="M3" i="36"/>
  <c r="C12" i="36"/>
  <c r="H7" i="36"/>
  <c r="H6" i="36"/>
  <c r="F5" i="36"/>
  <c r="H5" i="36" s="1"/>
  <c r="H4" i="36"/>
  <c r="C27" i="35"/>
  <c r="C24" i="35"/>
  <c r="H8" i="36" l="1"/>
  <c r="H6" i="35" l="1"/>
  <c r="H3" i="35"/>
  <c r="F5" i="35"/>
  <c r="H5" i="35" s="1"/>
  <c r="H4" i="35"/>
  <c r="H7" i="35" s="1"/>
  <c r="F4" i="35"/>
  <c r="C15" i="34"/>
  <c r="C14" i="34"/>
  <c r="F8" i="34"/>
  <c r="K3" i="33"/>
  <c r="H6" i="33"/>
  <c r="H5" i="33"/>
  <c r="H4" i="33"/>
  <c r="C11" i="33"/>
  <c r="M26" i="32"/>
  <c r="N5" i="32"/>
  <c r="N6" i="32" s="1"/>
  <c r="N7" i="32" s="1"/>
  <c r="N8" i="32" s="1"/>
  <c r="N9" i="32" s="1"/>
  <c r="N10" i="32" s="1"/>
  <c r="N11" i="32" s="1"/>
  <c r="N12" i="32" s="1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N25" i="32" s="1"/>
  <c r="M18" i="32"/>
  <c r="N4" i="32"/>
  <c r="D10" i="32"/>
  <c r="C30" i="4"/>
  <c r="L74" i="4"/>
  <c r="M75" i="4"/>
  <c r="N75" i="4"/>
  <c r="O75" i="4" s="1"/>
  <c r="M76" i="4"/>
  <c r="O76" i="4" s="1"/>
  <c r="N76" i="4"/>
  <c r="M77" i="4"/>
  <c r="N77" i="4"/>
  <c r="O77" i="4" s="1"/>
  <c r="M78" i="4"/>
  <c r="O78" i="4" s="1"/>
  <c r="N78" i="4"/>
  <c r="M79" i="4"/>
  <c r="N79" i="4"/>
  <c r="O79" i="4"/>
  <c r="M80" i="4"/>
  <c r="N80" i="4"/>
  <c r="O80" i="4" s="1"/>
  <c r="M81" i="4"/>
  <c r="O81" i="4" s="1"/>
  <c r="N81" i="4"/>
  <c r="M82" i="4"/>
  <c r="N82" i="4"/>
  <c r="O82" i="4"/>
  <c r="M83" i="4"/>
  <c r="N83" i="4"/>
  <c r="O83" i="4"/>
  <c r="M84" i="4"/>
  <c r="N84" i="4"/>
  <c r="O84" i="4"/>
  <c r="M85" i="4"/>
  <c r="N85" i="4"/>
  <c r="O85" i="4"/>
  <c r="M86" i="4"/>
  <c r="N86" i="4"/>
  <c r="O86" i="4"/>
  <c r="G371" i="1"/>
  <c r="H373" i="1"/>
  <c r="I373" i="1" s="1"/>
  <c r="H374" i="1"/>
  <c r="I374" i="1"/>
  <c r="H375" i="1"/>
  <c r="I375" i="1" s="1"/>
  <c r="H376" i="1"/>
  <c r="I376" i="1" s="1"/>
  <c r="K376" i="1" s="1"/>
  <c r="H377" i="1"/>
  <c r="I377" i="1" s="1"/>
  <c r="K377" i="1" s="1"/>
  <c r="H378" i="1"/>
  <c r="I378" i="1" s="1"/>
  <c r="K378" i="1" s="1"/>
  <c r="H379" i="1"/>
  <c r="I379" i="1" s="1"/>
  <c r="K379" i="1" s="1"/>
  <c r="H380" i="1"/>
  <c r="I380" i="1" s="1"/>
  <c r="H381" i="1"/>
  <c r="I381" i="1" s="1"/>
  <c r="H382" i="1"/>
  <c r="I382" i="1" s="1"/>
  <c r="H383" i="1"/>
  <c r="I383" i="1" s="1"/>
  <c r="K383" i="1" s="1"/>
  <c r="H384" i="1"/>
  <c r="I384" i="1"/>
  <c r="K384" i="1"/>
  <c r="H385" i="1"/>
  <c r="I385" i="1" s="1"/>
  <c r="H386" i="1"/>
  <c r="K386" i="1" s="1"/>
  <c r="I386" i="1"/>
  <c r="H387" i="1"/>
  <c r="I387" i="1" s="1"/>
  <c r="K387" i="1" s="1"/>
  <c r="H388" i="1"/>
  <c r="I388" i="1"/>
  <c r="K388" i="1"/>
  <c r="H389" i="1"/>
  <c r="I389" i="1" s="1"/>
  <c r="H390" i="1"/>
  <c r="K390" i="1" s="1"/>
  <c r="I390" i="1"/>
  <c r="H391" i="1"/>
  <c r="I391" i="1" s="1"/>
  <c r="H392" i="1"/>
  <c r="I392" i="1" s="1"/>
  <c r="H393" i="1"/>
  <c r="I393" i="1"/>
  <c r="K393" i="1"/>
  <c r="H394" i="1"/>
  <c r="K394" i="1" s="1"/>
  <c r="I394" i="1"/>
  <c r="H395" i="1"/>
  <c r="I395" i="1"/>
  <c r="K395" i="1"/>
  <c r="H396" i="1"/>
  <c r="K396" i="1" s="1"/>
  <c r="I396" i="1"/>
  <c r="H397" i="1"/>
  <c r="I397" i="1" s="1"/>
  <c r="N26" i="32" l="1"/>
  <c r="N27" i="32" s="1"/>
  <c r="K375" i="1"/>
  <c r="K374" i="1"/>
  <c r="K373" i="1"/>
  <c r="K382" i="1"/>
  <c r="K392" i="1"/>
  <c r="K397" i="1"/>
  <c r="K381" i="1"/>
  <c r="K391" i="1"/>
  <c r="K380" i="1"/>
  <c r="K385" i="1"/>
  <c r="K389" i="1"/>
  <c r="AT8" i="8"/>
  <c r="AU8" i="8" s="1"/>
  <c r="G33" i="28"/>
  <c r="H33" i="28" s="1"/>
  <c r="J33" i="28" s="1"/>
  <c r="G32" i="28"/>
  <c r="G31" i="28"/>
  <c r="G30" i="28"/>
  <c r="G29" i="28"/>
  <c r="H28" i="28"/>
  <c r="J28" i="28" s="1"/>
  <c r="G28" i="28"/>
  <c r="G27" i="28"/>
  <c r="H27" i="28" s="1"/>
  <c r="G367" i="1"/>
  <c r="AB11" i="1"/>
  <c r="AC11" i="1" s="1"/>
  <c r="Q15" i="31"/>
  <c r="R14" i="31"/>
  <c r="S14" i="31" s="1"/>
  <c r="R13" i="31"/>
  <c r="R12" i="31"/>
  <c r="R11" i="31"/>
  <c r="R10" i="31"/>
  <c r="S10" i="31" s="1"/>
  <c r="R9" i="31"/>
  <c r="R8" i="31"/>
  <c r="R7" i="31"/>
  <c r="S7" i="31" s="1"/>
  <c r="U7" i="31" s="1"/>
  <c r="R6" i="31"/>
  <c r="R5" i="31"/>
  <c r="S5" i="31" s="1"/>
  <c r="G6" i="31"/>
  <c r="H5" i="31"/>
  <c r="G5" i="31"/>
  <c r="J5" i="31" s="1"/>
  <c r="BP20" i="7"/>
  <c r="BO20" i="7"/>
  <c r="BR20" i="7" s="1"/>
  <c r="U29" i="4" a="1"/>
  <c r="U29" i="4" s="1"/>
  <c r="P68" i="4"/>
  <c r="P56" i="4"/>
  <c r="AV8" i="8" l="1"/>
  <c r="AX8" i="8" s="1"/>
  <c r="J29" i="28"/>
  <c r="H29" i="28"/>
  <c r="H30" i="28"/>
  <c r="J30" i="28" s="1"/>
  <c r="H31" i="28"/>
  <c r="J31" i="28" s="1"/>
  <c r="H32" i="28"/>
  <c r="J32" i="28" s="1"/>
  <c r="J27" i="28"/>
  <c r="AE11" i="1"/>
  <c r="U13" i="31"/>
  <c r="U10" i="31"/>
  <c r="S11" i="31"/>
  <c r="U11" i="31" s="1"/>
  <c r="S6" i="31"/>
  <c r="U6" i="31" s="1"/>
  <c r="S12" i="31"/>
  <c r="U12" i="31" s="1"/>
  <c r="U5" i="31"/>
  <c r="S13" i="31"/>
  <c r="S8" i="31"/>
  <c r="U8" i="31" s="1"/>
  <c r="U14" i="31"/>
  <c r="S9" i="31"/>
  <c r="U9" i="31" s="1"/>
  <c r="H6" i="31"/>
  <c r="J6" i="31" s="1"/>
  <c r="AH5" i="28"/>
  <c r="Q6" i="23"/>
  <c r="R6" i="23" s="1"/>
  <c r="AA8" i="23"/>
  <c r="AB8" i="23" s="1"/>
  <c r="G13" i="23"/>
  <c r="I16" i="12"/>
  <c r="H16" i="12"/>
  <c r="K16" i="12" s="1"/>
  <c r="AB8" i="1"/>
  <c r="AC8" i="1" s="1"/>
  <c r="H340" i="1"/>
  <c r="I340" i="1" s="1"/>
  <c r="K340" i="1" s="1"/>
  <c r="H339" i="1"/>
  <c r="H338" i="1"/>
  <c r="I338" i="1"/>
  <c r="H337" i="1"/>
  <c r="I337" i="1"/>
  <c r="H336" i="1"/>
  <c r="I336" i="1" s="1"/>
  <c r="H357" i="1"/>
  <c r="I357" i="1" s="1"/>
  <c r="U24" i="4"/>
  <c r="U25" i="4" l="1"/>
  <c r="U26" i="4" s="1"/>
  <c r="U15" i="31"/>
  <c r="O39" i="25" s="1"/>
  <c r="J12" i="31"/>
  <c r="K337" i="1"/>
  <c r="K336" i="1"/>
  <c r="K338" i="1"/>
  <c r="AE8" i="1"/>
  <c r="AK5" i="28"/>
  <c r="AI5" i="28"/>
  <c r="T6" i="23"/>
  <c r="AD8" i="23"/>
  <c r="H13" i="23"/>
  <c r="J13" i="23" s="1"/>
  <c r="I339" i="1"/>
  <c r="K339" i="1" s="1"/>
  <c r="K357" i="1"/>
  <c r="H36" i="15"/>
  <c r="H356" i="1"/>
  <c r="I356" i="1" s="1"/>
  <c r="H358" i="1"/>
  <c r="I358" i="1" s="1"/>
  <c r="K358" i="1" s="1"/>
  <c r="H359" i="1"/>
  <c r="I359" i="1" s="1"/>
  <c r="H360" i="1"/>
  <c r="I360" i="1" s="1"/>
  <c r="K360" i="1" s="1"/>
  <c r="H361" i="1"/>
  <c r="I361" i="1" s="1"/>
  <c r="H362" i="1"/>
  <c r="I362" i="1" s="1"/>
  <c r="H363" i="1"/>
  <c r="I363" i="1" s="1"/>
  <c r="K363" i="1" s="1"/>
  <c r="H364" i="1"/>
  <c r="I364" i="1" s="1"/>
  <c r="K364" i="1" s="1"/>
  <c r="H365" i="1"/>
  <c r="I365" i="1" s="1"/>
  <c r="H366" i="1"/>
  <c r="I366" i="1" s="1"/>
  <c r="H367" i="1"/>
  <c r="I367" i="1" s="1"/>
  <c r="K367" i="1" s="1"/>
  <c r="H368" i="1"/>
  <c r="I368" i="1" s="1"/>
  <c r="K368" i="1" s="1"/>
  <c r="G105" i="14"/>
  <c r="G104" i="14"/>
  <c r="G103" i="14"/>
  <c r="H103" i="14" s="1"/>
  <c r="J103" i="14" s="1"/>
  <c r="J102" i="14"/>
  <c r="H102" i="14"/>
  <c r="G102" i="14"/>
  <c r="H101" i="14"/>
  <c r="G101" i="14"/>
  <c r="J101" i="14" s="1"/>
  <c r="G100" i="14"/>
  <c r="H100" i="14" s="1"/>
  <c r="J100" i="14" s="1"/>
  <c r="G99" i="14"/>
  <c r="H99" i="14" s="1"/>
  <c r="H98" i="14"/>
  <c r="J98" i="14" s="1"/>
  <c r="G98" i="14"/>
  <c r="G97" i="14"/>
  <c r="G96" i="14"/>
  <c r="H50" i="19"/>
  <c r="G50" i="19"/>
  <c r="J50" i="19" s="1"/>
  <c r="J49" i="19"/>
  <c r="H49" i="19"/>
  <c r="G49" i="19"/>
  <c r="G48" i="19"/>
  <c r="G47" i="19"/>
  <c r="H47" i="19" s="1"/>
  <c r="J47" i="19" s="1"/>
  <c r="M58" i="4"/>
  <c r="O58" i="4" s="1"/>
  <c r="N58" i="4"/>
  <c r="H344" i="1"/>
  <c r="I344" i="1" s="1"/>
  <c r="K344" i="1" s="1"/>
  <c r="H345" i="1"/>
  <c r="I345" i="1" s="1"/>
  <c r="K345" i="1" s="1"/>
  <c r="H346" i="1"/>
  <c r="I346" i="1" s="1"/>
  <c r="H347" i="1"/>
  <c r="I347" i="1" s="1"/>
  <c r="K347" i="1" s="1"/>
  <c r="H348" i="1"/>
  <c r="I348" i="1" s="1"/>
  <c r="H349" i="1"/>
  <c r="I349" i="1" s="1"/>
  <c r="K349" i="1" s="1"/>
  <c r="H350" i="1"/>
  <c r="I350" i="1" s="1"/>
  <c r="K350" i="1" s="1"/>
  <c r="H351" i="1"/>
  <c r="I351" i="1" s="1"/>
  <c r="K351" i="1" s="1"/>
  <c r="H352" i="1"/>
  <c r="I352" i="1" s="1"/>
  <c r="H353" i="1"/>
  <c r="I353" i="1" s="1"/>
  <c r="H354" i="1"/>
  <c r="I354" i="1" s="1"/>
  <c r="H355" i="1"/>
  <c r="M68" i="4"/>
  <c r="N68" i="4"/>
  <c r="M69" i="4"/>
  <c r="N69" i="4"/>
  <c r="M70" i="4"/>
  <c r="N70" i="4"/>
  <c r="M71" i="4"/>
  <c r="N71" i="4"/>
  <c r="M72" i="4"/>
  <c r="N72" i="4"/>
  <c r="M73" i="4"/>
  <c r="N73" i="4"/>
  <c r="M74" i="4"/>
  <c r="N74" i="4"/>
  <c r="M65" i="4"/>
  <c r="N65" i="4"/>
  <c r="H35" i="15"/>
  <c r="H34" i="15"/>
  <c r="I34" i="15" s="1"/>
  <c r="H33" i="15"/>
  <c r="I45" i="2"/>
  <c r="J45" i="2" s="1"/>
  <c r="H44" i="2"/>
  <c r="I44" i="2" s="1"/>
  <c r="J44" i="2" s="1"/>
  <c r="L44" i="2" s="1"/>
  <c r="H43" i="2"/>
  <c r="I43" i="2" s="1"/>
  <c r="H42" i="2"/>
  <c r="I42" i="2" s="1"/>
  <c r="G26" i="28"/>
  <c r="H26" i="28" s="1"/>
  <c r="J26" i="28" s="1"/>
  <c r="H25" i="28"/>
  <c r="J25" i="28" s="1"/>
  <c r="G25" i="28"/>
  <c r="G24" i="28"/>
  <c r="G23" i="28"/>
  <c r="G22" i="28"/>
  <c r="H22" i="28" s="1"/>
  <c r="G21" i="28"/>
  <c r="G20" i="28"/>
  <c r="H20" i="28" s="1"/>
  <c r="G19" i="28"/>
  <c r="H19" i="28" s="1"/>
  <c r="G95" i="14"/>
  <c r="G94" i="14"/>
  <c r="H93" i="14"/>
  <c r="G93" i="14"/>
  <c r="J93" i="14" s="1"/>
  <c r="H92" i="14"/>
  <c r="G92" i="14"/>
  <c r="J92" i="14" s="1"/>
  <c r="H91" i="14"/>
  <c r="G91" i="14"/>
  <c r="J91" i="14" s="1"/>
  <c r="J90" i="14"/>
  <c r="H90" i="14"/>
  <c r="G90" i="14"/>
  <c r="G89" i="14"/>
  <c r="H8" i="5"/>
  <c r="I8" i="5" s="1"/>
  <c r="H9" i="5"/>
  <c r="I9" i="5" s="1"/>
  <c r="H10" i="5"/>
  <c r="I10" i="5" s="1"/>
  <c r="H11" i="5"/>
  <c r="I11" i="5" s="1"/>
  <c r="Q7" i="23"/>
  <c r="R7" i="23" s="1"/>
  <c r="T7" i="23" s="1"/>
  <c r="Q8" i="23"/>
  <c r="T8" i="23" s="1"/>
  <c r="R8" i="23"/>
  <c r="Q9" i="23"/>
  <c r="R9" i="23"/>
  <c r="T9" i="23" s="1"/>
  <c r="Q10" i="23"/>
  <c r="R10" i="23"/>
  <c r="T10" i="23"/>
  <c r="Q11" i="23"/>
  <c r="R11" i="23" s="1"/>
  <c r="Q12" i="23"/>
  <c r="R12" i="23"/>
  <c r="T12" i="23"/>
  <c r="Q13" i="23"/>
  <c r="R13" i="23"/>
  <c r="T13" i="23"/>
  <c r="Q14" i="23"/>
  <c r="R14" i="23"/>
  <c r="T14" i="23"/>
  <c r="Q15" i="23"/>
  <c r="R15" i="23"/>
  <c r="T15" i="23"/>
  <c r="Q16" i="23"/>
  <c r="T16" i="23" s="1"/>
  <c r="R16" i="23"/>
  <c r="Q17" i="23"/>
  <c r="R17" i="23"/>
  <c r="T17" i="23"/>
  <c r="Q18" i="23"/>
  <c r="R18" i="23"/>
  <c r="T18" i="23"/>
  <c r="Q19" i="23"/>
  <c r="R19" i="23" s="1"/>
  <c r="Q20" i="23"/>
  <c r="R20" i="23"/>
  <c r="T20" i="23"/>
  <c r="Q21" i="23"/>
  <c r="R21" i="23"/>
  <c r="T21" i="23"/>
  <c r="Q22" i="23"/>
  <c r="R22" i="23"/>
  <c r="T22" i="23"/>
  <c r="G12" i="23"/>
  <c r="H12" i="23"/>
  <c r="J12" i="23"/>
  <c r="O70" i="4" l="1"/>
  <c r="O74" i="4"/>
  <c r="U27" i="4"/>
  <c r="U28" i="4"/>
  <c r="K359" i="1"/>
  <c r="K366" i="1"/>
  <c r="K36" i="15"/>
  <c r="I36" i="15"/>
  <c r="K362" i="1"/>
  <c r="K361" i="1"/>
  <c r="K365" i="1"/>
  <c r="K356" i="1"/>
  <c r="H105" i="14"/>
  <c r="J105" i="14" s="1"/>
  <c r="H104" i="14"/>
  <c r="J104" i="14" s="1"/>
  <c r="J99" i="14"/>
  <c r="H96" i="14"/>
  <c r="J96" i="14" s="1"/>
  <c r="H97" i="14"/>
  <c r="J97" i="14" s="1"/>
  <c r="H48" i="19"/>
  <c r="J48" i="19" s="1"/>
  <c r="O73" i="4"/>
  <c r="O71" i="4"/>
  <c r="O69" i="4"/>
  <c r="O72" i="4"/>
  <c r="O68" i="4"/>
  <c r="I355" i="1"/>
  <c r="K355" i="1" s="1"/>
  <c r="K354" i="1"/>
  <c r="K353" i="1"/>
  <c r="K348" i="1"/>
  <c r="K352" i="1"/>
  <c r="K346" i="1"/>
  <c r="O65" i="4"/>
  <c r="I33" i="15"/>
  <c r="K33" i="15" s="1"/>
  <c r="K34" i="15"/>
  <c r="I35" i="15"/>
  <c r="K35" i="15" s="1"/>
  <c r="L45" i="2"/>
  <c r="J42" i="2"/>
  <c r="L42" i="2" s="1"/>
  <c r="J43" i="2"/>
  <c r="L43" i="2" s="1"/>
  <c r="J22" i="28"/>
  <c r="H23" i="28"/>
  <c r="J23" i="28" s="1"/>
  <c r="H24" i="28"/>
  <c r="J24" i="28" s="1"/>
  <c r="H21" i="28"/>
  <c r="J21" i="28" s="1"/>
  <c r="J20" i="28"/>
  <c r="J19" i="28"/>
  <c r="H94" i="14"/>
  <c r="J94" i="14" s="1"/>
  <c r="H89" i="14"/>
  <c r="J89" i="14" s="1"/>
  <c r="H95" i="14"/>
  <c r="J95" i="14" s="1"/>
  <c r="K8" i="5"/>
  <c r="K10" i="5"/>
  <c r="K9" i="5"/>
  <c r="K11" i="5"/>
  <c r="T19" i="23"/>
  <c r="T11" i="23"/>
  <c r="O87" i="4" l="1"/>
  <c r="P74" i="4"/>
  <c r="J111" i="14"/>
  <c r="J39" i="28"/>
  <c r="F14" i="22"/>
  <c r="G8" i="22"/>
  <c r="H15" i="12"/>
  <c r="I14" i="12"/>
  <c r="K14" i="12" s="1"/>
  <c r="H14" i="12"/>
  <c r="E13" i="20"/>
  <c r="M32" i="25" s="1"/>
  <c r="F9" i="20"/>
  <c r="F8" i="20"/>
  <c r="G8" i="20"/>
  <c r="H8" i="20" s="1"/>
  <c r="G9" i="20"/>
  <c r="H9" i="20" s="1"/>
  <c r="G10" i="20"/>
  <c r="H10" i="20"/>
  <c r="J10" i="20"/>
  <c r="G11" i="20"/>
  <c r="H11" i="20" s="1"/>
  <c r="J11" i="20" s="1"/>
  <c r="G12" i="20"/>
  <c r="H12" i="20"/>
  <c r="J12" i="20"/>
  <c r="H40" i="2"/>
  <c r="I40" i="2" s="1"/>
  <c r="I41" i="2"/>
  <c r="J41" i="2" s="1"/>
  <c r="H26" i="2"/>
  <c r="H25" i="2"/>
  <c r="I25" i="2" s="1"/>
  <c r="J25" i="2" s="1"/>
  <c r="L25" i="2" s="1"/>
  <c r="H24" i="2"/>
  <c r="I24" i="2" s="1"/>
  <c r="J24" i="2" s="1"/>
  <c r="L24" i="2" s="1"/>
  <c r="H23" i="2"/>
  <c r="I23" i="2" s="1"/>
  <c r="J23" i="2" s="1"/>
  <c r="L23" i="2" s="1"/>
  <c r="I22" i="2"/>
  <c r="J22" i="2" s="1"/>
  <c r="L22" i="2" s="1"/>
  <c r="I26" i="2"/>
  <c r="J26" i="2" s="1"/>
  <c r="L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/>
  <c r="L33" i="2" s="1"/>
  <c r="I34" i="2"/>
  <c r="J34" i="2" s="1"/>
  <c r="L34" i="2" s="1"/>
  <c r="G7" i="20"/>
  <c r="F7" i="20"/>
  <c r="G321" i="1"/>
  <c r="H321" i="1" s="1"/>
  <c r="I321" i="1" s="1"/>
  <c r="H322" i="1"/>
  <c r="I322" i="1" s="1"/>
  <c r="H323" i="1"/>
  <c r="I323" i="1" s="1"/>
  <c r="H324" i="1"/>
  <c r="I324" i="1" s="1"/>
  <c r="H325" i="1"/>
  <c r="I325" i="1" s="1"/>
  <c r="K325" i="1" s="1"/>
  <c r="H326" i="1"/>
  <c r="I326" i="1" s="1"/>
  <c r="H327" i="1"/>
  <c r="I327" i="1" s="1"/>
  <c r="H328" i="1"/>
  <c r="I328" i="1" s="1"/>
  <c r="H329" i="1"/>
  <c r="I329" i="1" s="1"/>
  <c r="H330" i="1"/>
  <c r="H331" i="1"/>
  <c r="I331" i="1" s="1"/>
  <c r="H332" i="1"/>
  <c r="I332" i="1" s="1"/>
  <c r="K332" i="1" s="1"/>
  <c r="H333" i="1"/>
  <c r="I333" i="1" s="1"/>
  <c r="K333" i="1" s="1"/>
  <c r="H334" i="1"/>
  <c r="I334" i="1" s="1"/>
  <c r="K334" i="1" s="1"/>
  <c r="H335" i="1"/>
  <c r="I335" i="1" s="1"/>
  <c r="H341" i="1"/>
  <c r="I341" i="1" s="1"/>
  <c r="H342" i="1"/>
  <c r="I342" i="1" s="1"/>
  <c r="H343" i="1"/>
  <c r="I343" i="1" s="1"/>
  <c r="H369" i="1"/>
  <c r="I369" i="1" s="1"/>
  <c r="K369" i="1" s="1"/>
  <c r="H370" i="1"/>
  <c r="I370" i="1" s="1"/>
  <c r="H371" i="1"/>
  <c r="I371" i="1" s="1"/>
  <c r="G9" i="11"/>
  <c r="H9" i="11" s="1"/>
  <c r="J9" i="11" s="1"/>
  <c r="G8" i="11"/>
  <c r="H7" i="11"/>
  <c r="J7" i="11" s="1"/>
  <c r="G7" i="11"/>
  <c r="AB10" i="1"/>
  <c r="AB9" i="1"/>
  <c r="AC9" i="1" s="1"/>
  <c r="AE9" i="1" s="1"/>
  <c r="O23" i="25"/>
  <c r="G88" i="14"/>
  <c r="H87" i="14"/>
  <c r="G87" i="14"/>
  <c r="J87" i="14" s="1"/>
  <c r="H86" i="14"/>
  <c r="J86" i="14" s="1"/>
  <c r="G86" i="14"/>
  <c r="G85" i="14"/>
  <c r="G84" i="14"/>
  <c r="H84" i="14" s="1"/>
  <c r="J84" i="14" s="1"/>
  <c r="G83" i="14"/>
  <c r="H83" i="14" s="1"/>
  <c r="J83" i="14" s="1"/>
  <c r="G82" i="14"/>
  <c r="G81" i="14"/>
  <c r="G80" i="14"/>
  <c r="H80" i="14" s="1"/>
  <c r="J80" i="14" s="1"/>
  <c r="H79" i="14"/>
  <c r="G79" i="14"/>
  <c r="J79" i="14" s="1"/>
  <c r="H78" i="14"/>
  <c r="J78" i="14" s="1"/>
  <c r="G78" i="14"/>
  <c r="BO19" i="7"/>
  <c r="D12" i="4"/>
  <c r="E12" i="4" s="1"/>
  <c r="M57" i="4"/>
  <c r="N57" i="4"/>
  <c r="M59" i="4"/>
  <c r="N59" i="4"/>
  <c r="M60" i="4"/>
  <c r="N60" i="4"/>
  <c r="M61" i="4"/>
  <c r="N61" i="4"/>
  <c r="M62" i="4"/>
  <c r="N62" i="4"/>
  <c r="M63" i="4"/>
  <c r="N63" i="4"/>
  <c r="J55" i="19"/>
  <c r="G46" i="19"/>
  <c r="G45" i="19"/>
  <c r="G44" i="19"/>
  <c r="H44" i="19" s="1"/>
  <c r="G43" i="19"/>
  <c r="H43" i="19" s="1"/>
  <c r="G42" i="19"/>
  <c r="H42" i="19" s="1"/>
  <c r="J41" i="19"/>
  <c r="H41" i="19"/>
  <c r="G41" i="19"/>
  <c r="G40" i="19"/>
  <c r="H40" i="19" s="1"/>
  <c r="J40" i="19" s="1"/>
  <c r="G39" i="19"/>
  <c r="H39" i="19" s="1"/>
  <c r="G38" i="19"/>
  <c r="H38" i="19" s="1"/>
  <c r="G37" i="19"/>
  <c r="H36" i="19"/>
  <c r="J36" i="19" s="1"/>
  <c r="G36" i="19"/>
  <c r="H35" i="19"/>
  <c r="G35" i="19"/>
  <c r="J35" i="19" s="1"/>
  <c r="G34" i="19"/>
  <c r="G33" i="19"/>
  <c r="G32" i="19"/>
  <c r="G31" i="19"/>
  <c r="G30" i="19"/>
  <c r="G29" i="19"/>
  <c r="G28" i="19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K300" i="1" s="1"/>
  <c r="H301" i="1"/>
  <c r="I301" i="1" s="1"/>
  <c r="K301" i="1" s="1"/>
  <c r="H302" i="1"/>
  <c r="I302" i="1" s="1"/>
  <c r="H303" i="1"/>
  <c r="I303" i="1" s="1"/>
  <c r="H304" i="1"/>
  <c r="I304" i="1" s="1"/>
  <c r="H305" i="1"/>
  <c r="H306" i="1"/>
  <c r="I306" i="1" s="1"/>
  <c r="K306" i="1" s="1"/>
  <c r="H307" i="1"/>
  <c r="I307" i="1" s="1"/>
  <c r="H308" i="1"/>
  <c r="I308" i="1" s="1"/>
  <c r="K308" i="1" s="1"/>
  <c r="H309" i="1"/>
  <c r="I309" i="1" s="1"/>
  <c r="H310" i="1"/>
  <c r="I310" i="1" s="1"/>
  <c r="K310" i="1" s="1"/>
  <c r="H311" i="1"/>
  <c r="I311" i="1" s="1"/>
  <c r="H312" i="1"/>
  <c r="I312" i="1" s="1"/>
  <c r="K312" i="1" s="1"/>
  <c r="H313" i="1"/>
  <c r="I313" i="1" s="1"/>
  <c r="H314" i="1"/>
  <c r="I314" i="1" s="1"/>
  <c r="H315" i="1"/>
  <c r="I315" i="1" s="1"/>
  <c r="K315" i="1" s="1"/>
  <c r="H316" i="1"/>
  <c r="I316" i="1" s="1"/>
  <c r="H317" i="1"/>
  <c r="I317" i="1" s="1"/>
  <c r="H318" i="1"/>
  <c r="I318" i="1" s="1"/>
  <c r="H319" i="1"/>
  <c r="I319" i="1" s="1"/>
  <c r="K319" i="1" s="1"/>
  <c r="H320" i="1"/>
  <c r="I320" i="1" s="1"/>
  <c r="H372" i="1"/>
  <c r="I372" i="1" s="1"/>
  <c r="G27" i="19"/>
  <c r="G26" i="19"/>
  <c r="H26" i="19" s="1"/>
  <c r="J26" i="19" s="1"/>
  <c r="G25" i="19"/>
  <c r="H25" i="19" s="1"/>
  <c r="J25" i="19" s="1"/>
  <c r="G24" i="19"/>
  <c r="H77" i="14"/>
  <c r="G77" i="14"/>
  <c r="J77" i="14" s="1"/>
  <c r="J76" i="14"/>
  <c r="H76" i="14"/>
  <c r="G76" i="14"/>
  <c r="V21" i="29"/>
  <c r="U24" i="29"/>
  <c r="U21" i="29"/>
  <c r="U5" i="29"/>
  <c r="H15" i="9"/>
  <c r="J15" i="9" s="1"/>
  <c r="J21" i="9" s="1"/>
  <c r="O31" i="25" s="1"/>
  <c r="G15" i="9"/>
  <c r="H278" i="1"/>
  <c r="I278" i="1" s="1"/>
  <c r="P24" i="27"/>
  <c r="S24" i="27" s="1"/>
  <c r="F11" i="27"/>
  <c r="W12" i="27"/>
  <c r="G18" i="27" s="1"/>
  <c r="T11" i="27"/>
  <c r="J6" i="27"/>
  <c r="I6" i="27"/>
  <c r="F6" i="27"/>
  <c r="G6" i="27" s="1"/>
  <c r="D8" i="25"/>
  <c r="H276" i="1"/>
  <c r="H277" i="1"/>
  <c r="I277" i="1" s="1"/>
  <c r="K277" i="1" s="1"/>
  <c r="AH4" i="28"/>
  <c r="AG11" i="25"/>
  <c r="K15" i="5"/>
  <c r="AF4" i="25" s="1"/>
  <c r="K12" i="5"/>
  <c r="AG4" i="25"/>
  <c r="G45" i="1"/>
  <c r="H45" i="1" s="1"/>
  <c r="F6" i="20"/>
  <c r="G6" i="20" s="1"/>
  <c r="H6" i="20" s="1"/>
  <c r="L21" i="12"/>
  <c r="L22" i="12" s="1"/>
  <c r="H205" i="1"/>
  <c r="I205" i="1" s="1"/>
  <c r="H206" i="1"/>
  <c r="I206" i="1" s="1"/>
  <c r="H158" i="1"/>
  <c r="I158" i="1" s="1"/>
  <c r="K158" i="1" s="1"/>
  <c r="H159" i="1"/>
  <c r="I159" i="1" s="1"/>
  <c r="G7" i="21"/>
  <c r="H275" i="1"/>
  <c r="I275" i="1" s="1"/>
  <c r="K275" i="1" s="1"/>
  <c r="H279" i="1"/>
  <c r="I279" i="1" s="1"/>
  <c r="H280" i="1"/>
  <c r="I280" i="1" s="1"/>
  <c r="H281" i="1"/>
  <c r="I281" i="1" s="1"/>
  <c r="H282" i="1"/>
  <c r="H283" i="1"/>
  <c r="I283" i="1" s="1"/>
  <c r="H284" i="1"/>
  <c r="I284" i="1" s="1"/>
  <c r="H285" i="1"/>
  <c r="H286" i="1"/>
  <c r="I286" i="1" s="1"/>
  <c r="H287" i="1"/>
  <c r="I287" i="1" s="1"/>
  <c r="H288" i="1"/>
  <c r="I288" i="1" s="1"/>
  <c r="K288" i="1" s="1"/>
  <c r="H289" i="1"/>
  <c r="I289" i="1" s="1"/>
  <c r="H290" i="1"/>
  <c r="I290" i="1" s="1"/>
  <c r="K290" i="1" s="1"/>
  <c r="H291" i="1"/>
  <c r="I291" i="1" s="1"/>
  <c r="K291" i="1" s="1"/>
  <c r="H292" i="1"/>
  <c r="I292" i="1" s="1"/>
  <c r="H293" i="1"/>
  <c r="I293" i="1" s="1"/>
  <c r="H294" i="1"/>
  <c r="I294" i="1" s="1"/>
  <c r="K294" i="1" s="1"/>
  <c r="AA7" i="23"/>
  <c r="G18" i="28"/>
  <c r="H18" i="28" s="1"/>
  <c r="J18" i="28" s="1"/>
  <c r="G17" i="28"/>
  <c r="H17" i="28" s="1"/>
  <c r="J17" i="28" s="1"/>
  <c r="G16" i="28"/>
  <c r="H16" i="28" s="1"/>
  <c r="J16" i="28" s="1"/>
  <c r="G15" i="28"/>
  <c r="H239" i="1"/>
  <c r="G7" i="22"/>
  <c r="H7" i="22"/>
  <c r="J7" i="22"/>
  <c r="G9" i="22"/>
  <c r="H9" i="22"/>
  <c r="J9" i="22"/>
  <c r="G10" i="22"/>
  <c r="H10" i="22"/>
  <c r="J10" i="22" s="1"/>
  <c r="G11" i="22"/>
  <c r="G12" i="22"/>
  <c r="H12" i="22" s="1"/>
  <c r="J12" i="22" s="1"/>
  <c r="G13" i="22"/>
  <c r="H13" i="22"/>
  <c r="J13" i="22"/>
  <c r="G5" i="22"/>
  <c r="H5" i="22"/>
  <c r="J5" i="22"/>
  <c r="G6" i="22"/>
  <c r="H6" i="22"/>
  <c r="J6" i="22"/>
  <c r="U10" i="29"/>
  <c r="D11" i="4"/>
  <c r="E11" i="4" s="1"/>
  <c r="D13" i="4"/>
  <c r="E13" i="4" s="1"/>
  <c r="D14" i="4"/>
  <c r="E14" i="4" s="1"/>
  <c r="D15" i="4"/>
  <c r="E15" i="4" s="1"/>
  <c r="F15" i="4" s="1"/>
  <c r="D16" i="4"/>
  <c r="E16" i="4" s="1"/>
  <c r="F16" i="4" s="1"/>
  <c r="D17" i="4"/>
  <c r="E17" i="4" s="1"/>
  <c r="F17" i="4" s="1"/>
  <c r="V9" i="29"/>
  <c r="W9" i="29" s="1"/>
  <c r="V8" i="29"/>
  <c r="W3" i="29"/>
  <c r="V4" i="29"/>
  <c r="V5" i="29"/>
  <c r="W5" i="29" s="1"/>
  <c r="V6" i="29"/>
  <c r="W6" i="29" s="1"/>
  <c r="V7" i="29"/>
  <c r="W7" i="29" s="1"/>
  <c r="V3" i="29"/>
  <c r="Y3" i="29"/>
  <c r="X3" i="29"/>
  <c r="T12" i="29"/>
  <c r="R7" i="29"/>
  <c r="R5" i="29"/>
  <c r="Z6" i="28"/>
  <c r="Z8" i="28" s="1"/>
  <c r="I20" i="29"/>
  <c r="J19" i="29"/>
  <c r="I19" i="29"/>
  <c r="I18" i="29"/>
  <c r="J18" i="29" s="1"/>
  <c r="L18" i="29" s="1"/>
  <c r="I17" i="29"/>
  <c r="J17" i="29" s="1"/>
  <c r="I16" i="29"/>
  <c r="I15" i="29"/>
  <c r="J15" i="29" s="1"/>
  <c r="L15" i="29" s="1"/>
  <c r="I14" i="29"/>
  <c r="J14" i="29" s="1"/>
  <c r="I13" i="29"/>
  <c r="I12" i="29"/>
  <c r="J12" i="29" s="1"/>
  <c r="I11" i="29"/>
  <c r="J11" i="29" s="1"/>
  <c r="L11" i="29" s="1"/>
  <c r="I10" i="29"/>
  <c r="I9" i="29"/>
  <c r="I8" i="29"/>
  <c r="J8" i="29" s="1"/>
  <c r="L8" i="29" s="1"/>
  <c r="I7" i="29"/>
  <c r="I6" i="29"/>
  <c r="H5" i="29"/>
  <c r="I5" i="29" s="1"/>
  <c r="I4" i="29"/>
  <c r="I3" i="29"/>
  <c r="J3" i="29" s="1"/>
  <c r="L3" i="29" s="1"/>
  <c r="Q5" i="28"/>
  <c r="R5" i="28" s="1"/>
  <c r="S5" i="28"/>
  <c r="Q4" i="28"/>
  <c r="U4" i="28"/>
  <c r="V4" i="28" s="1"/>
  <c r="G17" i="27"/>
  <c r="U10" i="27"/>
  <c r="W10" i="27" s="1"/>
  <c r="T9" i="27"/>
  <c r="S8" i="27"/>
  <c r="T8" i="27" s="1"/>
  <c r="T7" i="27"/>
  <c r="T6" i="27"/>
  <c r="T5" i="27"/>
  <c r="T4" i="27"/>
  <c r="T3" i="27"/>
  <c r="M11" i="27"/>
  <c r="G4" i="27"/>
  <c r="I4" i="27" s="1"/>
  <c r="G14" i="28"/>
  <c r="H14" i="28" s="1"/>
  <c r="J14" i="28" s="1"/>
  <c r="G13" i="28"/>
  <c r="G12" i="28"/>
  <c r="H12" i="28" s="1"/>
  <c r="J12" i="28" s="1"/>
  <c r="G11" i="28"/>
  <c r="H11" i="28" s="1"/>
  <c r="J11" i="28" s="1"/>
  <c r="G10" i="28"/>
  <c r="H10" i="28" s="1"/>
  <c r="G9" i="28"/>
  <c r="H9" i="28" s="1"/>
  <c r="J9" i="28" s="1"/>
  <c r="G8" i="28"/>
  <c r="G7" i="28"/>
  <c r="H7" i="28" s="1"/>
  <c r="J7" i="28" s="1"/>
  <c r="G6" i="28"/>
  <c r="H6" i="28" s="1"/>
  <c r="J6" i="28" s="1"/>
  <c r="G5" i="28"/>
  <c r="G4" i="28"/>
  <c r="H4" i="28" s="1"/>
  <c r="P26" i="7"/>
  <c r="Q26" i="7" s="1"/>
  <c r="Q13" i="8"/>
  <c r="R13" i="8" s="1"/>
  <c r="T13" i="8" s="1"/>
  <c r="T18" i="8" s="1"/>
  <c r="H12" i="16"/>
  <c r="H264" i="1"/>
  <c r="I264" i="1" s="1"/>
  <c r="H265" i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M19" i="25"/>
  <c r="M18" i="25"/>
  <c r="M17" i="25"/>
  <c r="Z30" i="15"/>
  <c r="Z21" i="15"/>
  <c r="AA28" i="15"/>
  <c r="AF26" i="15"/>
  <c r="AF17" i="15"/>
  <c r="G255" i="1"/>
  <c r="H255" i="1" s="1"/>
  <c r="I255" i="1" s="1"/>
  <c r="O18" i="8"/>
  <c r="M26" i="25" s="1"/>
  <c r="Q12" i="8"/>
  <c r="R12" i="8" s="1"/>
  <c r="T12" i="8" s="1"/>
  <c r="Q11" i="8"/>
  <c r="Q10" i="8"/>
  <c r="Q9" i="8"/>
  <c r="Q8" i="8"/>
  <c r="R8" i="8" s="1"/>
  <c r="T8" i="8" s="1"/>
  <c r="R7" i="8"/>
  <c r="Q7" i="8"/>
  <c r="C18" i="4"/>
  <c r="D10" i="4"/>
  <c r="E10" i="4" s="1"/>
  <c r="G10" i="4" s="1"/>
  <c r="I5" i="27"/>
  <c r="G5" i="27"/>
  <c r="H5" i="27" s="1"/>
  <c r="H241" i="1"/>
  <c r="I241" i="1" s="1"/>
  <c r="J241" i="1"/>
  <c r="J220" i="1"/>
  <c r="I220" i="1"/>
  <c r="AO12" i="5"/>
  <c r="AE6" i="25"/>
  <c r="AG6" i="25" s="1"/>
  <c r="AG5" i="25"/>
  <c r="AG7" i="25"/>
  <c r="AG8" i="25"/>
  <c r="AG9" i="25"/>
  <c r="AG10" i="25"/>
  <c r="AE4" i="25"/>
  <c r="O34" i="25"/>
  <c r="M33" i="25"/>
  <c r="F19" i="10"/>
  <c r="O33" i="25"/>
  <c r="U19" i="10"/>
  <c r="R7" i="10"/>
  <c r="R6" i="10"/>
  <c r="H249" i="1"/>
  <c r="I249" i="1" s="1"/>
  <c r="G14" i="9"/>
  <c r="H14" i="9" s="1"/>
  <c r="Y11" i="8"/>
  <c r="M27" i="25" s="1"/>
  <c r="AI11" i="8"/>
  <c r="M28" i="25" s="1"/>
  <c r="AS11" i="8"/>
  <c r="M29" i="25" s="1"/>
  <c r="BC11" i="8"/>
  <c r="M30" i="25" s="1"/>
  <c r="E11" i="8"/>
  <c r="M25" i="25" s="1"/>
  <c r="F21" i="16"/>
  <c r="O21" i="25"/>
  <c r="AT15" i="15"/>
  <c r="O20" i="25"/>
  <c r="AK6" i="15"/>
  <c r="AL6" i="15"/>
  <c r="AM6" i="15" s="1"/>
  <c r="AB20" i="15"/>
  <c r="AC20" i="15" s="1"/>
  <c r="AE20" i="15" s="1"/>
  <c r="AB29" i="15"/>
  <c r="AC29" i="15" s="1"/>
  <c r="AB28" i="15"/>
  <c r="AC28" i="15" s="1"/>
  <c r="AE28" i="15" s="1"/>
  <c r="AB19" i="15"/>
  <c r="AC19" i="15" s="1"/>
  <c r="AI16" i="7"/>
  <c r="AK7" i="7"/>
  <c r="AJ7" i="7"/>
  <c r="AK6" i="7"/>
  <c r="M9" i="25"/>
  <c r="M7" i="25"/>
  <c r="M8" i="25"/>
  <c r="M6" i="25"/>
  <c r="M4" i="25"/>
  <c r="O14" i="25"/>
  <c r="M14" i="25"/>
  <c r="O13" i="25"/>
  <c r="M13" i="25"/>
  <c r="O12" i="25"/>
  <c r="M12" i="25"/>
  <c r="O17" i="7"/>
  <c r="O28" i="7"/>
  <c r="M11" i="25" s="1"/>
  <c r="O37" i="7"/>
  <c r="Q32" i="7"/>
  <c r="R32" i="7" s="1"/>
  <c r="T32" i="7" s="1"/>
  <c r="T37" i="7" s="1"/>
  <c r="O7" i="7"/>
  <c r="Q24" i="7"/>
  <c r="R24" i="7" s="1"/>
  <c r="Q25" i="7"/>
  <c r="R25" i="7" s="1"/>
  <c r="T25" i="7" s="1"/>
  <c r="Q23" i="7"/>
  <c r="R23" i="7" s="1"/>
  <c r="Q13" i="7"/>
  <c r="Y16" i="7"/>
  <c r="AT16" i="7"/>
  <c r="BC16" i="7"/>
  <c r="E16" i="7"/>
  <c r="AA6" i="23"/>
  <c r="AA5" i="23"/>
  <c r="AA4" i="23"/>
  <c r="G11" i="23"/>
  <c r="H11" i="23" s="1"/>
  <c r="H240" i="1"/>
  <c r="I240" i="1" s="1"/>
  <c r="H242" i="1"/>
  <c r="I242" i="1" s="1"/>
  <c r="R79" i="1"/>
  <c r="S79" i="1" s="1"/>
  <c r="U79" i="1" s="1"/>
  <c r="R78" i="1"/>
  <c r="S78" i="1" s="1"/>
  <c r="U78" i="1" s="1"/>
  <c r="H250" i="1"/>
  <c r="I250" i="1" s="1"/>
  <c r="H251" i="1"/>
  <c r="I251" i="1" s="1"/>
  <c r="H252" i="1"/>
  <c r="I252" i="1" s="1"/>
  <c r="H253" i="1"/>
  <c r="I253" i="1" s="1"/>
  <c r="H254" i="1"/>
  <c r="I254" i="1" s="1"/>
  <c r="H256" i="1"/>
  <c r="H257" i="1"/>
  <c r="I257" i="1" s="1"/>
  <c r="H258" i="1"/>
  <c r="I258" i="1" s="1"/>
  <c r="K13" i="12"/>
  <c r="K17" i="12"/>
  <c r="K18" i="12"/>
  <c r="K19" i="12"/>
  <c r="K20" i="12"/>
  <c r="H13" i="12"/>
  <c r="I13" i="12" s="1"/>
  <c r="BY6" i="7"/>
  <c r="BZ6" i="7" s="1"/>
  <c r="CB6" i="7" s="1"/>
  <c r="BO18" i="7"/>
  <c r="BP18" i="7" s="1"/>
  <c r="BR18" i="7" s="1"/>
  <c r="BO17" i="7"/>
  <c r="BO16" i="7"/>
  <c r="BO15" i="7"/>
  <c r="BO14" i="7"/>
  <c r="J7" i="24"/>
  <c r="G8" i="24"/>
  <c r="G9" i="24"/>
  <c r="G10" i="24" s="1"/>
  <c r="G11" i="24" s="1"/>
  <c r="G12" i="24" s="1"/>
  <c r="G13" i="24" s="1"/>
  <c r="G14" i="24" s="1"/>
  <c r="G15" i="24" s="1"/>
  <c r="G16" i="24" s="1"/>
  <c r="G17" i="24" s="1"/>
  <c r="G18" i="24" s="1"/>
  <c r="G19" i="24" s="1"/>
  <c r="G20" i="24" s="1"/>
  <c r="G21" i="24" s="1"/>
  <c r="G22" i="24" s="1"/>
  <c r="G23" i="24" s="1"/>
  <c r="G24" i="24" s="1"/>
  <c r="G25" i="24" s="1"/>
  <c r="G26" i="24" s="1"/>
  <c r="G27" i="24" s="1"/>
  <c r="G28" i="24" s="1"/>
  <c r="G29" i="24" s="1"/>
  <c r="G30" i="24" s="1"/>
  <c r="G31" i="24" s="1"/>
  <c r="G32" i="24" s="1"/>
  <c r="G33" i="24" s="1"/>
  <c r="G34" i="24" s="1"/>
  <c r="G35" i="24" s="1"/>
  <c r="G36" i="24" s="1"/>
  <c r="G37" i="24" s="1"/>
  <c r="G38" i="24" s="1"/>
  <c r="G39" i="24" s="1"/>
  <c r="G40" i="24" s="1"/>
  <c r="G41" i="24" s="1"/>
  <c r="G42" i="24" s="1"/>
  <c r="G43" i="24" s="1"/>
  <c r="G44" i="24" s="1"/>
  <c r="G45" i="24" s="1"/>
  <c r="G46" i="24" s="1"/>
  <c r="G47" i="24" s="1"/>
  <c r="G48" i="24" s="1"/>
  <c r="G49" i="24" s="1"/>
  <c r="G50" i="24" s="1"/>
  <c r="G51" i="24" s="1"/>
  <c r="G52" i="24" s="1"/>
  <c r="G53" i="24" s="1"/>
  <c r="G54" i="24" s="1"/>
  <c r="G55" i="24" s="1"/>
  <c r="G56" i="24" s="1"/>
  <c r="G57" i="24" s="1"/>
  <c r="G58" i="24" s="1"/>
  <c r="G59" i="24" s="1"/>
  <c r="G60" i="24" s="1"/>
  <c r="J13" i="24"/>
  <c r="J4" i="24"/>
  <c r="J12" i="24"/>
  <c r="J11" i="24"/>
  <c r="J3" i="24"/>
  <c r="J9" i="24"/>
  <c r="J6" i="24"/>
  <c r="J5" i="24"/>
  <c r="G4" i="24"/>
  <c r="F5" i="24"/>
  <c r="J8" i="24" s="1"/>
  <c r="Q5" i="24"/>
  <c r="R5" i="24" s="1"/>
  <c r="Q6" i="24"/>
  <c r="R6" i="24" s="1"/>
  <c r="Q7" i="24"/>
  <c r="R7" i="24" s="1"/>
  <c r="S7" i="24" s="1"/>
  <c r="Q4" i="24"/>
  <c r="R4" i="24" s="1"/>
  <c r="P17" i="24"/>
  <c r="P16" i="24"/>
  <c r="P15" i="24"/>
  <c r="P14" i="24"/>
  <c r="P13" i="24"/>
  <c r="P12" i="24"/>
  <c r="H16" i="2"/>
  <c r="I16" i="2" s="1"/>
  <c r="J16" i="2" s="1"/>
  <c r="I12" i="2"/>
  <c r="J12" i="2" s="1"/>
  <c r="L12" i="2" s="1"/>
  <c r="I13" i="2"/>
  <c r="J13" i="2" s="1"/>
  <c r="L13" i="2" s="1"/>
  <c r="I11" i="2"/>
  <c r="J11" i="2" s="1"/>
  <c r="L11" i="2" s="1"/>
  <c r="H21" i="2"/>
  <c r="I21" i="2" s="1"/>
  <c r="J21" i="2" s="1"/>
  <c r="I15" i="2"/>
  <c r="I19" i="2"/>
  <c r="J19" i="2" s="1"/>
  <c r="L19" i="2" s="1"/>
  <c r="I20" i="2"/>
  <c r="J20" i="2" s="1"/>
  <c r="I17" i="2"/>
  <c r="J17" i="2" s="1"/>
  <c r="I18" i="2"/>
  <c r="J18" i="2" s="1"/>
  <c r="I9" i="2"/>
  <c r="J9" i="2" s="1"/>
  <c r="I10" i="2"/>
  <c r="H6" i="2"/>
  <c r="I6" i="2" s="1"/>
  <c r="J6" i="2" s="1"/>
  <c r="H5" i="2"/>
  <c r="I5" i="2" s="1"/>
  <c r="J5" i="2" s="1"/>
  <c r="H8" i="2"/>
  <c r="I8" i="2" s="1"/>
  <c r="J8" i="2" s="1"/>
  <c r="L8" i="2" s="1"/>
  <c r="I7" i="2"/>
  <c r="J7" i="2" s="1"/>
  <c r="I14" i="2"/>
  <c r="J14" i="2" s="1"/>
  <c r="H32" i="15"/>
  <c r="I32" i="15" s="1"/>
  <c r="K32" i="15" s="1"/>
  <c r="H31" i="15"/>
  <c r="AU6" i="7"/>
  <c r="AV6" i="7" s="1"/>
  <c r="AX6" i="7" s="1"/>
  <c r="BE7" i="7"/>
  <c r="F13" i="9"/>
  <c r="G13" i="9" s="1"/>
  <c r="H12" i="9"/>
  <c r="G12" i="9"/>
  <c r="J12" i="9" s="1"/>
  <c r="F12" i="9"/>
  <c r="F11" i="9"/>
  <c r="G11" i="9" s="1"/>
  <c r="Q6" i="8"/>
  <c r="P6" i="8"/>
  <c r="G234" i="1"/>
  <c r="G233" i="1"/>
  <c r="G232" i="1"/>
  <c r="G231" i="1"/>
  <c r="H246" i="1"/>
  <c r="I246" i="1" s="1"/>
  <c r="H247" i="1"/>
  <c r="I247" i="1" s="1"/>
  <c r="H248" i="1"/>
  <c r="I248" i="1" s="1"/>
  <c r="H259" i="1"/>
  <c r="I259" i="1" s="1"/>
  <c r="H260" i="1"/>
  <c r="I260" i="1" s="1"/>
  <c r="H261" i="1"/>
  <c r="I261" i="1" s="1"/>
  <c r="H262" i="1"/>
  <c r="I262" i="1" s="1"/>
  <c r="H263" i="1"/>
  <c r="I263" i="1" s="1"/>
  <c r="P45" i="4"/>
  <c r="U4" i="4"/>
  <c r="U9" i="4" s="1"/>
  <c r="M3" i="4"/>
  <c r="N3" i="4"/>
  <c r="P41" i="4"/>
  <c r="L30" i="4"/>
  <c r="N30" i="4" s="1"/>
  <c r="P7" i="4"/>
  <c r="X10" i="6"/>
  <c r="N37" i="4"/>
  <c r="M37" i="4"/>
  <c r="N46" i="4"/>
  <c r="M46" i="4"/>
  <c r="N45" i="4"/>
  <c r="M45" i="4"/>
  <c r="N44" i="4"/>
  <c r="M44" i="4"/>
  <c r="N43" i="4"/>
  <c r="M43" i="4"/>
  <c r="N42" i="4"/>
  <c r="M42" i="4"/>
  <c r="M47" i="4"/>
  <c r="N47" i="4"/>
  <c r="M48" i="4"/>
  <c r="N48" i="4"/>
  <c r="M49" i="4"/>
  <c r="N49" i="4"/>
  <c r="M50" i="4"/>
  <c r="N50" i="4"/>
  <c r="M51" i="4"/>
  <c r="N51" i="4"/>
  <c r="M52" i="4"/>
  <c r="N52" i="4"/>
  <c r="M53" i="4"/>
  <c r="N53" i="4"/>
  <c r="M54" i="4"/>
  <c r="N54" i="4"/>
  <c r="M55" i="4"/>
  <c r="N55" i="4"/>
  <c r="M56" i="4"/>
  <c r="N56" i="4"/>
  <c r="M64" i="4"/>
  <c r="N64" i="4"/>
  <c r="M66" i="4"/>
  <c r="N66" i="4"/>
  <c r="M67" i="4"/>
  <c r="N67" i="4"/>
  <c r="D9" i="4"/>
  <c r="E9" i="4" s="1"/>
  <c r="G219" i="1"/>
  <c r="N4" i="4"/>
  <c r="M4" i="4"/>
  <c r="M5" i="4"/>
  <c r="N5" i="4"/>
  <c r="M6" i="4"/>
  <c r="N6" i="4"/>
  <c r="M7" i="4"/>
  <c r="N7" i="4"/>
  <c r="M8" i="4"/>
  <c r="N8" i="4"/>
  <c r="L9" i="4"/>
  <c r="N9" i="4" s="1"/>
  <c r="M10" i="4"/>
  <c r="N10" i="4"/>
  <c r="M11" i="4"/>
  <c r="N11" i="4"/>
  <c r="M12" i="4"/>
  <c r="N12" i="4"/>
  <c r="M13" i="4"/>
  <c r="N13" i="4"/>
  <c r="M14" i="4"/>
  <c r="N14" i="4"/>
  <c r="M15" i="4"/>
  <c r="N15" i="4"/>
  <c r="M16" i="4"/>
  <c r="N16" i="4"/>
  <c r="M17" i="4"/>
  <c r="N17" i="4"/>
  <c r="M18" i="4"/>
  <c r="N18" i="4"/>
  <c r="M19" i="4"/>
  <c r="N19" i="4"/>
  <c r="P19" i="4"/>
  <c r="M20" i="4"/>
  <c r="N20" i="4"/>
  <c r="M21" i="4"/>
  <c r="N21" i="4"/>
  <c r="M22" i="4"/>
  <c r="N22" i="4"/>
  <c r="M23" i="4"/>
  <c r="N23" i="4"/>
  <c r="M24" i="4"/>
  <c r="N24" i="4"/>
  <c r="M25" i="4"/>
  <c r="N25" i="4"/>
  <c r="M26" i="4"/>
  <c r="N26" i="4"/>
  <c r="M27" i="4"/>
  <c r="N27" i="4"/>
  <c r="M28" i="4"/>
  <c r="N28" i="4"/>
  <c r="M29" i="4"/>
  <c r="N29" i="4"/>
  <c r="M31" i="4"/>
  <c r="N31" i="4"/>
  <c r="M32" i="4"/>
  <c r="M33" i="4"/>
  <c r="N33" i="4"/>
  <c r="M34" i="4"/>
  <c r="N34" i="4"/>
  <c r="M35" i="4"/>
  <c r="N35" i="4"/>
  <c r="M36" i="4"/>
  <c r="N36" i="4"/>
  <c r="M38" i="4"/>
  <c r="N38" i="4"/>
  <c r="M39" i="4"/>
  <c r="N39" i="4"/>
  <c r="M40" i="4"/>
  <c r="N40" i="4"/>
  <c r="M41" i="4"/>
  <c r="N41" i="4"/>
  <c r="D6" i="4"/>
  <c r="E6" i="4" s="1"/>
  <c r="D7" i="4"/>
  <c r="E7" i="4" s="1"/>
  <c r="D8" i="4"/>
  <c r="E8" i="4" s="1"/>
  <c r="D5" i="4"/>
  <c r="E5" i="4" s="1"/>
  <c r="D4" i="4"/>
  <c r="E4" i="4" s="1"/>
  <c r="D3" i="4"/>
  <c r="E3" i="4" s="1"/>
  <c r="R4" i="28" l="1"/>
  <c r="S4" i="28"/>
  <c r="H8" i="28"/>
  <c r="J8" i="28" s="1"/>
  <c r="K327" i="1"/>
  <c r="O17" i="4"/>
  <c r="O60" i="4"/>
  <c r="P29" i="4"/>
  <c r="O57" i="4"/>
  <c r="O62" i="4"/>
  <c r="K370" i="1"/>
  <c r="K341" i="1"/>
  <c r="K343" i="1"/>
  <c r="K371" i="1"/>
  <c r="K331" i="1"/>
  <c r="I330" i="1"/>
  <c r="K330" i="1" s="1"/>
  <c r="K328" i="1"/>
  <c r="K326" i="1"/>
  <c r="H8" i="22"/>
  <c r="J8" i="22" s="1"/>
  <c r="K15" i="12"/>
  <c r="I15" i="12"/>
  <c r="K322" i="1"/>
  <c r="J9" i="20"/>
  <c r="J8" i="20"/>
  <c r="J40" i="2"/>
  <c r="L40" i="2"/>
  <c r="L41" i="2"/>
  <c r="L28" i="2"/>
  <c r="L31" i="2"/>
  <c r="L32" i="2"/>
  <c r="L30" i="2"/>
  <c r="L29" i="2"/>
  <c r="L27" i="2"/>
  <c r="J7" i="20"/>
  <c r="H7" i="20"/>
  <c r="K335" i="1"/>
  <c r="K324" i="1"/>
  <c r="K329" i="1"/>
  <c r="K323" i="1"/>
  <c r="K342" i="1"/>
  <c r="K321" i="1"/>
  <c r="K372" i="1"/>
  <c r="H8" i="11"/>
  <c r="J8" i="11" s="1"/>
  <c r="J11" i="11" s="1"/>
  <c r="O35" i="25" s="1"/>
  <c r="AC10" i="1"/>
  <c r="AE10" i="1" s="1"/>
  <c r="H85" i="14"/>
  <c r="J85" i="14" s="1"/>
  <c r="H81" i="14"/>
  <c r="J81" i="14" s="1"/>
  <c r="H82" i="14"/>
  <c r="J82" i="14" s="1"/>
  <c r="H88" i="14"/>
  <c r="J88" i="14" s="1"/>
  <c r="BR19" i="7"/>
  <c r="BP19" i="7"/>
  <c r="K317" i="1"/>
  <c r="K316" i="1"/>
  <c r="K313" i="1"/>
  <c r="K307" i="1"/>
  <c r="O63" i="4"/>
  <c r="O61" i="4"/>
  <c r="O59" i="4"/>
  <c r="J45" i="19"/>
  <c r="J46" i="19"/>
  <c r="H31" i="19"/>
  <c r="J31" i="19" s="1"/>
  <c r="H37" i="19"/>
  <c r="J37" i="19" s="1"/>
  <c r="H33" i="19"/>
  <c r="J33" i="19" s="1"/>
  <c r="H28" i="19"/>
  <c r="J28" i="19" s="1"/>
  <c r="J44" i="19"/>
  <c r="H34" i="19"/>
  <c r="J34" i="19" s="1"/>
  <c r="J39" i="19"/>
  <c r="H32" i="19"/>
  <c r="J32" i="19" s="1"/>
  <c r="H29" i="19"/>
  <c r="J29" i="19" s="1"/>
  <c r="H45" i="19"/>
  <c r="J43" i="19"/>
  <c r="J42" i="19"/>
  <c r="J38" i="19"/>
  <c r="H30" i="19"/>
  <c r="J30" i="19" s="1"/>
  <c r="H46" i="19"/>
  <c r="K298" i="1"/>
  <c r="K297" i="1"/>
  <c r="I305" i="1"/>
  <c r="K305" i="1" s="1"/>
  <c r="K299" i="1"/>
  <c r="K320" i="1"/>
  <c r="K304" i="1"/>
  <c r="K309" i="1"/>
  <c r="K314" i="1"/>
  <c r="K303" i="1"/>
  <c r="K302" i="1"/>
  <c r="K318" i="1"/>
  <c r="K296" i="1"/>
  <c r="K311" i="1"/>
  <c r="K295" i="1"/>
  <c r="H24" i="19"/>
  <c r="J24" i="19" s="1"/>
  <c r="H27" i="19"/>
  <c r="J27" i="19" s="1"/>
  <c r="G16" i="4"/>
  <c r="H16" i="4" s="1"/>
  <c r="Q24" i="27"/>
  <c r="R24" i="27" s="1"/>
  <c r="W11" i="27"/>
  <c r="U11" i="27"/>
  <c r="I276" i="1"/>
  <c r="K276" i="1" s="1"/>
  <c r="AI4" i="28"/>
  <c r="AK4" i="28" s="1"/>
  <c r="AK23" i="28" s="1"/>
  <c r="O38" i="25" s="1"/>
  <c r="I45" i="1"/>
  <c r="K45" i="1" s="1"/>
  <c r="K206" i="1"/>
  <c r="K205" i="1"/>
  <c r="K159" i="1"/>
  <c r="H7" i="21"/>
  <c r="J7" i="21" s="1"/>
  <c r="K284" i="1"/>
  <c r="K263" i="1"/>
  <c r="K289" i="1"/>
  <c r="I282" i="1"/>
  <c r="K282" i="1" s="1"/>
  <c r="K279" i="1"/>
  <c r="K287" i="1"/>
  <c r="K278" i="1"/>
  <c r="K292" i="1"/>
  <c r="I285" i="1"/>
  <c r="K285" i="1" s="1"/>
  <c r="K283" i="1"/>
  <c r="K293" i="1"/>
  <c r="K281" i="1"/>
  <c r="K286" i="1"/>
  <c r="K280" i="1"/>
  <c r="K247" i="1"/>
  <c r="K258" i="1"/>
  <c r="K259" i="1"/>
  <c r="K253" i="1"/>
  <c r="K254" i="1"/>
  <c r="K250" i="1"/>
  <c r="K241" i="1"/>
  <c r="K242" i="1"/>
  <c r="K220" i="1"/>
  <c r="I265" i="1"/>
  <c r="K265" i="1" s="1"/>
  <c r="K257" i="1"/>
  <c r="K240" i="1"/>
  <c r="K255" i="1"/>
  <c r="K268" i="1"/>
  <c r="K252" i="1"/>
  <c r="K267" i="1"/>
  <c r="K251" i="1"/>
  <c r="K249" i="1"/>
  <c r="K266" i="1"/>
  <c r="K264" i="1"/>
  <c r="K248" i="1"/>
  <c r="K262" i="1"/>
  <c r="K246" i="1"/>
  <c r="K261" i="1"/>
  <c r="K260" i="1"/>
  <c r="AB7" i="23"/>
  <c r="AD7" i="23" s="1"/>
  <c r="K273" i="1"/>
  <c r="H15" i="28"/>
  <c r="J15" i="28" s="1"/>
  <c r="K271" i="1"/>
  <c r="K272" i="1"/>
  <c r="K270" i="1"/>
  <c r="K269" i="1"/>
  <c r="I239" i="1"/>
  <c r="K239" i="1" s="1"/>
  <c r="H11" i="22"/>
  <c r="J11" i="22" s="1"/>
  <c r="F11" i="4"/>
  <c r="G11" i="4"/>
  <c r="G14" i="4"/>
  <c r="F14" i="4"/>
  <c r="F13" i="4"/>
  <c r="G13" i="4"/>
  <c r="F12" i="4"/>
  <c r="G12" i="4"/>
  <c r="G15" i="4"/>
  <c r="H15" i="4" s="1"/>
  <c r="G17" i="4"/>
  <c r="H17" i="4" s="1"/>
  <c r="Y9" i="29"/>
  <c r="X9" i="29"/>
  <c r="V10" i="29"/>
  <c r="W8" i="29"/>
  <c r="W10" i="29" s="1"/>
  <c r="X7" i="29"/>
  <c r="Y7" i="29"/>
  <c r="Y6" i="29"/>
  <c r="X6" i="29"/>
  <c r="Z6" i="29" s="1"/>
  <c r="X5" i="29"/>
  <c r="Y5" i="29"/>
  <c r="Z5" i="29" s="1"/>
  <c r="W4" i="29"/>
  <c r="Z3" i="29"/>
  <c r="Z7" i="29"/>
  <c r="J13" i="29"/>
  <c r="L13" i="29" s="1"/>
  <c r="T5" i="28"/>
  <c r="J10" i="28"/>
  <c r="L19" i="29"/>
  <c r="J20" i="29"/>
  <c r="L20" i="29" s="1"/>
  <c r="J5" i="29"/>
  <c r="L5" i="29" s="1"/>
  <c r="L14" i="29"/>
  <c r="J4" i="29"/>
  <c r="L4" i="29" s="1"/>
  <c r="J9" i="29"/>
  <c r="L9" i="29" s="1"/>
  <c r="J10" i="29"/>
  <c r="L10" i="29" s="1"/>
  <c r="J16" i="29"/>
  <c r="L16" i="29" s="1"/>
  <c r="J6" i="29"/>
  <c r="L6" i="29" s="1"/>
  <c r="L17" i="29"/>
  <c r="J7" i="29"/>
  <c r="L7" i="29" s="1"/>
  <c r="L12" i="29"/>
  <c r="H4" i="27"/>
  <c r="U3" i="27"/>
  <c r="W3" i="27" s="1"/>
  <c r="U9" i="27"/>
  <c r="W9" i="27" s="1"/>
  <c r="U8" i="27"/>
  <c r="W8" i="27" s="1"/>
  <c r="U4" i="27"/>
  <c r="W4" i="27" s="1"/>
  <c r="U5" i="27"/>
  <c r="W5" i="27" s="1"/>
  <c r="U6" i="27"/>
  <c r="W6" i="27" s="1"/>
  <c r="U7" i="27"/>
  <c r="W7" i="27" s="1"/>
  <c r="J4" i="27"/>
  <c r="J5" i="27"/>
  <c r="J4" i="28"/>
  <c r="H5" i="28"/>
  <c r="J5" i="28" s="1"/>
  <c r="H13" i="28"/>
  <c r="J13" i="28" s="1"/>
  <c r="R26" i="7"/>
  <c r="T26" i="7" s="1"/>
  <c r="I12" i="16"/>
  <c r="K12" i="16" s="1"/>
  <c r="I274" i="1"/>
  <c r="K274" i="1" s="1"/>
  <c r="T7" i="8"/>
  <c r="R10" i="8"/>
  <c r="T10" i="8" s="1"/>
  <c r="R11" i="8"/>
  <c r="T11" i="8" s="1"/>
  <c r="R9" i="8"/>
  <c r="T9" i="8" s="1"/>
  <c r="F10" i="4"/>
  <c r="AE11" i="25"/>
  <c r="C8" i="25" s="1"/>
  <c r="H6" i="27"/>
  <c r="S6" i="10"/>
  <c r="U6" i="10" s="1"/>
  <c r="S7" i="10"/>
  <c r="U7" i="10" s="1"/>
  <c r="J6" i="20"/>
  <c r="J14" i="9"/>
  <c r="AO6" i="15"/>
  <c r="AE29" i="15"/>
  <c r="AE30" i="15" s="1"/>
  <c r="O18" i="25" s="1"/>
  <c r="AE19" i="15"/>
  <c r="AE21" i="15" s="1"/>
  <c r="O17" i="25" s="1"/>
  <c r="AN7" i="7"/>
  <c r="AL6" i="7"/>
  <c r="AN6" i="7" s="1"/>
  <c r="AN16" i="7" s="1"/>
  <c r="AL7" i="7"/>
  <c r="T24" i="7"/>
  <c r="T23" i="7"/>
  <c r="R13" i="7"/>
  <c r="T13" i="7" s="1"/>
  <c r="T17" i="7" s="1"/>
  <c r="AB4" i="23"/>
  <c r="AD4" i="23" s="1"/>
  <c r="AB5" i="23"/>
  <c r="AD5" i="23" s="1"/>
  <c r="AB6" i="23"/>
  <c r="AD6" i="23" s="1"/>
  <c r="J11" i="23"/>
  <c r="I256" i="1"/>
  <c r="K256" i="1" s="1"/>
  <c r="BP14" i="7"/>
  <c r="BR14" i="7" s="1"/>
  <c r="BP15" i="7"/>
  <c r="BR15" i="7" s="1"/>
  <c r="BP16" i="7"/>
  <c r="BR16" i="7" s="1"/>
  <c r="BP17" i="7"/>
  <c r="BR17" i="7" s="1"/>
  <c r="J22" i="24"/>
  <c r="K22" i="24" s="1"/>
  <c r="F61" i="24"/>
  <c r="G5" i="24"/>
  <c r="G6" i="24" s="1"/>
  <c r="G7" i="24" s="1"/>
  <c r="S5" i="24"/>
  <c r="T5" i="24"/>
  <c r="S6" i="24"/>
  <c r="T6" i="24"/>
  <c r="T7" i="24"/>
  <c r="U7" i="24" s="1"/>
  <c r="S4" i="24"/>
  <c r="T4" i="24"/>
  <c r="J15" i="2"/>
  <c r="L15" i="2" s="1"/>
  <c r="L9" i="2"/>
  <c r="L16" i="2"/>
  <c r="L17" i="2"/>
  <c r="U12" i="2" s="1"/>
  <c r="L21" i="2"/>
  <c r="L20" i="2"/>
  <c r="J10" i="2"/>
  <c r="L10" i="2" s="1"/>
  <c r="U7" i="2" s="1"/>
  <c r="L18" i="2"/>
  <c r="L14" i="2"/>
  <c r="L5" i="2"/>
  <c r="L7" i="2"/>
  <c r="L6" i="2"/>
  <c r="I31" i="15"/>
  <c r="K31" i="15" s="1"/>
  <c r="BF7" i="7"/>
  <c r="BH7" i="7" s="1"/>
  <c r="H13" i="9"/>
  <c r="J13" i="9" s="1"/>
  <c r="J11" i="9"/>
  <c r="H11" i="9"/>
  <c r="R6" i="8"/>
  <c r="T6" i="8" s="1"/>
  <c r="O3" i="4"/>
  <c r="D18" i="4"/>
  <c r="L87" i="4"/>
  <c r="C19" i="4" s="1"/>
  <c r="C20" i="4" s="1"/>
  <c r="O25" i="4"/>
  <c r="O44" i="4"/>
  <c r="O66" i="4"/>
  <c r="O43" i="4"/>
  <c r="M30" i="4"/>
  <c r="O30" i="4" s="1"/>
  <c r="P36" i="4"/>
  <c r="O39" i="4"/>
  <c r="O47" i="4"/>
  <c r="O50" i="4"/>
  <c r="O33" i="4"/>
  <c r="O11" i="4"/>
  <c r="O19" i="4"/>
  <c r="O36" i="4"/>
  <c r="O20" i="4"/>
  <c r="O23" i="4"/>
  <c r="O16" i="4"/>
  <c r="O31" i="4"/>
  <c r="O22" i="4"/>
  <c r="O21" i="4"/>
  <c r="O14" i="4"/>
  <c r="O27" i="4"/>
  <c r="O10" i="4"/>
  <c r="O18" i="4"/>
  <c r="O45" i="4"/>
  <c r="O26" i="4"/>
  <c r="O13" i="4"/>
  <c r="O46" i="4"/>
  <c r="O4" i="4"/>
  <c r="O48" i="4"/>
  <c r="O35" i="4"/>
  <c r="O34" i="4"/>
  <c r="M9" i="4"/>
  <c r="O9" i="4" s="1"/>
  <c r="O54" i="4"/>
  <c r="O15" i="4"/>
  <c r="O53" i="4"/>
  <c r="P14" i="4"/>
  <c r="O67" i="4"/>
  <c r="O12" i="4"/>
  <c r="O52" i="4"/>
  <c r="O51" i="4"/>
  <c r="O29" i="4"/>
  <c r="O28" i="4"/>
  <c r="O64" i="4"/>
  <c r="O56" i="4"/>
  <c r="O49" i="4"/>
  <c r="O41" i="4"/>
  <c r="N32" i="4"/>
  <c r="O32" i="4" s="1"/>
  <c r="O55" i="4"/>
  <c r="O37" i="4"/>
  <c r="O38" i="4"/>
  <c r="O8" i="4"/>
  <c r="O24" i="4"/>
  <c r="O7" i="4"/>
  <c r="O42" i="4"/>
  <c r="O40" i="4"/>
  <c r="G9" i="4"/>
  <c r="F9" i="4"/>
  <c r="O6" i="4"/>
  <c r="O5" i="4"/>
  <c r="G8" i="4"/>
  <c r="F8" i="4"/>
  <c r="G7" i="4"/>
  <c r="F7" i="4"/>
  <c r="G3" i="4"/>
  <c r="F3" i="4"/>
  <c r="F6" i="4"/>
  <c r="G6" i="4"/>
  <c r="F5" i="4"/>
  <c r="G5" i="4"/>
  <c r="E18" i="4"/>
  <c r="F4" i="4"/>
  <c r="G4" i="4"/>
  <c r="L35" i="2" l="1"/>
  <c r="U9" i="2"/>
  <c r="U48" i="2" s="1"/>
  <c r="H7" i="4"/>
  <c r="H12" i="4"/>
  <c r="L48" i="2"/>
  <c r="T4" i="28"/>
  <c r="T24" i="28"/>
  <c r="H3" i="4"/>
  <c r="H13" i="4"/>
  <c r="H9" i="4"/>
  <c r="M35" i="2"/>
  <c r="O24" i="25"/>
  <c r="H14" i="4"/>
  <c r="T24" i="27"/>
  <c r="J13" i="20"/>
  <c r="O32" i="25" s="1"/>
  <c r="L267" i="1"/>
  <c r="M267" i="1" s="1"/>
  <c r="AD23" i="23"/>
  <c r="AA6" i="25" s="1"/>
  <c r="H11" i="4"/>
  <c r="Z9" i="29"/>
  <c r="Y8" i="29"/>
  <c r="Y10" i="29" s="1"/>
  <c r="X8" i="29"/>
  <c r="X10" i="29" s="1"/>
  <c r="Y4" i="29"/>
  <c r="X4" i="29"/>
  <c r="O37" i="25"/>
  <c r="L24" i="29"/>
  <c r="B4" i="29" s="1"/>
  <c r="B5" i="29" s="1"/>
  <c r="G19" i="27"/>
  <c r="Z7" i="27"/>
  <c r="T28" i="7"/>
  <c r="O11" i="25" s="1"/>
  <c r="H10" i="4"/>
  <c r="J11" i="27"/>
  <c r="I6" i="25" s="1"/>
  <c r="U6" i="24"/>
  <c r="U5" i="24"/>
  <c r="U4" i="24"/>
  <c r="N87" i="4"/>
  <c r="M87" i="4"/>
  <c r="H4" i="4"/>
  <c r="H8" i="4"/>
  <c r="H5" i="4"/>
  <c r="H6" i="4"/>
  <c r="G18" i="4"/>
  <c r="F18" i="4"/>
  <c r="G21" i="27" l="1"/>
  <c r="G20" i="27"/>
  <c r="Z8" i="29"/>
  <c r="AA3" i="29" s="1"/>
  <c r="Z4" i="29"/>
  <c r="Z10" i="29"/>
  <c r="K399" i="1"/>
  <c r="O36" i="25"/>
  <c r="H18" i="4"/>
  <c r="G22" i="27" l="1"/>
  <c r="U18" i="6"/>
  <c r="K18" i="6"/>
  <c r="R15" i="6"/>
  <c r="R14" i="6"/>
  <c r="R13" i="6"/>
  <c r="R12" i="6"/>
  <c r="R11" i="6"/>
  <c r="S11" i="6" s="1"/>
  <c r="R10" i="6"/>
  <c r="S10" i="6" s="1"/>
  <c r="U10" i="6" s="1"/>
  <c r="R9" i="6"/>
  <c r="S9" i="6" s="1"/>
  <c r="U9" i="6" s="1"/>
  <c r="R8" i="6"/>
  <c r="K8" i="6"/>
  <c r="I8" i="6"/>
  <c r="H8" i="6"/>
  <c r="H11" i="16"/>
  <c r="H10" i="16"/>
  <c r="H9" i="16"/>
  <c r="I9" i="16" s="1"/>
  <c r="K9" i="16" s="1"/>
  <c r="BO13" i="7"/>
  <c r="BP13" i="7" s="1"/>
  <c r="BO12" i="7"/>
  <c r="H228" i="1"/>
  <c r="I228" i="1" s="1"/>
  <c r="H229" i="1"/>
  <c r="I229" i="1" s="1"/>
  <c r="K229" i="1" s="1"/>
  <c r="H230" i="1"/>
  <c r="I230" i="1" s="1"/>
  <c r="BO11" i="7"/>
  <c r="BP11" i="7" s="1"/>
  <c r="H8" i="16"/>
  <c r="I8" i="16" s="1"/>
  <c r="K8" i="16" s="1"/>
  <c r="H7" i="16"/>
  <c r="I7" i="16" s="1"/>
  <c r="K7" i="16" s="1"/>
  <c r="H6" i="16"/>
  <c r="H231" i="1"/>
  <c r="I231" i="1" s="1"/>
  <c r="H232" i="1"/>
  <c r="I232" i="1" s="1"/>
  <c r="H233" i="1"/>
  <c r="I233" i="1" s="1"/>
  <c r="H234" i="1"/>
  <c r="H235" i="1"/>
  <c r="H236" i="1"/>
  <c r="H237" i="1"/>
  <c r="H238" i="1"/>
  <c r="H243" i="1"/>
  <c r="H244" i="1"/>
  <c r="H245" i="1"/>
  <c r="Q5" i="23"/>
  <c r="H166" i="1"/>
  <c r="I166" i="1" s="1"/>
  <c r="K166" i="1" s="1"/>
  <c r="G9" i="23"/>
  <c r="H9" i="23" s="1"/>
  <c r="G10" i="23"/>
  <c r="G8" i="23"/>
  <c r="G7" i="23"/>
  <c r="H7" i="23" s="1"/>
  <c r="Q4" i="23"/>
  <c r="G6" i="23"/>
  <c r="H6" i="23" s="1"/>
  <c r="J6" i="23" s="1"/>
  <c r="G5" i="23"/>
  <c r="H5" i="23" s="1"/>
  <c r="J5" i="23" s="1"/>
  <c r="G4" i="23"/>
  <c r="H12" i="12"/>
  <c r="I12" i="12" s="1"/>
  <c r="J14" i="22"/>
  <c r="I5" i="25" s="1"/>
  <c r="R76" i="1"/>
  <c r="S76" i="1" s="1"/>
  <c r="U76" i="1" s="1"/>
  <c r="R77" i="1"/>
  <c r="S77" i="1" s="1"/>
  <c r="K12" i="12" l="1"/>
  <c r="I244" i="1"/>
  <c r="K244" i="1" s="1"/>
  <c r="I245" i="1"/>
  <c r="K245" i="1" s="1"/>
  <c r="I243" i="1"/>
  <c r="K243" i="1" s="1"/>
  <c r="I238" i="1"/>
  <c r="K238" i="1" s="1"/>
  <c r="I237" i="1"/>
  <c r="K237" i="1" s="1"/>
  <c r="M3" i="22"/>
  <c r="M4" i="22" s="1"/>
  <c r="BP12" i="7"/>
  <c r="BR12" i="7" s="1"/>
  <c r="J9" i="23"/>
  <c r="K230" i="1"/>
  <c r="K228" i="1"/>
  <c r="U11" i="6"/>
  <c r="S12" i="6"/>
  <c r="U12" i="6" s="1"/>
  <c r="S13" i="6"/>
  <c r="U13" i="6" s="1"/>
  <c r="S8" i="6"/>
  <c r="U8" i="6" s="1"/>
  <c r="S14" i="6"/>
  <c r="U14" i="6" s="1"/>
  <c r="S15" i="6"/>
  <c r="U15" i="6" s="1"/>
  <c r="I11" i="16"/>
  <c r="K11" i="16" s="1"/>
  <c r="I10" i="16"/>
  <c r="K10" i="16" s="1"/>
  <c r="BR13" i="7"/>
  <c r="BR11" i="7"/>
  <c r="I6" i="16"/>
  <c r="K6" i="16" s="1"/>
  <c r="I236" i="1"/>
  <c r="K236" i="1" s="1"/>
  <c r="I235" i="1"/>
  <c r="K235" i="1" s="1"/>
  <c r="I234" i="1"/>
  <c r="K234" i="1" s="1"/>
  <c r="K232" i="1"/>
  <c r="K231" i="1"/>
  <c r="K233" i="1"/>
  <c r="R5" i="23"/>
  <c r="T5" i="23" s="1"/>
  <c r="H10" i="23"/>
  <c r="J10" i="23" s="1"/>
  <c r="H8" i="23"/>
  <c r="J8" i="23" s="1"/>
  <c r="J7" i="23"/>
  <c r="R4" i="23"/>
  <c r="T4" i="23" s="1"/>
  <c r="T23" i="23" s="1"/>
  <c r="AA5" i="25" s="1"/>
  <c r="H4" i="23"/>
  <c r="J4" i="23" s="1"/>
  <c r="U77" i="1"/>
  <c r="H4" i="22"/>
  <c r="G4" i="22"/>
  <c r="J4" i="22" s="1"/>
  <c r="AV6" i="15"/>
  <c r="AV5" i="15"/>
  <c r="AV4" i="15"/>
  <c r="J17" i="21"/>
  <c r="U4" i="25" s="1"/>
  <c r="U8" i="25" s="1"/>
  <c r="C6" i="25" s="1"/>
  <c r="G11" i="12"/>
  <c r="H11" i="12" s="1"/>
  <c r="G10" i="12"/>
  <c r="H10" i="12" s="1"/>
  <c r="H85" i="1"/>
  <c r="I85" i="1" s="1"/>
  <c r="K85" i="1" s="1"/>
  <c r="H72" i="1"/>
  <c r="I72" i="1" s="1"/>
  <c r="H44" i="1"/>
  <c r="I44" i="1" s="1"/>
  <c r="H41" i="1"/>
  <c r="I41" i="1" s="1"/>
  <c r="H39" i="1"/>
  <c r="I39" i="1" s="1"/>
  <c r="K39" i="1" s="1"/>
  <c r="R73" i="1"/>
  <c r="R72" i="1"/>
  <c r="R68" i="1"/>
  <c r="S68" i="1" s="1"/>
  <c r="R67" i="1"/>
  <c r="R66" i="1"/>
  <c r="R65" i="1"/>
  <c r="R64" i="1"/>
  <c r="S64" i="1" s="1"/>
  <c r="R63" i="1"/>
  <c r="S63" i="1" s="1"/>
  <c r="U63" i="1" s="1"/>
  <c r="R60" i="1"/>
  <c r="R59" i="1"/>
  <c r="S59" i="1" s="1"/>
  <c r="U59" i="1" s="1"/>
  <c r="R50" i="1"/>
  <c r="R49" i="1"/>
  <c r="S49" i="1" s="1"/>
  <c r="U49" i="1" s="1"/>
  <c r="R48" i="1"/>
  <c r="S48" i="1" s="1"/>
  <c r="U48" i="1" s="1"/>
  <c r="R46" i="1"/>
  <c r="S46" i="1" s="1"/>
  <c r="U46" i="1" s="1"/>
  <c r="R47" i="1"/>
  <c r="S47" i="1" s="1"/>
  <c r="U47" i="1" s="1"/>
  <c r="R45" i="1"/>
  <c r="S45" i="1" s="1"/>
  <c r="R61" i="1"/>
  <c r="R40" i="1"/>
  <c r="S40" i="1" s="1"/>
  <c r="G6" i="21"/>
  <c r="G5" i="21"/>
  <c r="H5" i="21" s="1"/>
  <c r="G9" i="12"/>
  <c r="H9" i="12" s="1"/>
  <c r="K8" i="12"/>
  <c r="I8" i="12"/>
  <c r="H8" i="12"/>
  <c r="H7" i="12"/>
  <c r="Z6" i="7"/>
  <c r="AA6" i="7" s="1"/>
  <c r="I12" i="10"/>
  <c r="H12" i="10"/>
  <c r="K12" i="10" s="1"/>
  <c r="BO10" i="7"/>
  <c r="BO9" i="7"/>
  <c r="BP9" i="7" s="1"/>
  <c r="BR9" i="7" s="1"/>
  <c r="AT7" i="8"/>
  <c r="AU7" i="8" s="1"/>
  <c r="F75" i="14"/>
  <c r="G75" i="14" s="1"/>
  <c r="F5" i="20"/>
  <c r="G5" i="20" s="1"/>
  <c r="G30" i="15"/>
  <c r="H30" i="15" s="1"/>
  <c r="G29" i="15"/>
  <c r="H29" i="15" s="1"/>
  <c r="G28" i="15"/>
  <c r="H28" i="15" s="1"/>
  <c r="G27" i="15"/>
  <c r="H27" i="15" s="1"/>
  <c r="H26" i="15"/>
  <c r="I26" i="15" s="1"/>
  <c r="K26" i="15" s="1"/>
  <c r="BD7" i="8"/>
  <c r="BE7" i="8" s="1"/>
  <c r="AT6" i="8"/>
  <c r="AU6" i="8" s="1"/>
  <c r="H10" i="9"/>
  <c r="J10" i="9" s="1"/>
  <c r="G10" i="9"/>
  <c r="G74" i="14"/>
  <c r="G73" i="14"/>
  <c r="H73" i="14" s="1"/>
  <c r="J73" i="14" s="1"/>
  <c r="G72" i="14"/>
  <c r="H72" i="14" s="1"/>
  <c r="J72" i="14" s="1"/>
  <c r="G71" i="14"/>
  <c r="G70" i="14"/>
  <c r="H70" i="14" s="1"/>
  <c r="J70" i="14" s="1"/>
  <c r="G69" i="14"/>
  <c r="G68" i="14"/>
  <c r="H68" i="14" s="1"/>
  <c r="J68" i="14" s="1"/>
  <c r="G67" i="14"/>
  <c r="G66" i="14"/>
  <c r="H66" i="14" s="1"/>
  <c r="G65" i="14"/>
  <c r="H65" i="14" s="1"/>
  <c r="G64" i="14"/>
  <c r="H64" i="14" s="1"/>
  <c r="J64" i="14" s="1"/>
  <c r="H63" i="14"/>
  <c r="G63" i="14"/>
  <c r="J63" i="14" s="1"/>
  <c r="G62" i="14"/>
  <c r="G61" i="14"/>
  <c r="G23" i="19"/>
  <c r="G60" i="14"/>
  <c r="G59" i="14"/>
  <c r="H59" i="14" s="1"/>
  <c r="J59" i="14" s="1"/>
  <c r="G22" i="19"/>
  <c r="G21" i="19"/>
  <c r="G20" i="19"/>
  <c r="G19" i="19"/>
  <c r="H19" i="19" s="1"/>
  <c r="J19" i="19" s="1"/>
  <c r="G18" i="19"/>
  <c r="H18" i="19" s="1"/>
  <c r="J18" i="19" s="1"/>
  <c r="G58" i="14"/>
  <c r="G17" i="19"/>
  <c r="G16" i="19"/>
  <c r="H15" i="19"/>
  <c r="J15" i="19" s="1"/>
  <c r="G15" i="19"/>
  <c r="Q6" i="7"/>
  <c r="H25" i="15"/>
  <c r="I25" i="15" s="1"/>
  <c r="K25" i="15" s="1"/>
  <c r="BO8" i="7"/>
  <c r="BP8" i="7" s="1"/>
  <c r="BR8" i="7" s="1"/>
  <c r="BE6" i="8"/>
  <c r="H24" i="15"/>
  <c r="G9" i="9"/>
  <c r="G8" i="9"/>
  <c r="G14" i="19"/>
  <c r="G13" i="19"/>
  <c r="G12" i="19"/>
  <c r="H12" i="19" s="1"/>
  <c r="J12" i="19" s="1"/>
  <c r="G11" i="19"/>
  <c r="G10" i="19"/>
  <c r="G9" i="19"/>
  <c r="H9" i="19" s="1"/>
  <c r="J9" i="19" s="1"/>
  <c r="G8" i="19"/>
  <c r="H8" i="19" s="1"/>
  <c r="J8" i="19" s="1"/>
  <c r="F7" i="19"/>
  <c r="G7" i="19" s="1"/>
  <c r="G6" i="19"/>
  <c r="F6" i="19"/>
  <c r="G5" i="19"/>
  <c r="H5" i="19" s="1"/>
  <c r="F5" i="19"/>
  <c r="G9" i="15"/>
  <c r="H9" i="15" s="1"/>
  <c r="G57" i="14"/>
  <c r="G56" i="14"/>
  <c r="G55" i="14"/>
  <c r="G54" i="14"/>
  <c r="G53" i="14"/>
  <c r="H53" i="14" s="1"/>
  <c r="G52" i="14"/>
  <c r="H52" i="14" s="1"/>
  <c r="J52" i="14" s="1"/>
  <c r="G51" i="14"/>
  <c r="G50" i="14"/>
  <c r="G49" i="14"/>
  <c r="G48" i="14"/>
  <c r="H48" i="14" s="1"/>
  <c r="J48" i="14" s="1"/>
  <c r="G47" i="14"/>
  <c r="G46" i="14"/>
  <c r="H46" i="14" s="1"/>
  <c r="G45" i="14"/>
  <c r="H45" i="14" s="1"/>
  <c r="J45" i="14" s="1"/>
  <c r="G44" i="14"/>
  <c r="H44" i="14" s="1"/>
  <c r="J44" i="14" s="1"/>
  <c r="G43" i="14"/>
  <c r="H43" i="14" s="1"/>
  <c r="J43" i="14" s="1"/>
  <c r="R5" i="15"/>
  <c r="G7" i="9"/>
  <c r="G42" i="14"/>
  <c r="G41" i="14"/>
  <c r="H23" i="15"/>
  <c r="H22" i="15"/>
  <c r="H21" i="15"/>
  <c r="H20" i="15"/>
  <c r="I20" i="15" s="1"/>
  <c r="K20" i="15" s="1"/>
  <c r="G40" i="14"/>
  <c r="H40" i="14" s="1"/>
  <c r="J40" i="14" s="1"/>
  <c r="G39" i="14"/>
  <c r="G38" i="14"/>
  <c r="G37" i="14"/>
  <c r="H37" i="14" s="1"/>
  <c r="G36" i="14"/>
  <c r="G35" i="14"/>
  <c r="H35" i="14" s="1"/>
  <c r="J35" i="14" s="1"/>
  <c r="G34" i="14"/>
  <c r="H34" i="14" s="1"/>
  <c r="J34" i="14" s="1"/>
  <c r="G33" i="14"/>
  <c r="H33" i="14" s="1"/>
  <c r="J33" i="14" s="1"/>
  <c r="G32" i="14"/>
  <c r="G31" i="14"/>
  <c r="H31" i="14" s="1"/>
  <c r="G30" i="14"/>
  <c r="G29" i="14"/>
  <c r="G28" i="14"/>
  <c r="G27" i="14"/>
  <c r="H27" i="14" s="1"/>
  <c r="J27" i="14" s="1"/>
  <c r="G26" i="14"/>
  <c r="H26" i="14" s="1"/>
  <c r="J26" i="14" s="1"/>
  <c r="G25" i="14"/>
  <c r="G24" i="14"/>
  <c r="H24" i="14" s="1"/>
  <c r="G23" i="14"/>
  <c r="H23" i="14" s="1"/>
  <c r="G22" i="14"/>
  <c r="H22" i="14" s="1"/>
  <c r="J22" i="14" s="1"/>
  <c r="G21" i="14"/>
  <c r="G20" i="14"/>
  <c r="G19" i="14"/>
  <c r="G18" i="14"/>
  <c r="G17" i="14"/>
  <c r="G16" i="14"/>
  <c r="G15" i="14"/>
  <c r="G14" i="14"/>
  <c r="H19" i="15"/>
  <c r="BE5" i="8"/>
  <c r="BE4" i="8"/>
  <c r="BF4" i="8" s="1"/>
  <c r="BH4" i="8" s="1"/>
  <c r="BY5" i="7"/>
  <c r="H18" i="15"/>
  <c r="H17" i="15"/>
  <c r="I17" i="15" s="1"/>
  <c r="H16" i="15"/>
  <c r="I16" i="15" s="1"/>
  <c r="K16" i="15" s="1"/>
  <c r="H15" i="15"/>
  <c r="G5" i="8"/>
  <c r="AT5" i="8"/>
  <c r="AU5" i="8" s="1"/>
  <c r="AT4" i="8"/>
  <c r="AU4" i="8" s="1"/>
  <c r="G14" i="15"/>
  <c r="H14" i="15" s="1"/>
  <c r="G13" i="15"/>
  <c r="H13" i="15" s="1"/>
  <c r="G6" i="9"/>
  <c r="H12" i="15"/>
  <c r="I12" i="15" s="1"/>
  <c r="H11" i="15"/>
  <c r="I11" i="15" s="1"/>
  <c r="K11" i="15" s="1"/>
  <c r="H10" i="15"/>
  <c r="G217" i="1"/>
  <c r="H217" i="1" s="1"/>
  <c r="I217" i="1" s="1"/>
  <c r="H212" i="1"/>
  <c r="H213" i="1"/>
  <c r="I213" i="1" s="1"/>
  <c r="H214" i="1"/>
  <c r="I214" i="1" s="1"/>
  <c r="K214" i="1" s="1"/>
  <c r="H215" i="1"/>
  <c r="I215" i="1" s="1"/>
  <c r="K215" i="1" s="1"/>
  <c r="H216" i="1"/>
  <c r="I216" i="1" s="1"/>
  <c r="K216" i="1" s="1"/>
  <c r="H218" i="1"/>
  <c r="H219" i="1"/>
  <c r="I219" i="1" s="1"/>
  <c r="K219" i="1" s="1"/>
  <c r="H221" i="1"/>
  <c r="I221" i="1" s="1"/>
  <c r="K221" i="1" s="1"/>
  <c r="H222" i="1"/>
  <c r="I222" i="1" s="1"/>
  <c r="H223" i="1"/>
  <c r="I223" i="1" s="1"/>
  <c r="H224" i="1"/>
  <c r="I224" i="1" s="1"/>
  <c r="H225" i="1"/>
  <c r="I225" i="1" s="1"/>
  <c r="H226" i="1"/>
  <c r="I226" i="1" s="1"/>
  <c r="K226" i="1" s="1"/>
  <c r="H227" i="1"/>
  <c r="I227" i="1" s="1"/>
  <c r="K227" i="1" s="1"/>
  <c r="G211" i="1"/>
  <c r="H211" i="1" s="1"/>
  <c r="I211" i="1" s="1"/>
  <c r="G210" i="1"/>
  <c r="H210" i="1" s="1"/>
  <c r="I210" i="1" s="1"/>
  <c r="H160" i="1"/>
  <c r="H157" i="1"/>
  <c r="I157" i="1" s="1"/>
  <c r="G77" i="1"/>
  <c r="H77" i="1" s="1"/>
  <c r="G76" i="1"/>
  <c r="H76" i="1" s="1"/>
  <c r="G75" i="1"/>
  <c r="H75" i="1" s="1"/>
  <c r="G74" i="1"/>
  <c r="H74" i="1" s="1"/>
  <c r="I74" i="1" s="1"/>
  <c r="H8" i="15"/>
  <c r="H7" i="15"/>
  <c r="BO7" i="7"/>
  <c r="BO6" i="7"/>
  <c r="BP6" i="7" s="1"/>
  <c r="BR6" i="7" s="1"/>
  <c r="BO5" i="7"/>
  <c r="BP5" i="7" s="1"/>
  <c r="BE6" i="7"/>
  <c r="BE5" i="7"/>
  <c r="AK5" i="15"/>
  <c r="AL5" i="15" s="1"/>
  <c r="AB5" i="15"/>
  <c r="Q5" i="7"/>
  <c r="G6" i="15"/>
  <c r="H6" i="15" s="1"/>
  <c r="G5" i="15"/>
  <c r="H5" i="15" s="1"/>
  <c r="H5" i="16"/>
  <c r="F13" i="14"/>
  <c r="G13" i="14" s="1"/>
  <c r="F12" i="14"/>
  <c r="G12" i="14" s="1"/>
  <c r="F11" i="14"/>
  <c r="G11" i="14" s="1"/>
  <c r="F10" i="14"/>
  <c r="G10" i="14" s="1"/>
  <c r="F9" i="14"/>
  <c r="G9" i="14" s="1"/>
  <c r="F8" i="14"/>
  <c r="G8" i="14" s="1"/>
  <c r="F7" i="14"/>
  <c r="G7" i="14" s="1"/>
  <c r="F6" i="14"/>
  <c r="G6" i="14" s="1"/>
  <c r="F5" i="14"/>
  <c r="G5" i="14" s="1"/>
  <c r="H6" i="12"/>
  <c r="H5" i="12"/>
  <c r="I5" i="12" s="1"/>
  <c r="K5" i="12" s="1"/>
  <c r="G5" i="12"/>
  <c r="G5" i="9"/>
  <c r="G6" i="11"/>
  <c r="G5" i="11"/>
  <c r="G4" i="11"/>
  <c r="H11" i="10"/>
  <c r="I11" i="10" s="1"/>
  <c r="K11" i="10" s="1"/>
  <c r="H10" i="10"/>
  <c r="I10" i="10" s="1"/>
  <c r="K10" i="10" s="1"/>
  <c r="H9" i="10"/>
  <c r="I9" i="10" s="1"/>
  <c r="H8" i="10"/>
  <c r="H7" i="10"/>
  <c r="H6" i="10"/>
  <c r="AK4" i="8"/>
  <c r="AA4" i="8"/>
  <c r="Q5" i="8"/>
  <c r="Q4" i="8"/>
  <c r="G4" i="8"/>
  <c r="AA5" i="7"/>
  <c r="AB5" i="7" s="1"/>
  <c r="AD5" i="7" s="1"/>
  <c r="AK5" i="7"/>
  <c r="AL5" i="7" s="1"/>
  <c r="AN5" i="7" s="1"/>
  <c r="AU5" i="7"/>
  <c r="AV5" i="7" s="1"/>
  <c r="G7" i="7"/>
  <c r="H7" i="7" s="1"/>
  <c r="J7" i="7" s="1"/>
  <c r="G6" i="7"/>
  <c r="G5" i="7"/>
  <c r="G200" i="1"/>
  <c r="H200" i="1" s="1"/>
  <c r="I200" i="1" s="1"/>
  <c r="G199" i="1"/>
  <c r="H199" i="1" s="1"/>
  <c r="G202" i="1"/>
  <c r="H202" i="1" s="1"/>
  <c r="I202" i="1" s="1"/>
  <c r="K202" i="1" s="1"/>
  <c r="G209" i="1"/>
  <c r="H209" i="1" s="1"/>
  <c r="G208" i="1"/>
  <c r="H208" i="1" s="1"/>
  <c r="I208" i="1" s="1"/>
  <c r="K208" i="1" s="1"/>
  <c r="G207" i="1"/>
  <c r="H207" i="1" s="1"/>
  <c r="I207" i="1" s="1"/>
  <c r="K207" i="1" s="1"/>
  <c r="G204" i="1"/>
  <c r="H204" i="1" s="1"/>
  <c r="I204" i="1" s="1"/>
  <c r="K204" i="1" s="1"/>
  <c r="G203" i="1"/>
  <c r="H203" i="1" s="1"/>
  <c r="I203" i="1" s="1"/>
  <c r="K203" i="1" s="1"/>
  <c r="H201" i="1"/>
  <c r="I201" i="1" s="1"/>
  <c r="K201" i="1" s="1"/>
  <c r="AV4" i="8" l="1"/>
  <c r="AX4" i="8" s="1"/>
  <c r="AX11" i="8" s="1"/>
  <c r="O29" i="25" s="1"/>
  <c r="J69" i="14"/>
  <c r="H67" i="14"/>
  <c r="J67" i="14" s="1"/>
  <c r="H69" i="14"/>
  <c r="H71" i="14"/>
  <c r="J71" i="14" s="1"/>
  <c r="AW5" i="15"/>
  <c r="AY5" i="15" s="1"/>
  <c r="J23" i="23"/>
  <c r="AA4" i="25" s="1"/>
  <c r="AA11" i="25" s="1"/>
  <c r="C7" i="25" s="1"/>
  <c r="K21" i="16"/>
  <c r="O22" i="25" s="1"/>
  <c r="AW6" i="15"/>
  <c r="AY6" i="15" s="1"/>
  <c r="AW4" i="15"/>
  <c r="AY4" i="15" s="1"/>
  <c r="K11" i="12"/>
  <c r="I11" i="12"/>
  <c r="I10" i="12"/>
  <c r="K10" i="12" s="1"/>
  <c r="K72" i="1"/>
  <c r="K44" i="1"/>
  <c r="K41" i="1"/>
  <c r="U64" i="1"/>
  <c r="U68" i="1"/>
  <c r="S72" i="1"/>
  <c r="U72" i="1" s="1"/>
  <c r="S73" i="1"/>
  <c r="U73" i="1" s="1"/>
  <c r="S67" i="1"/>
  <c r="U67" i="1" s="1"/>
  <c r="S65" i="1"/>
  <c r="U65" i="1" s="1"/>
  <c r="S66" i="1"/>
  <c r="U66" i="1" s="1"/>
  <c r="S60" i="1"/>
  <c r="U60" i="1" s="1"/>
  <c r="S50" i="1"/>
  <c r="U50" i="1" s="1"/>
  <c r="U45" i="1"/>
  <c r="S61" i="1"/>
  <c r="U61" i="1" s="1"/>
  <c r="K222" i="1"/>
  <c r="I218" i="1"/>
  <c r="K218" i="1" s="1"/>
  <c r="U40" i="1"/>
  <c r="K225" i="1"/>
  <c r="K224" i="1"/>
  <c r="K223" i="1"/>
  <c r="H6" i="21"/>
  <c r="J6" i="21" s="1"/>
  <c r="J5" i="21"/>
  <c r="I9" i="12"/>
  <c r="K9" i="12" s="1"/>
  <c r="I7" i="12"/>
  <c r="K7" i="12" s="1"/>
  <c r="AB6" i="7"/>
  <c r="AD6" i="7" s="1"/>
  <c r="AD16" i="7" s="1"/>
  <c r="O9" i="25" s="1"/>
  <c r="BP10" i="7"/>
  <c r="BR10" i="7" s="1"/>
  <c r="AV7" i="8"/>
  <c r="AX7" i="8" s="1"/>
  <c r="H75" i="14"/>
  <c r="J75" i="14" s="1"/>
  <c r="H5" i="20"/>
  <c r="J5" i="20" s="1"/>
  <c r="I27" i="15"/>
  <c r="K27" i="15" s="1"/>
  <c r="I29" i="15"/>
  <c r="K29" i="15" s="1"/>
  <c r="I28" i="15"/>
  <c r="K28" i="15" s="1"/>
  <c r="I30" i="15"/>
  <c r="K30" i="15" s="1"/>
  <c r="BF7" i="8"/>
  <c r="BH7" i="8" s="1"/>
  <c r="AV6" i="8"/>
  <c r="AX6" i="8" s="1"/>
  <c r="H61" i="14"/>
  <c r="J61" i="14" s="1"/>
  <c r="J66" i="14"/>
  <c r="J65" i="14"/>
  <c r="H62" i="14"/>
  <c r="J62" i="14" s="1"/>
  <c r="H74" i="14"/>
  <c r="J74" i="14" s="1"/>
  <c r="H23" i="19"/>
  <c r="J23" i="19" s="1"/>
  <c r="H60" i="14"/>
  <c r="J60" i="14" s="1"/>
  <c r="H20" i="19"/>
  <c r="J20" i="19" s="1"/>
  <c r="H21" i="19"/>
  <c r="J21" i="19" s="1"/>
  <c r="H22" i="19"/>
  <c r="J22" i="19" s="1"/>
  <c r="H58" i="14"/>
  <c r="J58" i="14" s="1"/>
  <c r="H16" i="19"/>
  <c r="J16" i="19" s="1"/>
  <c r="H17" i="19"/>
  <c r="J17" i="19" s="1"/>
  <c r="R6" i="7"/>
  <c r="T6" i="7" s="1"/>
  <c r="BF6" i="8"/>
  <c r="BH6" i="8" s="1"/>
  <c r="I24" i="15"/>
  <c r="K24" i="15" s="1"/>
  <c r="H9" i="9"/>
  <c r="J9" i="9" s="1"/>
  <c r="H8" i="9"/>
  <c r="J8" i="9" s="1"/>
  <c r="J7" i="19"/>
  <c r="H7" i="19"/>
  <c r="J5" i="19"/>
  <c r="H10" i="19"/>
  <c r="J10" i="19" s="1"/>
  <c r="H6" i="19"/>
  <c r="J6" i="19" s="1"/>
  <c r="H11" i="19"/>
  <c r="J11" i="19" s="1"/>
  <c r="H13" i="19"/>
  <c r="J13" i="19" s="1"/>
  <c r="H14" i="19"/>
  <c r="J14" i="19" s="1"/>
  <c r="J46" i="14"/>
  <c r="I9" i="15"/>
  <c r="K9" i="15" s="1"/>
  <c r="H30" i="14"/>
  <c r="J30" i="14" s="1"/>
  <c r="H42" i="14"/>
  <c r="J42" i="14" s="1"/>
  <c r="H28" i="14"/>
  <c r="J28" i="14" s="1"/>
  <c r="H55" i="14"/>
  <c r="J55" i="14" s="1"/>
  <c r="H16" i="14"/>
  <c r="J16" i="14" s="1"/>
  <c r="J53" i="14"/>
  <c r="H54" i="14"/>
  <c r="J54" i="14" s="1"/>
  <c r="H56" i="14"/>
  <c r="J56" i="14" s="1"/>
  <c r="H57" i="14"/>
  <c r="J57" i="14" s="1"/>
  <c r="H47" i="14"/>
  <c r="J47" i="14" s="1"/>
  <c r="H49" i="14"/>
  <c r="J49" i="14" s="1"/>
  <c r="H50" i="14"/>
  <c r="J50" i="14" s="1"/>
  <c r="H51" i="14"/>
  <c r="J51" i="14" s="1"/>
  <c r="K17" i="15"/>
  <c r="S5" i="15"/>
  <c r="U5" i="15" s="1"/>
  <c r="U15" i="15" s="1"/>
  <c r="O16" i="25" s="1"/>
  <c r="H7" i="9"/>
  <c r="J7" i="9" s="1"/>
  <c r="H41" i="14"/>
  <c r="J41" i="14" s="1"/>
  <c r="I22" i="15"/>
  <c r="K22" i="15" s="1"/>
  <c r="I23" i="15"/>
  <c r="K23" i="15" s="1"/>
  <c r="I21" i="15"/>
  <c r="K21" i="15" s="1"/>
  <c r="H36" i="14"/>
  <c r="J36" i="14" s="1"/>
  <c r="H32" i="14"/>
  <c r="J32" i="14" s="1"/>
  <c r="J37" i="14"/>
  <c r="H38" i="14"/>
  <c r="J38" i="14" s="1"/>
  <c r="H39" i="14"/>
  <c r="J39" i="14" s="1"/>
  <c r="J31" i="14"/>
  <c r="H14" i="14"/>
  <c r="J14" i="14" s="1"/>
  <c r="H20" i="14"/>
  <c r="J20" i="14" s="1"/>
  <c r="H25" i="14"/>
  <c r="J25" i="14" s="1"/>
  <c r="H21" i="14"/>
  <c r="J21" i="14" s="1"/>
  <c r="H19" i="14"/>
  <c r="J19" i="14" s="1"/>
  <c r="H15" i="14"/>
  <c r="J15" i="14" s="1"/>
  <c r="J24" i="14"/>
  <c r="H18" i="14"/>
  <c r="J18" i="14" s="1"/>
  <c r="J23" i="14"/>
  <c r="H17" i="14"/>
  <c r="J17" i="14" s="1"/>
  <c r="H29" i="14"/>
  <c r="J29" i="14" s="1"/>
  <c r="I19" i="15"/>
  <c r="K19" i="15" s="1"/>
  <c r="BF5" i="8"/>
  <c r="BH5" i="8" s="1"/>
  <c r="BZ5" i="7"/>
  <c r="CB5" i="7" s="1"/>
  <c r="CB21" i="7" s="1"/>
  <c r="O5" i="25" s="1"/>
  <c r="I18" i="15"/>
  <c r="K18" i="15" s="1"/>
  <c r="I15" i="15"/>
  <c r="K15" i="15" s="1"/>
  <c r="H5" i="8"/>
  <c r="J5" i="8" s="1"/>
  <c r="AV5" i="8"/>
  <c r="AX5" i="8" s="1"/>
  <c r="I14" i="15"/>
  <c r="K14" i="15" s="1"/>
  <c r="I13" i="15"/>
  <c r="K13" i="15" s="1"/>
  <c r="H6" i="9"/>
  <c r="J6" i="9" s="1"/>
  <c r="K12" i="15"/>
  <c r="I10" i="15"/>
  <c r="K10" i="15" s="1"/>
  <c r="I212" i="1"/>
  <c r="K212" i="1" s="1"/>
  <c r="K213" i="1"/>
  <c r="K217" i="1"/>
  <c r="K211" i="1"/>
  <c r="K210" i="1"/>
  <c r="I160" i="1"/>
  <c r="K160" i="1" s="1"/>
  <c r="K157" i="1"/>
  <c r="I77" i="1"/>
  <c r="K77" i="1" s="1"/>
  <c r="K74" i="1"/>
  <c r="I75" i="1"/>
  <c r="K75" i="1" s="1"/>
  <c r="I76" i="1"/>
  <c r="K76" i="1" s="1"/>
  <c r="I8" i="15"/>
  <c r="K8" i="15" s="1"/>
  <c r="I7" i="15"/>
  <c r="K7" i="15" s="1"/>
  <c r="BR5" i="7"/>
  <c r="BP7" i="7"/>
  <c r="BR7" i="7" s="1"/>
  <c r="BF6" i="7"/>
  <c r="BH6" i="7" s="1"/>
  <c r="BF5" i="7"/>
  <c r="BH5" i="7" s="1"/>
  <c r="AM5" i="15"/>
  <c r="AO5" i="15" s="1"/>
  <c r="AO15" i="15" s="1"/>
  <c r="AC5" i="15"/>
  <c r="AE5" i="15" s="1"/>
  <c r="AE14" i="15" s="1"/>
  <c r="O19" i="25" s="1"/>
  <c r="R5" i="7"/>
  <c r="T5" i="7" s="1"/>
  <c r="I5" i="15"/>
  <c r="K5" i="15" s="1"/>
  <c r="I6" i="15"/>
  <c r="K6" i="15" s="1"/>
  <c r="I5" i="16"/>
  <c r="K5" i="16" s="1"/>
  <c r="H13" i="14"/>
  <c r="J13" i="14" s="1"/>
  <c r="H5" i="14"/>
  <c r="J5" i="14" s="1"/>
  <c r="H8" i="14"/>
  <c r="J8" i="14" s="1"/>
  <c r="H11" i="14"/>
  <c r="J11" i="14" s="1"/>
  <c r="H6" i="14"/>
  <c r="J6" i="14" s="1"/>
  <c r="H7" i="14"/>
  <c r="J7" i="14" s="1"/>
  <c r="H9" i="14"/>
  <c r="J9" i="14" s="1"/>
  <c r="H10" i="14"/>
  <c r="J10" i="14" s="1"/>
  <c r="H12" i="14"/>
  <c r="J12" i="14" s="1"/>
  <c r="I6" i="12"/>
  <c r="K6" i="12" s="1"/>
  <c r="H5" i="9"/>
  <c r="J5" i="9" s="1"/>
  <c r="H5" i="11"/>
  <c r="J5" i="11" s="1"/>
  <c r="H4" i="11"/>
  <c r="J4" i="11" s="1"/>
  <c r="H6" i="11"/>
  <c r="J6" i="11" s="1"/>
  <c r="K9" i="10"/>
  <c r="I6" i="10"/>
  <c r="K6" i="10" s="1"/>
  <c r="I7" i="10"/>
  <c r="K7" i="10" s="1"/>
  <c r="I8" i="10"/>
  <c r="K8" i="10" s="1"/>
  <c r="AL4" i="8"/>
  <c r="AN4" i="8" s="1"/>
  <c r="AN11" i="8" s="1"/>
  <c r="O28" i="25" s="1"/>
  <c r="AB4" i="8"/>
  <c r="AD4" i="8" s="1"/>
  <c r="AD11" i="8" s="1"/>
  <c r="O27" i="25" s="1"/>
  <c r="R4" i="8"/>
  <c r="T4" i="8" s="1"/>
  <c r="R5" i="8"/>
  <c r="T5" i="8" s="1"/>
  <c r="H4" i="8"/>
  <c r="J4" i="8" s="1"/>
  <c r="J11" i="8" s="1"/>
  <c r="O25" i="25" s="1"/>
  <c r="AX5" i="7"/>
  <c r="AX16" i="7" s="1"/>
  <c r="O8" i="25" s="1"/>
  <c r="H6" i="7"/>
  <c r="J6" i="7" s="1"/>
  <c r="H5" i="7"/>
  <c r="J5" i="7" s="1"/>
  <c r="J16" i="7" s="1"/>
  <c r="O4" i="25" s="1"/>
  <c r="K200" i="1"/>
  <c r="I209" i="1"/>
  <c r="K209" i="1" s="1"/>
  <c r="I199" i="1"/>
  <c r="K199" i="1" s="1"/>
  <c r="BH11" i="8" l="1"/>
  <c r="O30" i="25" s="1"/>
  <c r="O26" i="25"/>
  <c r="K19" i="10"/>
  <c r="AY15" i="15"/>
  <c r="K45" i="15"/>
  <c r="O15" i="25" s="1"/>
  <c r="T7" i="7"/>
  <c r="BH16" i="7"/>
  <c r="O6" i="25" s="1"/>
  <c r="O7" i="25"/>
  <c r="BR21" i="7"/>
  <c r="O10" i="25" s="1"/>
  <c r="K21" i="12"/>
  <c r="N4" i="12" s="1"/>
  <c r="AL7" i="5"/>
  <c r="AL6" i="5"/>
  <c r="AM6" i="5" s="1"/>
  <c r="AO6" i="5" s="1"/>
  <c r="AL5" i="5"/>
  <c r="AM5" i="5" s="1"/>
  <c r="H7" i="5"/>
  <c r="I7" i="5" s="1"/>
  <c r="K7" i="5" s="1"/>
  <c r="H6" i="5"/>
  <c r="I6" i="5" s="1"/>
  <c r="AA5" i="5"/>
  <c r="AB5" i="5" s="1"/>
  <c r="R5" i="5"/>
  <c r="G5" i="5"/>
  <c r="H5" i="5" s="1"/>
  <c r="I5" i="5" s="1"/>
  <c r="H73" i="1"/>
  <c r="I73" i="1" s="1"/>
  <c r="H156" i="1"/>
  <c r="H151" i="1"/>
  <c r="I151" i="1" s="1"/>
  <c r="H150" i="1"/>
  <c r="Q75" i="1"/>
  <c r="R75" i="1" s="1"/>
  <c r="S75" i="1" s="1"/>
  <c r="U75" i="1" s="1"/>
  <c r="Q74" i="1"/>
  <c r="R74" i="1" s="1"/>
  <c r="S74" i="1" s="1"/>
  <c r="H169" i="1"/>
  <c r="I169" i="1" s="1"/>
  <c r="AC7" i="1"/>
  <c r="AE7" i="1" s="1"/>
  <c r="H61" i="1"/>
  <c r="I61" i="1" s="1"/>
  <c r="G62" i="1"/>
  <c r="H62" i="1" s="1"/>
  <c r="H167" i="1"/>
  <c r="I167" i="1" s="1"/>
  <c r="H11" i="1"/>
  <c r="I11" i="1" s="1"/>
  <c r="H78" i="1"/>
  <c r="I78" i="1" s="1"/>
  <c r="H149" i="1"/>
  <c r="I149" i="1" s="1"/>
  <c r="H198" i="1"/>
  <c r="I198" i="1" s="1"/>
  <c r="K198" i="1" s="1"/>
  <c r="H197" i="1"/>
  <c r="I197" i="1" s="1"/>
  <c r="H196" i="1"/>
  <c r="I196" i="1" s="1"/>
  <c r="H195" i="1"/>
  <c r="I195" i="1" s="1"/>
  <c r="K195" i="1" s="1"/>
  <c r="H170" i="1"/>
  <c r="I170" i="1" s="1"/>
  <c r="H171" i="1"/>
  <c r="I171" i="1" s="1"/>
  <c r="K171" i="1" s="1"/>
  <c r="H172" i="1"/>
  <c r="I172" i="1" s="1"/>
  <c r="H173" i="1"/>
  <c r="I173" i="1" s="1"/>
  <c r="K173" i="1" s="1"/>
  <c r="H174" i="1"/>
  <c r="I174" i="1" s="1"/>
  <c r="H175" i="1"/>
  <c r="I175" i="1" s="1"/>
  <c r="H176" i="1"/>
  <c r="I176" i="1" s="1"/>
  <c r="K176" i="1" s="1"/>
  <c r="H177" i="1"/>
  <c r="I177" i="1" s="1"/>
  <c r="H178" i="1"/>
  <c r="I178" i="1" s="1"/>
  <c r="H179" i="1"/>
  <c r="I179" i="1" s="1"/>
  <c r="K179" i="1" s="1"/>
  <c r="H180" i="1"/>
  <c r="H181" i="1"/>
  <c r="I181" i="1" s="1"/>
  <c r="H182" i="1"/>
  <c r="H183" i="1"/>
  <c r="H184" i="1"/>
  <c r="I184" i="1" s="1"/>
  <c r="H185" i="1"/>
  <c r="I185" i="1" s="1"/>
  <c r="K185" i="1" s="1"/>
  <c r="H186" i="1"/>
  <c r="I186" i="1" s="1"/>
  <c r="H187" i="1"/>
  <c r="I187" i="1" s="1"/>
  <c r="K187" i="1" s="1"/>
  <c r="H188" i="1"/>
  <c r="I188" i="1" s="1"/>
  <c r="H189" i="1"/>
  <c r="I189" i="1" s="1"/>
  <c r="H190" i="1"/>
  <c r="I190" i="1" s="1"/>
  <c r="K190" i="1" s="1"/>
  <c r="H191" i="1"/>
  <c r="I191" i="1" s="1"/>
  <c r="H192" i="1"/>
  <c r="I192" i="1" s="1"/>
  <c r="K192" i="1" s="1"/>
  <c r="H193" i="1"/>
  <c r="I193" i="1" s="1"/>
  <c r="H194" i="1"/>
  <c r="I194" i="1" s="1"/>
  <c r="R71" i="1"/>
  <c r="R70" i="1"/>
  <c r="S70" i="1" s="1"/>
  <c r="H164" i="1"/>
  <c r="I164" i="1" s="1"/>
  <c r="K164" i="1" s="1"/>
  <c r="H163" i="1"/>
  <c r="I163" i="1" s="1"/>
  <c r="K163" i="1" s="1"/>
  <c r="H162" i="1"/>
  <c r="I162" i="1" s="1"/>
  <c r="H161" i="1"/>
  <c r="I161" i="1" s="1"/>
  <c r="H155" i="1"/>
  <c r="I155" i="1" s="1"/>
  <c r="H154" i="1"/>
  <c r="I154" i="1" s="1"/>
  <c r="H153" i="1"/>
  <c r="H152" i="1"/>
  <c r="I152" i="1" s="1"/>
  <c r="H148" i="1"/>
  <c r="H147" i="1"/>
  <c r="H146" i="1"/>
  <c r="I146" i="1" s="1"/>
  <c r="H145" i="1"/>
  <c r="I145" i="1" s="1"/>
  <c r="K145" i="1" s="1"/>
  <c r="H144" i="1"/>
  <c r="I144" i="1" s="1"/>
  <c r="H143" i="1"/>
  <c r="I143" i="1" s="1"/>
  <c r="H142" i="1"/>
  <c r="I142" i="1" s="1"/>
  <c r="H141" i="1"/>
  <c r="H140" i="1"/>
  <c r="I140" i="1" s="1"/>
  <c r="H139" i="1"/>
  <c r="I139" i="1" s="1"/>
  <c r="K139" i="1" s="1"/>
  <c r="H138" i="1"/>
  <c r="I138" i="1" s="1"/>
  <c r="H137" i="1"/>
  <c r="I137" i="1" s="1"/>
  <c r="H136" i="1"/>
  <c r="I136" i="1" s="1"/>
  <c r="K136" i="1" s="1"/>
  <c r="H135" i="1"/>
  <c r="I135" i="1" s="1"/>
  <c r="K135" i="1" s="1"/>
  <c r="H134" i="1"/>
  <c r="I134" i="1" s="1"/>
  <c r="K134" i="1" s="1"/>
  <c r="H133" i="1"/>
  <c r="I133" i="1" s="1"/>
  <c r="H132" i="1"/>
  <c r="I132" i="1" s="1"/>
  <c r="H131" i="1"/>
  <c r="I131" i="1" s="1"/>
  <c r="K131" i="1" s="1"/>
  <c r="H98" i="1"/>
  <c r="I98" i="1" s="1"/>
  <c r="H101" i="1"/>
  <c r="I101" i="1" s="1"/>
  <c r="K101" i="1" s="1"/>
  <c r="H102" i="1"/>
  <c r="I102" i="1" s="1"/>
  <c r="H118" i="1"/>
  <c r="H130" i="1"/>
  <c r="I130" i="1" s="1"/>
  <c r="K130" i="1" s="1"/>
  <c r="H127" i="1"/>
  <c r="I127" i="1" s="1"/>
  <c r="H125" i="1"/>
  <c r="I125" i="1" s="1"/>
  <c r="K125" i="1" s="1"/>
  <c r="H122" i="1"/>
  <c r="I122" i="1" s="1"/>
  <c r="H117" i="1"/>
  <c r="I117" i="1" s="1"/>
  <c r="K117" i="1" s="1"/>
  <c r="H110" i="1"/>
  <c r="I110" i="1" s="1"/>
  <c r="H107" i="1"/>
  <c r="I107" i="1" s="1"/>
  <c r="H106" i="1"/>
  <c r="I106" i="1" s="1"/>
  <c r="K106" i="1" s="1"/>
  <c r="H104" i="1"/>
  <c r="I104" i="1" s="1"/>
  <c r="H103" i="1"/>
  <c r="I103" i="1" s="1"/>
  <c r="K103" i="1" s="1"/>
  <c r="H100" i="1"/>
  <c r="I100" i="1" s="1"/>
  <c r="K100" i="1" s="1"/>
  <c r="H96" i="1"/>
  <c r="H92" i="1"/>
  <c r="I92" i="1" s="1"/>
  <c r="H91" i="1"/>
  <c r="I91" i="1" s="1"/>
  <c r="H129" i="1"/>
  <c r="H128" i="1"/>
  <c r="I128" i="1" s="1"/>
  <c r="H126" i="1"/>
  <c r="I126" i="1" s="1"/>
  <c r="K126" i="1" s="1"/>
  <c r="H124" i="1"/>
  <c r="H123" i="1"/>
  <c r="I123" i="1" s="1"/>
  <c r="K123" i="1" s="1"/>
  <c r="H121" i="1"/>
  <c r="I121" i="1" s="1"/>
  <c r="K121" i="1" s="1"/>
  <c r="H120" i="1"/>
  <c r="H119" i="1"/>
  <c r="I119" i="1" s="1"/>
  <c r="H114" i="1"/>
  <c r="H115" i="1"/>
  <c r="I115" i="1" s="1"/>
  <c r="H116" i="1"/>
  <c r="I116" i="1" s="1"/>
  <c r="H105" i="1"/>
  <c r="I105" i="1" s="1"/>
  <c r="H108" i="1"/>
  <c r="I108" i="1" s="1"/>
  <c r="K108" i="1" s="1"/>
  <c r="H109" i="1"/>
  <c r="I109" i="1" s="1"/>
  <c r="K109" i="1" s="1"/>
  <c r="H111" i="1"/>
  <c r="I111" i="1" s="1"/>
  <c r="K111" i="1" s="1"/>
  <c r="H112" i="1"/>
  <c r="I112" i="1" s="1"/>
  <c r="H113" i="1"/>
  <c r="I113" i="1" s="1"/>
  <c r="H93" i="1"/>
  <c r="I93" i="1" s="1"/>
  <c r="H94" i="1"/>
  <c r="I94" i="1" s="1"/>
  <c r="K94" i="1" s="1"/>
  <c r="H95" i="1"/>
  <c r="I95" i="1" s="1"/>
  <c r="K95" i="1" s="1"/>
  <c r="H97" i="1"/>
  <c r="I97" i="1" s="1"/>
  <c r="H99" i="1"/>
  <c r="I99" i="1" s="1"/>
  <c r="K99" i="1" s="1"/>
  <c r="G90" i="1"/>
  <c r="H90" i="1" s="1"/>
  <c r="I90" i="1" s="1"/>
  <c r="H70" i="1"/>
  <c r="H89" i="1"/>
  <c r="I89" i="1" s="1"/>
  <c r="K89" i="1" s="1"/>
  <c r="H88" i="1"/>
  <c r="I88" i="1" s="1"/>
  <c r="H87" i="1"/>
  <c r="I87" i="1" s="1"/>
  <c r="H86" i="1"/>
  <c r="I86" i="1" s="1"/>
  <c r="R69" i="1"/>
  <c r="S69" i="1" s="1"/>
  <c r="U69" i="1" s="1"/>
  <c r="H83" i="1"/>
  <c r="I83" i="1" s="1"/>
  <c r="H82" i="1"/>
  <c r="I82" i="1" s="1"/>
  <c r="H81" i="1"/>
  <c r="I81" i="1" s="1"/>
  <c r="K81" i="1" s="1"/>
  <c r="H80" i="1"/>
  <c r="I80" i="1" s="1"/>
  <c r="H79" i="1"/>
  <c r="I79" i="1" s="1"/>
  <c r="K79" i="1" s="1"/>
  <c r="H69" i="1"/>
  <c r="I69" i="1" s="1"/>
  <c r="H68" i="1"/>
  <c r="I68" i="1" s="1"/>
  <c r="K68" i="1" s="1"/>
  <c r="H67" i="1"/>
  <c r="I67" i="1" s="1"/>
  <c r="H66" i="1"/>
  <c r="I66" i="1" s="1"/>
  <c r="K66" i="1" s="1"/>
  <c r="H63" i="1"/>
  <c r="I63" i="1" s="1"/>
  <c r="K63" i="1" s="1"/>
  <c r="H64" i="1"/>
  <c r="I64" i="1" s="1"/>
  <c r="K64" i="1" s="1"/>
  <c r="H65" i="1"/>
  <c r="I65" i="1" s="1"/>
  <c r="K65" i="1" s="1"/>
  <c r="G60" i="1"/>
  <c r="H60" i="1" s="1"/>
  <c r="I60" i="1" s="1"/>
  <c r="K60" i="1" s="1"/>
  <c r="G59" i="1"/>
  <c r="H59" i="1" s="1"/>
  <c r="G57" i="1"/>
  <c r="H57" i="1" s="1"/>
  <c r="I57" i="1" s="1"/>
  <c r="G56" i="1"/>
  <c r="H56" i="1" s="1"/>
  <c r="G55" i="1"/>
  <c r="H55" i="1" s="1"/>
  <c r="I55" i="1" s="1"/>
  <c r="G54" i="1"/>
  <c r="H54" i="1" s="1"/>
  <c r="I54" i="1" s="1"/>
  <c r="G53" i="1"/>
  <c r="H53" i="1" s="1"/>
  <c r="G52" i="1"/>
  <c r="H52" i="1" s="1"/>
  <c r="G51" i="1"/>
  <c r="H51" i="1" s="1"/>
  <c r="G50" i="1"/>
  <c r="H50" i="1" s="1"/>
  <c r="I50" i="1" s="1"/>
  <c r="G49" i="1"/>
  <c r="H49" i="1" s="1"/>
  <c r="G48" i="1"/>
  <c r="H48" i="1" s="1"/>
  <c r="I48" i="1" s="1"/>
  <c r="G47" i="1"/>
  <c r="H47" i="1" s="1"/>
  <c r="I47" i="1" s="1"/>
  <c r="G46" i="1"/>
  <c r="H46" i="1" s="1"/>
  <c r="G165" i="1"/>
  <c r="H165" i="1" s="1"/>
  <c r="I165" i="1" s="1"/>
  <c r="H71" i="1"/>
  <c r="I71" i="1" s="1"/>
  <c r="H84" i="1"/>
  <c r="H43" i="1"/>
  <c r="I43" i="1" s="1"/>
  <c r="R62" i="1"/>
  <c r="S62" i="1" s="1"/>
  <c r="R58" i="1"/>
  <c r="S58" i="1" s="1"/>
  <c r="R57" i="1"/>
  <c r="S57" i="1" s="1"/>
  <c r="U57" i="1" s="1"/>
  <c r="R56" i="1"/>
  <c r="S56" i="1" s="1"/>
  <c r="R55" i="1"/>
  <c r="S55" i="1" s="1"/>
  <c r="R54" i="1"/>
  <c r="S54" i="1" s="1"/>
  <c r="R53" i="1"/>
  <c r="S53" i="1" s="1"/>
  <c r="H42" i="1"/>
  <c r="I42" i="1" s="1"/>
  <c r="R52" i="1"/>
  <c r="R51" i="1"/>
  <c r="S51" i="1" s="1"/>
  <c r="G40" i="1"/>
  <c r="H40" i="1" s="1"/>
  <c r="I40" i="1" s="1"/>
  <c r="H58" i="1"/>
  <c r="I58" i="1" s="1"/>
  <c r="K58" i="1" s="1"/>
  <c r="H38" i="1"/>
  <c r="I38" i="1" s="1"/>
  <c r="K38" i="1" s="1"/>
  <c r="H36" i="1"/>
  <c r="I36" i="1" s="1"/>
  <c r="K36" i="1" s="1"/>
  <c r="H37" i="1"/>
  <c r="I37" i="1" s="1"/>
  <c r="H12" i="1"/>
  <c r="I12" i="1" s="1"/>
  <c r="G10" i="1"/>
  <c r="H10" i="1" s="1"/>
  <c r="I10" i="1" s="1"/>
  <c r="H9" i="1"/>
  <c r="I9" i="1" s="1"/>
  <c r="H6" i="1"/>
  <c r="I6" i="1" s="1"/>
  <c r="A6" i="1" s="1"/>
  <c r="H7" i="1"/>
  <c r="I7" i="1" s="1"/>
  <c r="H8" i="1"/>
  <c r="I8" i="1" s="1"/>
  <c r="AB6" i="1"/>
  <c r="AC6" i="1" s="1"/>
  <c r="R44" i="1"/>
  <c r="S44" i="1" s="1"/>
  <c r="U44" i="1" s="1"/>
  <c r="R43" i="1"/>
  <c r="S43" i="1" s="1"/>
  <c r="U43" i="1" s="1"/>
  <c r="R42" i="1"/>
  <c r="S42" i="1" s="1"/>
  <c r="U42" i="1" s="1"/>
  <c r="R41" i="1"/>
  <c r="S41" i="1" s="1"/>
  <c r="H35" i="1"/>
  <c r="I35" i="1" s="1"/>
  <c r="H34" i="1"/>
  <c r="I34" i="1" s="1"/>
  <c r="H33" i="1"/>
  <c r="I33" i="1" s="1"/>
  <c r="K33" i="1" s="1"/>
  <c r="H32" i="1"/>
  <c r="I32" i="1" s="1"/>
  <c r="H31" i="1"/>
  <c r="I31" i="1" s="1"/>
  <c r="H27" i="1"/>
  <c r="H28" i="1"/>
  <c r="I28" i="1" s="1"/>
  <c r="H29" i="1"/>
  <c r="I29" i="1" s="1"/>
  <c r="H30" i="1"/>
  <c r="I30" i="1" s="1"/>
  <c r="K30" i="1" s="1"/>
  <c r="H26" i="1"/>
  <c r="H25" i="1"/>
  <c r="I25" i="1" s="1"/>
  <c r="G5" i="1"/>
  <c r="H5" i="1" s="1"/>
  <c r="I5" i="1" s="1"/>
  <c r="K5" i="1" s="1"/>
  <c r="H13" i="1"/>
  <c r="I13" i="1" s="1"/>
  <c r="H14" i="1"/>
  <c r="I14" i="1" s="1"/>
  <c r="K14" i="1" s="1"/>
  <c r="H15" i="1"/>
  <c r="I15" i="1" s="1"/>
  <c r="K15" i="1" s="1"/>
  <c r="H16" i="1"/>
  <c r="I16" i="1" s="1"/>
  <c r="H17" i="1"/>
  <c r="I17" i="1" s="1"/>
  <c r="H18" i="1"/>
  <c r="I18" i="1" s="1"/>
  <c r="H19" i="1"/>
  <c r="I19" i="1" s="1"/>
  <c r="K19" i="1" s="1"/>
  <c r="H20" i="1"/>
  <c r="I20" i="1" s="1"/>
  <c r="K20" i="1" s="1"/>
  <c r="H21" i="1"/>
  <c r="I21" i="1" s="1"/>
  <c r="H22" i="1"/>
  <c r="I22" i="1" s="1"/>
  <c r="K22" i="1" s="1"/>
  <c r="H23" i="1"/>
  <c r="H24" i="1"/>
  <c r="I24" i="1" s="1"/>
  <c r="R38" i="1"/>
  <c r="S38" i="1" s="1"/>
  <c r="R39" i="1"/>
  <c r="S39" i="1" s="1"/>
  <c r="U39" i="1" s="1"/>
  <c r="R37" i="1"/>
  <c r="S37" i="1" s="1"/>
  <c r="U37" i="1" s="1"/>
  <c r="R36" i="1"/>
  <c r="S36" i="1" s="1"/>
  <c r="U36" i="1" s="1"/>
  <c r="AB5" i="1"/>
  <c r="Q35" i="1"/>
  <c r="R35" i="1" s="1"/>
  <c r="Q34" i="1"/>
  <c r="R34" i="1" s="1"/>
  <c r="Q33" i="1"/>
  <c r="R33" i="1" s="1"/>
  <c r="Q32" i="1"/>
  <c r="R32" i="1" s="1"/>
  <c r="AB4" i="1"/>
  <c r="AC4" i="1" s="1"/>
  <c r="Q30" i="1"/>
  <c r="R30" i="1" s="1"/>
  <c r="S30" i="1" s="1"/>
  <c r="Q29" i="1"/>
  <c r="R29" i="1" s="1"/>
  <c r="S29" i="1" s="1"/>
  <c r="Q28" i="1"/>
  <c r="R28" i="1" s="1"/>
  <c r="S28" i="1" s="1"/>
  <c r="Q27" i="1"/>
  <c r="R27" i="1" s="1"/>
  <c r="Q26" i="1"/>
  <c r="R26" i="1" s="1"/>
  <c r="S26" i="1" s="1"/>
  <c r="Q25" i="1"/>
  <c r="R25" i="1" s="1"/>
  <c r="Q24" i="1"/>
  <c r="R24" i="1" s="1"/>
  <c r="Q23" i="1"/>
  <c r="R23" i="1" s="1"/>
  <c r="Q22" i="1"/>
  <c r="R22" i="1" s="1"/>
  <c r="S22" i="1" s="1"/>
  <c r="Q21" i="1"/>
  <c r="R21" i="1" s="1"/>
  <c r="Q20" i="1"/>
  <c r="R20" i="1" s="1"/>
  <c r="S20" i="1" s="1"/>
  <c r="Q19" i="1"/>
  <c r="R19" i="1" s="1"/>
  <c r="Q18" i="1"/>
  <c r="R18" i="1" s="1"/>
  <c r="S18" i="1" s="1"/>
  <c r="Q17" i="1"/>
  <c r="R17" i="1" s="1"/>
  <c r="S17" i="1" s="1"/>
  <c r="Q16" i="1"/>
  <c r="R16" i="1" s="1"/>
  <c r="S16" i="1" s="1"/>
  <c r="Q15" i="1"/>
  <c r="R15" i="1" s="1"/>
  <c r="Q14" i="1"/>
  <c r="R14" i="1" s="1"/>
  <c r="Q13" i="1"/>
  <c r="R13" i="1" s="1"/>
  <c r="Q12" i="1"/>
  <c r="R12" i="1" s="1"/>
  <c r="Q11" i="1"/>
  <c r="R11" i="1" s="1"/>
  <c r="S11" i="1" s="1"/>
  <c r="Q10" i="1"/>
  <c r="R10" i="1" s="1"/>
  <c r="S10" i="1" s="1"/>
  <c r="Q9" i="1"/>
  <c r="R9" i="1" s="1"/>
  <c r="S9" i="1" s="1"/>
  <c r="Q8" i="1"/>
  <c r="R8" i="1" s="1"/>
  <c r="S8" i="1" s="1"/>
  <c r="Q7" i="1"/>
  <c r="R7" i="1" s="1"/>
  <c r="Q6" i="1"/>
  <c r="R6" i="1" s="1"/>
  <c r="Q5" i="1"/>
  <c r="R5" i="1" s="1"/>
  <c r="S5" i="1" s="1"/>
  <c r="R4" i="1"/>
  <c r="S4" i="1" s="1"/>
  <c r="R31" i="1"/>
  <c r="H4" i="1"/>
  <c r="I4" i="1" s="1"/>
  <c r="O40" i="25" l="1"/>
  <c r="C5" i="25" s="1"/>
  <c r="N5" i="12"/>
  <c r="I4" i="25"/>
  <c r="K73" i="1"/>
  <c r="I150" i="1"/>
  <c r="K150" i="1" s="1"/>
  <c r="K6" i="5"/>
  <c r="AO5" i="5"/>
  <c r="AM7" i="5"/>
  <c r="AO7" i="5" s="1"/>
  <c r="S5" i="5"/>
  <c r="U5" i="5" s="1"/>
  <c r="U12" i="5" s="1"/>
  <c r="AC5" i="5"/>
  <c r="AE5" i="5" s="1"/>
  <c r="AE12" i="5" s="1"/>
  <c r="K5" i="5"/>
  <c r="I156" i="1"/>
  <c r="K156" i="1" s="1"/>
  <c r="K151" i="1"/>
  <c r="U74" i="1"/>
  <c r="K169" i="1"/>
  <c r="I62" i="1"/>
  <c r="K62" i="1" s="1"/>
  <c r="K61" i="1"/>
  <c r="K78" i="1"/>
  <c r="K167" i="1"/>
  <c r="K11" i="1"/>
  <c r="S71" i="1"/>
  <c r="U71" i="1" s="1"/>
  <c r="K149" i="1"/>
  <c r="K197" i="1"/>
  <c r="K196" i="1"/>
  <c r="K194" i="1"/>
  <c r="K193" i="1"/>
  <c r="K184" i="1"/>
  <c r="I183" i="1"/>
  <c r="K183" i="1" s="1"/>
  <c r="I182" i="1"/>
  <c r="K182" i="1" s="1"/>
  <c r="K181" i="1"/>
  <c r="K177" i="1"/>
  <c r="I180" i="1"/>
  <c r="K180" i="1" s="1"/>
  <c r="K174" i="1"/>
  <c r="K189" i="1"/>
  <c r="K178" i="1"/>
  <c r="K188" i="1"/>
  <c r="K172" i="1"/>
  <c r="K170" i="1"/>
  <c r="K186" i="1"/>
  <c r="K191" i="1"/>
  <c r="K175" i="1"/>
  <c r="U70" i="1"/>
  <c r="K162" i="1"/>
  <c r="K161" i="1"/>
  <c r="K146" i="1"/>
  <c r="K137" i="1"/>
  <c r="K155" i="1"/>
  <c r="K154" i="1"/>
  <c r="I153" i="1"/>
  <c r="K153" i="1" s="1"/>
  <c r="K152" i="1"/>
  <c r="I148" i="1"/>
  <c r="K148" i="1" s="1"/>
  <c r="I147" i="1"/>
  <c r="K147" i="1" s="1"/>
  <c r="K144" i="1"/>
  <c r="K143" i="1"/>
  <c r="K142" i="1"/>
  <c r="I141" i="1"/>
  <c r="K141" i="1" s="1"/>
  <c r="K140" i="1"/>
  <c r="K138" i="1"/>
  <c r="K133" i="1"/>
  <c r="K132" i="1"/>
  <c r="I129" i="1"/>
  <c r="K129" i="1" s="1"/>
  <c r="K128" i="1"/>
  <c r="K127" i="1"/>
  <c r="I124" i="1"/>
  <c r="K124" i="1" s="1"/>
  <c r="K122" i="1"/>
  <c r="I120" i="1"/>
  <c r="K120" i="1" s="1"/>
  <c r="K119" i="1"/>
  <c r="K115" i="1"/>
  <c r="I114" i="1"/>
  <c r="K114" i="1" s="1"/>
  <c r="I118" i="1"/>
  <c r="K118" i="1" s="1"/>
  <c r="K116" i="1"/>
  <c r="K105" i="1"/>
  <c r="K112" i="1"/>
  <c r="K110" i="1"/>
  <c r="K104" i="1"/>
  <c r="K113" i="1"/>
  <c r="K102" i="1"/>
  <c r="K107" i="1"/>
  <c r="K98" i="1"/>
  <c r="K97" i="1"/>
  <c r="K93" i="1"/>
  <c r="K92" i="1"/>
  <c r="I96" i="1"/>
  <c r="K96" i="1" s="1"/>
  <c r="K91" i="1"/>
  <c r="K90" i="1"/>
  <c r="U18" i="1"/>
  <c r="I70" i="1"/>
  <c r="K70" i="1" s="1"/>
  <c r="K87" i="1"/>
  <c r="K86" i="1"/>
  <c r="K88" i="1"/>
  <c r="K83" i="1"/>
  <c r="K82" i="1"/>
  <c r="K80" i="1"/>
  <c r="K69" i="1"/>
  <c r="K67" i="1"/>
  <c r="I59" i="1"/>
  <c r="K59" i="1" s="1"/>
  <c r="U62" i="1"/>
  <c r="K55" i="1"/>
  <c r="K47" i="1"/>
  <c r="I56" i="1"/>
  <c r="K56" i="1" s="1"/>
  <c r="I49" i="1"/>
  <c r="K49" i="1" s="1"/>
  <c r="I46" i="1"/>
  <c r="K46" i="1" s="1"/>
  <c r="K9" i="1"/>
  <c r="K42" i="1"/>
  <c r="K57" i="1"/>
  <c r="U55" i="1"/>
  <c r="K54" i="1"/>
  <c r="U56" i="1"/>
  <c r="K50" i="1"/>
  <c r="K48" i="1"/>
  <c r="I53" i="1"/>
  <c r="K53" i="1" s="1"/>
  <c r="I52" i="1"/>
  <c r="K52" i="1" s="1"/>
  <c r="I51" i="1"/>
  <c r="K51" i="1" s="1"/>
  <c r="K165" i="1"/>
  <c r="I84" i="1"/>
  <c r="K84" i="1" s="1"/>
  <c r="K71" i="1"/>
  <c r="K43" i="1"/>
  <c r="U58" i="1"/>
  <c r="U54" i="1"/>
  <c r="U53" i="1"/>
  <c r="U51" i="1"/>
  <c r="S52" i="1"/>
  <c r="U52" i="1" s="1"/>
  <c r="K40" i="1"/>
  <c r="K10" i="1"/>
  <c r="K12" i="1"/>
  <c r="A7" i="1"/>
  <c r="U5" i="1"/>
  <c r="K37" i="1"/>
  <c r="K31" i="1"/>
  <c r="A8" i="1"/>
  <c r="K17" i="1"/>
  <c r="AE6" i="1"/>
  <c r="U41" i="1"/>
  <c r="K35" i="1"/>
  <c r="K34" i="1"/>
  <c r="K32" i="1"/>
  <c r="I27" i="1"/>
  <c r="K27" i="1" s="1"/>
  <c r="K28" i="1"/>
  <c r="K29" i="1"/>
  <c r="K25" i="1"/>
  <c r="I26" i="1"/>
  <c r="K26" i="1" s="1"/>
  <c r="I23" i="1"/>
  <c r="K23" i="1" s="1"/>
  <c r="K18" i="1"/>
  <c r="K13" i="1"/>
  <c r="K24" i="1"/>
  <c r="U20" i="1"/>
  <c r="K21" i="1"/>
  <c r="U9" i="1"/>
  <c r="U22" i="1"/>
  <c r="U8" i="1"/>
  <c r="K16" i="1"/>
  <c r="U38" i="1"/>
  <c r="S23" i="1"/>
  <c r="U23" i="1" s="1"/>
  <c r="S24" i="1"/>
  <c r="U24" i="1" s="1"/>
  <c r="S12" i="1"/>
  <c r="U12" i="1" s="1"/>
  <c r="U17" i="1"/>
  <c r="U16" i="1"/>
  <c r="K4" i="1"/>
  <c r="AE4" i="1"/>
  <c r="AE17" i="1" s="1"/>
  <c r="U4" i="1"/>
  <c r="U30" i="1"/>
  <c r="U28" i="1"/>
  <c r="U11" i="1"/>
  <c r="U29" i="1"/>
  <c r="U26" i="1"/>
  <c r="U10" i="1"/>
  <c r="AC5" i="1"/>
  <c r="AE5" i="1" s="1"/>
  <c r="S35" i="1"/>
  <c r="U35" i="1" s="1"/>
  <c r="S33" i="1"/>
  <c r="U33" i="1" s="1"/>
  <c r="S34" i="1"/>
  <c r="U34" i="1" s="1"/>
  <c r="S32" i="1"/>
  <c r="U32" i="1" s="1"/>
  <c r="S27" i="1"/>
  <c r="U27" i="1" s="1"/>
  <c r="S25" i="1"/>
  <c r="U25" i="1" s="1"/>
  <c r="S21" i="1"/>
  <c r="U21" i="1" s="1"/>
  <c r="S19" i="1"/>
  <c r="U19" i="1" s="1"/>
  <c r="S31" i="1"/>
  <c r="U31" i="1" s="1"/>
  <c r="S6" i="1"/>
  <c r="U6" i="1" s="1"/>
  <c r="S13" i="1"/>
  <c r="U13" i="1" s="1"/>
  <c r="S15" i="1"/>
  <c r="U15" i="1" s="1"/>
  <c r="S7" i="1"/>
  <c r="U7" i="1" s="1"/>
  <c r="S14" i="1"/>
  <c r="U14" i="1" s="1"/>
  <c r="K398" i="1" l="1"/>
  <c r="K400" i="1" s="1"/>
  <c r="I12" i="25"/>
  <c r="C4" i="25" s="1"/>
  <c r="C9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<sst xmlns="http://schemas.openxmlformats.org/spreadsheetml/2006/main" count="2911" uniqueCount="680">
  <si>
    <t>FECHA</t>
  </si>
  <si>
    <t xml:space="preserve">TIENDA </t>
  </si>
  <si>
    <t>MATERIAL</t>
  </si>
  <si>
    <t>CANTIDAD</t>
  </si>
  <si>
    <t>PRECIO UNITARIO</t>
  </si>
  <si>
    <t>TOTAL</t>
  </si>
  <si>
    <t>MEGAPRINT</t>
  </si>
  <si>
    <t>PLANOS</t>
  </si>
  <si>
    <t>SUBTOTAL</t>
  </si>
  <si>
    <t>IVA</t>
  </si>
  <si>
    <t>ISR</t>
  </si>
  <si>
    <t>SAN MARINO</t>
  </si>
  <si>
    <t>MONTECARLO</t>
  </si>
  <si>
    <t>HOME DEPOT</t>
  </si>
  <si>
    <t>MALLA ELECTROSOLDADA 66-88</t>
  </si>
  <si>
    <t>PET</t>
  </si>
  <si>
    <t>PVC GRIS 1" X 3M</t>
  </si>
  <si>
    <t>ABS 3" X 3M</t>
  </si>
  <si>
    <t>ABS 2" X 3M</t>
  </si>
  <si>
    <t>ABS  4" X 3M</t>
  </si>
  <si>
    <t>PVC 3/4" X 3M</t>
  </si>
  <si>
    <t>POLIDUCTO 1/2" X 100M S/GUIA</t>
  </si>
  <si>
    <t>POLIDUCTO 1/2" X 100M C/GUIA</t>
  </si>
  <si>
    <t>ABS CODO 3" X 45</t>
  </si>
  <si>
    <t>ABS YEE 3" X 2"</t>
  </si>
  <si>
    <t xml:space="preserve">ABS CODO 4" X 45 </t>
  </si>
  <si>
    <t>ABS YEE 4"</t>
  </si>
  <si>
    <t>ABS CODO TALON 3" X  2"</t>
  </si>
  <si>
    <t>ABS CODO 3· X 90</t>
  </si>
  <si>
    <t>ABS BUSHING 4" X 3"</t>
  </si>
  <si>
    <t>TAPE AISLANTE</t>
  </si>
  <si>
    <t>ABS CODO 4" X 90</t>
  </si>
  <si>
    <t>PEGAMENTO ABS</t>
  </si>
  <si>
    <t>PEGAMENTO PVC 240ML</t>
  </si>
  <si>
    <t>PEGAMENTO ABS 475ML</t>
  </si>
  <si>
    <t>PVC GRIS CURVA 1" X 90 C/CAMPANA</t>
  </si>
  <si>
    <t>PVC CODO 3/4" X 90</t>
  </si>
  <si>
    <t>PVC TAPON CACHUCHA 3/4"</t>
  </si>
  <si>
    <t>PVC BUSHING 3/4" X 1/2"</t>
  </si>
  <si>
    <t>PVC TEE 3/4</t>
  </si>
  <si>
    <t>HOJA P/SEGUETA 24</t>
  </si>
  <si>
    <t>HOJA P/SEGUETA 18</t>
  </si>
  <si>
    <t>MARCADOR MILWAUKE</t>
  </si>
  <si>
    <t>ABS COPLE 4"</t>
  </si>
  <si>
    <t>GASOLINA</t>
  </si>
  <si>
    <t>BEKTROP</t>
  </si>
  <si>
    <t>GAS</t>
  </si>
  <si>
    <t>AUTOZONE</t>
  </si>
  <si>
    <t>ANTICONGELANTE</t>
  </si>
  <si>
    <t>ACEITE CASTROL</t>
  </si>
  <si>
    <t>BP</t>
  </si>
  <si>
    <t>BEHR AEROSOL</t>
  </si>
  <si>
    <t>PEGAMENTO</t>
  </si>
  <si>
    <t>FUERTE</t>
  </si>
  <si>
    <t>CONCRETO PREMEZCLADO 250</t>
  </si>
  <si>
    <t>BOMBEO</t>
  </si>
  <si>
    <t>ANTICIPO</t>
  </si>
  <si>
    <t>COFIASA</t>
  </si>
  <si>
    <t>VIGA IPR 8 X 4 X 15LBS</t>
  </si>
  <si>
    <t>VIGA IPR 8 X 6 1/2 X 24LBS</t>
  </si>
  <si>
    <t>CLAVO P/CONCRETO 2 1/2</t>
  </si>
  <si>
    <t>VIGA IPR 6 X 6 X 25LBS</t>
  </si>
  <si>
    <t>VARILLA 3/8 9.15MTS</t>
  </si>
  <si>
    <t>VARILLA 1/2 9.15MTS</t>
  </si>
  <si>
    <t>VARILLA 5/8 9.15MTS</t>
  </si>
  <si>
    <t>ALAMBRON 1/4</t>
  </si>
  <si>
    <t>ALAMBRE RECOCIDO</t>
  </si>
  <si>
    <t>CLAVO P/MADERA 2 3/8"</t>
  </si>
  <si>
    <t>PLACA 5/8" 6 X 20</t>
  </si>
  <si>
    <t>VERTICOLLS</t>
  </si>
  <si>
    <t>CEMENTO 42.6 KG</t>
  </si>
  <si>
    <t>FIJAPORCELANA 20 KG</t>
  </si>
  <si>
    <t>BHER PREMIUM INT</t>
  </si>
  <si>
    <t>BHER PREMIUM EXT</t>
  </si>
  <si>
    <t>BHER SELLADOR</t>
  </si>
  <si>
    <t xml:space="preserve">YESO MAXIMO </t>
  </si>
  <si>
    <t>PINTURA AEROSOL CAFE</t>
  </si>
  <si>
    <t>PINTURA AEROSOL NARANJA</t>
  </si>
  <si>
    <t>PINTURA AEROSOL AZUL</t>
  </si>
  <si>
    <t>DOBLADO</t>
  </si>
  <si>
    <t>OFFICE DEPOT</t>
  </si>
  <si>
    <t>MARCATEXTOS</t>
  </si>
  <si>
    <t>LIBRETA</t>
  </si>
  <si>
    <t>PLANEADOR</t>
  </si>
  <si>
    <t>DEL VALLE</t>
  </si>
  <si>
    <t>AFINACION HORMIGA</t>
  </si>
  <si>
    <t>SERVIGAS</t>
  </si>
  <si>
    <t>GRINDELWALD</t>
  </si>
  <si>
    <t xml:space="preserve">VALMUM </t>
  </si>
  <si>
    <t>BOVEDILLA</t>
  </si>
  <si>
    <t>AGEIT</t>
  </si>
  <si>
    <t>PLOMERIA</t>
  </si>
  <si>
    <t>COCINAS Y PISOS</t>
  </si>
  <si>
    <t>FABRICACION DE COCINA Y CLOSETS</t>
  </si>
  <si>
    <t xml:space="preserve">ANTICIPO </t>
  </si>
  <si>
    <t>ZAZIL</t>
  </si>
  <si>
    <t>VENTANAS</t>
  </si>
  <si>
    <t>SARABLOCKS</t>
  </si>
  <si>
    <t>BLOQUE</t>
  </si>
  <si>
    <t>ING RIVAS</t>
  </si>
  <si>
    <t>ASESORIA</t>
  </si>
  <si>
    <t>CARGADORES</t>
  </si>
  <si>
    <t>DE MATERIALES</t>
  </si>
  <si>
    <t>MADEDERIA</t>
  </si>
  <si>
    <t>TRIPLAY 3/40</t>
  </si>
  <si>
    <t>VICTOR</t>
  </si>
  <si>
    <t>VOLARIS</t>
  </si>
  <si>
    <t>CHALECOS</t>
  </si>
  <si>
    <t>UNIMAX</t>
  </si>
  <si>
    <t>CINTA DE PAPEL</t>
  </si>
  <si>
    <t>BHER INT MATE</t>
  </si>
  <si>
    <t>IMPAC SELLADOR</t>
  </si>
  <si>
    <t>RODILLO 3/4</t>
  </si>
  <si>
    <t>MICROFIBRA</t>
  </si>
  <si>
    <t>MANERAL 3/4</t>
  </si>
  <si>
    <t>CACHO</t>
  </si>
  <si>
    <t>RESANADOR Y PINTOR CASA 1</t>
  </si>
  <si>
    <t>JORGE</t>
  </si>
  <si>
    <t>DEMOLICION</t>
  </si>
  <si>
    <t>EXCAVACION Y PLANTILLAS</t>
  </si>
  <si>
    <t>COLADO Y ARMADO DE ACERO</t>
  </si>
  <si>
    <t>COLADO DE FIRME Y ARMADO DE ACERO</t>
  </si>
  <si>
    <t>ABS 4" X 3M</t>
  </si>
  <si>
    <t>POLIDUCTO 3/4" X 50M C/GUIA</t>
  </si>
  <si>
    <t>ABS CODO 4" X 45</t>
  </si>
  <si>
    <t>PEGAMENTO ABS A PVC</t>
  </si>
  <si>
    <t>CPVC CODO 3/4" X 90</t>
  </si>
  <si>
    <t>CPVC CODO ADAPTER HEMBRA 1/2</t>
  </si>
  <si>
    <t>CPVC ADAPTER HEMBRA 1/2</t>
  </si>
  <si>
    <t>CPVC BUSHING 3/4 X 1/2</t>
  </si>
  <si>
    <t>ESMERILIZADORA MILWAUKEE 7"</t>
  </si>
  <si>
    <t>TRUPER</t>
  </si>
  <si>
    <t>CARRETILLA</t>
  </si>
  <si>
    <t>MARRO</t>
  </si>
  <si>
    <t>PROACEROS</t>
  </si>
  <si>
    <t>ANCLA 5/8 X 16</t>
  </si>
  <si>
    <t>RONDANA 5/8</t>
  </si>
  <si>
    <t>TURCA 5/8</t>
  </si>
  <si>
    <t>PLASTICO 6MIL</t>
  </si>
  <si>
    <t>DISCO P/MADERA 7"</t>
  </si>
  <si>
    <t>BROCA CONCRETO 5/8</t>
  </si>
  <si>
    <t>BROCA 3/4</t>
  </si>
  <si>
    <t>CONEXIÓN 3/4</t>
  </si>
  <si>
    <t>FLEXOMETRO</t>
  </si>
  <si>
    <t>CHALECO</t>
  </si>
  <si>
    <t>CUCHILLAS DE REPUESTO</t>
  </si>
  <si>
    <t>BAJA PC</t>
  </si>
  <si>
    <t>EQUIPO DE COMPUTO ARQUITECTURA</t>
  </si>
  <si>
    <t>MALLA ELECTROSOLDADA 66-10</t>
  </si>
  <si>
    <t>PLACA POLIESTIRENO 2"</t>
  </si>
  <si>
    <t>PLACA POLIESTIRENO 1"</t>
  </si>
  <si>
    <t xml:space="preserve">GUANTE ALGODÓN </t>
  </si>
  <si>
    <t>5 PASAJEROS</t>
  </si>
  <si>
    <t>PVC GRIS CURVA 1 1/4" X 90 C/CAMPANA</t>
  </si>
  <si>
    <t>PVC GRIS COPLE 1 1/4"</t>
  </si>
  <si>
    <t>PVC GRIS CURVA 1 1/2" X 90 C/CAMPANA</t>
  </si>
  <si>
    <t xml:space="preserve">ABS CODO 3" X 90 </t>
  </si>
  <si>
    <t xml:space="preserve">PEGAMENTO ABS </t>
  </si>
  <si>
    <t>ABS CODO 2" X 90</t>
  </si>
  <si>
    <t>ABS CODO 2" X 45</t>
  </si>
  <si>
    <t>ABS YEE 4" X 3"</t>
  </si>
  <si>
    <t>ABS COPLE 3"</t>
  </si>
  <si>
    <t>ABS YEE 2"</t>
  </si>
  <si>
    <t>ABS TEE 3" X 2"</t>
  </si>
  <si>
    <t>ABS YEE 3" x 2"</t>
  </si>
  <si>
    <t>ABS BUSHING 4" X 2"</t>
  </si>
  <si>
    <t>ABS TEE 3"</t>
  </si>
  <si>
    <t xml:space="preserve">PEGAMENTO ABS A PVC </t>
  </si>
  <si>
    <t>PVC GRIS CONECTOR 1 1/4"</t>
  </si>
  <si>
    <t>PVC MONITOR ROSCA  1 1/A"</t>
  </si>
  <si>
    <t>CONTRATUERCA 1 1/4" STEEL</t>
  </si>
  <si>
    <t>ABS TEE 2"</t>
  </si>
  <si>
    <t>CPVC CODO 1 1/2" X 90</t>
  </si>
  <si>
    <t>MARCADOR NEGRO</t>
  </si>
  <si>
    <t>MARCADOR AZUL</t>
  </si>
  <si>
    <t>CPVC TEE 3/4"</t>
  </si>
  <si>
    <t>CPVC TEE 3/4" X 3/4" X 1/2"</t>
  </si>
  <si>
    <t>CPVC BUSHING 3/4" X 1/2"</t>
  </si>
  <si>
    <t>COVC COPLE 3/4"</t>
  </si>
  <si>
    <t>CPVC COPLE 1/2"</t>
  </si>
  <si>
    <t>CPVC CODO 1/2" 90</t>
  </si>
  <si>
    <t>REDUCCION BUSHING 1/2" X 1/4"</t>
  </si>
  <si>
    <t>CPVC TAPON CACHUCHA 3/4"</t>
  </si>
  <si>
    <t>CPVC TAPON CACHUCHA 1/2"</t>
  </si>
  <si>
    <t>CPVC TUBO 3/4"</t>
  </si>
  <si>
    <t>HOJA P/SEGUETA 24 DIENTES</t>
  </si>
  <si>
    <t>HOJA P/SEGUETA 18 DIENTES</t>
  </si>
  <si>
    <t>PVC GRIS 1 1/4" X 3M</t>
  </si>
  <si>
    <t>CPVC 1/2" X 3M</t>
  </si>
  <si>
    <t xml:space="preserve">ESCOBA </t>
  </si>
  <si>
    <t>CALIFORNIA TOOLS</t>
  </si>
  <si>
    <t>RENTA DE COMPACTADORA</t>
  </si>
  <si>
    <t xml:space="preserve">ABS TAPON CACHUCHA </t>
  </si>
  <si>
    <t>ABS YEE 3"</t>
  </si>
  <si>
    <t>ABS REDUCCION 3" X 2"</t>
  </si>
  <si>
    <t>ARMEX 10 X 20</t>
  </si>
  <si>
    <t>CPVC TAPON CACHUCHA 3/4</t>
  </si>
  <si>
    <t>FERROMETAL</t>
  </si>
  <si>
    <t>VARILLA 1/4</t>
  </si>
  <si>
    <t>ESPATULA FLEXIBLE</t>
  </si>
  <si>
    <t>MONITOR</t>
  </si>
  <si>
    <t>BASE PARA COMPUTADORA</t>
  </si>
  <si>
    <t>CAJA 4" X 6"</t>
  </si>
  <si>
    <t>CAJA 4" X 10"</t>
  </si>
  <si>
    <t>CAJA 4" X 8"</t>
  </si>
  <si>
    <t xml:space="preserve">PEGAMENTOS ABS </t>
  </si>
  <si>
    <t>PLASTER RING 4 " X 4"</t>
  </si>
  <si>
    <t>POLIDUCTO 3/4  C/GUIA</t>
  </si>
  <si>
    <t>PLASTER RING 4 " X 4" A 2" X 2"</t>
  </si>
  <si>
    <t xml:space="preserve">CAJA 4" X 4" </t>
  </si>
  <si>
    <t xml:space="preserve">TAPA 4" X 4" </t>
  </si>
  <si>
    <t>PEGAMENTO PVC</t>
  </si>
  <si>
    <t xml:space="preserve">CAJA 2" X 4" </t>
  </si>
  <si>
    <t>ABS CODO TALON 3" X 2"</t>
  </si>
  <si>
    <t>ABS CODO 3" X 90</t>
  </si>
  <si>
    <t>CPVC CODO MULLER 3/4" X 90</t>
  </si>
  <si>
    <t>CPVC COPLE 3/4"</t>
  </si>
  <si>
    <t>CPVC COPLE 3" X 45</t>
  </si>
  <si>
    <t>CPVC BUSHIMG 3/4" X 1/2"</t>
  </si>
  <si>
    <t>CPVC CODO 3/4" X 45</t>
  </si>
  <si>
    <t>CPVC CODO 1/2" X 90</t>
  </si>
  <si>
    <t xml:space="preserve">TARJETA CLIENTE </t>
  </si>
  <si>
    <t>VARILLA 1/4 6MTS</t>
  </si>
  <si>
    <t>VARILLA 1/4 6.35MTS</t>
  </si>
  <si>
    <t>ESTRADA</t>
  </si>
  <si>
    <t xml:space="preserve">BIDON GASOLINA </t>
  </si>
  <si>
    <t>BLOCK 8"</t>
  </si>
  <si>
    <t>PACIFICO</t>
  </si>
  <si>
    <t>DISCOS 4"</t>
  </si>
  <si>
    <t>FORTUNATO</t>
  </si>
  <si>
    <t>SERVICIO</t>
  </si>
  <si>
    <t xml:space="preserve">GAONA </t>
  </si>
  <si>
    <t>DOMPE</t>
  </si>
  <si>
    <t>TRASVCAVO</t>
  </si>
  <si>
    <t>ADMI DE COLORADO</t>
  </si>
  <si>
    <t>MAT BAHIA</t>
  </si>
  <si>
    <t>ARNES CAT 5E</t>
  </si>
  <si>
    <t>HDMI</t>
  </si>
  <si>
    <t>LORO</t>
  </si>
  <si>
    <t>PVC GRIS 1 1/2"</t>
  </si>
  <si>
    <t>PVC GRIS 1/2"</t>
  </si>
  <si>
    <t>GASTOS DIVERSOS</t>
  </si>
  <si>
    <t xml:space="preserve">CARNE ASADA </t>
  </si>
  <si>
    <t>8KG/CARNES/VERDURAS/SODAS/CERVEZA</t>
  </si>
  <si>
    <t>TRIPLAY 3/4"</t>
  </si>
  <si>
    <t xml:space="preserve">ADMINISTRACION </t>
  </si>
  <si>
    <t>ANTICIPO FUERTE</t>
  </si>
  <si>
    <t>ANTICIPO JOE</t>
  </si>
  <si>
    <t>ANTICIPO COCINAS Y PISOS BC</t>
  </si>
  <si>
    <t xml:space="preserve">FUERTE </t>
  </si>
  <si>
    <t>7.5M3      @F=250</t>
  </si>
  <si>
    <t>7.5M3      @F=251</t>
  </si>
  <si>
    <t>SALDO A FAVOR</t>
  </si>
  <si>
    <t>PROVEEDORES EXTERNOS</t>
  </si>
  <si>
    <t>MISCELANEOS</t>
  </si>
  <si>
    <t>GUSTAVO</t>
  </si>
  <si>
    <t>GRASA MULTIUSOS</t>
  </si>
  <si>
    <t xml:space="preserve">DISCO P/GUILLOTINA </t>
  </si>
  <si>
    <t>CHAROLA P/EPOXY</t>
  </si>
  <si>
    <t xml:space="preserve">BROCHA POLYESTER </t>
  </si>
  <si>
    <t>TARUGO 1/2"</t>
  </si>
  <si>
    <t>SIKADURT 32</t>
  </si>
  <si>
    <t>TUBERIA ABS 3"</t>
  </si>
  <si>
    <t xml:space="preserve">EMULFIBER CHATUMA </t>
  </si>
  <si>
    <t>PLACA POIESTIRENO 2"</t>
  </si>
  <si>
    <t>BLOQUES</t>
  </si>
  <si>
    <t>BLOQUE 6"</t>
  </si>
  <si>
    <t>CEMENTO</t>
  </si>
  <si>
    <t>FIJAPORCELANA MORTAR</t>
  </si>
  <si>
    <t>PINTURAS</t>
  </si>
  <si>
    <t>YESO</t>
  </si>
  <si>
    <t>MADERA</t>
  </si>
  <si>
    <t>EQUIPO</t>
  </si>
  <si>
    <t>VIGAS</t>
  </si>
  <si>
    <t>VARILLA</t>
  </si>
  <si>
    <t>PLACA</t>
  </si>
  <si>
    <t>ALAMBRE</t>
  </si>
  <si>
    <t>ALAMBRON</t>
  </si>
  <si>
    <t>CLAVOS</t>
  </si>
  <si>
    <t xml:space="preserve">DOMPE </t>
  </si>
  <si>
    <t>TRASCAVO</t>
  </si>
  <si>
    <t>MATERIALES VARIOS</t>
  </si>
  <si>
    <t>ESMERILIZADORA DEWALT 4"</t>
  </si>
  <si>
    <t>BREA FRIA</t>
  </si>
  <si>
    <t>DISCO 4"</t>
  </si>
  <si>
    <t>GUANTE DE ALGODÓN</t>
  </si>
  <si>
    <t>PLACA  2"</t>
  </si>
  <si>
    <t>PLASTICO</t>
  </si>
  <si>
    <t>COMERCIAL SONORA</t>
  </si>
  <si>
    <t xml:space="preserve">ANNULAR CUTTER </t>
  </si>
  <si>
    <t>TORNILLO 5/8"</t>
  </si>
  <si>
    <t>SHERWIN WILLIAMS</t>
  </si>
  <si>
    <t xml:space="preserve">PRIMER </t>
  </si>
  <si>
    <t>MANERAL MINI ROLL</t>
  </si>
  <si>
    <t>MINI PACK</t>
  </si>
  <si>
    <t>MATRIZ</t>
  </si>
  <si>
    <t>BREA FRIA/CHATUMA</t>
  </si>
  <si>
    <t>MALLA ELECTROSOLDADA</t>
  </si>
  <si>
    <t>PLACA POLIESTIRENO</t>
  </si>
  <si>
    <t>EQUIPO RENTADO</t>
  </si>
  <si>
    <t>ELECTRICIDAD</t>
  </si>
  <si>
    <t>PLACA 3/8</t>
  </si>
  <si>
    <t>PLACA 3/8 1" X 4" FT</t>
  </si>
  <si>
    <t>ALEXIS</t>
  </si>
  <si>
    <t>CONTRATO</t>
  </si>
  <si>
    <t>PAGADO</t>
  </si>
  <si>
    <t>EPOXY</t>
  </si>
  <si>
    <t>OASA</t>
  </si>
  <si>
    <t>SOLDADURA</t>
  </si>
  <si>
    <t>BARROTE 2" X 4" X 8"</t>
  </si>
  <si>
    <t>POLIN 4" X 4" X 8"</t>
  </si>
  <si>
    <t>ANZHER</t>
  </si>
  <si>
    <t>GROUT</t>
  </si>
  <si>
    <t>THINNER</t>
  </si>
  <si>
    <t>PAGOS PENDIENTES ERNESTO</t>
  </si>
  <si>
    <t>PAGOS PENDIENTES ALEXIS</t>
  </si>
  <si>
    <t>MOTIVO</t>
  </si>
  <si>
    <t>JOE</t>
  </si>
  <si>
    <t>GAONA</t>
  </si>
  <si>
    <t>MATERIALES</t>
  </si>
  <si>
    <t xml:space="preserve">JORGE </t>
  </si>
  <si>
    <t>TRANSFERENCIA</t>
  </si>
  <si>
    <t>SUB</t>
  </si>
  <si>
    <t>COMISION</t>
  </si>
  <si>
    <t>AZUL</t>
  </si>
  <si>
    <t>ACERO</t>
  </si>
  <si>
    <t>GRIS/AZUL</t>
  </si>
  <si>
    <t>LLANTA</t>
  </si>
  <si>
    <t>GASTOS VARIOS</t>
  </si>
  <si>
    <t>CARNE</t>
  </si>
  <si>
    <t xml:space="preserve">HOME DEPOT </t>
  </si>
  <si>
    <t xml:space="preserve">GASOLINA </t>
  </si>
  <si>
    <t>ERNESTO</t>
  </si>
  <si>
    <t>MAESTROS</t>
  </si>
  <si>
    <t>AYUDANTES</t>
  </si>
  <si>
    <t>ALEXIS COMPRAS</t>
  </si>
  <si>
    <t>CONCRETE MIX</t>
  </si>
  <si>
    <t>BUZON</t>
  </si>
  <si>
    <t>AIRWICK</t>
  </si>
  <si>
    <t>TRAPOS DE FIBRA</t>
  </si>
  <si>
    <t>NA</t>
  </si>
  <si>
    <t>CLAVO P/MADERA 4"</t>
  </si>
  <si>
    <t>DISCO P/SIERRA</t>
  </si>
  <si>
    <t>POLVO TIRALINEAS</t>
  </si>
  <si>
    <t>COMPRAS SD</t>
  </si>
  <si>
    <t>AT-XP10</t>
  </si>
  <si>
    <t>CRAYON ROJO</t>
  </si>
  <si>
    <t>CRAYON AMARILLO</t>
  </si>
  <si>
    <t>EPOXY BRUSH 3/4"</t>
  </si>
  <si>
    <t>CUCHARA</t>
  </si>
  <si>
    <t>SMALL MORTAR TUB</t>
  </si>
  <si>
    <t>PUNTILLAS EPOXY</t>
  </si>
  <si>
    <t>CHAROLAS Y PUNTILLAS</t>
  </si>
  <si>
    <t>CENTRO DE CARGA</t>
  </si>
  <si>
    <t>TERMINAL TIEERA</t>
  </si>
  <si>
    <t>POLY GAS 3/4</t>
  </si>
  <si>
    <t>ELECTRICO</t>
  </si>
  <si>
    <t>FERGUSON</t>
  </si>
  <si>
    <t>VALVULAS</t>
  </si>
  <si>
    <t>TIENDA</t>
  </si>
  <si>
    <t>MONTO</t>
  </si>
  <si>
    <t>WHITE CAP</t>
  </si>
  <si>
    <t>EPOXY SIMPSON</t>
  </si>
  <si>
    <t>VALVULA INTERNA PASILLO</t>
  </si>
  <si>
    <t>VALVULA INTERNA MASTER</t>
  </si>
  <si>
    <t>MANGUERA GAS 3/4</t>
  </si>
  <si>
    <t>TEE 3/4</t>
  </si>
  <si>
    <t>CTTR</t>
  </si>
  <si>
    <t>BUILD</t>
  </si>
  <si>
    <t>MONOMANDOS</t>
  </si>
  <si>
    <t>GENERAL</t>
  </si>
  <si>
    <t xml:space="preserve">FECHA </t>
  </si>
  <si>
    <t>PROVEEDOR</t>
  </si>
  <si>
    <t>INGRESO</t>
  </si>
  <si>
    <t>GASTO</t>
  </si>
  <si>
    <t>INICIO</t>
  </si>
  <si>
    <t>ERNESTO ADIL</t>
  </si>
  <si>
    <t>HERRERO</t>
  </si>
  <si>
    <t>GABRIEL</t>
  </si>
  <si>
    <t>VIGA Y BOVEDILLA</t>
  </si>
  <si>
    <t>MANO DE OBRA</t>
  </si>
  <si>
    <t xml:space="preserve">yesero </t>
  </si>
  <si>
    <t>3 semanas</t>
  </si>
  <si>
    <t>tablaroquero</t>
  </si>
  <si>
    <t>3 dias</t>
  </si>
  <si>
    <t>TABLAROCA</t>
  </si>
  <si>
    <t>COCINA</t>
  </si>
  <si>
    <t>YESERO</t>
  </si>
  <si>
    <t xml:space="preserve">CEMENTO TON </t>
  </si>
  <si>
    <t xml:space="preserve">MATERIALES </t>
  </si>
  <si>
    <t>TABLAROQUERO</t>
  </si>
  <si>
    <t>VIGUETA Y CASETON</t>
  </si>
  <si>
    <t>NOMINA INTERNA</t>
  </si>
  <si>
    <t>FACHADA</t>
  </si>
  <si>
    <t>LOSETA</t>
  </si>
  <si>
    <t>INSTALACION DE LOSETA</t>
  </si>
  <si>
    <t>¿?</t>
  </si>
  <si>
    <t>LOSETERO</t>
  </si>
  <si>
    <t>INSTALACION S1</t>
  </si>
  <si>
    <t>INSTALACION S2</t>
  </si>
  <si>
    <t>MINISPLITS</t>
  </si>
  <si>
    <t>EQUIPO Y MANO DE OBRA</t>
  </si>
  <si>
    <t>PINTOR</t>
  </si>
  <si>
    <t xml:space="preserve">PINTOR </t>
  </si>
  <si>
    <t>S1</t>
  </si>
  <si>
    <t>S2</t>
  </si>
  <si>
    <t>S3</t>
  </si>
  <si>
    <t>LUMINARIA</t>
  </si>
  <si>
    <t>VENTANERO</t>
  </si>
  <si>
    <t xml:space="preserve">TAZAS </t>
  </si>
  <si>
    <t>ACCESORIOS</t>
  </si>
  <si>
    <t>MUEBLES DE BAÑO</t>
  </si>
  <si>
    <t>CUARZO</t>
  </si>
  <si>
    <t>PENDIENTE</t>
  </si>
  <si>
    <t>COPLE RAPIDO COMPRESOR</t>
  </si>
  <si>
    <t>VARILLA ROSCADA 1/2"</t>
  </si>
  <si>
    <t>RONDANA 1/2"</t>
  </si>
  <si>
    <t>TUERCA HEXAGONAL 1/2"</t>
  </si>
  <si>
    <t>COMENTARIO</t>
  </si>
  <si>
    <t>UNIDAD DE MEDICION</t>
  </si>
  <si>
    <t xml:space="preserve">MANO DE OBRA </t>
  </si>
  <si>
    <t>SERVICIOS</t>
  </si>
  <si>
    <t>PREPARACION 2DO PISO</t>
  </si>
  <si>
    <t>ARMADO 2DO PISO</t>
  </si>
  <si>
    <t>2 PAGOS</t>
  </si>
  <si>
    <t>SEMANAS</t>
  </si>
  <si>
    <t>NOMINA</t>
  </si>
  <si>
    <t>PAGOS</t>
  </si>
  <si>
    <t>VISITAS</t>
  </si>
  <si>
    <t>GASTOS ADMINISTRATIVOS</t>
  </si>
  <si>
    <t>PERSONAL</t>
  </si>
  <si>
    <t xml:space="preserve">VICTOR </t>
  </si>
  <si>
    <t>ROLLO DE MALLA ELECTROSOLDADA</t>
  </si>
  <si>
    <t>KG</t>
  </si>
  <si>
    <t>ROLLOS</t>
  </si>
  <si>
    <t>PLACAS</t>
  </si>
  <si>
    <t>VARILLA 3/8"</t>
  </si>
  <si>
    <t>VARILLA 1/2"</t>
  </si>
  <si>
    <t>VARILLA 5/8"</t>
  </si>
  <si>
    <t>VARILLA 1/4"</t>
  </si>
  <si>
    <t xml:space="preserve">ARENA </t>
  </si>
  <si>
    <t>GRAVA</t>
  </si>
  <si>
    <t>RETIRO DE ESCOMBRO</t>
  </si>
  <si>
    <t>ARENA</t>
  </si>
  <si>
    <t>M3</t>
  </si>
  <si>
    <t>HRS</t>
  </si>
  <si>
    <t>ML</t>
  </si>
  <si>
    <t>IPR</t>
  </si>
  <si>
    <t>66/88</t>
  </si>
  <si>
    <t>2"-2 1/2"-3 1/4"</t>
  </si>
  <si>
    <t>RECOCIDO</t>
  </si>
  <si>
    <t>1/4"</t>
  </si>
  <si>
    <t>5/8"</t>
  </si>
  <si>
    <t>DE ACERO</t>
  </si>
  <si>
    <t>FIJAPORCELANA</t>
  </si>
  <si>
    <t>PLACA DE POLIESTIRENO</t>
  </si>
  <si>
    <t>CARGADOREES</t>
  </si>
  <si>
    <t>SIMPSON</t>
  </si>
  <si>
    <t>PINTURA</t>
  </si>
  <si>
    <t>CUBETAS</t>
  </si>
  <si>
    <t>PZS</t>
  </si>
  <si>
    <t>SACOS</t>
  </si>
  <si>
    <t>ANTICIPOS</t>
  </si>
  <si>
    <t>UTILIZADO</t>
  </si>
  <si>
    <t>30M3 @250</t>
  </si>
  <si>
    <t>VENTANAS JOE</t>
  </si>
  <si>
    <t>VARIOS</t>
  </si>
  <si>
    <t>COLOCACION DE VIGAS</t>
  </si>
  <si>
    <t>PREPARACION DE VIGAS</t>
  </si>
  <si>
    <t>BARROTES 2" X 4" X 8"</t>
  </si>
  <si>
    <t>FERRETERIA LA ROCA</t>
  </si>
  <si>
    <t>SURTIACEROS</t>
  </si>
  <si>
    <t>VARILLIN 1/4"</t>
  </si>
  <si>
    <t>agregar a otro desglose</t>
  </si>
  <si>
    <t>PLYWOOD 3/4"</t>
  </si>
  <si>
    <t>PLYWOOD 1/2"</t>
  </si>
  <si>
    <t>MADERAS DIRECTAS</t>
  </si>
  <si>
    <t>VECTOR</t>
  </si>
  <si>
    <t>CANAL 3 5/8" CAL.20</t>
  </si>
  <si>
    <t>POSTE 3 5/8" CAL.20</t>
  </si>
  <si>
    <t>POSTE 6" CAL .20</t>
  </si>
  <si>
    <t>CANAL 6" CAL .20</t>
  </si>
  <si>
    <t>CLAVO C/RONDANA 1 1/4"</t>
  </si>
  <si>
    <t>TORNIBROCA NO. 6</t>
  </si>
  <si>
    <t xml:space="preserve">TORNIGRAMER BROCA </t>
  </si>
  <si>
    <t>TORNIPLAY NO. 6</t>
  </si>
  <si>
    <t>BREA FRIA GALON</t>
  </si>
  <si>
    <t>MATERIAL PARA CONSTRUCCION LIGERA</t>
  </si>
  <si>
    <t>MATERIAL TABLAROCA</t>
  </si>
  <si>
    <t>ALBERTO</t>
  </si>
  <si>
    <t xml:space="preserve">REEMBOLSO </t>
  </si>
  <si>
    <t xml:space="preserve">CAJA CHICA  </t>
  </si>
  <si>
    <t>DEPOSITADO</t>
  </si>
  <si>
    <t>COMPRADO</t>
  </si>
  <si>
    <t>SALDO1</t>
  </si>
  <si>
    <t>EFECTIVO</t>
  </si>
  <si>
    <t>+</t>
  </si>
  <si>
    <t>-</t>
  </si>
  <si>
    <t>CHALAN</t>
  </si>
  <si>
    <t>MAITROS</t>
  </si>
  <si>
    <t>YAIR</t>
  </si>
  <si>
    <t>TAX</t>
  </si>
  <si>
    <t>SUBTOTAL0</t>
  </si>
  <si>
    <t>ANGULO 1 1/4"</t>
  </si>
  <si>
    <t>LISTON 7/8</t>
  </si>
  <si>
    <t>CARGA STEELROCK</t>
  </si>
  <si>
    <t>COLADO</t>
  </si>
  <si>
    <t>VARILLA 5/8</t>
  </si>
  <si>
    <t xml:space="preserve">LE DI 1000 MAS </t>
  </si>
  <si>
    <t>DETALLADO DE VIGAS</t>
  </si>
  <si>
    <t>TORTILLOS</t>
  </si>
  <si>
    <t>SALDO</t>
  </si>
  <si>
    <t xml:space="preserve">ARMADO </t>
  </si>
  <si>
    <t>ASESORIA 3</t>
  </si>
  <si>
    <t>ADAPTER MACHO CPVC 1/2"</t>
  </si>
  <si>
    <t>ADAPTER HEMBRA CPVC 1/2"</t>
  </si>
  <si>
    <t>CONECTOR POLIFLEX 1/2"</t>
  </si>
  <si>
    <t>PLASTERING 4 11/16"</t>
  </si>
  <si>
    <t>CONECTOR POLIFLEX 3/4"</t>
  </si>
  <si>
    <t>CAJA 4 11/16"</t>
  </si>
  <si>
    <t>BOTE INTEGRAL 8 CM</t>
  </si>
  <si>
    <t>BOTE INTEGRAL 10 CM</t>
  </si>
  <si>
    <t>PREPO GAS PROPILENO</t>
  </si>
  <si>
    <t>TEFLON LIQUIDO</t>
  </si>
  <si>
    <t>TAPE AISLANTE 3/4"</t>
  </si>
  <si>
    <t>TAPE AISLANTE 3/4" ROJO</t>
  </si>
  <si>
    <t>TEFLON 1/2"</t>
  </si>
  <si>
    <t>REPUESTO P/NAVAJA</t>
  </si>
  <si>
    <t>CAJA OCTAGONAL 4"</t>
  </si>
  <si>
    <t>LLAVE ANGULAR</t>
  </si>
  <si>
    <t>CABLE NEGRO 12</t>
  </si>
  <si>
    <t>CABLE ROJO 12</t>
  </si>
  <si>
    <t>NAVAJA RETRACTIL</t>
  </si>
  <si>
    <t>CABLE VERDE 12</t>
  </si>
  <si>
    <t>CABLE BLANCO 12</t>
  </si>
  <si>
    <t>CABLE NEGRO 10</t>
  </si>
  <si>
    <t>JORGE ADELANTO</t>
  </si>
  <si>
    <t>REDONDO 1/2" X 20FT</t>
  </si>
  <si>
    <t>COPLE 2" X 2"</t>
  </si>
  <si>
    <t>ABS BUSHING 2" X 1 1/2"</t>
  </si>
  <si>
    <t>ABS CODO 1 1/2" X 90*</t>
  </si>
  <si>
    <t>ABS COPLE 2"</t>
  </si>
  <si>
    <t>ABS ADAPTER MACHO 1 1/2"</t>
  </si>
  <si>
    <t>ABS YEE 1 1/2"</t>
  </si>
  <si>
    <t>ABS CODO 1 1/2" X 45</t>
  </si>
  <si>
    <t>ABS TEE 1 1/2"</t>
  </si>
  <si>
    <t>ABS COPLE 1 1/2"</t>
  </si>
  <si>
    <t>ABS TUBO 1 1/2" X 20FT</t>
  </si>
  <si>
    <t>COPIAS</t>
  </si>
  <si>
    <t>LIGAS</t>
  </si>
  <si>
    <t>FOLDER</t>
  </si>
  <si>
    <t>ANCHORFIX 2</t>
  </si>
  <si>
    <t>SEALING WINDOW</t>
  </si>
  <si>
    <t>GALVANIZADA PIPE</t>
  </si>
  <si>
    <t>BUILDING PAPER</t>
  </si>
  <si>
    <t>COPLE BRASS</t>
  </si>
  <si>
    <t>COPLE 1/4"</t>
  </si>
  <si>
    <t>IMPERMEABILIZACION</t>
  </si>
  <si>
    <t>EPOXY ATP</t>
  </si>
  <si>
    <t>EPOXY MIXING</t>
  </si>
  <si>
    <t>ADELANTO X CHOQUE</t>
  </si>
  <si>
    <t xml:space="preserve">SERVICIO </t>
  </si>
  <si>
    <t>TIEMPO</t>
  </si>
  <si>
    <t>COPLE BANDA ACERO 1 1/2"</t>
  </si>
  <si>
    <t>LAPIZ CARPINTERO</t>
  </si>
  <si>
    <t>TEE CU 3/4"</t>
  </si>
  <si>
    <t>CODO CU 3/4" X 90</t>
  </si>
  <si>
    <t>ADAPTER MACHO CU 3/4"</t>
  </si>
  <si>
    <t>CDX 1/2</t>
  </si>
  <si>
    <t>FIBRAMALLA</t>
  </si>
  <si>
    <t xml:space="preserve">TORNIFRAMER BROCA </t>
  </si>
  <si>
    <t>SOBRABA</t>
  </si>
  <si>
    <t>ABS 3" 22-1</t>
  </si>
  <si>
    <t>GUANTES</t>
  </si>
  <si>
    <t>CIZAYAS</t>
  </si>
  <si>
    <t>MENSULA</t>
  </si>
  <si>
    <t>SELLADOR ESPUMA</t>
  </si>
  <si>
    <t xml:space="preserve">PEGAMENTO CPVC </t>
  </si>
  <si>
    <t>PLASTER RING 4 11/16"</t>
  </si>
  <si>
    <t>PVC COPLE 1"</t>
  </si>
  <si>
    <t>CPVC CODO  3/4"</t>
  </si>
  <si>
    <t>CPVC DOCO 3/4 X 45</t>
  </si>
  <si>
    <t>TUBO COBRE P/GAS 3/4" X 10FT</t>
  </si>
  <si>
    <t>TUBO PVC HIDRAULICO 1/2"</t>
  </si>
  <si>
    <t>TABLAROCA 1/2"</t>
  </si>
  <si>
    <t>PET FORTUNAS</t>
  </si>
  <si>
    <t>ESCUADRA 8"</t>
  </si>
  <si>
    <t>ARMEX 15 X 20</t>
  </si>
  <si>
    <t>COMEX</t>
  </si>
  <si>
    <t>SELLADOR 5 X 1</t>
  </si>
  <si>
    <t xml:space="preserve">AEROSOL ACRILICO </t>
  </si>
  <si>
    <t>FIBRACINTA</t>
  </si>
  <si>
    <t>PERFACINTA</t>
  </si>
  <si>
    <t>DUROCK 1/2</t>
  </si>
  <si>
    <t>AISLANTE R11</t>
  </si>
  <si>
    <t>READYMIX</t>
  </si>
  <si>
    <t>CEMENBOND</t>
  </si>
  <si>
    <t>ESPUMA POLIURETANO</t>
  </si>
  <si>
    <t>LIQUID NAIL</t>
  </si>
  <si>
    <t>TABLON 2 X 6 X 10</t>
  </si>
  <si>
    <t xml:space="preserve">TABLA DE PINO </t>
  </si>
  <si>
    <t>CONECTORES POLIFLEX 1/2</t>
  </si>
  <si>
    <t>ABRAZADERA DE UÑA 1/2</t>
  </si>
  <si>
    <t>CASH</t>
  </si>
  <si>
    <t>BANORTE</t>
  </si>
  <si>
    <t>BANAMEX</t>
  </si>
  <si>
    <t xml:space="preserve">LOSETA 1ER PISO </t>
  </si>
  <si>
    <t>LOSETA LLORON</t>
  </si>
  <si>
    <t>SKU</t>
  </si>
  <si>
    <t>CONCRETO</t>
  </si>
  <si>
    <t>EGRESO</t>
  </si>
  <si>
    <t>BALANCE</t>
  </si>
  <si>
    <t>REGLA</t>
  </si>
  <si>
    <t xml:space="preserve">LOSETA </t>
  </si>
  <si>
    <t>CARNE ASADA</t>
  </si>
  <si>
    <t>BASUREROS</t>
  </si>
  <si>
    <t>PRECIO</t>
  </si>
  <si>
    <t>TOTAL EST</t>
  </si>
  <si>
    <t xml:space="preserve">ANDAMIOS </t>
  </si>
  <si>
    <t xml:space="preserve">PISO FALTANTE </t>
  </si>
  <si>
    <t>PAGAS</t>
  </si>
  <si>
    <t xml:space="preserve">LAPIZ </t>
  </si>
  <si>
    <t>GREÑAS</t>
  </si>
  <si>
    <t>CHAVA</t>
  </si>
  <si>
    <t>PINTORES</t>
  </si>
  <si>
    <t>ALBANIL</t>
  </si>
  <si>
    <t>HD LIMPIEZA</t>
  </si>
  <si>
    <t>HD PINTOR</t>
  </si>
  <si>
    <t>HD PEGAPORCELANA</t>
  </si>
  <si>
    <t>HD</t>
  </si>
  <si>
    <t>HOJA CDX P CARPINTERIA</t>
  </si>
  <si>
    <t>HOME DEPOT ELECTRICIDAD</t>
  </si>
  <si>
    <t>ACEITE PARA CLUTCH</t>
  </si>
  <si>
    <t>CHAPA PRINCIPAL</t>
  </si>
  <si>
    <t>SOCLO EXTRA</t>
  </si>
  <si>
    <t>BASURA</t>
  </si>
  <si>
    <t>M2</t>
  </si>
  <si>
    <t>COSTO M2</t>
  </si>
  <si>
    <t>CHIMENEA</t>
  </si>
  <si>
    <t>MURO LLORON</t>
  </si>
  <si>
    <t>COTIZACIONES EXTRAS</t>
  </si>
  <si>
    <t>AREAS</t>
  </si>
  <si>
    <t>TERREZA (CON RIEL NEGRO CORRIDO)</t>
  </si>
  <si>
    <t>VIDRIO DE REGADERA MASTER (NO INCLUYE SUJETADORES)</t>
  </si>
  <si>
    <t>ANTICIPO (50%)</t>
  </si>
  <si>
    <t>INSTALACION (30%)</t>
  </si>
  <si>
    <t>ENTREGA (20%)</t>
  </si>
  <si>
    <t>MATERIALES P/PINTAR</t>
  </si>
  <si>
    <t>ALUMINIOS PARA SALIDAS</t>
  </si>
  <si>
    <t>AMAZON</t>
  </si>
  <si>
    <t>LUCES MURO LLORON</t>
  </si>
  <si>
    <t>BOMBA Y TRANSFORMADOR P/ MURO LLORON</t>
  </si>
  <si>
    <t>COLADERAS, EXTRACTORES Y LUCES</t>
  </si>
  <si>
    <t>CLIPS 1/16</t>
  </si>
  <si>
    <t xml:space="preserve">LETRAS LED Y CABLEADO </t>
  </si>
  <si>
    <t>LUMBER CO</t>
  </si>
  <si>
    <t>LINEA PARA GAS</t>
  </si>
  <si>
    <t>UNIONES PARA LIENA DE GAS</t>
  </si>
  <si>
    <t>VALVULAS DE PASO</t>
  </si>
  <si>
    <t>LAMPARAS EMPOTRABLES Y MONOMANDOS</t>
  </si>
  <si>
    <t>LLAVE DE LAVABO</t>
  </si>
  <si>
    <t>HORNO</t>
  </si>
  <si>
    <t>FLOOR &amp; DECOR</t>
  </si>
  <si>
    <t>CAJA P VALVULA, Y CONEXIONES</t>
  </si>
  <si>
    <t>CERAMICA PARA NICHOS EN REGADERAS</t>
  </si>
  <si>
    <t>ALUMINIO PARA PUERTA</t>
  </si>
  <si>
    <t>SAT</t>
  </si>
  <si>
    <t>PAGO POR CRUZAR MATERIALES</t>
  </si>
  <si>
    <t>SELLADOR</t>
  </si>
  <si>
    <t>TAPES Y RODILLOS</t>
  </si>
  <si>
    <t>RAINBOW STONE</t>
  </si>
  <si>
    <t>MATERIALES P ANTORCHADO Y T TOP P/ROOF</t>
  </si>
  <si>
    <t>SINK</t>
  </si>
  <si>
    <t xml:space="preserve">LUCES, CHAPAS, TOPES </t>
  </si>
  <si>
    <t>ROOF JACK</t>
  </si>
  <si>
    <t>DECORAS, SELLADOR Y TRITURADOR</t>
  </si>
  <si>
    <t>ROOF FLASH</t>
  </si>
  <si>
    <t>JALADERAS Y ESPEJO</t>
  </si>
  <si>
    <t>TERMOSTATO</t>
  </si>
  <si>
    <t xml:space="preserve">PRESTAMO PARA PAGAR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</si>
</sst>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E6D5C6"/>
        <bgColor indexed="64"/>
      </patternFill>
    </fill>
    <fill>
      <patternFill patternType="solid">
        <fgColor rgb="FFFFADAD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CEA2A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" fontId="0" fillId="0" borderId="0" xfId="0" applyNumberFormat="1"/>
    <xf numFmtId="44" fontId="0" fillId="0" borderId="1" xfId="1" applyFont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44" fontId="0" fillId="0" borderId="0" xfId="1" applyFont="1"/>
    <xf numFmtId="44" fontId="0" fillId="0" borderId="0" xfId="1" applyFont="1" applyFill="1"/>
    <xf numFmtId="0" fontId="0" fillId="0" borderId="0" xfId="1" applyNumberFormat="1" applyFont="1"/>
    <xf numFmtId="44" fontId="0" fillId="0" borderId="0" xfId="0" applyNumberFormat="1"/>
    <xf numFmtId="0" fontId="0" fillId="0" borderId="1" xfId="0" applyBorder="1"/>
    <xf numFmtId="44" fontId="0" fillId="0" borderId="1" xfId="1" applyFont="1" applyBorder="1"/>
    <xf numFmtId="16" fontId="0" fillId="0" borderId="1" xfId="0" applyNumberFormat="1" applyBorder="1"/>
    <xf numFmtId="0" fontId="0" fillId="2" borderId="1" xfId="0" applyFill="1" applyBorder="1"/>
    <xf numFmtId="44" fontId="0" fillId="0" borderId="1" xfId="0" applyNumberFormat="1" applyBorder="1"/>
    <xf numFmtId="44" fontId="0" fillId="2" borderId="1" xfId="0" applyNumberFormat="1" applyFill="1" applyBorder="1"/>
    <xf numFmtId="16" fontId="0" fillId="2" borderId="1" xfId="0" applyNumberFormat="1" applyFill="1" applyBorder="1"/>
    <xf numFmtId="44" fontId="0" fillId="2" borderId="1" xfId="1" applyFont="1" applyFill="1" applyBorder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/>
    <xf numFmtId="0" fontId="0" fillId="4" borderId="0" xfId="0" applyFill="1" applyAlignment="1">
      <alignment horizontal="center"/>
    </xf>
    <xf numFmtId="44" fontId="0" fillId="4" borderId="0" xfId="1" applyFont="1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16" fontId="0" fillId="9" borderId="0" xfId="0" applyNumberFormat="1" applyFill="1"/>
    <xf numFmtId="0" fontId="0" fillId="9" borderId="0" xfId="0" applyFill="1" applyAlignment="1">
      <alignment horizontal="center"/>
    </xf>
    <xf numFmtId="0" fontId="0" fillId="9" borderId="0" xfId="0" applyFill="1"/>
    <xf numFmtId="44" fontId="0" fillId="9" borderId="0" xfId="1" applyFont="1" applyFill="1"/>
    <xf numFmtId="16" fontId="0" fillId="10" borderId="0" xfId="0" applyNumberFormat="1" applyFill="1"/>
    <xf numFmtId="0" fontId="0" fillId="10" borderId="0" xfId="0" applyFill="1" applyAlignment="1">
      <alignment horizontal="center"/>
    </xf>
    <xf numFmtId="44" fontId="0" fillId="10" borderId="0" xfId="1" applyFont="1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6" fontId="0" fillId="13" borderId="0" xfId="0" applyNumberFormat="1" applyFill="1"/>
    <xf numFmtId="0" fontId="0" fillId="13" borderId="0" xfId="0" applyFill="1" applyAlignment="1">
      <alignment horizontal="center"/>
    </xf>
    <xf numFmtId="0" fontId="0" fillId="13" borderId="0" xfId="0" applyFill="1"/>
    <xf numFmtId="44" fontId="0" fillId="13" borderId="0" xfId="1" applyFont="1" applyFill="1"/>
    <xf numFmtId="0" fontId="0" fillId="14" borderId="0" xfId="0" applyFill="1" applyAlignment="1">
      <alignment horizontal="center"/>
    </xf>
    <xf numFmtId="0" fontId="0" fillId="0" borderId="0" xfId="0" applyAlignment="1">
      <alignment horizontal="left"/>
    </xf>
    <xf numFmtId="44" fontId="0" fillId="0" borderId="0" xfId="1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0" fillId="16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1" applyNumberFormat="1" applyFont="1" applyBorder="1"/>
    <xf numFmtId="0" fontId="0" fillId="17" borderId="0" xfId="0" applyFill="1" applyAlignment="1">
      <alignment horizontal="center"/>
    </xf>
    <xf numFmtId="44" fontId="0" fillId="17" borderId="0" xfId="1" applyFont="1" applyFill="1"/>
    <xf numFmtId="0" fontId="0" fillId="18" borderId="0" xfId="0" applyFill="1" applyAlignment="1">
      <alignment horizontal="center"/>
    </xf>
    <xf numFmtId="44" fontId="0" fillId="18" borderId="0" xfId="1" applyFont="1" applyFill="1"/>
    <xf numFmtId="0" fontId="0" fillId="19" borderId="0" xfId="0" applyFill="1" applyAlignment="1">
      <alignment horizontal="center"/>
    </xf>
    <xf numFmtId="44" fontId="0" fillId="0" borderId="1" xfId="1" applyFont="1" applyFill="1" applyBorder="1"/>
    <xf numFmtId="0" fontId="0" fillId="0" borderId="1" xfId="1" applyNumberFormat="1" applyFont="1" applyFill="1" applyBorder="1" applyAlignment="1">
      <alignment horizontal="center"/>
    </xf>
    <xf numFmtId="0" fontId="0" fillId="20" borderId="0" xfId="0" applyFill="1" applyAlignment="1">
      <alignment horizontal="center"/>
    </xf>
    <xf numFmtId="0" fontId="0" fillId="0" borderId="4" xfId="0" applyBorder="1" applyAlignment="1">
      <alignment horizontal="center"/>
    </xf>
    <xf numFmtId="44" fontId="0" fillId="0" borderId="4" xfId="1" applyFont="1" applyBorder="1" applyAlignment="1">
      <alignment horizontal="center"/>
    </xf>
    <xf numFmtId="44" fontId="0" fillId="0" borderId="4" xfId="1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" fontId="0" fillId="13" borderId="0" xfId="0" applyNumberFormat="1" applyFill="1" applyAlignment="1">
      <alignment horizontal="center"/>
    </xf>
    <xf numFmtId="0" fontId="0" fillId="0" borderId="1" xfId="0" applyBorder="1" applyAlignment="1">
      <alignment horizontal="left"/>
    </xf>
    <xf numFmtId="0" fontId="0" fillId="9" borderId="0" xfId="0" applyFill="1" applyAlignment="1">
      <alignment horizontal="left"/>
    </xf>
    <xf numFmtId="0" fontId="0" fillId="13" borderId="0" xfId="0" applyFill="1" applyAlignment="1">
      <alignment horizontal="left"/>
    </xf>
    <xf numFmtId="44" fontId="0" fillId="9" borderId="0" xfId="1" applyFont="1" applyFill="1" applyAlignment="1">
      <alignment horizontal="left"/>
    </xf>
    <xf numFmtId="44" fontId="0" fillId="0" borderId="0" xfId="1" applyFont="1" applyAlignment="1">
      <alignment horizontal="left"/>
    </xf>
    <xf numFmtId="44" fontId="0" fillId="13" borderId="0" xfId="1" applyFont="1" applyFill="1" applyAlignment="1">
      <alignment horizontal="left"/>
    </xf>
    <xf numFmtId="16" fontId="0" fillId="9" borderId="0" xfId="0" applyNumberFormat="1" applyFill="1" applyAlignment="1">
      <alignment horizontal="center"/>
    </xf>
    <xf numFmtId="44" fontId="0" fillId="0" borderId="1" xfId="1" applyFont="1" applyFill="1" applyBorder="1" applyAlignment="1">
      <alignment horizontal="left"/>
    </xf>
    <xf numFmtId="44" fontId="0" fillId="0" borderId="5" xfId="1" applyFont="1" applyFill="1" applyBorder="1" applyAlignment="1">
      <alignment horizontal="center"/>
    </xf>
    <xf numFmtId="44" fontId="0" fillId="0" borderId="0" xfId="1" applyFont="1" applyFill="1" applyBorder="1" applyAlignment="1">
      <alignment horizontal="left"/>
    </xf>
    <xf numFmtId="16" fontId="0" fillId="21" borderId="1" xfId="0" applyNumberFormat="1" applyFill="1" applyBorder="1" applyAlignment="1">
      <alignment horizontal="center"/>
    </xf>
    <xf numFmtId="44" fontId="0" fillId="21" borderId="1" xfId="1" applyFont="1" applyFill="1" applyBorder="1" applyAlignment="1">
      <alignment horizontal="center"/>
    </xf>
    <xf numFmtId="44" fontId="0" fillId="21" borderId="0" xfId="1" applyFont="1" applyFill="1"/>
    <xf numFmtId="16" fontId="0" fillId="3" borderId="1" xfId="0" applyNumberFormat="1" applyFill="1" applyBorder="1" applyAlignment="1">
      <alignment horizontal="center"/>
    </xf>
    <xf numFmtId="44" fontId="0" fillId="3" borderId="1" xfId="1" applyFont="1" applyFill="1" applyBorder="1" applyAlignment="1">
      <alignment horizontal="center"/>
    </xf>
    <xf numFmtId="16" fontId="0" fillId="10" borderId="1" xfId="0" applyNumberFormat="1" applyFill="1" applyBorder="1" applyAlignment="1">
      <alignment horizontal="center"/>
    </xf>
    <xf numFmtId="44" fontId="0" fillId="10" borderId="1" xfId="1" applyFont="1" applyFill="1" applyBorder="1" applyAlignment="1">
      <alignment horizontal="center"/>
    </xf>
    <xf numFmtId="44" fontId="0" fillId="21" borderId="1" xfId="1" applyFont="1" applyFill="1" applyBorder="1"/>
    <xf numFmtId="16" fontId="0" fillId="4" borderId="1" xfId="0" applyNumberFormat="1" applyFill="1" applyBorder="1" applyAlignment="1">
      <alignment horizontal="center"/>
    </xf>
    <xf numFmtId="44" fontId="0" fillId="4" borderId="1" xfId="1" applyFont="1" applyFill="1" applyBorder="1" applyAlignment="1">
      <alignment horizontal="center"/>
    </xf>
    <xf numFmtId="44" fontId="0" fillId="4" borderId="1" xfId="1" applyFont="1" applyFill="1" applyBorder="1"/>
    <xf numFmtId="16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44" fontId="0" fillId="7" borderId="1" xfId="1" applyFont="1" applyFill="1" applyBorder="1" applyAlignment="1">
      <alignment horizontal="center"/>
    </xf>
    <xf numFmtId="44" fontId="0" fillId="7" borderId="1" xfId="1" applyFont="1" applyFill="1" applyBorder="1" applyAlignment="1">
      <alignment horizontal="left"/>
    </xf>
    <xf numFmtId="44" fontId="0" fillId="7" borderId="1" xfId="1" applyFont="1" applyFill="1" applyBorder="1"/>
    <xf numFmtId="16" fontId="0" fillId="17" borderId="1" xfId="0" applyNumberFormat="1" applyFill="1" applyBorder="1" applyAlignment="1">
      <alignment horizontal="center"/>
    </xf>
    <xf numFmtId="44" fontId="0" fillId="17" borderId="1" xfId="1" applyFont="1" applyFill="1" applyBorder="1" applyAlignment="1">
      <alignment horizontal="center"/>
    </xf>
    <xf numFmtId="0" fontId="0" fillId="17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44" fontId="0" fillId="2" borderId="0" xfId="0" applyNumberFormat="1" applyFill="1" applyAlignment="1">
      <alignment horizontal="right"/>
    </xf>
    <xf numFmtId="44" fontId="4" fillId="2" borderId="0" xfId="1" applyFont="1" applyFill="1"/>
    <xf numFmtId="44" fontId="0" fillId="2" borderId="0" xfId="1" applyFont="1" applyFill="1"/>
    <xf numFmtId="44" fontId="0" fillId="0" borderId="1" xfId="1" applyFont="1" applyBorder="1" applyAlignment="1"/>
    <xf numFmtId="16" fontId="0" fillId="17" borderId="1" xfId="0" applyNumberFormat="1" applyFill="1" applyBorder="1"/>
    <xf numFmtId="44" fontId="0" fillId="17" borderId="1" xfId="1" applyFont="1" applyFill="1" applyBorder="1"/>
    <xf numFmtId="16" fontId="0" fillId="10" borderId="1" xfId="0" applyNumberFormat="1" applyFill="1" applyBorder="1"/>
    <xf numFmtId="44" fontId="0" fillId="10" borderId="1" xfId="1" applyFont="1" applyFill="1" applyBorder="1"/>
    <xf numFmtId="16" fontId="0" fillId="3" borderId="1" xfId="0" applyNumberFormat="1" applyFill="1" applyBorder="1"/>
    <xf numFmtId="44" fontId="0" fillId="3" borderId="1" xfId="1" applyFont="1" applyFill="1" applyBorder="1"/>
    <xf numFmtId="16" fontId="0" fillId="21" borderId="1" xfId="0" applyNumberFormat="1" applyFill="1" applyBorder="1"/>
    <xf numFmtId="16" fontId="0" fillId="4" borderId="1" xfId="0" applyNumberFormat="1" applyFill="1" applyBorder="1"/>
    <xf numFmtId="16" fontId="0" fillId="7" borderId="1" xfId="0" applyNumberFormat="1" applyFill="1" applyBorder="1"/>
    <xf numFmtId="0" fontId="0" fillId="2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0" fillId="26" borderId="1" xfId="1" applyFont="1" applyFill="1" applyBorder="1"/>
    <xf numFmtId="0" fontId="0" fillId="2" borderId="1" xfId="0" applyFill="1" applyBorder="1" applyAlignment="1">
      <alignment horizontal="center"/>
    </xf>
    <xf numFmtId="16" fontId="0" fillId="25" borderId="1" xfId="0" applyNumberFormat="1" applyFill="1" applyBorder="1"/>
    <xf numFmtId="0" fontId="0" fillId="25" borderId="1" xfId="0" applyFill="1" applyBorder="1"/>
    <xf numFmtId="0" fontId="0" fillId="25" borderId="1" xfId="0" applyFill="1" applyBorder="1" applyAlignment="1">
      <alignment horizontal="center"/>
    </xf>
    <xf numFmtId="44" fontId="0" fillId="25" borderId="1" xfId="1" applyFont="1" applyFill="1" applyBorder="1"/>
    <xf numFmtId="0" fontId="0" fillId="17" borderId="1" xfId="0" applyFill="1" applyBorder="1"/>
    <xf numFmtId="16" fontId="0" fillId="22" borderId="1" xfId="0" applyNumberFormat="1" applyFill="1" applyBorder="1"/>
    <xf numFmtId="0" fontId="0" fillId="22" borderId="1" xfId="0" applyFill="1" applyBorder="1"/>
    <xf numFmtId="0" fontId="0" fillId="22" borderId="1" xfId="0" applyFill="1" applyBorder="1" applyAlignment="1">
      <alignment horizontal="center"/>
    </xf>
    <xf numFmtId="44" fontId="0" fillId="22" borderId="1" xfId="1" applyFont="1" applyFill="1" applyBorder="1"/>
    <xf numFmtId="16" fontId="0" fillId="26" borderId="1" xfId="0" applyNumberFormat="1" applyFill="1" applyBorder="1"/>
    <xf numFmtId="0" fontId="0" fillId="26" borderId="1" xfId="0" applyFill="1" applyBorder="1"/>
    <xf numFmtId="0" fontId="0" fillId="26" borderId="1" xfId="0" applyFill="1" applyBorder="1" applyAlignment="1">
      <alignment horizontal="center"/>
    </xf>
    <xf numFmtId="16" fontId="0" fillId="23" borderId="1" xfId="0" applyNumberFormat="1" applyFill="1" applyBorder="1"/>
    <xf numFmtId="0" fontId="0" fillId="23" borderId="1" xfId="0" applyFill="1" applyBorder="1"/>
    <xf numFmtId="0" fontId="0" fillId="23" borderId="1" xfId="0" applyFill="1" applyBorder="1" applyAlignment="1">
      <alignment horizontal="center"/>
    </xf>
    <xf numFmtId="44" fontId="0" fillId="23" borderId="1" xfId="1" applyFont="1" applyFill="1" applyBorder="1"/>
    <xf numFmtId="16" fontId="0" fillId="24" borderId="1" xfId="0" applyNumberFormat="1" applyFill="1" applyBorder="1"/>
    <xf numFmtId="0" fontId="0" fillId="24" borderId="1" xfId="0" applyFill="1" applyBorder="1" applyAlignment="1">
      <alignment horizontal="center"/>
    </xf>
    <xf numFmtId="44" fontId="0" fillId="24" borderId="1" xfId="1" applyFont="1" applyFill="1" applyBorder="1"/>
    <xf numFmtId="44" fontId="0" fillId="2" borderId="1" xfId="1" applyFont="1" applyFill="1" applyBorder="1" applyAlignment="1">
      <alignment horizontal="left"/>
    </xf>
    <xf numFmtId="44" fontId="0" fillId="22" borderId="1" xfId="1" applyFont="1" applyFill="1" applyBorder="1" applyAlignment="1">
      <alignment horizontal="left"/>
    </xf>
    <xf numFmtId="44" fontId="0" fillId="23" borderId="1" xfId="1" applyFont="1" applyFill="1" applyBorder="1" applyAlignment="1">
      <alignment horizontal="left"/>
    </xf>
    <xf numFmtId="44" fontId="0" fillId="24" borderId="1" xfId="1" applyFont="1" applyFill="1" applyBorder="1" applyAlignment="1">
      <alignment horizontal="left"/>
    </xf>
    <xf numFmtId="44" fontId="0" fillId="17" borderId="1" xfId="1" applyFont="1" applyFill="1" applyBorder="1" applyAlignment="1">
      <alignment horizontal="left"/>
    </xf>
    <xf numFmtId="44" fontId="0" fillId="25" borderId="1" xfId="1" applyFont="1" applyFill="1" applyBorder="1" applyAlignment="1">
      <alignment horizontal="left"/>
    </xf>
    <xf numFmtId="44" fontId="0" fillId="26" borderId="1" xfId="1" applyFont="1" applyFill="1" applyBorder="1" applyAlignment="1">
      <alignment horizontal="left"/>
    </xf>
    <xf numFmtId="16" fontId="0" fillId="9" borderId="1" xfId="0" applyNumberFormat="1" applyFill="1" applyBorder="1"/>
    <xf numFmtId="0" fontId="2" fillId="9" borderId="1" xfId="0" applyFont="1" applyFill="1" applyBorder="1" applyAlignment="1">
      <alignment horizontal="center"/>
    </xf>
    <xf numFmtId="44" fontId="0" fillId="9" borderId="1" xfId="1" applyFont="1" applyFill="1" applyBorder="1"/>
    <xf numFmtId="16" fontId="0" fillId="27" borderId="1" xfId="0" applyNumberFormat="1" applyFill="1" applyBorder="1"/>
    <xf numFmtId="0" fontId="0" fillId="27" borderId="1" xfId="0" applyFill="1" applyBorder="1"/>
    <xf numFmtId="0" fontId="0" fillId="27" borderId="1" xfId="0" applyFill="1" applyBorder="1" applyAlignment="1">
      <alignment horizontal="center"/>
    </xf>
    <xf numFmtId="44" fontId="0" fillId="27" borderId="1" xfId="1" applyFont="1" applyFill="1" applyBorder="1"/>
    <xf numFmtId="44" fontId="0" fillId="9" borderId="1" xfId="1" applyFont="1" applyFill="1" applyBorder="1" applyAlignment="1">
      <alignment horizontal="left"/>
    </xf>
    <xf numFmtId="44" fontId="0" fillId="27" borderId="1" xfId="1" applyFont="1" applyFill="1" applyBorder="1" applyAlignment="1">
      <alignment horizontal="left"/>
    </xf>
    <xf numFmtId="44" fontId="0" fillId="28" borderId="0" xfId="1" applyFont="1" applyFill="1" applyAlignment="1">
      <alignment horizontal="left"/>
    </xf>
    <xf numFmtId="16" fontId="0" fillId="28" borderId="1" xfId="0" applyNumberFormat="1" applyFill="1" applyBorder="1"/>
    <xf numFmtId="0" fontId="0" fillId="28" borderId="1" xfId="0" applyFill="1" applyBorder="1"/>
    <xf numFmtId="0" fontId="0" fillId="28" borderId="1" xfId="0" applyFill="1" applyBorder="1" applyAlignment="1">
      <alignment horizontal="center"/>
    </xf>
    <xf numFmtId="44" fontId="0" fillId="28" borderId="1" xfId="1" applyFont="1" applyFill="1" applyBorder="1"/>
    <xf numFmtId="44" fontId="2" fillId="0" borderId="0" xfId="1" applyFont="1" applyAlignment="1">
      <alignment horizontal="center"/>
    </xf>
    <xf numFmtId="16" fontId="4" fillId="9" borderId="0" xfId="0" applyNumberFormat="1" applyFont="1" applyFill="1"/>
    <xf numFmtId="0" fontId="4" fillId="9" borderId="0" xfId="0" applyFont="1" applyFill="1" applyAlignment="1">
      <alignment horizontal="center"/>
    </xf>
    <xf numFmtId="44" fontId="4" fillId="9" borderId="0" xfId="1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/>
    </xf>
    <xf numFmtId="16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44" fontId="4" fillId="0" borderId="0" xfId="1" applyFont="1" applyFill="1"/>
    <xf numFmtId="44" fontId="0" fillId="0" borderId="6" xfId="1" applyFont="1" applyFill="1" applyBorder="1"/>
    <xf numFmtId="0" fontId="0" fillId="0" borderId="1" xfId="1" applyNumberFormat="1" applyFont="1" applyFill="1" applyBorder="1"/>
    <xf numFmtId="44" fontId="0" fillId="0" borderId="7" xfId="0" applyNumberFormat="1" applyBorder="1"/>
    <xf numFmtId="2" fontId="0" fillId="0" borderId="0" xfId="1" applyNumberFormat="1" applyFont="1" applyAlignment="1">
      <alignment horizontal="center"/>
    </xf>
    <xf numFmtId="44" fontId="0" fillId="0" borderId="7" xfId="1" applyFont="1" applyBorder="1"/>
    <xf numFmtId="2" fontId="0" fillId="0" borderId="0" xfId="1" applyNumberFormat="1" applyFont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44" fontId="0" fillId="11" borderId="1" xfId="0" applyNumberFormat="1" applyFill="1" applyBorder="1" applyAlignment="1">
      <alignment horizontal="center"/>
    </xf>
    <xf numFmtId="44" fontId="0" fillId="17" borderId="1" xfId="0" applyNumberFormat="1" applyFill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2" fontId="0" fillId="0" borderId="4" xfId="1" applyNumberFormat="1" applyFont="1" applyBorder="1" applyAlignment="1">
      <alignment horizontal="center" vertical="center"/>
    </xf>
    <xf numFmtId="44" fontId="0" fillId="0" borderId="4" xfId="1" applyFont="1" applyBorder="1" applyAlignment="1">
      <alignment horizontal="center" vertical="center"/>
    </xf>
    <xf numFmtId="2" fontId="0" fillId="9" borderId="1" xfId="1" applyNumberFormat="1" applyFont="1" applyFill="1" applyBorder="1" applyAlignment="1">
      <alignment horizontal="center"/>
    </xf>
    <xf numFmtId="44" fontId="0" fillId="9" borderId="1" xfId="1" applyFont="1" applyFill="1" applyBorder="1" applyAlignment="1">
      <alignment horizontal="center"/>
    </xf>
    <xf numFmtId="2" fontId="0" fillId="14" borderId="1" xfId="1" applyNumberFormat="1" applyFont="1" applyFill="1" applyBorder="1" applyAlignment="1">
      <alignment horizontal="center"/>
    </xf>
    <xf numFmtId="44" fontId="0" fillId="14" borderId="1" xfId="1" applyFont="1" applyFill="1" applyBorder="1" applyAlignment="1">
      <alignment horizontal="center"/>
    </xf>
    <xf numFmtId="2" fontId="0" fillId="13" borderId="1" xfId="1" applyNumberFormat="1" applyFont="1" applyFill="1" applyBorder="1" applyAlignment="1">
      <alignment horizontal="center"/>
    </xf>
    <xf numFmtId="44" fontId="0" fillId="13" borderId="1" xfId="1" applyFont="1" applyFill="1" applyBorder="1" applyAlignment="1">
      <alignment horizontal="center"/>
    </xf>
    <xf numFmtId="2" fontId="0" fillId="12" borderId="1" xfId="1" applyNumberFormat="1" applyFont="1" applyFill="1" applyBorder="1" applyAlignment="1">
      <alignment horizontal="center"/>
    </xf>
    <xf numFmtId="44" fontId="0" fillId="12" borderId="1" xfId="1" applyFont="1" applyFill="1" applyBorder="1" applyAlignment="1">
      <alignment horizontal="center"/>
    </xf>
    <xf numFmtId="2" fontId="0" fillId="15" borderId="1" xfId="1" applyNumberFormat="1" applyFont="1" applyFill="1" applyBorder="1" applyAlignment="1">
      <alignment horizontal="center"/>
    </xf>
    <xf numFmtId="44" fontId="0" fillId="15" borderId="1" xfId="1" applyFont="1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2" fontId="0" fillId="29" borderId="1" xfId="1" applyNumberFormat="1" applyFont="1" applyFill="1" applyBorder="1" applyAlignment="1">
      <alignment horizontal="center"/>
    </xf>
    <xf numFmtId="44" fontId="0" fillId="29" borderId="1" xfId="1" applyFont="1" applyFill="1" applyBorder="1" applyAlignment="1">
      <alignment horizontal="center"/>
    </xf>
    <xf numFmtId="2" fontId="0" fillId="7" borderId="1" xfId="1" applyNumberFormat="1" applyFont="1" applyFill="1" applyBorder="1" applyAlignment="1">
      <alignment horizontal="center"/>
    </xf>
    <xf numFmtId="2" fontId="0" fillId="16" borderId="1" xfId="1" applyNumberFormat="1" applyFont="1" applyFill="1" applyBorder="1" applyAlignment="1">
      <alignment horizontal="center"/>
    </xf>
    <xf numFmtId="44" fontId="0" fillId="16" borderId="1" xfId="1" applyFont="1" applyFill="1" applyBorder="1" applyAlignment="1">
      <alignment horizontal="center"/>
    </xf>
    <xf numFmtId="0" fontId="0" fillId="30" borderId="1" xfId="0" applyFill="1" applyBorder="1" applyAlignment="1">
      <alignment horizontal="center"/>
    </xf>
    <xf numFmtId="2" fontId="0" fillId="30" borderId="1" xfId="1" applyNumberFormat="1" applyFont="1" applyFill="1" applyBorder="1" applyAlignment="1">
      <alignment horizontal="center"/>
    </xf>
    <xf numFmtId="44" fontId="0" fillId="30" borderId="1" xfId="1" applyFont="1" applyFill="1" applyBorder="1" applyAlignment="1">
      <alignment horizontal="center"/>
    </xf>
    <xf numFmtId="2" fontId="0" fillId="18" borderId="1" xfId="1" applyNumberFormat="1" applyFont="1" applyFill="1" applyBorder="1" applyAlignment="1">
      <alignment horizontal="center"/>
    </xf>
    <xf numFmtId="44" fontId="0" fillId="18" borderId="1" xfId="1" applyFont="1" applyFill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44" fontId="0" fillId="19" borderId="1" xfId="0" applyNumberFormat="1" applyFill="1" applyBorder="1"/>
    <xf numFmtId="0" fontId="0" fillId="20" borderId="4" xfId="0" applyFill="1" applyBorder="1" applyAlignment="1">
      <alignment horizontal="center"/>
    </xf>
    <xf numFmtId="44" fontId="0" fillId="20" borderId="4" xfId="0" applyNumberFormat="1" applyFill="1" applyBorder="1" applyAlignment="1">
      <alignment horizontal="center"/>
    </xf>
    <xf numFmtId="44" fontId="0" fillId="0" borderId="7" xfId="0" applyNumberFormat="1" applyBorder="1" applyAlignment="1">
      <alignment horizontal="center"/>
    </xf>
    <xf numFmtId="44" fontId="0" fillId="0" borderId="4" xfId="1" applyFont="1" applyBorder="1" applyAlignment="1">
      <alignment horizontal="center" vertical="center" wrapText="1"/>
    </xf>
    <xf numFmtId="0" fontId="0" fillId="31" borderId="1" xfId="0" applyFill="1" applyBorder="1" applyAlignment="1">
      <alignment horizontal="center"/>
    </xf>
    <xf numFmtId="44" fontId="0" fillId="31" borderId="1" xfId="0" applyNumberFormat="1" applyFill="1" applyBorder="1" applyAlignment="1">
      <alignment horizontal="center"/>
    </xf>
    <xf numFmtId="44" fontId="0" fillId="0" borderId="1" xfId="0" applyNumberFormat="1" applyBorder="1" applyAlignment="1">
      <alignment horizontal="center" vertical="center"/>
    </xf>
    <xf numFmtId="44" fontId="5" fillId="2" borderId="0" xfId="1" applyFont="1" applyFill="1"/>
    <xf numFmtId="16" fontId="4" fillId="8" borderId="0" xfId="0" applyNumberFormat="1" applyFont="1" applyFill="1"/>
    <xf numFmtId="0" fontId="4" fillId="8" borderId="0" xfId="0" applyFont="1" applyFill="1" applyAlignment="1">
      <alignment horizontal="center"/>
    </xf>
    <xf numFmtId="44" fontId="4" fillId="8" borderId="0" xfId="1" applyFont="1" applyFill="1"/>
    <xf numFmtId="0" fontId="0" fillId="0" borderId="0" xfId="1" applyNumberFormat="1" applyFont="1" applyAlignment="1">
      <alignment horizontal="center"/>
    </xf>
    <xf numFmtId="44" fontId="0" fillId="14" borderId="0" xfId="1" applyFont="1" applyFill="1" applyAlignment="1">
      <alignment horizontal="center"/>
    </xf>
    <xf numFmtId="44" fontId="0" fillId="9" borderId="0" xfId="1" applyFont="1" applyFill="1" applyAlignment="1">
      <alignment horizontal="center"/>
    </xf>
    <xf numFmtId="0" fontId="0" fillId="9" borderId="0" xfId="1" applyNumberFormat="1" applyFont="1" applyFill="1" applyAlignment="1">
      <alignment horizontal="center"/>
    </xf>
    <xf numFmtId="0" fontId="0" fillId="14" borderId="0" xfId="1" applyNumberFormat="1" applyFont="1" applyFill="1" applyAlignment="1">
      <alignment horizontal="center"/>
    </xf>
    <xf numFmtId="0" fontId="0" fillId="19" borderId="0" xfId="1" applyNumberFormat="1" applyFont="1" applyFill="1" applyAlignment="1">
      <alignment horizontal="center"/>
    </xf>
    <xf numFmtId="44" fontId="0" fillId="7" borderId="0" xfId="1" applyFont="1" applyFill="1" applyAlignment="1">
      <alignment horizontal="center"/>
    </xf>
    <xf numFmtId="44" fontId="0" fillId="5" borderId="0" xfId="1" applyFont="1" applyFill="1" applyAlignment="1">
      <alignment horizontal="center"/>
    </xf>
    <xf numFmtId="0" fontId="0" fillId="11" borderId="0" xfId="1" applyNumberFormat="1" applyFont="1" applyFill="1" applyAlignment="1">
      <alignment horizontal="center"/>
    </xf>
    <xf numFmtId="44" fontId="0" fillId="15" borderId="0" xfId="1" applyFont="1" applyFill="1" applyAlignment="1">
      <alignment horizontal="center"/>
    </xf>
    <xf numFmtId="44" fontId="0" fillId="12" borderId="0" xfId="1" applyFont="1" applyFill="1" applyAlignment="1">
      <alignment horizontal="center"/>
    </xf>
    <xf numFmtId="44" fontId="0" fillId="4" borderId="0" xfId="1" applyFont="1" applyFill="1" applyAlignment="1">
      <alignment horizontal="center"/>
    </xf>
    <xf numFmtId="44" fontId="0" fillId="17" borderId="0" xfId="1" applyFont="1" applyFill="1" applyAlignment="1">
      <alignment horizontal="center"/>
    </xf>
    <xf numFmtId="44" fontId="0" fillId="19" borderId="0" xfId="1" applyFont="1" applyFill="1" applyAlignment="1">
      <alignment horizontal="center"/>
    </xf>
    <xf numFmtId="0" fontId="0" fillId="12" borderId="0" xfId="1" applyNumberFormat="1" applyFont="1" applyFill="1" applyAlignment="1">
      <alignment horizontal="center"/>
    </xf>
    <xf numFmtId="44" fontId="0" fillId="16" borderId="0" xfId="1" applyFont="1" applyFill="1" applyAlignment="1">
      <alignment horizontal="center"/>
    </xf>
    <xf numFmtId="44" fontId="0" fillId="10" borderId="0" xfId="1" applyFont="1" applyFill="1" applyAlignment="1">
      <alignment horizontal="center"/>
    </xf>
    <xf numFmtId="44" fontId="0" fillId="11" borderId="0" xfId="1" applyFont="1" applyFill="1" applyAlignment="1">
      <alignment horizontal="center"/>
    </xf>
    <xf numFmtId="44" fontId="0" fillId="13" borderId="0" xfId="1" applyFont="1" applyFill="1" applyAlignment="1">
      <alignment horizontal="center"/>
    </xf>
    <xf numFmtId="0" fontId="0" fillId="7" borderId="0" xfId="1" applyNumberFormat="1" applyFont="1" applyFill="1" applyAlignment="1">
      <alignment horizontal="center"/>
    </xf>
    <xf numFmtId="0" fontId="0" fillId="0" borderId="0" xfId="1" applyNumberFormat="1" applyFont="1" applyFill="1" applyAlignment="1">
      <alignment horizontal="center"/>
    </xf>
    <xf numFmtId="16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44" fontId="4" fillId="0" borderId="1" xfId="1" applyFont="1" applyFill="1" applyBorder="1"/>
    <xf numFmtId="16" fontId="4" fillId="13" borderId="0" xfId="0" applyNumberFormat="1" applyFont="1" applyFill="1"/>
    <xf numFmtId="0" fontId="4" fillId="13" borderId="0" xfId="0" applyFont="1" applyFill="1" applyAlignment="1">
      <alignment horizontal="center"/>
    </xf>
    <xf numFmtId="44" fontId="4" fillId="13" borderId="0" xfId="1" applyFont="1" applyFill="1"/>
    <xf numFmtId="0" fontId="0" fillId="32" borderId="1" xfId="0" applyFill="1" applyBorder="1" applyAlignment="1">
      <alignment horizontal="center"/>
    </xf>
    <xf numFmtId="2" fontId="0" fillId="32" borderId="1" xfId="1" applyNumberFormat="1" applyFont="1" applyFill="1" applyBorder="1" applyAlignment="1">
      <alignment horizontal="center"/>
    </xf>
    <xf numFmtId="44" fontId="0" fillId="32" borderId="1" xfId="1" applyFont="1" applyFill="1" applyBorder="1" applyAlignment="1">
      <alignment horizontal="center"/>
    </xf>
    <xf numFmtId="16" fontId="4" fillId="32" borderId="0" xfId="0" applyNumberFormat="1" applyFont="1" applyFill="1"/>
    <xf numFmtId="0" fontId="4" fillId="32" borderId="0" xfId="0" applyFont="1" applyFill="1" applyAlignment="1">
      <alignment horizontal="center"/>
    </xf>
    <xf numFmtId="44" fontId="4" fillId="32" borderId="0" xfId="1" applyFont="1" applyFill="1"/>
    <xf numFmtId="0" fontId="0" fillId="32" borderId="0" xfId="0" applyFill="1" applyAlignment="1">
      <alignment horizontal="center"/>
    </xf>
    <xf numFmtId="44" fontId="0" fillId="32" borderId="0" xfId="1" applyFont="1" applyFill="1"/>
    <xf numFmtId="0" fontId="0" fillId="21" borderId="1" xfId="0" applyFill="1" applyBorder="1" applyAlignment="1">
      <alignment horizontal="center"/>
    </xf>
    <xf numFmtId="44" fontId="0" fillId="0" borderId="0" xfId="0" applyNumberFormat="1" applyAlignment="1">
      <alignment horizontal="center"/>
    </xf>
    <xf numFmtId="16" fontId="0" fillId="33" borderId="0" xfId="0" applyNumberFormat="1" applyFill="1"/>
    <xf numFmtId="0" fontId="0" fillId="33" borderId="0" xfId="0" applyFill="1" applyAlignment="1">
      <alignment horizontal="center"/>
    </xf>
    <xf numFmtId="44" fontId="0" fillId="33" borderId="0" xfId="1" applyFont="1" applyFill="1" applyAlignment="1">
      <alignment horizontal="center"/>
    </xf>
    <xf numFmtId="44" fontId="0" fillId="33" borderId="0" xfId="1" applyFont="1" applyFill="1"/>
    <xf numFmtId="0" fontId="0" fillId="33" borderId="0" xfId="0" applyFill="1"/>
    <xf numFmtId="0" fontId="0" fillId="34" borderId="1" xfId="0" applyFill="1" applyBorder="1" applyAlignment="1">
      <alignment horizontal="center"/>
    </xf>
    <xf numFmtId="44" fontId="0" fillId="34" borderId="1" xfId="0" applyNumberFormat="1" applyFill="1" applyBorder="1" applyAlignment="1">
      <alignment horizontal="center"/>
    </xf>
    <xf numFmtId="16" fontId="0" fillId="32" borderId="0" xfId="0" applyNumberFormat="1" applyFill="1" applyAlignment="1">
      <alignment horizontal="center"/>
    </xf>
    <xf numFmtId="44" fontId="0" fillId="32" borderId="0" xfId="1" applyFont="1" applyFill="1" applyAlignment="1">
      <alignment horizontal="center"/>
    </xf>
    <xf numFmtId="0" fontId="6" fillId="0" borderId="0" xfId="0" applyFont="1"/>
    <xf numFmtId="0" fontId="7" fillId="0" borderId="0" xfId="0" applyFont="1"/>
    <xf numFmtId="44" fontId="6" fillId="0" borderId="0" xfId="1" applyFont="1"/>
    <xf numFmtId="44" fontId="6" fillId="0" borderId="8" xfId="1" applyFont="1" applyBorder="1"/>
    <xf numFmtId="16" fontId="6" fillId="0" borderId="0" xfId="0" applyNumberFormat="1" applyFont="1"/>
    <xf numFmtId="16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left"/>
    </xf>
    <xf numFmtId="44" fontId="0" fillId="18" borderId="1" xfId="1" applyFont="1" applyFill="1" applyBorder="1" applyAlignment="1">
      <alignment horizontal="left"/>
    </xf>
    <xf numFmtId="44" fontId="0" fillId="18" borderId="1" xfId="1" applyFont="1" applyFill="1" applyBorder="1"/>
    <xf numFmtId="16" fontId="0" fillId="18" borderId="1" xfId="0" applyNumberFormat="1" applyFill="1" applyBorder="1"/>
    <xf numFmtId="16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0" fillId="17" borderId="0" xfId="1" applyNumberFormat="1" applyFont="1" applyFill="1" applyAlignment="1">
      <alignment horizontal="center"/>
    </xf>
    <xf numFmtId="44" fontId="0" fillId="30" borderId="1" xfId="1" applyFont="1" applyFill="1" applyBorder="1"/>
    <xf numFmtId="0" fontId="0" fillId="21" borderId="1" xfId="1" applyNumberFormat="1" applyFont="1" applyFill="1" applyBorder="1" applyAlignment="1">
      <alignment horizontal="center"/>
    </xf>
    <xf numFmtId="16" fontId="4" fillId="0" borderId="1" xfId="0" applyNumberFormat="1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0" fillId="2" borderId="0" xfId="0" applyFill="1"/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0" fontId="2" fillId="2" borderId="0" xfId="0" applyFont="1" applyFill="1"/>
    <xf numFmtId="16" fontId="0" fillId="18" borderId="0" xfId="0" applyNumberFormat="1" applyFill="1" applyAlignment="1">
      <alignment horizontal="center"/>
    </xf>
    <xf numFmtId="44" fontId="0" fillId="18" borderId="0" xfId="1" applyFont="1" applyFill="1" applyAlignment="1">
      <alignment horizontal="center"/>
    </xf>
    <xf numFmtId="16" fontId="0" fillId="3" borderId="0" xfId="0" applyNumberFormat="1" applyFill="1" applyAlignment="1">
      <alignment horizontal="center"/>
    </xf>
    <xf numFmtId="44" fontId="0" fillId="3" borderId="0" xfId="1" applyFont="1" applyFill="1" applyAlignment="1">
      <alignment horizontal="center"/>
    </xf>
    <xf numFmtId="16" fontId="0" fillId="7" borderId="0" xfId="0" applyNumberFormat="1" applyFill="1" applyAlignment="1">
      <alignment horizontal="center"/>
    </xf>
    <xf numFmtId="16" fontId="0" fillId="8" borderId="0" xfId="0" applyNumberFormat="1" applyFill="1" applyAlignment="1">
      <alignment horizontal="center"/>
    </xf>
    <xf numFmtId="44" fontId="0" fillId="8" borderId="0" xfId="1" applyFont="1" applyFill="1" applyAlignment="1">
      <alignment horizontal="center"/>
    </xf>
    <xf numFmtId="16" fontId="0" fillId="10" borderId="0" xfId="0" applyNumberFormat="1" applyFill="1" applyAlignment="1">
      <alignment horizontal="center"/>
    </xf>
    <xf numFmtId="16" fontId="0" fillId="20" borderId="0" xfId="0" applyNumberFormat="1" applyFill="1" applyAlignment="1">
      <alignment horizontal="center"/>
    </xf>
    <xf numFmtId="44" fontId="0" fillId="20" borderId="0" xfId="1" applyFont="1" applyFill="1" applyAlignment="1">
      <alignment horizontal="center"/>
    </xf>
    <xf numFmtId="16" fontId="0" fillId="19" borderId="0" xfId="0" applyNumberFormat="1" applyFill="1" applyAlignment="1">
      <alignment horizontal="center"/>
    </xf>
    <xf numFmtId="16" fontId="0" fillId="11" borderId="0" xfId="0" applyNumberFormat="1" applyFill="1" applyAlignment="1">
      <alignment horizontal="center"/>
    </xf>
    <xf numFmtId="16" fontId="0" fillId="12" borderId="0" xfId="0" applyNumberFormat="1" applyFill="1" applyAlignment="1">
      <alignment horizontal="center"/>
    </xf>
    <xf numFmtId="16" fontId="0" fillId="15" borderId="0" xfId="0" applyNumberFormat="1" applyFill="1" applyAlignment="1">
      <alignment horizontal="center"/>
    </xf>
    <xf numFmtId="16" fontId="0" fillId="14" borderId="0" xfId="0" applyNumberFormat="1" applyFill="1" applyAlignment="1">
      <alignment horizontal="center"/>
    </xf>
    <xf numFmtId="16" fontId="0" fillId="5" borderId="0" xfId="0" applyNumberFormat="1" applyFill="1" applyAlignment="1">
      <alignment horizontal="center"/>
    </xf>
    <xf numFmtId="16" fontId="0" fillId="4" borderId="0" xfId="0" applyNumberFormat="1" applyFill="1" applyAlignment="1">
      <alignment horizontal="center"/>
    </xf>
    <xf numFmtId="16" fontId="0" fillId="17" borderId="0" xfId="0" applyNumberFormat="1" applyFill="1" applyAlignment="1">
      <alignment horizontal="center"/>
    </xf>
    <xf numFmtId="16" fontId="0" fillId="16" borderId="0" xfId="0" applyNumberFormat="1" applyFill="1" applyAlignment="1">
      <alignment horizontal="center"/>
    </xf>
    <xf numFmtId="16" fontId="0" fillId="22" borderId="0" xfId="0" applyNumberFormat="1" applyFill="1" applyAlignment="1">
      <alignment horizontal="center"/>
    </xf>
    <xf numFmtId="44" fontId="0" fillId="22" borderId="0" xfId="1" applyFont="1" applyFill="1" applyAlignment="1">
      <alignment horizontal="center"/>
    </xf>
    <xf numFmtId="16" fontId="4" fillId="9" borderId="0" xfId="0" applyNumberFormat="1" applyFont="1" applyFill="1" applyAlignment="1">
      <alignment horizontal="center"/>
    </xf>
    <xf numFmtId="44" fontId="4" fillId="9" borderId="0" xfId="1" applyFont="1" applyFill="1" applyAlignment="1">
      <alignment horizontal="center"/>
    </xf>
    <xf numFmtId="16" fontId="4" fillId="8" borderId="0" xfId="0" applyNumberFormat="1" applyFont="1" applyFill="1" applyAlignment="1">
      <alignment horizontal="center"/>
    </xf>
    <xf numFmtId="44" fontId="4" fillId="8" borderId="0" xfId="1" applyFont="1" applyFill="1" applyAlignment="1">
      <alignment horizontal="center"/>
    </xf>
    <xf numFmtId="16" fontId="4" fillId="13" borderId="0" xfId="0" applyNumberFormat="1" applyFont="1" applyFill="1" applyAlignment="1">
      <alignment horizontal="center"/>
    </xf>
    <xf numFmtId="44" fontId="4" fillId="13" borderId="0" xfId="1" applyFont="1" applyFill="1" applyAlignment="1">
      <alignment horizontal="center"/>
    </xf>
    <xf numFmtId="16" fontId="4" fillId="32" borderId="0" xfId="0" applyNumberFormat="1" applyFont="1" applyFill="1" applyAlignment="1">
      <alignment horizontal="center"/>
    </xf>
    <xf numFmtId="44" fontId="4" fillId="32" borderId="0" xfId="1" applyFont="1" applyFill="1" applyAlignment="1">
      <alignment horizontal="center"/>
    </xf>
    <xf numFmtId="44" fontId="0" fillId="2" borderId="1" xfId="1" applyFont="1" applyFill="1" applyBorder="1" applyAlignment="1">
      <alignment horizontal="center"/>
    </xf>
    <xf numFmtId="16" fontId="0" fillId="31" borderId="0" xfId="0" applyNumberFormat="1" applyFill="1" applyAlignment="1">
      <alignment horizontal="center"/>
    </xf>
    <xf numFmtId="0" fontId="0" fillId="31" borderId="0" xfId="0" applyFill="1" applyAlignment="1">
      <alignment horizontal="center"/>
    </xf>
    <xf numFmtId="44" fontId="0" fillId="31" borderId="0" xfId="1" applyFont="1" applyFill="1" applyAlignment="1">
      <alignment horizontal="center"/>
    </xf>
    <xf numFmtId="16" fontId="2" fillId="0" borderId="1" xfId="0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44" fontId="2" fillId="0" borderId="5" xfId="1" applyFont="1" applyFill="1" applyBorder="1" applyAlignment="1">
      <alignment horizontal="center"/>
    </xf>
    <xf numFmtId="44" fontId="0" fillId="0" borderId="5" xfId="1" applyFont="1" applyBorder="1" applyAlignment="1">
      <alignment horizontal="center"/>
    </xf>
    <xf numFmtId="16" fontId="0" fillId="20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left"/>
    </xf>
    <xf numFmtId="44" fontId="0" fillId="20" borderId="1" xfId="1" applyFont="1" applyFill="1" applyBorder="1" applyAlignment="1">
      <alignment horizontal="center"/>
    </xf>
    <xf numFmtId="16" fontId="0" fillId="30" borderId="1" xfId="0" applyNumberFormat="1" applyFill="1" applyBorder="1" applyAlignment="1">
      <alignment horizontal="center"/>
    </xf>
    <xf numFmtId="0" fontId="0" fillId="30" borderId="1" xfId="1" applyNumberFormat="1" applyFont="1" applyFill="1" applyBorder="1" applyAlignment="1">
      <alignment horizontal="center"/>
    </xf>
    <xf numFmtId="0" fontId="0" fillId="30" borderId="0" xfId="0" applyFill="1" applyAlignment="1">
      <alignment horizontal="center"/>
    </xf>
    <xf numFmtId="44" fontId="0" fillId="30" borderId="0" xfId="1" applyFont="1" applyFill="1" applyAlignment="1">
      <alignment horizontal="center"/>
    </xf>
    <xf numFmtId="0" fontId="0" fillId="30" borderId="6" xfId="0" applyFill="1" applyBorder="1" applyAlignment="1">
      <alignment horizontal="center"/>
    </xf>
    <xf numFmtId="44" fontId="0" fillId="30" borderId="5" xfId="1" applyFont="1" applyFill="1" applyBorder="1" applyAlignment="1">
      <alignment horizontal="center"/>
    </xf>
    <xf numFmtId="16" fontId="4" fillId="12" borderId="0" xfId="0" applyNumberFormat="1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44" fontId="4" fillId="12" borderId="0" xfId="1" applyFont="1" applyFill="1" applyAlignment="1">
      <alignment horizontal="center"/>
    </xf>
    <xf numFmtId="44" fontId="4" fillId="0" borderId="0" xfId="1" applyFont="1" applyFill="1" applyBorder="1"/>
    <xf numFmtId="16" fontId="4" fillId="0" borderId="0" xfId="0" applyNumberFormat="1" applyFont="1" applyAlignment="1">
      <alignment horizontal="center"/>
    </xf>
    <xf numFmtId="16" fontId="0" fillId="35" borderId="1" xfId="0" applyNumberFormat="1" applyFill="1" applyBorder="1" applyAlignment="1">
      <alignment horizontal="center"/>
    </xf>
    <xf numFmtId="0" fontId="0" fillId="35" borderId="1" xfId="0" applyFill="1" applyBorder="1" applyAlignment="1">
      <alignment horizontal="left"/>
    </xf>
    <xf numFmtId="44" fontId="0" fillId="35" borderId="1" xfId="1" applyFont="1" applyFill="1" applyBorder="1" applyAlignment="1">
      <alignment horizontal="center"/>
    </xf>
    <xf numFmtId="16" fontId="0" fillId="35" borderId="1" xfId="0" applyNumberFormat="1" applyFill="1" applyBorder="1"/>
    <xf numFmtId="44" fontId="0" fillId="35" borderId="1" xfId="1" applyFont="1" applyFill="1" applyBorder="1"/>
    <xf numFmtId="16" fontId="0" fillId="20" borderId="1" xfId="0" applyNumberFormat="1" applyFill="1" applyBorder="1"/>
    <xf numFmtId="44" fontId="0" fillId="20" borderId="1" xfId="1" applyFont="1" applyFill="1" applyBorder="1"/>
    <xf numFmtId="0" fontId="0" fillId="16" borderId="0" xfId="0" applyFill="1"/>
    <xf numFmtId="0" fontId="8" fillId="0" borderId="0" xfId="0" applyFont="1"/>
    <xf numFmtId="44" fontId="8" fillId="0" borderId="0" xfId="1" applyFont="1"/>
    <xf numFmtId="0" fontId="8" fillId="0" borderId="1" xfId="0" applyFont="1" applyBorder="1"/>
    <xf numFmtId="44" fontId="8" fillId="0" borderId="1" xfId="1" applyFont="1" applyBorder="1"/>
    <xf numFmtId="44" fontId="8" fillId="0" borderId="7" xfId="1" applyFont="1" applyBorder="1"/>
    <xf numFmtId="0" fontId="6" fillId="0" borderId="0" xfId="0" applyFont="1" applyAlignment="1">
      <alignment horizontal="right"/>
    </xf>
    <xf numFmtId="0" fontId="9" fillId="0" borderId="1" xfId="0" applyFont="1" applyBorder="1"/>
    <xf numFmtId="44" fontId="6" fillId="0" borderId="1" xfId="1" applyFont="1" applyBorder="1" applyAlignment="1">
      <alignment horizontal="center"/>
    </xf>
    <xf numFmtId="44" fontId="9" fillId="0" borderId="1" xfId="1" applyFont="1" applyBorder="1"/>
    <xf numFmtId="0" fontId="9" fillId="0" borderId="1" xfId="0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44" fontId="10" fillId="0" borderId="1" xfId="1" applyFont="1" applyBorder="1" applyAlignment="1">
      <alignment horizontal="center"/>
    </xf>
    <xf numFmtId="0" fontId="10" fillId="0" borderId="1" xfId="0" applyFont="1" applyBorder="1"/>
    <xf numFmtId="1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4" fontId="10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2" borderId="4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31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10" fillId="14" borderId="1" xfId="0" applyNumberFormat="1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0" fillId="2" borderId="3" xfId="1" applyFont="1" applyFill="1" applyBorder="1" applyAlignment="1">
      <alignment horizontal="center" wrapText="1"/>
    </xf>
    <xf numFmtId="44" fontId="0" fillId="2" borderId="0" xfId="1" applyFont="1" applyFill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ADAD"/>
      <color rgb="FFFFFF99"/>
      <color rgb="FFFF66FF"/>
      <color rgb="FFE6D5C6"/>
      <color rgb="FF66FFFF"/>
      <color rgb="FFBCEA2A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4380-BDA8-49E8-856D-70E9B6B4F11E}">
  <dimension ref="C6:X18"/>
  <sheetViews>
    <sheetView topLeftCell="L1" workbookViewId="0">
      <selection activeCell="X12" sqref="X12"/>
    </sheetView>
  </sheetViews>
  <sheetFormatPr baseColWidth="10" defaultRowHeight="15" x14ac:dyDescent="0.25"/>
  <cols>
    <col min="3" max="3" width="25.7109375" bestFit="1" customWidth="1"/>
  </cols>
  <sheetData>
    <row r="6" spans="3:24" x14ac:dyDescent="0.25">
      <c r="C6" s="368" t="s">
        <v>314</v>
      </c>
      <c r="D6" s="368"/>
      <c r="E6" s="368"/>
      <c r="F6" s="368"/>
      <c r="G6" s="368"/>
      <c r="H6" s="368"/>
      <c r="I6" s="368"/>
      <c r="J6" s="368"/>
      <c r="K6" s="368"/>
      <c r="M6" s="368" t="s">
        <v>315</v>
      </c>
      <c r="N6" s="368"/>
      <c r="O6" s="368"/>
      <c r="P6" s="368"/>
      <c r="Q6" s="368"/>
      <c r="R6" s="368"/>
      <c r="S6" s="368"/>
      <c r="T6" s="368"/>
      <c r="U6" s="368"/>
      <c r="W6" s="39" t="s">
        <v>255</v>
      </c>
      <c r="X6">
        <v>2000</v>
      </c>
    </row>
    <row r="7" spans="3:24" x14ac:dyDescent="0.25">
      <c r="C7" s="2" t="s">
        <v>0</v>
      </c>
      <c r="D7" s="2" t="s">
        <v>1</v>
      </c>
      <c r="E7" s="2" t="s">
        <v>2</v>
      </c>
      <c r="F7" s="2" t="s">
        <v>3</v>
      </c>
      <c r="G7" s="4" t="s">
        <v>4</v>
      </c>
      <c r="H7" s="4" t="s">
        <v>8</v>
      </c>
      <c r="I7" s="5" t="s">
        <v>9</v>
      </c>
      <c r="J7" s="5" t="s">
        <v>10</v>
      </c>
      <c r="K7" s="5" t="s">
        <v>5</v>
      </c>
      <c r="M7" s="2" t="s">
        <v>0</v>
      </c>
      <c r="N7" s="2" t="s">
        <v>1</v>
      </c>
      <c r="O7" s="2" t="s">
        <v>2</v>
      </c>
      <c r="P7" s="2" t="s">
        <v>3</v>
      </c>
      <c r="Q7" s="4" t="s">
        <v>4</v>
      </c>
      <c r="R7" s="4" t="s">
        <v>8</v>
      </c>
      <c r="S7" s="5" t="s">
        <v>9</v>
      </c>
      <c r="T7" s="5" t="s">
        <v>10</v>
      </c>
      <c r="U7" s="69" t="s">
        <v>5</v>
      </c>
      <c r="W7" s="70" t="s">
        <v>105</v>
      </c>
      <c r="X7">
        <v>4000</v>
      </c>
    </row>
    <row r="8" spans="3:24" x14ac:dyDescent="0.25">
      <c r="C8" s="25">
        <v>45334</v>
      </c>
      <c r="D8" s="26" t="s">
        <v>307</v>
      </c>
      <c r="E8" s="64" t="s">
        <v>308</v>
      </c>
      <c r="F8" s="27">
        <v>10</v>
      </c>
      <c r="G8" s="28">
        <v>71.63</v>
      </c>
      <c r="H8" s="28">
        <f t="shared" ref="H8" si="0">F8*G8</f>
        <v>716.3</v>
      </c>
      <c r="I8" s="28">
        <f t="shared" ref="I8" si="1">H8*0.08</f>
        <v>57.303999999999995</v>
      </c>
      <c r="J8" s="28"/>
      <c r="K8" s="28">
        <f t="shared" ref="K8" si="2">SUM(H8:I8)-J8</f>
        <v>773.60399999999993</v>
      </c>
      <c r="M8" s="60">
        <v>45334</v>
      </c>
      <c r="N8" s="60" t="s">
        <v>103</v>
      </c>
      <c r="O8" s="66" t="s">
        <v>244</v>
      </c>
      <c r="P8" s="36">
        <v>3</v>
      </c>
      <c r="Q8" s="37">
        <v>500</v>
      </c>
      <c r="R8" s="37">
        <f t="shared" ref="R8:R15" si="3">P8*Q8</f>
        <v>1500</v>
      </c>
      <c r="S8" s="37">
        <f t="shared" ref="S8:S15" si="4">R8*0.08</f>
        <v>120</v>
      </c>
      <c r="T8" s="37"/>
      <c r="U8" s="37">
        <f t="shared" ref="U8:U15" si="5">SUM(R8:S8)-T8</f>
        <v>1620</v>
      </c>
      <c r="W8" t="s">
        <v>117</v>
      </c>
      <c r="X8">
        <v>30600</v>
      </c>
    </row>
    <row r="9" spans="3:24" x14ac:dyDescent="0.25">
      <c r="M9" s="60">
        <v>45334</v>
      </c>
      <c r="N9" s="60" t="s">
        <v>103</v>
      </c>
      <c r="O9" s="63" t="s">
        <v>309</v>
      </c>
      <c r="P9" s="36">
        <v>30</v>
      </c>
      <c r="Q9" s="37">
        <v>70</v>
      </c>
      <c r="R9" s="37">
        <f t="shared" si="3"/>
        <v>2100</v>
      </c>
      <c r="S9" s="37">
        <f t="shared" si="4"/>
        <v>168</v>
      </c>
      <c r="T9" s="37"/>
      <c r="U9" s="37">
        <f t="shared" si="5"/>
        <v>2268</v>
      </c>
      <c r="W9" t="s">
        <v>303</v>
      </c>
      <c r="X9">
        <v>25000</v>
      </c>
    </row>
    <row r="10" spans="3:24" x14ac:dyDescent="0.25">
      <c r="M10" s="60">
        <v>45335</v>
      </c>
      <c r="N10" s="60" t="s">
        <v>103</v>
      </c>
      <c r="O10" s="66" t="s">
        <v>244</v>
      </c>
      <c r="P10" s="36">
        <v>3</v>
      </c>
      <c r="Q10" s="37">
        <v>500</v>
      </c>
      <c r="R10" s="37">
        <f t="shared" si="3"/>
        <v>1500</v>
      </c>
      <c r="S10" s="37">
        <f t="shared" si="4"/>
        <v>120</v>
      </c>
      <c r="T10" s="37"/>
      <c r="U10" s="37">
        <f t="shared" si="5"/>
        <v>1620</v>
      </c>
      <c r="X10">
        <f>SUM(X6:X9)</f>
        <v>61600</v>
      </c>
    </row>
    <row r="11" spans="3:24" x14ac:dyDescent="0.25">
      <c r="M11" s="25">
        <v>45335</v>
      </c>
      <c r="N11" s="67" t="s">
        <v>311</v>
      </c>
      <c r="O11" s="62" t="s">
        <v>312</v>
      </c>
      <c r="P11" s="27">
        <v>6</v>
      </c>
      <c r="Q11" s="28">
        <v>393.14</v>
      </c>
      <c r="R11" s="28">
        <f t="shared" si="3"/>
        <v>2358.84</v>
      </c>
      <c r="S11" s="28">
        <f t="shared" si="4"/>
        <v>188.70720000000003</v>
      </c>
      <c r="T11" s="28"/>
      <c r="U11" s="28">
        <f t="shared" si="5"/>
        <v>2547.5472</v>
      </c>
    </row>
    <row r="12" spans="3:24" x14ac:dyDescent="0.25">
      <c r="M12" s="25">
        <v>45335</v>
      </c>
      <c r="N12" s="67" t="s">
        <v>311</v>
      </c>
      <c r="O12" s="64" t="s">
        <v>313</v>
      </c>
      <c r="P12" s="27">
        <v>1</v>
      </c>
      <c r="Q12" s="28">
        <v>171.3</v>
      </c>
      <c r="R12" s="28">
        <f t="shared" si="3"/>
        <v>171.3</v>
      </c>
      <c r="S12" s="28">
        <f t="shared" si="4"/>
        <v>13.704000000000001</v>
      </c>
      <c r="T12" s="28"/>
      <c r="U12" s="28">
        <f t="shared" si="5"/>
        <v>185.00400000000002</v>
      </c>
    </row>
    <row r="13" spans="3:24" x14ac:dyDescent="0.25">
      <c r="M13" s="34">
        <v>45336</v>
      </c>
      <c r="N13" s="60" t="s">
        <v>103</v>
      </c>
      <c r="O13" s="63" t="s">
        <v>309</v>
      </c>
      <c r="P13" s="36">
        <v>30</v>
      </c>
      <c r="Q13" s="37">
        <v>70</v>
      </c>
      <c r="R13" s="37">
        <f t="shared" si="3"/>
        <v>2100</v>
      </c>
      <c r="S13" s="37">
        <f t="shared" si="4"/>
        <v>168</v>
      </c>
      <c r="T13" s="37"/>
      <c r="U13" s="37">
        <f t="shared" si="5"/>
        <v>2268</v>
      </c>
    </row>
    <row r="14" spans="3:24" x14ac:dyDescent="0.25">
      <c r="M14" s="34">
        <v>45336</v>
      </c>
      <c r="N14" s="60" t="s">
        <v>103</v>
      </c>
      <c r="O14" s="66" t="s">
        <v>244</v>
      </c>
      <c r="P14" s="36">
        <v>4</v>
      </c>
      <c r="Q14" s="37">
        <v>500</v>
      </c>
      <c r="R14" s="37">
        <f t="shared" si="3"/>
        <v>2000</v>
      </c>
      <c r="S14" s="37">
        <f t="shared" si="4"/>
        <v>160</v>
      </c>
      <c r="T14" s="37"/>
      <c r="U14" s="37">
        <f t="shared" si="5"/>
        <v>2160</v>
      </c>
    </row>
    <row r="15" spans="3:24" x14ac:dyDescent="0.25">
      <c r="M15" s="34">
        <v>45336</v>
      </c>
      <c r="N15" s="60" t="s">
        <v>103</v>
      </c>
      <c r="O15" s="63" t="s">
        <v>310</v>
      </c>
      <c r="P15" s="36">
        <v>30</v>
      </c>
      <c r="Q15" s="37">
        <v>170</v>
      </c>
      <c r="R15" s="37">
        <f t="shared" si="3"/>
        <v>5100</v>
      </c>
      <c r="S15" s="37">
        <f t="shared" si="4"/>
        <v>408</v>
      </c>
      <c r="T15" s="37"/>
      <c r="U15" s="37">
        <f t="shared" si="5"/>
        <v>5508</v>
      </c>
    </row>
    <row r="18" spans="11:21" x14ac:dyDescent="0.25">
      <c r="K18" s="9">
        <f>SUM(K8:K17)</f>
        <v>773.60399999999993</v>
      </c>
      <c r="U18" s="9">
        <f>SUM(U8:U17)</f>
        <v>18176.551200000002</v>
      </c>
    </row>
  </sheetData>
  <mergeCells count="2">
    <mergeCell ref="C6:K6"/>
    <mergeCell ref="M6:U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4691-CEAA-4E0D-BC63-C4D642381404}">
  <dimension ref="A2:U95"/>
  <sheetViews>
    <sheetView workbookViewId="0">
      <selection activeCell="C15" sqref="C15"/>
    </sheetView>
  </sheetViews>
  <sheetFormatPr baseColWidth="10" defaultRowHeight="15" x14ac:dyDescent="0.25"/>
  <cols>
    <col min="1" max="1" width="11.5703125" style="94"/>
    <col min="2" max="2" width="11.7109375" customWidth="1"/>
    <col min="3" max="3" width="15.5703125" style="6" bestFit="1" customWidth="1"/>
    <col min="4" max="4" width="14.7109375" style="6" bestFit="1" customWidth="1"/>
    <col min="5" max="5" width="12.28515625" style="6" bestFit="1" customWidth="1"/>
    <col min="6" max="7" width="11.28515625" style="6" bestFit="1" customWidth="1"/>
    <col min="8" max="8" width="15.85546875" style="6" bestFit="1" customWidth="1"/>
    <col min="9" max="9" width="11.5703125" style="6"/>
    <col min="10" max="10" width="12.42578125" style="1" customWidth="1"/>
    <col min="11" max="11" width="15.7109375" style="39" bestFit="1" customWidth="1"/>
    <col min="12" max="15" width="12.42578125" style="44" customWidth="1"/>
    <col min="16" max="16" width="12.28515625" style="6" bestFit="1" customWidth="1"/>
    <col min="21" max="21" width="11.5703125" style="6"/>
  </cols>
  <sheetData>
    <row r="2" spans="1:21" s="1" customFormat="1" x14ac:dyDescent="0.25">
      <c r="A2" s="94"/>
      <c r="B2" s="10" t="s">
        <v>0</v>
      </c>
      <c r="C2" s="4" t="s">
        <v>322</v>
      </c>
      <c r="D2" s="99" t="s">
        <v>323</v>
      </c>
      <c r="E2" s="4" t="s">
        <v>8</v>
      </c>
      <c r="F2" s="4" t="s">
        <v>9</v>
      </c>
      <c r="G2" s="4" t="s">
        <v>10</v>
      </c>
      <c r="H2" s="4" t="s">
        <v>321</v>
      </c>
      <c r="I2" s="44"/>
      <c r="J2" s="2" t="s">
        <v>0</v>
      </c>
      <c r="K2" s="2" t="s">
        <v>316</v>
      </c>
      <c r="L2" s="4" t="s">
        <v>8</v>
      </c>
      <c r="M2" s="4" t="s">
        <v>9</v>
      </c>
      <c r="N2" s="4" t="s">
        <v>10</v>
      </c>
      <c r="O2" s="4" t="s">
        <v>5</v>
      </c>
      <c r="P2" s="44"/>
      <c r="U2" s="44"/>
    </row>
    <row r="3" spans="1:21" x14ac:dyDescent="0.25">
      <c r="A3" s="95"/>
      <c r="B3" s="100">
        <v>45295</v>
      </c>
      <c r="C3" s="101">
        <v>42581</v>
      </c>
      <c r="D3" s="101">
        <f>0.1*C3</f>
        <v>4258.1000000000004</v>
      </c>
      <c r="E3" s="101">
        <f>C3+D3</f>
        <v>46839.1</v>
      </c>
      <c r="F3" s="101">
        <f>E3*0.08</f>
        <v>3747.1280000000002</v>
      </c>
      <c r="G3" s="101">
        <f>E3*1.25%</f>
        <v>585.48874999999998</v>
      </c>
      <c r="H3" s="101">
        <f>E3+F3-G3</f>
        <v>50000.739249999999</v>
      </c>
      <c r="J3" s="42">
        <v>45309</v>
      </c>
      <c r="K3" s="39" t="s">
        <v>99</v>
      </c>
      <c r="L3" s="44">
        <v>2500</v>
      </c>
      <c r="M3" s="5">
        <f>L3*0.08</f>
        <v>200</v>
      </c>
      <c r="N3" s="5">
        <f t="shared" ref="N3" si="0">1.25%*L3</f>
        <v>31.25</v>
      </c>
      <c r="O3" s="5">
        <f t="shared" ref="O3" si="1">L3+M3-N3</f>
        <v>2668.75</v>
      </c>
    </row>
    <row r="4" spans="1:21" x14ac:dyDescent="0.25">
      <c r="A4" s="95"/>
      <c r="B4" s="102">
        <v>45303</v>
      </c>
      <c r="C4" s="103">
        <v>47500</v>
      </c>
      <c r="D4" s="103">
        <f>0.08*C4</f>
        <v>3800</v>
      </c>
      <c r="E4" s="103">
        <f>C4+D4</f>
        <v>51300</v>
      </c>
      <c r="F4" s="103">
        <f>E4*0.08</f>
        <v>4104</v>
      </c>
      <c r="G4" s="103">
        <f t="shared" ref="G4" si="2">E4*1.25%</f>
        <v>641.25</v>
      </c>
      <c r="H4" s="103">
        <f t="shared" ref="H4" si="3">E4+F4-G4</f>
        <v>54762.75</v>
      </c>
      <c r="J4" s="87">
        <v>45296</v>
      </c>
      <c r="K4" s="89" t="s">
        <v>303</v>
      </c>
      <c r="L4" s="88">
        <v>18000</v>
      </c>
      <c r="M4" s="88">
        <f>L4*0.08</f>
        <v>1440</v>
      </c>
      <c r="N4" s="88">
        <f t="shared" ref="N4" si="4">1.25%*L4</f>
        <v>225</v>
      </c>
      <c r="O4" s="88">
        <f t="shared" ref="O4" si="5">L4+M4-N4</f>
        <v>19215</v>
      </c>
      <c r="T4" t="s">
        <v>333</v>
      </c>
      <c r="U4" s="6">
        <f>17100</f>
        <v>17100</v>
      </c>
    </row>
    <row r="5" spans="1:21" x14ac:dyDescent="0.25">
      <c r="A5" s="96"/>
      <c r="B5" s="104">
        <v>45311</v>
      </c>
      <c r="C5" s="105">
        <v>51192</v>
      </c>
      <c r="D5" s="105">
        <f>0.1*C5</f>
        <v>5119.2000000000007</v>
      </c>
      <c r="E5" s="105">
        <f t="shared" ref="E5:E8" si="6">C5+D5</f>
        <v>56311.199999999997</v>
      </c>
      <c r="F5" s="105">
        <f t="shared" ref="F5:F9" si="7">E5*0.08</f>
        <v>4504.8959999999997</v>
      </c>
      <c r="G5" s="105">
        <f t="shared" ref="G5:G8" si="8">E5*1.25%</f>
        <v>703.89</v>
      </c>
      <c r="H5" s="105">
        <f t="shared" ref="H5:H8" si="9">E5+F5-G5</f>
        <v>60112.205999999998</v>
      </c>
      <c r="J5" s="87">
        <v>45296</v>
      </c>
      <c r="K5" s="89" t="s">
        <v>105</v>
      </c>
      <c r="L5" s="88">
        <v>2500</v>
      </c>
      <c r="M5" s="88">
        <f t="shared" ref="M5:M7" si="10">L5*0.08</f>
        <v>200</v>
      </c>
      <c r="N5" s="88">
        <f t="shared" ref="N5:N7" si="11">1.25%*L5</f>
        <v>31.25</v>
      </c>
      <c r="O5" s="88">
        <f t="shared" ref="O5:O7" si="12">L5+M5-N5</f>
        <v>2668.75</v>
      </c>
      <c r="T5" t="s">
        <v>334</v>
      </c>
      <c r="U5" s="6">
        <v>3500</v>
      </c>
    </row>
    <row r="6" spans="1:21" x14ac:dyDescent="0.25">
      <c r="A6" s="95"/>
      <c r="B6" s="106">
        <v>45318</v>
      </c>
      <c r="C6" s="78">
        <v>43599.65</v>
      </c>
      <c r="D6" s="78">
        <f t="shared" ref="D6:D9" si="13">0.1*C6</f>
        <v>4359.9650000000001</v>
      </c>
      <c r="E6" s="78">
        <f t="shared" si="6"/>
        <v>47959.615000000005</v>
      </c>
      <c r="F6" s="78">
        <f t="shared" si="7"/>
        <v>3836.7692000000006</v>
      </c>
      <c r="G6" s="78">
        <f t="shared" si="8"/>
        <v>599.49518750000004</v>
      </c>
      <c r="H6" s="78">
        <f t="shared" si="9"/>
        <v>51196.889012500011</v>
      </c>
      <c r="J6" s="87">
        <v>45296</v>
      </c>
      <c r="K6" s="89" t="s">
        <v>255</v>
      </c>
      <c r="L6" s="88">
        <v>2000</v>
      </c>
      <c r="M6" s="88">
        <f t="shared" si="10"/>
        <v>160</v>
      </c>
      <c r="N6" s="88">
        <f t="shared" si="11"/>
        <v>25</v>
      </c>
      <c r="O6" s="88">
        <f t="shared" si="12"/>
        <v>2135</v>
      </c>
      <c r="T6" t="s">
        <v>117</v>
      </c>
      <c r="U6" s="6">
        <v>3000</v>
      </c>
    </row>
    <row r="7" spans="1:21" x14ac:dyDescent="0.25">
      <c r="A7" s="96"/>
      <c r="B7" s="107">
        <v>45324</v>
      </c>
      <c r="C7" s="81">
        <v>60125</v>
      </c>
      <c r="D7" s="81">
        <f t="shared" si="13"/>
        <v>6012.5</v>
      </c>
      <c r="E7" s="81">
        <f t="shared" si="6"/>
        <v>66137.5</v>
      </c>
      <c r="F7" s="81">
        <f t="shared" si="7"/>
        <v>5291</v>
      </c>
      <c r="G7" s="81">
        <f t="shared" si="8"/>
        <v>826.71875</v>
      </c>
      <c r="H7" s="81">
        <f t="shared" si="9"/>
        <v>70601.78125</v>
      </c>
      <c r="J7" s="87">
        <v>45296</v>
      </c>
      <c r="K7" s="89" t="s">
        <v>319</v>
      </c>
      <c r="L7" s="88">
        <v>20081</v>
      </c>
      <c r="M7" s="88">
        <f t="shared" si="10"/>
        <v>1606.48</v>
      </c>
      <c r="N7" s="88">
        <f t="shared" si="11"/>
        <v>251.01250000000002</v>
      </c>
      <c r="O7" s="88">
        <f t="shared" si="12"/>
        <v>21436.467499999999</v>
      </c>
      <c r="P7" s="49">
        <f>SUM(L4:L7)</f>
        <v>42581</v>
      </c>
      <c r="U7" s="6">
        <v>3500</v>
      </c>
    </row>
    <row r="8" spans="1:21" x14ac:dyDescent="0.25">
      <c r="A8" s="95"/>
      <c r="B8" s="278">
        <v>45331</v>
      </c>
      <c r="C8" s="277">
        <v>55000</v>
      </c>
      <c r="D8" s="277">
        <f t="shared" si="13"/>
        <v>5500</v>
      </c>
      <c r="E8" s="277">
        <f t="shared" si="6"/>
        <v>60500</v>
      </c>
      <c r="F8" s="277">
        <f t="shared" si="7"/>
        <v>4840</v>
      </c>
      <c r="G8" s="277">
        <f t="shared" si="8"/>
        <v>756.25</v>
      </c>
      <c r="H8" s="277">
        <f t="shared" si="9"/>
        <v>64583.75</v>
      </c>
      <c r="J8" s="76">
        <v>45303</v>
      </c>
      <c r="K8" s="90" t="s">
        <v>317</v>
      </c>
      <c r="L8" s="77">
        <v>1700</v>
      </c>
      <c r="M8" s="77">
        <f t="shared" ref="M8:M39" si="14">L8*0.08</f>
        <v>136</v>
      </c>
      <c r="N8" s="77">
        <f t="shared" ref="N8:N36" si="15">1.25%*L8</f>
        <v>21.25</v>
      </c>
      <c r="O8" s="77">
        <f t="shared" ref="O8:O36" si="16">L8+M8-N8</f>
        <v>1814.75</v>
      </c>
      <c r="U8" s="6">
        <v>3000</v>
      </c>
    </row>
    <row r="9" spans="1:21" x14ac:dyDescent="0.25">
      <c r="A9" s="95"/>
      <c r="B9" s="108">
        <v>45337</v>
      </c>
      <c r="C9" s="86">
        <v>61600</v>
      </c>
      <c r="D9" s="86">
        <f t="shared" si="13"/>
        <v>6160</v>
      </c>
      <c r="E9" s="86">
        <f t="shared" ref="E9" si="17">C9+D9</f>
        <v>67760</v>
      </c>
      <c r="F9" s="86">
        <f t="shared" si="7"/>
        <v>5420.8</v>
      </c>
      <c r="G9" s="86">
        <f t="shared" ref="G9" si="18">E9*1.25%</f>
        <v>847</v>
      </c>
      <c r="H9" s="86">
        <f t="shared" ref="H9" si="19">E9+F9-G9</f>
        <v>72333.8</v>
      </c>
      <c r="J9" s="76">
        <v>45303</v>
      </c>
      <c r="K9" s="90" t="s">
        <v>117</v>
      </c>
      <c r="L9" s="77">
        <f>6500+1800</f>
        <v>8300</v>
      </c>
      <c r="M9" s="77">
        <f t="shared" si="14"/>
        <v>664</v>
      </c>
      <c r="N9" s="77">
        <f t="shared" si="15"/>
        <v>103.75</v>
      </c>
      <c r="O9" s="77">
        <f t="shared" si="16"/>
        <v>8860.25</v>
      </c>
      <c r="U9" s="6">
        <f>SUM(U4:U8)</f>
        <v>30100</v>
      </c>
    </row>
    <row r="10" spans="1:21" x14ac:dyDescent="0.25">
      <c r="B10" s="149">
        <v>45341</v>
      </c>
      <c r="C10" s="151">
        <v>22000</v>
      </c>
      <c r="D10" s="151">
        <f t="shared" ref="D10" si="20">0.1*C10</f>
        <v>2200</v>
      </c>
      <c r="E10" s="151">
        <f>C10+D10</f>
        <v>24200</v>
      </c>
      <c r="F10" s="151">
        <f>E10*0.08</f>
        <v>1936</v>
      </c>
      <c r="G10" s="151">
        <f>E10*1.25%</f>
        <v>302.5</v>
      </c>
      <c r="H10" s="151">
        <f t="shared" ref="H10" si="21">E10+F10-G10</f>
        <v>25833.5</v>
      </c>
      <c r="J10" s="76">
        <v>45303</v>
      </c>
      <c r="K10" s="90" t="s">
        <v>318</v>
      </c>
      <c r="L10" s="77">
        <v>2500</v>
      </c>
      <c r="M10" s="77">
        <f t="shared" si="14"/>
        <v>200</v>
      </c>
      <c r="N10" s="77">
        <f t="shared" si="15"/>
        <v>31.25</v>
      </c>
      <c r="O10" s="77">
        <f t="shared" si="16"/>
        <v>2668.75</v>
      </c>
    </row>
    <row r="11" spans="1:21" x14ac:dyDescent="0.25">
      <c r="B11" s="348">
        <v>45344</v>
      </c>
      <c r="C11" s="349">
        <v>66166.67</v>
      </c>
      <c r="D11" s="349">
        <f t="shared" ref="D11:D17" si="22">0.1*C11</f>
        <v>6616.6670000000004</v>
      </c>
      <c r="E11" s="349">
        <f t="shared" ref="E11:E17" si="23">C11+D11</f>
        <v>72783.337</v>
      </c>
      <c r="F11" s="349">
        <f t="shared" ref="F11:F17" si="24">E11*0.08</f>
        <v>5822.6669600000005</v>
      </c>
      <c r="G11" s="349">
        <f t="shared" ref="G11:G17" si="25">E11*1.25%</f>
        <v>909.79171250000002</v>
      </c>
      <c r="H11" s="349">
        <f t="shared" ref="H11:H17" si="26">E11+F11-G11</f>
        <v>77696.212247500007</v>
      </c>
      <c r="J11" s="76">
        <v>45303</v>
      </c>
      <c r="K11" s="90" t="s">
        <v>105</v>
      </c>
      <c r="L11" s="77">
        <v>5000</v>
      </c>
      <c r="M11" s="77">
        <f t="shared" si="14"/>
        <v>400</v>
      </c>
      <c r="N11" s="77">
        <f t="shared" si="15"/>
        <v>62.5</v>
      </c>
      <c r="O11" s="77">
        <f t="shared" si="16"/>
        <v>5337.5</v>
      </c>
    </row>
    <row r="12" spans="1:21" x14ac:dyDescent="0.25">
      <c r="B12" s="346">
        <v>45350</v>
      </c>
      <c r="C12" s="347">
        <v>100000</v>
      </c>
      <c r="D12" s="347">
        <f t="shared" si="22"/>
        <v>10000</v>
      </c>
      <c r="E12" s="347">
        <f t="shared" si="23"/>
        <v>110000</v>
      </c>
      <c r="F12" s="347">
        <f t="shared" si="24"/>
        <v>8800</v>
      </c>
      <c r="G12" s="347">
        <f t="shared" si="25"/>
        <v>1375</v>
      </c>
      <c r="H12" s="347">
        <f t="shared" si="26"/>
        <v>117425</v>
      </c>
      <c r="J12" s="76">
        <v>45303</v>
      </c>
      <c r="K12" s="90" t="s">
        <v>255</v>
      </c>
      <c r="L12" s="77">
        <v>2000</v>
      </c>
      <c r="M12" s="77">
        <f t="shared" si="14"/>
        <v>160</v>
      </c>
      <c r="N12" s="77">
        <f t="shared" si="15"/>
        <v>25</v>
      </c>
      <c r="O12" s="77">
        <f t="shared" si="16"/>
        <v>2135</v>
      </c>
      <c r="T12" t="s">
        <v>117</v>
      </c>
      <c r="U12" s="6">
        <v>30100</v>
      </c>
    </row>
    <row r="13" spans="1:21" x14ac:dyDescent="0.25">
      <c r="B13" s="12">
        <v>45358</v>
      </c>
      <c r="C13" s="11">
        <v>60000</v>
      </c>
      <c r="D13" s="53">
        <f t="shared" si="22"/>
        <v>6000</v>
      </c>
      <c r="E13" s="53">
        <f t="shared" si="23"/>
        <v>66000</v>
      </c>
      <c r="F13" s="53">
        <f t="shared" si="24"/>
        <v>5280</v>
      </c>
      <c r="G13" s="53">
        <f t="shared" si="25"/>
        <v>825</v>
      </c>
      <c r="H13" s="53">
        <f t="shared" si="26"/>
        <v>70455</v>
      </c>
      <c r="J13" s="76">
        <v>45303</v>
      </c>
      <c r="K13" s="90" t="s">
        <v>303</v>
      </c>
      <c r="L13" s="77">
        <v>18000</v>
      </c>
      <c r="M13" s="77">
        <f t="shared" si="14"/>
        <v>1440</v>
      </c>
      <c r="N13" s="77">
        <f t="shared" si="15"/>
        <v>225</v>
      </c>
      <c r="O13" s="77">
        <f t="shared" si="16"/>
        <v>19215</v>
      </c>
      <c r="T13" t="s">
        <v>105</v>
      </c>
      <c r="U13" s="6">
        <v>5000</v>
      </c>
    </row>
    <row r="14" spans="1:21" x14ac:dyDescent="0.25">
      <c r="B14" s="10"/>
      <c r="C14" s="11">
        <v>30000</v>
      </c>
      <c r="D14" s="53">
        <f t="shared" si="22"/>
        <v>3000</v>
      </c>
      <c r="E14" s="53">
        <f t="shared" si="23"/>
        <v>33000</v>
      </c>
      <c r="F14" s="53">
        <f t="shared" si="24"/>
        <v>2640</v>
      </c>
      <c r="G14" s="53">
        <f t="shared" si="25"/>
        <v>412.5</v>
      </c>
      <c r="H14" s="53">
        <f t="shared" si="26"/>
        <v>35227.5</v>
      </c>
      <c r="J14" s="76">
        <v>45303</v>
      </c>
      <c r="K14" s="90" t="s">
        <v>319</v>
      </c>
      <c r="L14" s="77">
        <v>10000</v>
      </c>
      <c r="M14" s="77">
        <f t="shared" si="14"/>
        <v>800</v>
      </c>
      <c r="N14" s="77">
        <f t="shared" si="15"/>
        <v>125</v>
      </c>
      <c r="O14" s="77">
        <f t="shared" si="16"/>
        <v>10675</v>
      </c>
      <c r="P14" s="31">
        <f>SUM(L8:L14)</f>
        <v>47500</v>
      </c>
      <c r="T14" t="s">
        <v>255</v>
      </c>
    </row>
    <row r="15" spans="1:21" x14ac:dyDescent="0.25">
      <c r="B15" s="10"/>
      <c r="C15" s="11"/>
      <c r="D15" s="53">
        <f t="shared" si="22"/>
        <v>0</v>
      </c>
      <c r="E15" s="53">
        <f t="shared" si="23"/>
        <v>0</v>
      </c>
      <c r="F15" s="53">
        <f t="shared" si="24"/>
        <v>0</v>
      </c>
      <c r="G15" s="53">
        <f t="shared" si="25"/>
        <v>0</v>
      </c>
      <c r="H15" s="53">
        <f t="shared" si="26"/>
        <v>0</v>
      </c>
      <c r="J15" s="74">
        <v>45311</v>
      </c>
      <c r="K15" s="91" t="s">
        <v>318</v>
      </c>
      <c r="L15" s="75">
        <v>11200</v>
      </c>
      <c r="M15" s="75">
        <f t="shared" si="14"/>
        <v>896</v>
      </c>
      <c r="N15" s="75">
        <f t="shared" si="15"/>
        <v>140</v>
      </c>
      <c r="O15" s="75">
        <f t="shared" si="16"/>
        <v>11956</v>
      </c>
      <c r="T15" t="s">
        <v>489</v>
      </c>
      <c r="U15" s="6">
        <v>6000</v>
      </c>
    </row>
    <row r="16" spans="1:21" x14ac:dyDescent="0.25">
      <c r="B16" s="10"/>
      <c r="C16" s="11"/>
      <c r="D16" s="53">
        <f t="shared" si="22"/>
        <v>0</v>
      </c>
      <c r="E16" s="53">
        <f t="shared" si="23"/>
        <v>0</v>
      </c>
      <c r="F16" s="53">
        <f t="shared" si="24"/>
        <v>0</v>
      </c>
      <c r="G16" s="53">
        <f t="shared" si="25"/>
        <v>0</v>
      </c>
      <c r="H16" s="53">
        <f t="shared" si="26"/>
        <v>0</v>
      </c>
      <c r="J16" s="74">
        <v>45311</v>
      </c>
      <c r="K16" s="91" t="s">
        <v>255</v>
      </c>
      <c r="L16" s="75">
        <v>2000</v>
      </c>
      <c r="M16" s="75">
        <f t="shared" si="14"/>
        <v>160</v>
      </c>
      <c r="N16" s="75">
        <f t="shared" si="15"/>
        <v>25</v>
      </c>
      <c r="O16" s="75">
        <f t="shared" si="16"/>
        <v>2135</v>
      </c>
      <c r="T16" t="s">
        <v>318</v>
      </c>
    </row>
    <row r="17" spans="2:21" x14ac:dyDescent="0.25">
      <c r="B17" s="10"/>
      <c r="C17" s="11"/>
      <c r="D17" s="53">
        <f t="shared" si="22"/>
        <v>0</v>
      </c>
      <c r="E17" s="53">
        <f t="shared" si="23"/>
        <v>0</v>
      </c>
      <c r="F17" s="53">
        <f t="shared" si="24"/>
        <v>0</v>
      </c>
      <c r="G17" s="53">
        <f t="shared" si="25"/>
        <v>0</v>
      </c>
      <c r="H17" s="53">
        <f t="shared" si="26"/>
        <v>0</v>
      </c>
      <c r="J17" s="74">
        <v>45311</v>
      </c>
      <c r="K17" s="91" t="s">
        <v>105</v>
      </c>
      <c r="L17" s="75">
        <v>4800</v>
      </c>
      <c r="M17" s="75">
        <f t="shared" si="14"/>
        <v>384</v>
      </c>
      <c r="N17" s="75">
        <f t="shared" si="15"/>
        <v>60</v>
      </c>
      <c r="O17" s="75">
        <f t="shared" si="16"/>
        <v>5124</v>
      </c>
      <c r="T17" t="s">
        <v>2</v>
      </c>
      <c r="U17" s="6">
        <v>10000</v>
      </c>
    </row>
    <row r="18" spans="2:21" x14ac:dyDescent="0.25">
      <c r="B18" s="2" t="s">
        <v>340</v>
      </c>
      <c r="C18" s="11">
        <f t="shared" ref="C18:H18" si="27">SUM(C3:C17)</f>
        <v>639764.32000000007</v>
      </c>
      <c r="D18" s="11">
        <f t="shared" si="27"/>
        <v>63026.432000000001</v>
      </c>
      <c r="E18" s="11">
        <f t="shared" si="27"/>
        <v>702790.75199999998</v>
      </c>
      <c r="F18" s="11">
        <f t="shared" si="27"/>
        <v>56223.260160000005</v>
      </c>
      <c r="G18" s="11">
        <f t="shared" si="27"/>
        <v>8784.8844000000008</v>
      </c>
      <c r="H18" s="11">
        <f t="shared" si="27"/>
        <v>750229.12775999994</v>
      </c>
      <c r="J18" s="74">
        <v>45311</v>
      </c>
      <c r="K18" s="91" t="s">
        <v>271</v>
      </c>
      <c r="L18" s="75">
        <v>2592</v>
      </c>
      <c r="M18" s="75">
        <f t="shared" si="14"/>
        <v>207.36</v>
      </c>
      <c r="N18" s="75">
        <f t="shared" si="15"/>
        <v>32.4</v>
      </c>
      <c r="O18" s="75">
        <f t="shared" si="16"/>
        <v>2766.96</v>
      </c>
    </row>
    <row r="19" spans="2:21" x14ac:dyDescent="0.25">
      <c r="B19" s="2" t="s">
        <v>5</v>
      </c>
      <c r="C19" s="4">
        <f>L87</f>
        <v>603032.49999999988</v>
      </c>
      <c r="J19" s="74">
        <v>45311</v>
      </c>
      <c r="K19" s="91" t="s">
        <v>320</v>
      </c>
      <c r="L19" s="75">
        <v>30600</v>
      </c>
      <c r="M19" s="75">
        <f t="shared" si="14"/>
        <v>2448</v>
      </c>
      <c r="N19" s="75">
        <f t="shared" si="15"/>
        <v>382.5</v>
      </c>
      <c r="O19" s="75">
        <f t="shared" si="16"/>
        <v>32665.5</v>
      </c>
      <c r="P19" s="20">
        <f>SUM(L15:L19)</f>
        <v>51192</v>
      </c>
    </row>
    <row r="20" spans="2:21" x14ac:dyDescent="0.25">
      <c r="B20" s="122" t="s">
        <v>511</v>
      </c>
      <c r="C20" s="320">
        <f>C18-C19</f>
        <v>36731.820000000182</v>
      </c>
      <c r="J20" s="71">
        <v>45318</v>
      </c>
      <c r="K20" s="92" t="s">
        <v>117</v>
      </c>
      <c r="L20" s="72">
        <v>27100</v>
      </c>
      <c r="M20" s="72">
        <f t="shared" si="14"/>
        <v>2168</v>
      </c>
      <c r="N20" s="72">
        <f t="shared" si="15"/>
        <v>338.75</v>
      </c>
      <c r="O20" s="72">
        <f t="shared" si="16"/>
        <v>28929.25</v>
      </c>
    </row>
    <row r="21" spans="2:21" x14ac:dyDescent="0.25">
      <c r="J21" s="71">
        <v>45318</v>
      </c>
      <c r="K21" s="92" t="s">
        <v>255</v>
      </c>
      <c r="L21" s="72">
        <v>2000</v>
      </c>
      <c r="M21" s="72">
        <f t="shared" si="14"/>
        <v>160</v>
      </c>
      <c r="N21" s="72">
        <f t="shared" si="15"/>
        <v>25</v>
      </c>
      <c r="O21" s="72">
        <f t="shared" si="16"/>
        <v>2135</v>
      </c>
    </row>
    <row r="22" spans="2:21" x14ac:dyDescent="0.25">
      <c r="J22" s="71">
        <v>45318</v>
      </c>
      <c r="K22" s="92" t="s">
        <v>105</v>
      </c>
      <c r="L22" s="72">
        <v>3300</v>
      </c>
      <c r="M22" s="72">
        <f t="shared" si="14"/>
        <v>264</v>
      </c>
      <c r="N22" s="72">
        <f t="shared" si="15"/>
        <v>41.25</v>
      </c>
      <c r="O22" s="72">
        <f t="shared" si="16"/>
        <v>3522.75</v>
      </c>
    </row>
    <row r="23" spans="2:21" x14ac:dyDescent="0.25">
      <c r="J23" s="71">
        <v>45318</v>
      </c>
      <c r="K23" s="92" t="s">
        <v>99</v>
      </c>
      <c r="L23" s="72">
        <v>2500</v>
      </c>
      <c r="M23" s="72">
        <f t="shared" si="14"/>
        <v>200</v>
      </c>
      <c r="N23" s="72">
        <f t="shared" si="15"/>
        <v>31.25</v>
      </c>
      <c r="O23" s="72">
        <f t="shared" si="16"/>
        <v>2668.75</v>
      </c>
    </row>
    <row r="24" spans="2:21" x14ac:dyDescent="0.25">
      <c r="J24" s="71">
        <v>45318</v>
      </c>
      <c r="K24" s="92" t="s">
        <v>327</v>
      </c>
      <c r="L24" s="78">
        <v>800</v>
      </c>
      <c r="M24" s="72">
        <f t="shared" si="14"/>
        <v>64</v>
      </c>
      <c r="N24" s="72">
        <f t="shared" si="15"/>
        <v>10</v>
      </c>
      <c r="O24" s="72">
        <f t="shared" si="16"/>
        <v>854</v>
      </c>
      <c r="U24" s="6">
        <f>SUM(U12:U23)</f>
        <v>51100</v>
      </c>
    </row>
    <row r="25" spans="2:21" x14ac:dyDescent="0.25">
      <c r="J25" s="71">
        <v>45318</v>
      </c>
      <c r="K25" s="92" t="s">
        <v>328</v>
      </c>
      <c r="L25" s="78">
        <v>250</v>
      </c>
      <c r="M25" s="72">
        <f t="shared" si="14"/>
        <v>20</v>
      </c>
      <c r="N25" s="72">
        <f t="shared" si="15"/>
        <v>3.125</v>
      </c>
      <c r="O25" s="72">
        <f t="shared" si="16"/>
        <v>266.875</v>
      </c>
      <c r="U25" s="6">
        <f>U24*10%</f>
        <v>5110</v>
      </c>
    </row>
    <row r="26" spans="2:21" x14ac:dyDescent="0.25">
      <c r="J26" s="71">
        <v>45318</v>
      </c>
      <c r="K26" s="92" t="s">
        <v>329</v>
      </c>
      <c r="L26" s="78">
        <v>2500</v>
      </c>
      <c r="M26" s="72">
        <f t="shared" si="14"/>
        <v>200</v>
      </c>
      <c r="N26" s="72">
        <f t="shared" si="15"/>
        <v>31.25</v>
      </c>
      <c r="O26" s="72">
        <f t="shared" si="16"/>
        <v>2668.75</v>
      </c>
      <c r="U26" s="6">
        <f>U24+U25</f>
        <v>56210</v>
      </c>
    </row>
    <row r="27" spans="2:21" x14ac:dyDescent="0.25">
      <c r="B27" t="s">
        <v>603</v>
      </c>
      <c r="C27" s="6">
        <v>9700</v>
      </c>
      <c r="J27" s="71">
        <v>45318</v>
      </c>
      <c r="K27" s="92" t="s">
        <v>303</v>
      </c>
      <c r="L27" s="78">
        <v>3000</v>
      </c>
      <c r="M27" s="72">
        <f t="shared" si="14"/>
        <v>240</v>
      </c>
      <c r="N27" s="72">
        <f t="shared" si="15"/>
        <v>37.5</v>
      </c>
      <c r="O27" s="72">
        <f t="shared" si="16"/>
        <v>3202.5</v>
      </c>
      <c r="U27" s="6">
        <f>U26*8%</f>
        <v>4496.8</v>
      </c>
    </row>
    <row r="28" spans="2:21" x14ac:dyDescent="0.25">
      <c r="B28" t="s">
        <v>604</v>
      </c>
      <c r="C28" s="6">
        <v>4227.76</v>
      </c>
      <c r="J28" s="71">
        <v>45318</v>
      </c>
      <c r="K28" s="92" t="s">
        <v>330</v>
      </c>
      <c r="L28" s="78">
        <v>980</v>
      </c>
      <c r="M28" s="72">
        <f t="shared" si="14"/>
        <v>78.400000000000006</v>
      </c>
      <c r="N28" s="72">
        <f t="shared" si="15"/>
        <v>12.25</v>
      </c>
      <c r="O28" s="72">
        <f t="shared" si="16"/>
        <v>1046.1500000000001</v>
      </c>
      <c r="U28" s="6">
        <f>U26*1.25%</f>
        <v>702.625</v>
      </c>
    </row>
    <row r="29" spans="2:21" x14ac:dyDescent="0.25">
      <c r="B29" s="94" t="s">
        <v>605</v>
      </c>
      <c r="C29" s="6">
        <v>1869.19</v>
      </c>
      <c r="J29" s="71">
        <v>45318</v>
      </c>
      <c r="K29" s="92" t="s">
        <v>44</v>
      </c>
      <c r="L29" s="78">
        <v>1169.6500000000001</v>
      </c>
      <c r="M29" s="72">
        <f t="shared" si="14"/>
        <v>93.572000000000003</v>
      </c>
      <c r="N29" s="72">
        <f t="shared" si="15"/>
        <v>14.620625000000002</v>
      </c>
      <c r="O29" s="72">
        <f t="shared" si="16"/>
        <v>1248.6013750000002</v>
      </c>
      <c r="P29" s="73">
        <f>SUM(L20:L29)</f>
        <v>43599.65</v>
      </c>
      <c r="U29" s="6" t="e" cm="1">
        <f t="array" ref="U29">C1347100</f>
        <v>#NAME?</v>
      </c>
    </row>
    <row r="30" spans="2:21" x14ac:dyDescent="0.25">
      <c r="B30" s="94"/>
      <c r="C30" s="6">
        <f>SUM(C27:C29)</f>
        <v>15796.95</v>
      </c>
      <c r="J30" s="79">
        <v>45324</v>
      </c>
      <c r="K30" s="93" t="s">
        <v>117</v>
      </c>
      <c r="L30" s="81">
        <f>25100+2625</f>
        <v>27725</v>
      </c>
      <c r="M30" s="80">
        <f t="shared" si="14"/>
        <v>2218</v>
      </c>
      <c r="N30" s="80">
        <f t="shared" si="15"/>
        <v>346.5625</v>
      </c>
      <c r="O30" s="80">
        <f t="shared" si="16"/>
        <v>29596.4375</v>
      </c>
    </row>
    <row r="31" spans="2:21" x14ac:dyDescent="0.25">
      <c r="B31" s="94"/>
      <c r="J31" s="79">
        <v>45324</v>
      </c>
      <c r="K31" s="93" t="s">
        <v>229</v>
      </c>
      <c r="L31" s="81">
        <v>3000</v>
      </c>
      <c r="M31" s="80">
        <f t="shared" si="14"/>
        <v>240</v>
      </c>
      <c r="N31" s="80">
        <f t="shared" si="15"/>
        <v>37.5</v>
      </c>
      <c r="O31" s="80">
        <f t="shared" si="16"/>
        <v>3202.5</v>
      </c>
    </row>
    <row r="32" spans="2:21" x14ac:dyDescent="0.25">
      <c r="J32" s="79">
        <v>45324</v>
      </c>
      <c r="K32" s="93" t="s">
        <v>105</v>
      </c>
      <c r="L32" s="81">
        <v>5000</v>
      </c>
      <c r="M32" s="80">
        <f t="shared" si="14"/>
        <v>400</v>
      </c>
      <c r="N32" s="80">
        <f t="shared" si="15"/>
        <v>62.5</v>
      </c>
      <c r="O32" s="80">
        <f t="shared" si="16"/>
        <v>5337.5</v>
      </c>
    </row>
    <row r="33" spans="2:17" x14ac:dyDescent="0.25">
      <c r="J33" s="79">
        <v>45324</v>
      </c>
      <c r="K33" s="93" t="s">
        <v>255</v>
      </c>
      <c r="L33" s="81">
        <v>2000</v>
      </c>
      <c r="M33" s="80">
        <f t="shared" si="14"/>
        <v>160</v>
      </c>
      <c r="N33" s="80">
        <f t="shared" si="15"/>
        <v>25</v>
      </c>
      <c r="O33" s="80">
        <f t="shared" si="16"/>
        <v>2135</v>
      </c>
    </row>
    <row r="34" spans="2:17" x14ac:dyDescent="0.25">
      <c r="J34" s="79">
        <v>45324</v>
      </c>
      <c r="K34" s="93" t="s">
        <v>303</v>
      </c>
      <c r="L34" s="81">
        <v>16000</v>
      </c>
      <c r="M34" s="80">
        <f t="shared" si="14"/>
        <v>1280</v>
      </c>
      <c r="N34" s="80">
        <f t="shared" si="15"/>
        <v>200</v>
      </c>
      <c r="O34" s="80">
        <f t="shared" si="16"/>
        <v>17080</v>
      </c>
    </row>
    <row r="35" spans="2:17" x14ac:dyDescent="0.25">
      <c r="J35" s="79">
        <v>45324</v>
      </c>
      <c r="K35" s="93" t="s">
        <v>331</v>
      </c>
      <c r="L35" s="81">
        <v>4000</v>
      </c>
      <c r="M35" s="80">
        <f t="shared" si="14"/>
        <v>320</v>
      </c>
      <c r="N35" s="80">
        <f t="shared" si="15"/>
        <v>50</v>
      </c>
      <c r="O35" s="80">
        <f t="shared" si="16"/>
        <v>4270</v>
      </c>
    </row>
    <row r="36" spans="2:17" x14ac:dyDescent="0.25">
      <c r="J36" s="79">
        <v>45324</v>
      </c>
      <c r="K36" s="93" t="s">
        <v>231</v>
      </c>
      <c r="L36" s="81">
        <v>2400</v>
      </c>
      <c r="M36" s="80">
        <f t="shared" si="14"/>
        <v>192</v>
      </c>
      <c r="N36" s="80">
        <f t="shared" si="15"/>
        <v>30</v>
      </c>
      <c r="O36" s="80">
        <f t="shared" si="16"/>
        <v>2562</v>
      </c>
      <c r="P36" s="22">
        <f>SUM(L30:L36)</f>
        <v>60125</v>
      </c>
    </row>
    <row r="37" spans="2:17" x14ac:dyDescent="0.25">
      <c r="J37" s="274">
        <v>45331</v>
      </c>
      <c r="K37" s="275" t="s">
        <v>229</v>
      </c>
      <c r="L37" s="209">
        <v>7000</v>
      </c>
      <c r="M37" s="209">
        <f t="shared" si="14"/>
        <v>560</v>
      </c>
      <c r="N37" s="209">
        <f t="shared" ref="N37:N40" si="28">1.25%*L37</f>
        <v>87.5</v>
      </c>
      <c r="O37" s="209">
        <f t="shared" ref="O37:O40" si="29">L37+M37-N37</f>
        <v>7472.5</v>
      </c>
    </row>
    <row r="38" spans="2:17" x14ac:dyDescent="0.25">
      <c r="J38" s="274">
        <v>45331</v>
      </c>
      <c r="K38" s="276" t="s">
        <v>117</v>
      </c>
      <c r="L38" s="277">
        <v>27100</v>
      </c>
      <c r="M38" s="209">
        <f t="shared" si="14"/>
        <v>2168</v>
      </c>
      <c r="N38" s="209">
        <f t="shared" si="28"/>
        <v>338.75</v>
      </c>
      <c r="O38" s="209">
        <f t="shared" si="29"/>
        <v>28929.25</v>
      </c>
    </row>
    <row r="39" spans="2:17" x14ac:dyDescent="0.25">
      <c r="J39" s="274">
        <v>45331</v>
      </c>
      <c r="K39" s="275" t="s">
        <v>255</v>
      </c>
      <c r="L39" s="277">
        <v>2000</v>
      </c>
      <c r="M39" s="209">
        <f t="shared" si="14"/>
        <v>160</v>
      </c>
      <c r="N39" s="209">
        <f t="shared" si="28"/>
        <v>25</v>
      </c>
      <c r="O39" s="209">
        <f t="shared" si="29"/>
        <v>2135</v>
      </c>
    </row>
    <row r="40" spans="2:17" x14ac:dyDescent="0.25">
      <c r="J40" s="274">
        <v>45331</v>
      </c>
      <c r="K40" s="275" t="s">
        <v>105</v>
      </c>
      <c r="L40" s="277">
        <v>4500</v>
      </c>
      <c r="M40" s="209">
        <f t="shared" ref="M40:M56" si="30">L40*0.08</f>
        <v>360</v>
      </c>
      <c r="N40" s="209">
        <f t="shared" si="28"/>
        <v>56.25</v>
      </c>
      <c r="O40" s="209">
        <f t="shared" si="29"/>
        <v>4803.75</v>
      </c>
    </row>
    <row r="41" spans="2:17" x14ac:dyDescent="0.25">
      <c r="C41" s="7"/>
      <c r="D41" s="7"/>
      <c r="E41" s="7"/>
      <c r="F41" s="7"/>
      <c r="G41" s="7"/>
      <c r="J41" s="274">
        <v>45331</v>
      </c>
      <c r="K41" s="275" t="s">
        <v>332</v>
      </c>
      <c r="L41" s="209">
        <v>14400</v>
      </c>
      <c r="M41" s="209">
        <f t="shared" si="30"/>
        <v>1152</v>
      </c>
      <c r="N41" s="209">
        <f>1.25%*L41</f>
        <v>180</v>
      </c>
      <c r="O41" s="209">
        <f>L41+M41-N41</f>
        <v>15372</v>
      </c>
      <c r="P41" s="51">
        <f>SUM(L37:L41)</f>
        <v>55000</v>
      </c>
    </row>
    <row r="42" spans="2:17" x14ac:dyDescent="0.25">
      <c r="B42" s="369"/>
      <c r="C42" s="7"/>
      <c r="D42" s="7"/>
      <c r="E42" s="7"/>
      <c r="F42" s="7"/>
      <c r="G42" s="7"/>
      <c r="I42" s="97"/>
      <c r="J42" s="82">
        <v>45337</v>
      </c>
      <c r="K42" s="83" t="s">
        <v>255</v>
      </c>
      <c r="L42" s="86">
        <v>2000</v>
      </c>
      <c r="M42" s="84">
        <f t="shared" si="30"/>
        <v>160</v>
      </c>
      <c r="N42" s="84">
        <f>1.25%*L42</f>
        <v>25</v>
      </c>
      <c r="O42" s="84">
        <f>L42+M42-N42</f>
        <v>2135</v>
      </c>
    </row>
    <row r="43" spans="2:17" x14ac:dyDescent="0.25">
      <c r="B43" s="369"/>
      <c r="C43" s="7"/>
      <c r="D43" s="7"/>
      <c r="E43" s="7"/>
      <c r="F43" s="7"/>
      <c r="G43" s="7"/>
      <c r="I43" s="219"/>
      <c r="J43" s="82">
        <v>45337</v>
      </c>
      <c r="K43" s="85" t="s">
        <v>105</v>
      </c>
      <c r="L43" s="86">
        <v>4000</v>
      </c>
      <c r="M43" s="84">
        <f t="shared" si="30"/>
        <v>320</v>
      </c>
      <c r="N43" s="84">
        <f>1.25%*L43</f>
        <v>50</v>
      </c>
      <c r="O43" s="84">
        <f>L43+M43-N43</f>
        <v>4270</v>
      </c>
    </row>
    <row r="44" spans="2:17" x14ac:dyDescent="0.25">
      <c r="B44" s="369"/>
      <c r="C44" s="7"/>
      <c r="D44" s="7"/>
      <c r="E44" s="7"/>
      <c r="F44" s="7"/>
      <c r="G44" s="7"/>
      <c r="I44" s="219"/>
      <c r="J44" s="82">
        <v>45337</v>
      </c>
      <c r="K44" s="83" t="s">
        <v>117</v>
      </c>
      <c r="L44" s="86">
        <v>25100</v>
      </c>
      <c r="M44" s="84">
        <f t="shared" si="30"/>
        <v>2008</v>
      </c>
      <c r="N44" s="84">
        <f>1.25%*L44</f>
        <v>313.75</v>
      </c>
      <c r="O44" s="84">
        <f>L44+M44-N44</f>
        <v>26794.25</v>
      </c>
    </row>
    <row r="45" spans="2:17" x14ac:dyDescent="0.25">
      <c r="C45" s="7"/>
      <c r="D45" s="7"/>
      <c r="E45" s="7"/>
      <c r="F45" s="7"/>
      <c r="G45" s="7"/>
      <c r="I45" s="98"/>
      <c r="J45" s="82">
        <v>45337</v>
      </c>
      <c r="K45" s="83" t="s">
        <v>335</v>
      </c>
      <c r="L45" s="86">
        <v>25000</v>
      </c>
      <c r="M45" s="84">
        <f t="shared" si="30"/>
        <v>2000</v>
      </c>
      <c r="N45" s="84">
        <f>1.25%*L45</f>
        <v>312.5</v>
      </c>
      <c r="O45" s="84">
        <f>L45+M45-N45</f>
        <v>26687.5</v>
      </c>
      <c r="P45" s="6">
        <f>SUM(L42:L46)</f>
        <v>59100</v>
      </c>
      <c r="Q45" s="9"/>
    </row>
    <row r="46" spans="2:17" x14ac:dyDescent="0.25">
      <c r="C46" s="7"/>
      <c r="D46" s="7"/>
      <c r="E46" s="7"/>
      <c r="F46" s="7"/>
      <c r="G46" s="7"/>
      <c r="I46" s="98"/>
      <c r="J46" s="82">
        <v>45337</v>
      </c>
      <c r="K46" s="83" t="s">
        <v>229</v>
      </c>
      <c r="L46" s="84">
        <v>3000</v>
      </c>
      <c r="M46" s="84">
        <f t="shared" si="30"/>
        <v>240</v>
      </c>
      <c r="N46" s="84">
        <f t="shared" ref="N46" si="31">1.25%*L46</f>
        <v>37.5</v>
      </c>
      <c r="O46" s="84">
        <f t="shared" ref="O46" si="32">L46+M46-N46</f>
        <v>3202.5</v>
      </c>
    </row>
    <row r="47" spans="2:17" x14ac:dyDescent="0.25">
      <c r="C47" s="7"/>
      <c r="D47" s="7"/>
      <c r="E47" s="7"/>
      <c r="F47" s="7"/>
      <c r="G47" s="7"/>
      <c r="J47" s="279">
        <v>45341</v>
      </c>
      <c r="K47" s="280" t="s">
        <v>319</v>
      </c>
      <c r="L47" s="190">
        <v>22000</v>
      </c>
      <c r="M47" s="190">
        <f t="shared" si="30"/>
        <v>1760</v>
      </c>
      <c r="N47" s="190">
        <f t="shared" ref="N47:N56" si="33">1.25%*L47</f>
        <v>275</v>
      </c>
      <c r="O47" s="190">
        <f t="shared" ref="O47:O56" si="34">L47+M47-N47</f>
        <v>23485</v>
      </c>
    </row>
    <row r="48" spans="2:17" x14ac:dyDescent="0.25">
      <c r="C48" s="7"/>
      <c r="D48" s="7"/>
      <c r="E48" s="7"/>
      <c r="F48" s="7"/>
      <c r="G48" s="7"/>
      <c r="J48" s="329">
        <v>45345</v>
      </c>
      <c r="K48" s="330" t="s">
        <v>255</v>
      </c>
      <c r="L48" s="331">
        <v>2000</v>
      </c>
      <c r="M48" s="331">
        <f t="shared" si="30"/>
        <v>160</v>
      </c>
      <c r="N48" s="331">
        <f t="shared" si="33"/>
        <v>25</v>
      </c>
      <c r="O48" s="331">
        <f t="shared" si="34"/>
        <v>2135</v>
      </c>
    </row>
    <row r="49" spans="3:16" x14ac:dyDescent="0.25">
      <c r="C49" s="7"/>
      <c r="D49" s="7"/>
      <c r="E49" s="7"/>
      <c r="F49" s="7"/>
      <c r="G49" s="7"/>
      <c r="J49" s="329">
        <v>45345</v>
      </c>
      <c r="K49" s="330" t="s">
        <v>229</v>
      </c>
      <c r="L49" s="331">
        <v>7000</v>
      </c>
      <c r="M49" s="331">
        <f t="shared" si="30"/>
        <v>560</v>
      </c>
      <c r="N49" s="331">
        <f t="shared" si="33"/>
        <v>87.5</v>
      </c>
      <c r="O49" s="331">
        <f t="shared" si="34"/>
        <v>7472.5</v>
      </c>
    </row>
    <row r="50" spans="3:16" x14ac:dyDescent="0.25">
      <c r="C50" s="7"/>
      <c r="D50" s="7"/>
      <c r="E50" s="7"/>
      <c r="F50" s="7"/>
      <c r="G50" s="7"/>
      <c r="J50" s="329">
        <v>45345</v>
      </c>
      <c r="K50" s="330" t="s">
        <v>99</v>
      </c>
      <c r="L50" s="331">
        <v>2500</v>
      </c>
      <c r="M50" s="331">
        <f t="shared" si="30"/>
        <v>200</v>
      </c>
      <c r="N50" s="331">
        <f t="shared" si="33"/>
        <v>31.25</v>
      </c>
      <c r="O50" s="331">
        <f t="shared" si="34"/>
        <v>2668.75</v>
      </c>
    </row>
    <row r="51" spans="3:16" x14ac:dyDescent="0.25">
      <c r="C51" s="7"/>
      <c r="D51" s="7"/>
      <c r="E51" s="7"/>
      <c r="F51" s="7"/>
      <c r="G51" s="7"/>
      <c r="J51" s="329">
        <v>45345</v>
      </c>
      <c r="K51" s="330" t="s">
        <v>117</v>
      </c>
      <c r="L51" s="331">
        <v>25100</v>
      </c>
      <c r="M51" s="331">
        <f t="shared" si="30"/>
        <v>2008</v>
      </c>
      <c r="N51" s="331">
        <f t="shared" si="33"/>
        <v>313.75</v>
      </c>
      <c r="O51" s="331">
        <f t="shared" si="34"/>
        <v>26794.25</v>
      </c>
    </row>
    <row r="52" spans="3:16" x14ac:dyDescent="0.25">
      <c r="C52" s="7"/>
      <c r="D52" s="7"/>
      <c r="E52" s="7"/>
      <c r="F52" s="7"/>
      <c r="G52" s="7"/>
      <c r="J52" s="329">
        <v>45345</v>
      </c>
      <c r="K52" s="330" t="s">
        <v>489</v>
      </c>
      <c r="L52" s="331">
        <v>6000</v>
      </c>
      <c r="M52" s="331">
        <f t="shared" si="30"/>
        <v>480</v>
      </c>
      <c r="N52" s="331">
        <f t="shared" si="33"/>
        <v>75</v>
      </c>
      <c r="O52" s="331">
        <f t="shared" si="34"/>
        <v>6405</v>
      </c>
    </row>
    <row r="53" spans="3:16" x14ac:dyDescent="0.25">
      <c r="C53" s="7"/>
      <c r="D53" s="7"/>
      <c r="E53" s="7"/>
      <c r="F53" s="7"/>
      <c r="G53" s="7"/>
      <c r="J53" s="329">
        <v>45345</v>
      </c>
      <c r="K53" s="330" t="s">
        <v>105</v>
      </c>
      <c r="L53" s="331">
        <v>5000</v>
      </c>
      <c r="M53" s="331">
        <f t="shared" si="30"/>
        <v>400</v>
      </c>
      <c r="N53" s="331">
        <f t="shared" si="33"/>
        <v>62.5</v>
      </c>
      <c r="O53" s="331">
        <f t="shared" si="34"/>
        <v>5337.5</v>
      </c>
    </row>
    <row r="54" spans="3:16" x14ac:dyDescent="0.25">
      <c r="C54" s="7"/>
      <c r="D54" s="7"/>
      <c r="E54" s="7"/>
      <c r="F54" s="7"/>
      <c r="G54" s="7"/>
      <c r="J54" s="329">
        <v>45345</v>
      </c>
      <c r="K54" s="330" t="s">
        <v>466</v>
      </c>
      <c r="L54" s="331">
        <v>1000</v>
      </c>
      <c r="M54" s="331">
        <f t="shared" si="30"/>
        <v>80</v>
      </c>
      <c r="N54" s="331">
        <f t="shared" si="33"/>
        <v>12.5</v>
      </c>
      <c r="O54" s="331">
        <f t="shared" si="34"/>
        <v>1067.5</v>
      </c>
    </row>
    <row r="55" spans="3:16" x14ac:dyDescent="0.25">
      <c r="C55" s="7"/>
      <c r="D55" s="7"/>
      <c r="E55" s="7"/>
      <c r="F55" s="7"/>
      <c r="G55" s="7"/>
      <c r="J55" s="329">
        <v>45349</v>
      </c>
      <c r="K55" s="330" t="s">
        <v>15</v>
      </c>
      <c r="L55" s="331">
        <v>6068.54</v>
      </c>
      <c r="M55" s="331">
        <f t="shared" si="30"/>
        <v>485.48320000000001</v>
      </c>
      <c r="N55" s="331">
        <f t="shared" si="33"/>
        <v>75.856750000000005</v>
      </c>
      <c r="O55" s="331">
        <f t="shared" si="34"/>
        <v>6478.1664499999997</v>
      </c>
    </row>
    <row r="56" spans="3:16" x14ac:dyDescent="0.25">
      <c r="C56" s="7"/>
      <c r="D56" s="7"/>
      <c r="E56" s="7"/>
      <c r="F56" s="7"/>
      <c r="G56" s="7"/>
      <c r="J56" s="329">
        <v>45349</v>
      </c>
      <c r="K56" s="330" t="s">
        <v>15</v>
      </c>
      <c r="L56" s="331">
        <v>4512.2299999999996</v>
      </c>
      <c r="M56" s="331">
        <f t="shared" si="30"/>
        <v>360.97839999999997</v>
      </c>
      <c r="N56" s="331">
        <f t="shared" si="33"/>
        <v>56.402874999999995</v>
      </c>
      <c r="O56" s="331">
        <f t="shared" si="34"/>
        <v>4816.8055249999998</v>
      </c>
      <c r="P56" s="6">
        <f>SUM(L47:L56)</f>
        <v>81180.76999999999</v>
      </c>
    </row>
    <row r="57" spans="3:16" x14ac:dyDescent="0.25">
      <c r="C57" s="7"/>
      <c r="D57" s="7"/>
      <c r="E57" s="7"/>
      <c r="F57" s="7"/>
      <c r="G57" s="7"/>
      <c r="J57" s="343">
        <v>45350</v>
      </c>
      <c r="K57" s="344" t="s">
        <v>536</v>
      </c>
      <c r="L57" s="345">
        <v>4000</v>
      </c>
      <c r="M57" s="345">
        <f t="shared" ref="M57:M58" si="35">L57*0.08</f>
        <v>320</v>
      </c>
      <c r="N57" s="345">
        <f t="shared" ref="N57:N58" si="36">1.25%*L57</f>
        <v>50</v>
      </c>
      <c r="O57" s="345">
        <f t="shared" ref="O57:O58" si="37">L57+M57-N57</f>
        <v>4270</v>
      </c>
    </row>
    <row r="58" spans="3:16" x14ac:dyDescent="0.25">
      <c r="C58" s="7"/>
      <c r="D58" s="7"/>
      <c r="E58" s="7"/>
      <c r="F58" s="7"/>
      <c r="G58" s="7"/>
      <c r="J58" s="343">
        <v>45350</v>
      </c>
      <c r="K58" s="344" t="s">
        <v>585</v>
      </c>
      <c r="L58" s="345">
        <v>1000</v>
      </c>
      <c r="M58" s="345">
        <f t="shared" si="35"/>
        <v>80</v>
      </c>
      <c r="N58" s="345">
        <f t="shared" si="36"/>
        <v>12.5</v>
      </c>
      <c r="O58" s="345">
        <f t="shared" si="37"/>
        <v>1067.5</v>
      </c>
    </row>
    <row r="59" spans="3:16" x14ac:dyDescent="0.25">
      <c r="C59" s="7"/>
      <c r="D59" s="7"/>
      <c r="E59" s="7"/>
      <c r="F59" s="7"/>
      <c r="G59" s="7"/>
      <c r="J59" s="343">
        <v>45352</v>
      </c>
      <c r="K59" s="344" t="s">
        <v>117</v>
      </c>
      <c r="L59" s="345">
        <v>23600</v>
      </c>
      <c r="M59" s="345">
        <f t="shared" ref="M59:M67" si="38">L59*0.08</f>
        <v>1888</v>
      </c>
      <c r="N59" s="345">
        <f t="shared" ref="N59:N67" si="39">1.25%*L59</f>
        <v>295</v>
      </c>
      <c r="O59" s="345">
        <f t="shared" ref="O59:O67" si="40">L59+M59-N59</f>
        <v>25193</v>
      </c>
    </row>
    <row r="60" spans="3:16" x14ac:dyDescent="0.25">
      <c r="C60" s="7"/>
      <c r="D60" s="7"/>
      <c r="E60" s="7"/>
      <c r="F60" s="7"/>
      <c r="G60" s="7"/>
      <c r="J60" s="343">
        <v>45350</v>
      </c>
      <c r="K60" s="344" t="s">
        <v>229</v>
      </c>
      <c r="L60" s="345">
        <v>30000</v>
      </c>
      <c r="M60" s="345">
        <f t="shared" si="38"/>
        <v>2400</v>
      </c>
      <c r="N60" s="345">
        <f t="shared" si="39"/>
        <v>375</v>
      </c>
      <c r="O60" s="345">
        <f t="shared" si="40"/>
        <v>32025</v>
      </c>
    </row>
    <row r="61" spans="3:16" x14ac:dyDescent="0.25">
      <c r="J61" s="343">
        <v>45353</v>
      </c>
      <c r="K61" s="344" t="s">
        <v>105</v>
      </c>
      <c r="L61" s="345">
        <v>4500</v>
      </c>
      <c r="M61" s="345">
        <f t="shared" si="38"/>
        <v>360</v>
      </c>
      <c r="N61" s="345">
        <f t="shared" si="39"/>
        <v>56.25</v>
      </c>
      <c r="O61" s="345">
        <f t="shared" si="40"/>
        <v>4803.75</v>
      </c>
    </row>
    <row r="62" spans="3:16" x14ac:dyDescent="0.25">
      <c r="J62" s="343">
        <v>45353</v>
      </c>
      <c r="K62" s="344" t="s">
        <v>255</v>
      </c>
      <c r="L62" s="345">
        <v>2000</v>
      </c>
      <c r="M62" s="345">
        <f t="shared" si="38"/>
        <v>160</v>
      </c>
      <c r="N62" s="345">
        <f t="shared" si="39"/>
        <v>25</v>
      </c>
      <c r="O62" s="345">
        <f t="shared" si="40"/>
        <v>2135</v>
      </c>
    </row>
    <row r="63" spans="3:16" x14ac:dyDescent="0.25">
      <c r="J63" s="343">
        <v>45353</v>
      </c>
      <c r="K63" s="344" t="s">
        <v>303</v>
      </c>
      <c r="L63" s="345">
        <v>16000</v>
      </c>
      <c r="M63" s="345">
        <f t="shared" si="38"/>
        <v>1280</v>
      </c>
      <c r="N63" s="345">
        <f t="shared" si="39"/>
        <v>200</v>
      </c>
      <c r="O63" s="345">
        <f t="shared" si="40"/>
        <v>17080</v>
      </c>
    </row>
    <row r="64" spans="3:16" x14ac:dyDescent="0.25">
      <c r="J64" s="343">
        <v>45353</v>
      </c>
      <c r="K64" s="344" t="s">
        <v>489</v>
      </c>
      <c r="L64" s="345">
        <v>6000</v>
      </c>
      <c r="M64" s="345">
        <f t="shared" si="38"/>
        <v>480</v>
      </c>
      <c r="N64" s="345">
        <f t="shared" si="39"/>
        <v>75</v>
      </c>
      <c r="O64" s="345">
        <f t="shared" si="40"/>
        <v>6405</v>
      </c>
    </row>
    <row r="65" spans="5:16" x14ac:dyDescent="0.25">
      <c r="E65"/>
      <c r="F65"/>
      <c r="J65" s="343">
        <v>45353</v>
      </c>
      <c r="K65" s="344" t="s">
        <v>477</v>
      </c>
      <c r="L65" s="345">
        <v>2078.7800000000002</v>
      </c>
      <c r="M65" s="345">
        <f t="shared" si="38"/>
        <v>166.30240000000001</v>
      </c>
      <c r="N65" s="345">
        <f t="shared" si="39"/>
        <v>25.984750000000005</v>
      </c>
      <c r="O65" s="345">
        <f t="shared" si="40"/>
        <v>2219.0976500000002</v>
      </c>
    </row>
    <row r="66" spans="5:16" x14ac:dyDescent="0.25">
      <c r="F66" s="1"/>
      <c r="G66" s="39"/>
      <c r="H66" s="44"/>
      <c r="I66" s="44"/>
      <c r="J66" s="343">
        <v>45353</v>
      </c>
      <c r="K66" s="344" t="s">
        <v>15</v>
      </c>
      <c r="L66" s="345">
        <v>10000</v>
      </c>
      <c r="M66" s="345">
        <f t="shared" si="38"/>
        <v>800</v>
      </c>
      <c r="N66" s="345">
        <f t="shared" si="39"/>
        <v>125</v>
      </c>
      <c r="O66" s="345">
        <f t="shared" si="40"/>
        <v>10675</v>
      </c>
      <c r="P66"/>
    </row>
    <row r="67" spans="5:16" x14ac:dyDescent="0.25">
      <c r="F67" s="1"/>
      <c r="G67" s="39"/>
      <c r="H67" s="44"/>
      <c r="I67" s="44"/>
      <c r="J67" s="343">
        <v>45353</v>
      </c>
      <c r="K67" s="344" t="s">
        <v>46</v>
      </c>
      <c r="L67" s="345">
        <v>1000</v>
      </c>
      <c r="M67" s="345">
        <f t="shared" si="38"/>
        <v>80</v>
      </c>
      <c r="N67" s="345">
        <f t="shared" si="39"/>
        <v>12.5</v>
      </c>
      <c r="O67" s="345">
        <f t="shared" si="40"/>
        <v>1067.5</v>
      </c>
      <c r="P67"/>
    </row>
    <row r="68" spans="5:16" x14ac:dyDescent="0.25">
      <c r="F68" s="1"/>
      <c r="G68" s="39"/>
      <c r="H68" s="44"/>
      <c r="I68" s="44"/>
      <c r="J68" s="343">
        <v>45353</v>
      </c>
      <c r="K68" s="344" t="s">
        <v>131</v>
      </c>
      <c r="L68" s="345">
        <v>128.69999999999999</v>
      </c>
      <c r="M68" s="345">
        <f t="shared" ref="M68:M74" si="41">L68*0.08</f>
        <v>10.295999999999999</v>
      </c>
      <c r="N68" s="345">
        <f t="shared" ref="N68:N74" si="42">1.25%*L68</f>
        <v>1.6087499999999999</v>
      </c>
      <c r="O68" s="345">
        <f t="shared" ref="O68:O74" si="43">L68+M68-N68</f>
        <v>137.38724999999999</v>
      </c>
      <c r="P68" s="9">
        <f>SUM(L57:L68)</f>
        <v>100307.48</v>
      </c>
    </row>
    <row r="69" spans="5:16" x14ac:dyDescent="0.25">
      <c r="F69" s="1"/>
      <c r="G69" s="39"/>
      <c r="H69" s="44"/>
      <c r="I69" s="44"/>
      <c r="J69" s="59">
        <v>45357</v>
      </c>
      <c r="K69" s="61" t="s">
        <v>477</v>
      </c>
      <c r="L69" s="4">
        <v>8200</v>
      </c>
      <c r="M69" s="4">
        <f t="shared" si="41"/>
        <v>656</v>
      </c>
      <c r="N69" s="4">
        <f t="shared" si="42"/>
        <v>102.5</v>
      </c>
      <c r="O69" s="4">
        <f t="shared" si="43"/>
        <v>8753.5</v>
      </c>
      <c r="P69"/>
    </row>
    <row r="70" spans="5:16" x14ac:dyDescent="0.25">
      <c r="F70" s="1"/>
      <c r="G70" s="39"/>
      <c r="H70" s="44"/>
      <c r="I70" s="44"/>
      <c r="J70" s="59">
        <v>45359</v>
      </c>
      <c r="K70" s="61" t="s">
        <v>255</v>
      </c>
      <c r="L70" s="4">
        <v>2000</v>
      </c>
      <c r="M70" s="4">
        <f t="shared" si="41"/>
        <v>160</v>
      </c>
      <c r="N70" s="4">
        <f t="shared" si="42"/>
        <v>25</v>
      </c>
      <c r="O70" s="4">
        <f t="shared" si="43"/>
        <v>2135</v>
      </c>
      <c r="P70"/>
    </row>
    <row r="71" spans="5:16" x14ac:dyDescent="0.25">
      <c r="F71" s="1"/>
      <c r="G71" s="39"/>
      <c r="H71" s="44"/>
      <c r="I71" s="44"/>
      <c r="J71" s="59">
        <v>45359</v>
      </c>
      <c r="K71" s="61" t="s">
        <v>105</v>
      </c>
      <c r="L71" s="4">
        <v>4500</v>
      </c>
      <c r="M71" s="4">
        <f t="shared" si="41"/>
        <v>360</v>
      </c>
      <c r="N71" s="4">
        <f t="shared" si="42"/>
        <v>56.25</v>
      </c>
      <c r="O71" s="4">
        <f t="shared" si="43"/>
        <v>4803.75</v>
      </c>
      <c r="P71"/>
    </row>
    <row r="72" spans="5:16" x14ac:dyDescent="0.25">
      <c r="J72" s="59">
        <v>45359</v>
      </c>
      <c r="K72" s="61" t="s">
        <v>117</v>
      </c>
      <c r="L72" s="4">
        <v>31600</v>
      </c>
      <c r="M72" s="4">
        <f t="shared" si="41"/>
        <v>2528</v>
      </c>
      <c r="N72" s="4">
        <f t="shared" si="42"/>
        <v>395</v>
      </c>
      <c r="O72" s="4">
        <f t="shared" si="43"/>
        <v>33733</v>
      </c>
    </row>
    <row r="73" spans="5:16" x14ac:dyDescent="0.25">
      <c r="J73" s="59">
        <v>45359</v>
      </c>
      <c r="K73" s="61" t="s">
        <v>489</v>
      </c>
      <c r="L73" s="4"/>
      <c r="M73" s="4">
        <f t="shared" si="41"/>
        <v>0</v>
      </c>
      <c r="N73" s="4">
        <f t="shared" si="42"/>
        <v>0</v>
      </c>
      <c r="O73" s="4">
        <f t="shared" si="43"/>
        <v>0</v>
      </c>
    </row>
    <row r="74" spans="5:16" x14ac:dyDescent="0.25">
      <c r="J74" s="59">
        <v>45359</v>
      </c>
      <c r="K74" s="61" t="s">
        <v>318</v>
      </c>
      <c r="L74" s="4">
        <f>3500+1800</f>
        <v>5300</v>
      </c>
      <c r="M74" s="4">
        <f t="shared" si="41"/>
        <v>424</v>
      </c>
      <c r="N74" s="4">
        <f t="shared" si="42"/>
        <v>66.25</v>
      </c>
      <c r="O74" s="4">
        <f t="shared" si="43"/>
        <v>5657.75</v>
      </c>
      <c r="P74" s="6">
        <f>SUM(O69:O74)</f>
        <v>55083</v>
      </c>
    </row>
    <row r="75" spans="5:16" x14ac:dyDescent="0.25">
      <c r="J75" s="59">
        <v>45359</v>
      </c>
      <c r="K75" s="61" t="s">
        <v>330</v>
      </c>
      <c r="L75" s="4">
        <v>7184.1</v>
      </c>
      <c r="M75" s="4">
        <f t="shared" ref="M75:M86" si="44">L75*0.08</f>
        <v>574.72800000000007</v>
      </c>
      <c r="N75" s="4">
        <f t="shared" ref="N75:N86" si="45">1.25%*L75</f>
        <v>89.80125000000001</v>
      </c>
      <c r="O75" s="4">
        <f t="shared" ref="O75:O86" si="46">L75+M75-N75</f>
        <v>7669.02675</v>
      </c>
    </row>
    <row r="76" spans="5:16" x14ac:dyDescent="0.25">
      <c r="J76" s="59">
        <v>45359</v>
      </c>
      <c r="K76" s="61" t="s">
        <v>227</v>
      </c>
      <c r="L76" s="4">
        <v>162.5</v>
      </c>
      <c r="M76" s="4">
        <f t="shared" si="44"/>
        <v>13</v>
      </c>
      <c r="N76" s="4">
        <f t="shared" si="45"/>
        <v>2.03125</v>
      </c>
      <c r="O76" s="4">
        <f t="shared" si="46"/>
        <v>173.46875</v>
      </c>
    </row>
    <row r="77" spans="5:16" x14ac:dyDescent="0.25">
      <c r="J77" s="59">
        <v>45360</v>
      </c>
      <c r="K77" s="61" t="s">
        <v>44</v>
      </c>
      <c r="L77" s="4">
        <v>1000</v>
      </c>
      <c r="M77" s="4">
        <f t="shared" si="44"/>
        <v>80</v>
      </c>
      <c r="N77" s="4">
        <f t="shared" si="45"/>
        <v>12.5</v>
      </c>
      <c r="O77" s="4">
        <f t="shared" si="46"/>
        <v>1067.5</v>
      </c>
    </row>
    <row r="78" spans="5:16" x14ac:dyDescent="0.25">
      <c r="J78" s="59"/>
      <c r="K78" s="61" t="s">
        <v>330</v>
      </c>
      <c r="L78" s="4"/>
      <c r="M78" s="4">
        <f t="shared" si="44"/>
        <v>0</v>
      </c>
      <c r="N78" s="4">
        <f t="shared" si="45"/>
        <v>0</v>
      </c>
      <c r="O78" s="4">
        <f t="shared" si="46"/>
        <v>0</v>
      </c>
    </row>
    <row r="79" spans="5:16" x14ac:dyDescent="0.25">
      <c r="J79" s="59"/>
      <c r="K79" s="61" t="s">
        <v>477</v>
      </c>
      <c r="L79" s="4"/>
      <c r="M79" s="4">
        <f t="shared" si="44"/>
        <v>0</v>
      </c>
      <c r="N79" s="4">
        <f t="shared" si="45"/>
        <v>0</v>
      </c>
      <c r="O79" s="4">
        <f t="shared" si="46"/>
        <v>0</v>
      </c>
    </row>
    <row r="80" spans="5:16" x14ac:dyDescent="0.25">
      <c r="J80" s="59"/>
      <c r="K80" s="61" t="s">
        <v>588</v>
      </c>
      <c r="L80" s="4"/>
      <c r="M80" s="4">
        <f t="shared" si="44"/>
        <v>0</v>
      </c>
      <c r="N80" s="4">
        <f t="shared" si="45"/>
        <v>0</v>
      </c>
      <c r="O80" s="4">
        <f t="shared" si="46"/>
        <v>0</v>
      </c>
    </row>
    <row r="81" spans="10:15" x14ac:dyDescent="0.25">
      <c r="J81" s="59"/>
      <c r="K81" s="61"/>
      <c r="L81" s="4"/>
      <c r="M81" s="4">
        <f t="shared" si="44"/>
        <v>0</v>
      </c>
      <c r="N81" s="4">
        <f t="shared" si="45"/>
        <v>0</v>
      </c>
      <c r="O81" s="4">
        <f t="shared" si="46"/>
        <v>0</v>
      </c>
    </row>
    <row r="82" spans="10:15" x14ac:dyDescent="0.25">
      <c r="J82" s="59"/>
      <c r="K82" s="61"/>
      <c r="L82" s="4"/>
      <c r="M82" s="4">
        <f t="shared" si="44"/>
        <v>0</v>
      </c>
      <c r="N82" s="4">
        <f t="shared" si="45"/>
        <v>0</v>
      </c>
      <c r="O82" s="4">
        <f t="shared" si="46"/>
        <v>0</v>
      </c>
    </row>
    <row r="83" spans="10:15" x14ac:dyDescent="0.25">
      <c r="J83" s="59"/>
      <c r="K83" s="61"/>
      <c r="L83" s="4"/>
      <c r="M83" s="4">
        <f t="shared" si="44"/>
        <v>0</v>
      </c>
      <c r="N83" s="4">
        <f t="shared" si="45"/>
        <v>0</v>
      </c>
      <c r="O83" s="4">
        <f t="shared" si="46"/>
        <v>0</v>
      </c>
    </row>
    <row r="84" spans="10:15" x14ac:dyDescent="0.25">
      <c r="J84" s="59"/>
      <c r="K84" s="61"/>
      <c r="L84" s="4"/>
      <c r="M84" s="4">
        <f t="shared" si="44"/>
        <v>0</v>
      </c>
      <c r="N84" s="4">
        <f t="shared" si="45"/>
        <v>0</v>
      </c>
      <c r="O84" s="4">
        <f t="shared" si="46"/>
        <v>0</v>
      </c>
    </row>
    <row r="85" spans="10:15" x14ac:dyDescent="0.25">
      <c r="J85" s="2"/>
      <c r="K85" s="61"/>
      <c r="L85" s="4"/>
      <c r="M85" s="4">
        <f t="shared" si="44"/>
        <v>0</v>
      </c>
      <c r="N85" s="4">
        <f t="shared" si="45"/>
        <v>0</v>
      </c>
      <c r="O85" s="4">
        <f t="shared" si="46"/>
        <v>0</v>
      </c>
    </row>
    <row r="86" spans="10:15" x14ac:dyDescent="0.25">
      <c r="J86" s="2"/>
      <c r="K86" s="61"/>
      <c r="L86" s="4"/>
      <c r="M86" s="4">
        <f t="shared" si="44"/>
        <v>0</v>
      </c>
      <c r="N86" s="4">
        <f t="shared" si="45"/>
        <v>0</v>
      </c>
      <c r="O86" s="4">
        <f t="shared" si="46"/>
        <v>0</v>
      </c>
    </row>
    <row r="87" spans="10:15" x14ac:dyDescent="0.25">
      <c r="L87" s="4">
        <f>SUM(L3:L86)</f>
        <v>603032.49999999988</v>
      </c>
      <c r="M87" s="4">
        <f>SUM(M3:M86)</f>
        <v>48242.600000000006</v>
      </c>
      <c r="N87" s="4">
        <f>SUM(N3:N86)</f>
        <v>7537.90625</v>
      </c>
      <c r="O87" s="4">
        <f>SUM(O3:O86)</f>
        <v>643737.19374999998</v>
      </c>
    </row>
    <row r="90" spans="10:15" x14ac:dyDescent="0.25">
      <c r="J90" s="44"/>
      <c r="K90" s="44"/>
      <c r="L90" s="6"/>
      <c r="M90"/>
      <c r="N90"/>
      <c r="O90"/>
    </row>
    <row r="91" spans="10:15" x14ac:dyDescent="0.25">
      <c r="J91" s="44"/>
      <c r="K91" s="44"/>
      <c r="L91" s="6"/>
      <c r="M91"/>
      <c r="N91"/>
      <c r="O91"/>
    </row>
    <row r="92" spans="10:15" x14ac:dyDescent="0.25">
      <c r="J92" s="44"/>
      <c r="K92" s="44"/>
      <c r="L92" s="6"/>
      <c r="M92"/>
      <c r="N92"/>
      <c r="O92"/>
    </row>
    <row r="93" spans="10:15" x14ac:dyDescent="0.25">
      <c r="J93" s="44"/>
      <c r="K93" s="44"/>
      <c r="L93" s="6"/>
      <c r="M93"/>
      <c r="N93"/>
      <c r="O93"/>
    </row>
    <row r="94" spans="10:15" x14ac:dyDescent="0.25">
      <c r="J94" s="44"/>
      <c r="K94" s="44"/>
      <c r="L94" s="6"/>
      <c r="M94"/>
      <c r="N94"/>
      <c r="O94"/>
    </row>
    <row r="95" spans="10:15" x14ac:dyDescent="0.25">
      <c r="J95" s="44"/>
      <c r="K95" s="44"/>
      <c r="L95" s="6"/>
      <c r="M95"/>
      <c r="N95"/>
      <c r="O95"/>
    </row>
  </sheetData>
  <mergeCells count="1">
    <mergeCell ref="B42:B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53A3-204C-4142-B7EF-5DDD101708E2}">
  <dimension ref="C2:N27"/>
  <sheetViews>
    <sheetView workbookViewId="0">
      <selection activeCell="E30" sqref="E30"/>
    </sheetView>
  </sheetViews>
  <sheetFormatPr baseColWidth="10" defaultRowHeight="15" x14ac:dyDescent="0.25"/>
  <cols>
    <col min="3" max="3" width="14.7109375" bestFit="1" customWidth="1"/>
    <col min="4" max="4" width="11.5703125" style="6"/>
    <col min="7" max="7" width="15.42578125" bestFit="1" customWidth="1"/>
    <col min="8" max="8" width="15" customWidth="1"/>
    <col min="10" max="10" width="11.5703125" style="1"/>
    <col min="11" max="11" width="14.7109375" style="1" bestFit="1" customWidth="1"/>
    <col min="12" max="12" width="11.5703125" style="44"/>
    <col min="13" max="14" width="12.28515625" style="44" bestFit="1" customWidth="1"/>
  </cols>
  <sheetData>
    <row r="2" spans="3:14" x14ac:dyDescent="0.25">
      <c r="H2" s="1" t="s">
        <v>608</v>
      </c>
      <c r="N2" s="4" t="s">
        <v>611</v>
      </c>
    </row>
    <row r="3" spans="3:14" x14ac:dyDescent="0.25">
      <c r="C3" t="s">
        <v>320</v>
      </c>
      <c r="D3" s="6">
        <v>30100</v>
      </c>
      <c r="G3" t="s">
        <v>606</v>
      </c>
      <c r="J3" s="2" t="s">
        <v>0</v>
      </c>
      <c r="K3" s="2" t="s">
        <v>316</v>
      </c>
      <c r="L3" s="4" t="s">
        <v>373</v>
      </c>
      <c r="M3" s="4" t="s">
        <v>610</v>
      </c>
      <c r="N3" s="4">
        <v>150000</v>
      </c>
    </row>
    <row r="4" spans="3:14" x14ac:dyDescent="0.25">
      <c r="C4" t="s">
        <v>105</v>
      </c>
      <c r="D4" s="6">
        <v>2500</v>
      </c>
      <c r="E4">
        <v>2500</v>
      </c>
      <c r="G4" t="s">
        <v>607</v>
      </c>
      <c r="J4" s="59">
        <v>45364</v>
      </c>
      <c r="K4" s="2" t="s">
        <v>612</v>
      </c>
      <c r="L4" s="4"/>
      <c r="M4" s="4">
        <v>502.9</v>
      </c>
      <c r="N4" s="4">
        <f>N3+L4-M4</f>
        <v>149497.1</v>
      </c>
    </row>
    <row r="5" spans="3:14" x14ac:dyDescent="0.25">
      <c r="C5" t="s">
        <v>255</v>
      </c>
      <c r="D5" s="6">
        <v>2000</v>
      </c>
      <c r="J5" s="59">
        <v>45365</v>
      </c>
      <c r="K5" s="2" t="s">
        <v>13</v>
      </c>
      <c r="L5" s="4"/>
      <c r="M5" s="4">
        <v>3784.41</v>
      </c>
      <c r="N5" s="4">
        <f t="shared" ref="N5:N27" si="0">N4+L5-M5</f>
        <v>145712.69</v>
      </c>
    </row>
    <row r="6" spans="3:14" x14ac:dyDescent="0.25">
      <c r="C6" t="s">
        <v>390</v>
      </c>
      <c r="D6" s="6">
        <v>8000</v>
      </c>
      <c r="J6" s="59">
        <v>45365</v>
      </c>
      <c r="K6" s="2" t="s">
        <v>613</v>
      </c>
      <c r="L6" s="4"/>
      <c r="M6" s="4">
        <v>68753.440000000002</v>
      </c>
      <c r="N6" s="4">
        <f t="shared" si="0"/>
        <v>76959.25</v>
      </c>
    </row>
    <row r="7" spans="3:14" x14ac:dyDescent="0.25">
      <c r="C7" t="s">
        <v>387</v>
      </c>
      <c r="D7" s="6">
        <v>10000</v>
      </c>
      <c r="J7" s="59">
        <v>45365</v>
      </c>
      <c r="K7" s="2" t="s">
        <v>15</v>
      </c>
      <c r="L7" s="4"/>
      <c r="M7" s="4">
        <v>10000</v>
      </c>
      <c r="N7" s="4">
        <f t="shared" si="0"/>
        <v>66959.25</v>
      </c>
    </row>
    <row r="8" spans="3:14" x14ac:dyDescent="0.25">
      <c r="C8" t="s">
        <v>389</v>
      </c>
      <c r="D8" s="6">
        <v>20000</v>
      </c>
      <c r="J8" s="59">
        <v>45365</v>
      </c>
      <c r="K8" s="2" t="s">
        <v>477</v>
      </c>
      <c r="L8" s="5"/>
      <c r="M8" s="5">
        <v>4590.1400000000003</v>
      </c>
      <c r="N8" s="4">
        <f t="shared" si="0"/>
        <v>62369.11</v>
      </c>
    </row>
    <row r="9" spans="3:14" x14ac:dyDescent="0.25">
      <c r="C9" t="s">
        <v>609</v>
      </c>
      <c r="D9" s="6">
        <v>10000</v>
      </c>
      <c r="J9" s="59">
        <v>45365</v>
      </c>
      <c r="K9" s="2" t="s">
        <v>477</v>
      </c>
      <c r="L9" s="5"/>
      <c r="M9" s="5">
        <v>846.81</v>
      </c>
      <c r="N9" s="4">
        <f t="shared" si="0"/>
        <v>61522.3</v>
      </c>
    </row>
    <row r="10" spans="3:14" x14ac:dyDescent="0.25">
      <c r="D10" s="6">
        <f>SUM(D3:D9)</f>
        <v>82600</v>
      </c>
      <c r="J10" s="59">
        <v>45365</v>
      </c>
      <c r="K10" s="2" t="s">
        <v>477</v>
      </c>
      <c r="L10" s="5"/>
      <c r="M10" s="5">
        <v>1484.18</v>
      </c>
      <c r="N10" s="4">
        <f t="shared" si="0"/>
        <v>60038.12</v>
      </c>
    </row>
    <row r="11" spans="3:14" x14ac:dyDescent="0.25">
      <c r="J11" s="59">
        <v>45365</v>
      </c>
      <c r="K11" s="2" t="s">
        <v>477</v>
      </c>
      <c r="L11" s="5"/>
      <c r="M11" s="5">
        <v>1716.71</v>
      </c>
      <c r="N11" s="4">
        <f t="shared" si="0"/>
        <v>58321.41</v>
      </c>
    </row>
    <row r="12" spans="3:14" x14ac:dyDescent="0.25">
      <c r="J12" s="59">
        <v>45365</v>
      </c>
      <c r="K12" s="2" t="s">
        <v>13</v>
      </c>
      <c r="L12" s="5"/>
      <c r="M12" s="5">
        <v>61</v>
      </c>
      <c r="N12" s="4">
        <f t="shared" si="0"/>
        <v>58260.41</v>
      </c>
    </row>
    <row r="13" spans="3:14" x14ac:dyDescent="0.25">
      <c r="J13" s="59">
        <v>45365</v>
      </c>
      <c r="K13" s="2" t="s">
        <v>615</v>
      </c>
      <c r="L13" s="4"/>
      <c r="M13" s="4">
        <v>150</v>
      </c>
      <c r="N13" s="4">
        <f t="shared" si="0"/>
        <v>58110.41</v>
      </c>
    </row>
    <row r="14" spans="3:14" x14ac:dyDescent="0.25">
      <c r="J14" s="59">
        <v>45366</v>
      </c>
      <c r="K14" s="2" t="s">
        <v>13</v>
      </c>
      <c r="L14" s="5"/>
      <c r="M14" s="5">
        <v>1539</v>
      </c>
      <c r="N14" s="4">
        <f t="shared" si="0"/>
        <v>56571.41</v>
      </c>
    </row>
    <row r="15" spans="3:14" x14ac:dyDescent="0.25">
      <c r="J15" s="59">
        <v>45366</v>
      </c>
      <c r="K15" s="2" t="s">
        <v>13</v>
      </c>
      <c r="L15" s="5"/>
      <c r="M15" s="5">
        <v>342.02</v>
      </c>
      <c r="N15" s="4">
        <f t="shared" si="0"/>
        <v>56229.390000000007</v>
      </c>
    </row>
    <row r="16" spans="3:14" x14ac:dyDescent="0.25">
      <c r="J16" s="59">
        <v>45366</v>
      </c>
      <c r="K16" s="2" t="s">
        <v>103</v>
      </c>
      <c r="L16" s="5"/>
      <c r="M16" s="5">
        <v>1458</v>
      </c>
      <c r="N16" s="4">
        <f t="shared" si="0"/>
        <v>54771.390000000007</v>
      </c>
    </row>
    <row r="17" spans="10:14" x14ac:dyDescent="0.25">
      <c r="J17" s="59">
        <v>45367</v>
      </c>
      <c r="K17" s="2" t="s">
        <v>331</v>
      </c>
      <c r="L17" s="5"/>
      <c r="M17" s="5">
        <v>1000</v>
      </c>
      <c r="N17" s="4">
        <f t="shared" si="0"/>
        <v>53771.390000000007</v>
      </c>
    </row>
    <row r="18" spans="10:14" x14ac:dyDescent="0.25">
      <c r="J18" s="59">
        <v>45367</v>
      </c>
      <c r="K18" s="2" t="s">
        <v>320</v>
      </c>
      <c r="L18" s="5"/>
      <c r="M18" s="5">
        <f>30100+3500</f>
        <v>33600</v>
      </c>
      <c r="N18" s="4">
        <f t="shared" si="0"/>
        <v>20171.390000000007</v>
      </c>
    </row>
    <row r="19" spans="10:14" x14ac:dyDescent="0.25">
      <c r="J19" s="59">
        <v>45367</v>
      </c>
      <c r="K19" s="2" t="s">
        <v>105</v>
      </c>
      <c r="L19" s="5"/>
      <c r="M19" s="5">
        <v>4500</v>
      </c>
      <c r="N19" s="4">
        <f t="shared" si="0"/>
        <v>15671.390000000007</v>
      </c>
    </row>
    <row r="20" spans="10:14" x14ac:dyDescent="0.25">
      <c r="J20" s="59">
        <v>45367</v>
      </c>
      <c r="K20" s="2" t="s">
        <v>255</v>
      </c>
      <c r="L20" s="5"/>
      <c r="M20" s="5">
        <v>2000</v>
      </c>
      <c r="N20" s="4">
        <f t="shared" si="0"/>
        <v>13671.390000000007</v>
      </c>
    </row>
    <row r="21" spans="10:14" x14ac:dyDescent="0.25">
      <c r="J21" s="59">
        <v>45367</v>
      </c>
      <c r="K21" s="2" t="s">
        <v>390</v>
      </c>
      <c r="L21" s="5"/>
      <c r="M21" s="5">
        <v>8000</v>
      </c>
      <c r="N21" s="4">
        <f t="shared" si="0"/>
        <v>5671.3900000000067</v>
      </c>
    </row>
    <row r="22" spans="10:14" x14ac:dyDescent="0.25">
      <c r="J22" s="59">
        <v>45367</v>
      </c>
      <c r="K22" s="2" t="s">
        <v>387</v>
      </c>
      <c r="L22" s="5"/>
      <c r="M22" s="5">
        <v>7000</v>
      </c>
      <c r="N22" s="4">
        <f t="shared" si="0"/>
        <v>-1328.6099999999933</v>
      </c>
    </row>
    <row r="23" spans="10:14" x14ac:dyDescent="0.25">
      <c r="J23" s="59">
        <v>45367</v>
      </c>
      <c r="K23" s="2" t="s">
        <v>229</v>
      </c>
      <c r="L23" s="5"/>
      <c r="M23" s="5">
        <v>1500</v>
      </c>
      <c r="N23" s="4">
        <f t="shared" si="0"/>
        <v>-2828.6099999999933</v>
      </c>
    </row>
    <row r="24" spans="10:14" x14ac:dyDescent="0.25">
      <c r="J24" s="59">
        <v>45367</v>
      </c>
      <c r="K24" s="2" t="s">
        <v>614</v>
      </c>
      <c r="L24" s="5"/>
      <c r="M24" s="5">
        <v>3500</v>
      </c>
      <c r="N24" s="4">
        <f t="shared" si="0"/>
        <v>-6328.6099999999933</v>
      </c>
    </row>
    <row r="25" spans="10:14" x14ac:dyDescent="0.25">
      <c r="J25" s="59">
        <v>45367</v>
      </c>
      <c r="K25" s="2" t="s">
        <v>328</v>
      </c>
      <c r="L25" s="4"/>
      <c r="M25" s="4">
        <v>500</v>
      </c>
      <c r="N25" s="4">
        <f t="shared" si="0"/>
        <v>-6828.6099999999933</v>
      </c>
    </row>
    <row r="26" spans="10:14" x14ac:dyDescent="0.25">
      <c r="M26" s="44">
        <f>SUM(M4:M25)</f>
        <v>156828.60999999999</v>
      </c>
      <c r="N26" s="4">
        <f t="shared" si="0"/>
        <v>-163657.21999999997</v>
      </c>
    </row>
    <row r="27" spans="10:14" x14ac:dyDescent="0.25">
      <c r="N27" s="4">
        <f t="shared" si="0"/>
        <v>-163657.21999999997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1C1F-AB02-49BE-B4B6-A3A6345C8DC5}">
  <dimension ref="B2:K11"/>
  <sheetViews>
    <sheetView workbookViewId="0">
      <selection activeCell="B2" sqref="B2"/>
    </sheetView>
  </sheetViews>
  <sheetFormatPr baseColWidth="10" defaultRowHeight="15" x14ac:dyDescent="0.25"/>
  <cols>
    <col min="2" max="2" width="17.28515625" customWidth="1"/>
    <col min="3" max="3" width="12.28515625" bestFit="1" customWidth="1"/>
    <col min="8" max="8" width="11.5703125" style="1"/>
  </cols>
  <sheetData>
    <row r="2" spans="2:11" x14ac:dyDescent="0.25">
      <c r="E2" s="370" t="s">
        <v>319</v>
      </c>
      <c r="F2" s="370"/>
      <c r="G2" s="370"/>
      <c r="H2" s="370"/>
    </row>
    <row r="3" spans="2:11" x14ac:dyDescent="0.25">
      <c r="B3" t="s">
        <v>320</v>
      </c>
      <c r="C3" s="6">
        <v>30100</v>
      </c>
      <c r="E3" t="s">
        <v>2</v>
      </c>
      <c r="F3" t="s">
        <v>3</v>
      </c>
      <c r="G3" t="s">
        <v>616</v>
      </c>
      <c r="H3" s="1" t="s">
        <v>617</v>
      </c>
      <c r="K3">
        <f>5700/6</f>
        <v>950</v>
      </c>
    </row>
    <row r="4" spans="2:11" x14ac:dyDescent="0.25">
      <c r="B4" t="s">
        <v>105</v>
      </c>
      <c r="C4" s="6">
        <v>5000</v>
      </c>
      <c r="E4" t="s">
        <v>270</v>
      </c>
      <c r="F4">
        <v>20</v>
      </c>
      <c r="G4">
        <v>218</v>
      </c>
      <c r="H4" s="1">
        <f>F4*G4</f>
        <v>4360</v>
      </c>
    </row>
    <row r="5" spans="2:11" x14ac:dyDescent="0.25">
      <c r="B5" t="s">
        <v>255</v>
      </c>
      <c r="C5" s="6">
        <v>2000</v>
      </c>
      <c r="E5" t="s">
        <v>267</v>
      </c>
      <c r="F5">
        <v>12</v>
      </c>
      <c r="G5">
        <v>305</v>
      </c>
      <c r="H5" s="1">
        <f>F5*G5</f>
        <v>3660</v>
      </c>
    </row>
    <row r="6" spans="2:11" x14ac:dyDescent="0.25">
      <c r="B6" t="s">
        <v>390</v>
      </c>
      <c r="C6" s="6"/>
      <c r="H6" s="1">
        <f>SUM(H4:H5)</f>
        <v>8020</v>
      </c>
    </row>
    <row r="7" spans="2:11" x14ac:dyDescent="0.25">
      <c r="B7" t="s">
        <v>387</v>
      </c>
      <c r="C7" s="6">
        <v>12500</v>
      </c>
    </row>
    <row r="8" spans="2:11" x14ac:dyDescent="0.25">
      <c r="B8" t="s">
        <v>229</v>
      </c>
      <c r="C8" s="6">
        <v>20000</v>
      </c>
    </row>
    <row r="9" spans="2:11" x14ac:dyDescent="0.25">
      <c r="B9" t="s">
        <v>609</v>
      </c>
      <c r="C9" s="6">
        <v>6447.14</v>
      </c>
    </row>
    <row r="10" spans="2:11" x14ac:dyDescent="0.25">
      <c r="B10" t="s">
        <v>389</v>
      </c>
      <c r="C10" s="6">
        <v>20000</v>
      </c>
    </row>
    <row r="11" spans="2:11" x14ac:dyDescent="0.25">
      <c r="C11" s="6">
        <f>SUM(C3:C10)</f>
        <v>96047.14</v>
      </c>
    </row>
  </sheetData>
  <mergeCells count="1">
    <mergeCell ref="E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8138-E73E-42F0-B901-D6B36F825E49}">
  <dimension ref="B2:F15"/>
  <sheetViews>
    <sheetView workbookViewId="0">
      <selection activeCell="C17" sqref="C17"/>
    </sheetView>
  </sheetViews>
  <sheetFormatPr baseColWidth="10" defaultRowHeight="15.75" x14ac:dyDescent="0.25"/>
  <cols>
    <col min="2" max="2" width="19.28515625" style="351" bestFit="1" customWidth="1"/>
    <col min="3" max="3" width="14.85546875" style="352" bestFit="1" customWidth="1"/>
  </cols>
  <sheetData>
    <row r="2" spans="2:6" x14ac:dyDescent="0.25">
      <c r="B2" s="371" t="s">
        <v>620</v>
      </c>
      <c r="C2" s="371"/>
    </row>
    <row r="3" spans="2:6" x14ac:dyDescent="0.25">
      <c r="B3" s="353" t="s">
        <v>387</v>
      </c>
      <c r="C3" s="354">
        <v>2500</v>
      </c>
    </row>
    <row r="4" spans="2:6" x14ac:dyDescent="0.25">
      <c r="B4" s="353" t="s">
        <v>229</v>
      </c>
      <c r="C4" s="354">
        <v>6000</v>
      </c>
      <c r="E4" t="s">
        <v>621</v>
      </c>
      <c r="F4">
        <v>5700</v>
      </c>
    </row>
    <row r="5" spans="2:6" x14ac:dyDescent="0.25">
      <c r="B5" s="353" t="s">
        <v>117</v>
      </c>
      <c r="C5" s="354">
        <v>19000</v>
      </c>
      <c r="E5" t="s">
        <v>622</v>
      </c>
      <c r="F5">
        <v>5700</v>
      </c>
    </row>
    <row r="6" spans="2:6" x14ac:dyDescent="0.25">
      <c r="B6" s="353" t="s">
        <v>318</v>
      </c>
      <c r="C6" s="354">
        <v>2500</v>
      </c>
      <c r="E6" t="s">
        <v>500</v>
      </c>
      <c r="F6">
        <v>3500</v>
      </c>
    </row>
    <row r="7" spans="2:6" x14ac:dyDescent="0.25">
      <c r="B7" s="353" t="s">
        <v>618</v>
      </c>
      <c r="C7" s="354">
        <v>4000</v>
      </c>
      <c r="E7" t="s">
        <v>117</v>
      </c>
      <c r="F7">
        <v>3000</v>
      </c>
    </row>
    <row r="8" spans="2:6" x14ac:dyDescent="0.25">
      <c r="B8" s="353" t="s">
        <v>397</v>
      </c>
      <c r="C8" s="354">
        <v>16100</v>
      </c>
      <c r="F8">
        <f>SUM(F4:F7)</f>
        <v>17900</v>
      </c>
    </row>
    <row r="9" spans="2:6" x14ac:dyDescent="0.25">
      <c r="B9" s="353" t="s">
        <v>390</v>
      </c>
      <c r="C9" s="354">
        <v>5000</v>
      </c>
    </row>
    <row r="10" spans="2:6" x14ac:dyDescent="0.25">
      <c r="B10" s="353" t="s">
        <v>619</v>
      </c>
      <c r="C10" s="354">
        <v>7000</v>
      </c>
    </row>
    <row r="11" spans="2:6" x14ac:dyDescent="0.25">
      <c r="B11" s="353" t="s">
        <v>319</v>
      </c>
      <c r="C11" s="354">
        <v>40000</v>
      </c>
    </row>
    <row r="12" spans="2:6" x14ac:dyDescent="0.25">
      <c r="B12" s="353" t="s">
        <v>105</v>
      </c>
      <c r="C12" s="354">
        <v>5000</v>
      </c>
    </row>
    <row r="13" spans="2:6" x14ac:dyDescent="0.25">
      <c r="B13" s="353" t="s">
        <v>255</v>
      </c>
      <c r="C13" s="354">
        <v>2000</v>
      </c>
    </row>
    <row r="14" spans="2:6" x14ac:dyDescent="0.25">
      <c r="B14" s="353" t="s">
        <v>402</v>
      </c>
      <c r="C14" s="354">
        <f>4500+3500</f>
        <v>8000</v>
      </c>
    </row>
    <row r="15" spans="2:6" x14ac:dyDescent="0.25">
      <c r="C15" s="355">
        <f>SUM(C4:C14)</f>
        <v>114600</v>
      </c>
    </row>
  </sheetData>
  <mergeCells count="1"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3312-DA6A-449B-9317-4C1DDA283C68}">
  <dimension ref="B2:H27"/>
  <sheetViews>
    <sheetView topLeftCell="A2" workbookViewId="0">
      <selection activeCell="F34" sqref="F34"/>
    </sheetView>
  </sheetViews>
  <sheetFormatPr baseColWidth="10" defaultRowHeight="15" x14ac:dyDescent="0.25"/>
  <cols>
    <col min="2" max="2" width="24.7109375" bestFit="1" customWidth="1"/>
    <col min="3" max="3" width="13.28515625" style="6" customWidth="1"/>
  </cols>
  <sheetData>
    <row r="2" spans="2:8" x14ac:dyDescent="0.25">
      <c r="B2" s="368" t="s">
        <v>427</v>
      </c>
      <c r="C2" s="368"/>
      <c r="E2" s="368" t="s">
        <v>333</v>
      </c>
      <c r="F2" s="368"/>
      <c r="G2" s="368"/>
      <c r="H2" s="368"/>
    </row>
    <row r="3" spans="2:8" x14ac:dyDescent="0.25">
      <c r="B3" s="10" t="s">
        <v>320</v>
      </c>
      <c r="C3" s="11">
        <v>13000</v>
      </c>
      <c r="E3" s="10" t="s">
        <v>622</v>
      </c>
      <c r="F3" s="10">
        <v>5700</v>
      </c>
      <c r="G3" s="10">
        <v>1</v>
      </c>
      <c r="H3" s="10">
        <f>F3*G3</f>
        <v>5700</v>
      </c>
    </row>
    <row r="4" spans="2:8" x14ac:dyDescent="0.25">
      <c r="B4" s="10" t="s">
        <v>489</v>
      </c>
      <c r="C4" s="11">
        <v>8000</v>
      </c>
      <c r="E4" s="10" t="s">
        <v>498</v>
      </c>
      <c r="F4" s="10">
        <f>3500/6</f>
        <v>583.33333333333337</v>
      </c>
      <c r="G4" s="10">
        <v>4</v>
      </c>
      <c r="H4" s="10">
        <f>F4*G4</f>
        <v>2333.3333333333335</v>
      </c>
    </row>
    <row r="5" spans="2:8" x14ac:dyDescent="0.25">
      <c r="B5" s="10" t="s">
        <v>618</v>
      </c>
      <c r="C5" s="11">
        <v>4000</v>
      </c>
      <c r="E5" s="10" t="s">
        <v>625</v>
      </c>
      <c r="F5" s="10">
        <f>5700/6</f>
        <v>950</v>
      </c>
      <c r="G5" s="10">
        <v>2</v>
      </c>
      <c r="H5" s="10">
        <f>F5*G5</f>
        <v>1900</v>
      </c>
    </row>
    <row r="6" spans="2:8" x14ac:dyDescent="0.25">
      <c r="B6" s="10" t="s">
        <v>623</v>
      </c>
      <c r="C6" s="11">
        <v>28035</v>
      </c>
      <c r="E6" s="10"/>
      <c r="F6" s="10">
        <v>3000</v>
      </c>
      <c r="G6" s="10">
        <v>1</v>
      </c>
      <c r="H6" s="10">
        <f>F6*G6</f>
        <v>3000</v>
      </c>
    </row>
    <row r="7" spans="2:8" x14ac:dyDescent="0.25">
      <c r="B7" s="10" t="s">
        <v>229</v>
      </c>
      <c r="C7" s="11">
        <v>6000</v>
      </c>
      <c r="E7" s="10"/>
      <c r="F7" s="10"/>
      <c r="G7" s="10"/>
      <c r="H7" s="10">
        <f>SUM(H3:H6)</f>
        <v>12933.333333333334</v>
      </c>
    </row>
    <row r="8" spans="2:8" x14ac:dyDescent="0.25">
      <c r="B8" s="10" t="s">
        <v>431</v>
      </c>
      <c r="C8" s="11">
        <v>5000</v>
      </c>
    </row>
    <row r="9" spans="2:8" x14ac:dyDescent="0.25">
      <c r="B9" s="10" t="s">
        <v>255</v>
      </c>
      <c r="C9" s="11">
        <v>2000</v>
      </c>
    </row>
    <row r="10" spans="2:8" x14ac:dyDescent="0.25">
      <c r="B10" s="10" t="s">
        <v>624</v>
      </c>
      <c r="C10" s="11">
        <v>10000</v>
      </c>
    </row>
    <row r="11" spans="2:8" x14ac:dyDescent="0.25">
      <c r="B11" s="10" t="s">
        <v>466</v>
      </c>
      <c r="C11" s="11">
        <v>1000</v>
      </c>
    </row>
    <row r="12" spans="2:8" x14ac:dyDescent="0.25">
      <c r="B12" s="10" t="s">
        <v>44</v>
      </c>
      <c r="C12" s="11">
        <v>1200</v>
      </c>
    </row>
    <row r="13" spans="2:8" x14ac:dyDescent="0.25">
      <c r="B13" s="10" t="s">
        <v>15</v>
      </c>
      <c r="C13" s="11">
        <v>583.86</v>
      </c>
    </row>
    <row r="14" spans="2:8" x14ac:dyDescent="0.25">
      <c r="B14" s="10" t="s">
        <v>626</v>
      </c>
      <c r="C14" s="11">
        <v>2226.5</v>
      </c>
    </row>
    <row r="15" spans="2:8" x14ac:dyDescent="0.25">
      <c r="B15" s="10" t="s">
        <v>626</v>
      </c>
      <c r="C15" s="11">
        <v>2071</v>
      </c>
    </row>
    <row r="16" spans="2:8" x14ac:dyDescent="0.25">
      <c r="B16" s="10" t="s">
        <v>627</v>
      </c>
      <c r="C16" s="11">
        <v>580</v>
      </c>
    </row>
    <row r="17" spans="2:3" x14ac:dyDescent="0.25">
      <c r="B17" s="10" t="s">
        <v>441</v>
      </c>
      <c r="C17" s="11">
        <v>280</v>
      </c>
    </row>
    <row r="18" spans="2:3" x14ac:dyDescent="0.25">
      <c r="B18" s="10" t="s">
        <v>628</v>
      </c>
      <c r="C18" s="11">
        <v>3622.95</v>
      </c>
    </row>
    <row r="19" spans="2:3" x14ac:dyDescent="0.25">
      <c r="B19" s="10" t="s">
        <v>629</v>
      </c>
      <c r="C19" s="11">
        <v>2690</v>
      </c>
    </row>
    <row r="20" spans="2:3" x14ac:dyDescent="0.25">
      <c r="B20" s="10" t="s">
        <v>630</v>
      </c>
      <c r="C20" s="11">
        <v>587</v>
      </c>
    </row>
    <row r="21" spans="2:3" x14ac:dyDescent="0.25">
      <c r="B21" s="10" t="s">
        <v>631</v>
      </c>
      <c r="C21" s="11">
        <v>677</v>
      </c>
    </row>
    <row r="22" spans="2:3" x14ac:dyDescent="0.25">
      <c r="B22" s="10" t="s">
        <v>13</v>
      </c>
      <c r="C22" s="11">
        <v>2093</v>
      </c>
    </row>
    <row r="23" spans="2:3" x14ac:dyDescent="0.25">
      <c r="B23" s="10" t="s">
        <v>633</v>
      </c>
      <c r="C23" s="11">
        <v>7300</v>
      </c>
    </row>
    <row r="24" spans="2:3" x14ac:dyDescent="0.25">
      <c r="B24" s="10" t="s">
        <v>632</v>
      </c>
      <c r="C24" s="11">
        <f>1061.2/2</f>
        <v>530.6</v>
      </c>
    </row>
    <row r="25" spans="2:3" ht="13.9" customHeight="1" x14ac:dyDescent="0.25">
      <c r="B25" s="10" t="s">
        <v>634</v>
      </c>
      <c r="C25" s="11">
        <v>1634.5</v>
      </c>
    </row>
    <row r="26" spans="2:3" x14ac:dyDescent="0.25">
      <c r="B26" s="10" t="s">
        <v>635</v>
      </c>
      <c r="C26" s="11">
        <v>200</v>
      </c>
    </row>
    <row r="27" spans="2:3" x14ac:dyDescent="0.25">
      <c r="C27" s="179">
        <f>SUM(C3:C26)</f>
        <v>103311.41</v>
      </c>
    </row>
  </sheetData>
  <mergeCells count="2">
    <mergeCell ref="B2:C2"/>
    <mergeCell ref="E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ABF5-9F2A-4B70-89DA-0BE7B9846106}">
  <dimension ref="B2:P12"/>
  <sheetViews>
    <sheetView workbookViewId="0">
      <selection activeCell="J13" sqref="J13"/>
    </sheetView>
  </sheetViews>
  <sheetFormatPr baseColWidth="10" defaultRowHeight="15" x14ac:dyDescent="0.25"/>
  <cols>
    <col min="2" max="2" width="24.7109375" bestFit="1" customWidth="1"/>
    <col min="3" max="3" width="12.28515625" bestFit="1" customWidth="1"/>
    <col min="5" max="5" width="8" bestFit="1" customWidth="1"/>
    <col min="6" max="6" width="10.28515625" style="6" bestFit="1" customWidth="1"/>
    <col min="7" max="7" width="2" bestFit="1" customWidth="1"/>
    <col min="8" max="8" width="11.28515625" style="6" bestFit="1" customWidth="1"/>
    <col min="10" max="10" width="13.7109375" bestFit="1" customWidth="1"/>
    <col min="15" max="15" width="50.7109375" bestFit="1" customWidth="1"/>
    <col min="16" max="16" width="11.5703125" style="6"/>
  </cols>
  <sheetData>
    <row r="2" spans="2:16" x14ac:dyDescent="0.25">
      <c r="B2" s="368" t="s">
        <v>427</v>
      </c>
      <c r="C2" s="368"/>
      <c r="E2" s="368" t="s">
        <v>333</v>
      </c>
      <c r="F2" s="368"/>
      <c r="G2" s="368"/>
      <c r="H2" s="368"/>
      <c r="K2" s="1" t="s">
        <v>636</v>
      </c>
      <c r="L2" s="1" t="s">
        <v>637</v>
      </c>
      <c r="M2" s="1" t="s">
        <v>5</v>
      </c>
      <c r="O2" s="372" t="s">
        <v>640</v>
      </c>
      <c r="P2" s="372"/>
    </row>
    <row r="3" spans="2:16" x14ac:dyDescent="0.25">
      <c r="B3" s="10" t="s">
        <v>320</v>
      </c>
      <c r="C3" s="11">
        <v>13000</v>
      </c>
      <c r="E3" s="10"/>
      <c r="F3" s="11"/>
      <c r="G3" s="10"/>
      <c r="H3" s="11"/>
      <c r="J3" t="s">
        <v>638</v>
      </c>
      <c r="K3">
        <v>10.58</v>
      </c>
      <c r="L3">
        <v>425</v>
      </c>
      <c r="M3">
        <f>K3*L3</f>
        <v>4496.5</v>
      </c>
      <c r="O3" s="360" t="s">
        <v>641</v>
      </c>
      <c r="P3" s="358" t="s">
        <v>616</v>
      </c>
    </row>
    <row r="4" spans="2:16" x14ac:dyDescent="0.25">
      <c r="B4" s="10" t="s">
        <v>618</v>
      </c>
      <c r="C4" s="11">
        <v>2000</v>
      </c>
      <c r="E4" s="10" t="s">
        <v>622</v>
      </c>
      <c r="F4" s="11">
        <v>5700</v>
      </c>
      <c r="G4" s="10">
        <v>1</v>
      </c>
      <c r="H4" s="11">
        <f>F4*G4</f>
        <v>5700</v>
      </c>
      <c r="J4" t="s">
        <v>639</v>
      </c>
      <c r="O4" s="357" t="s">
        <v>643</v>
      </c>
      <c r="P4" s="359">
        <v>5200</v>
      </c>
    </row>
    <row r="5" spans="2:16" x14ac:dyDescent="0.25">
      <c r="B5" s="10" t="s">
        <v>623</v>
      </c>
      <c r="C5" s="11">
        <v>15000</v>
      </c>
      <c r="E5" s="10" t="s">
        <v>498</v>
      </c>
      <c r="F5" s="11">
        <f>3500/6</f>
        <v>583.33333333333337</v>
      </c>
      <c r="G5" s="10">
        <v>6</v>
      </c>
      <c r="H5" s="11">
        <f>F5*G5</f>
        <v>3500</v>
      </c>
      <c r="O5" s="357" t="s">
        <v>642</v>
      </c>
      <c r="P5" s="359">
        <f>38200+6260</f>
        <v>44460</v>
      </c>
    </row>
    <row r="6" spans="2:16" x14ac:dyDescent="0.25">
      <c r="B6" s="10" t="s">
        <v>229</v>
      </c>
      <c r="C6" s="11">
        <v>6000</v>
      </c>
      <c r="E6" s="10" t="s">
        <v>625</v>
      </c>
      <c r="F6" s="11"/>
      <c r="G6" s="10"/>
      <c r="H6" s="11">
        <f>F6*G6</f>
        <v>0</v>
      </c>
      <c r="O6" s="356" t="s">
        <v>5</v>
      </c>
      <c r="P6" s="359">
        <f>SUM(P4:P5)</f>
        <v>49660</v>
      </c>
    </row>
    <row r="7" spans="2:16" x14ac:dyDescent="0.25">
      <c r="B7" s="10" t="s">
        <v>431</v>
      </c>
      <c r="C7" s="11">
        <v>5000</v>
      </c>
      <c r="E7" s="10"/>
      <c r="F7" s="11">
        <v>3000</v>
      </c>
      <c r="G7" s="10">
        <v>1</v>
      </c>
      <c r="H7" s="11">
        <f>F7*G7</f>
        <v>3000</v>
      </c>
      <c r="O7" s="356" t="s">
        <v>644</v>
      </c>
      <c r="P7" s="359">
        <f>P6/2</f>
        <v>24830</v>
      </c>
    </row>
    <row r="8" spans="2:16" x14ac:dyDescent="0.25">
      <c r="B8" s="10" t="s">
        <v>255</v>
      </c>
      <c r="C8" s="11">
        <v>2000</v>
      </c>
      <c r="E8" s="10"/>
      <c r="F8" s="11"/>
      <c r="G8" s="10"/>
      <c r="H8" s="11">
        <f>SUM(H4:H7)</f>
        <v>12200</v>
      </c>
      <c r="O8" s="356" t="s">
        <v>645</v>
      </c>
      <c r="P8" s="359">
        <f>P7/5*3</f>
        <v>14898</v>
      </c>
    </row>
    <row r="9" spans="2:16" x14ac:dyDescent="0.25">
      <c r="B9" s="10" t="s">
        <v>624</v>
      </c>
      <c r="C9" s="11">
        <v>3000</v>
      </c>
      <c r="O9" s="356" t="s">
        <v>646</v>
      </c>
      <c r="P9" s="359">
        <f>P8/3*2</f>
        <v>9932</v>
      </c>
    </row>
    <row r="10" spans="2:16" x14ac:dyDescent="0.25">
      <c r="B10" s="10" t="s">
        <v>466</v>
      </c>
      <c r="C10" s="11">
        <v>1000</v>
      </c>
    </row>
    <row r="11" spans="2:16" x14ac:dyDescent="0.25">
      <c r="B11" s="10" t="s">
        <v>44</v>
      </c>
      <c r="C11" s="11">
        <v>1200</v>
      </c>
    </row>
    <row r="12" spans="2:16" x14ac:dyDescent="0.25">
      <c r="C12" s="179">
        <f>SUM(C3:C11)</f>
        <v>48200</v>
      </c>
    </row>
  </sheetData>
  <mergeCells count="3">
    <mergeCell ref="O2:P2"/>
    <mergeCell ref="B2:C2"/>
    <mergeCell ref="E2:H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7931-3394-4CC7-8132-E69939048EDC}">
  <dimension ref="B1:AH40"/>
  <sheetViews>
    <sheetView workbookViewId="0">
      <selection activeCell="G30" sqref="G30"/>
    </sheetView>
  </sheetViews>
  <sheetFormatPr baseColWidth="10" defaultRowHeight="15" x14ac:dyDescent="0.25"/>
  <cols>
    <col min="2" max="2" width="23.5703125" bestFit="1" customWidth="1"/>
    <col min="3" max="3" width="13.7109375" bestFit="1" customWidth="1"/>
    <col min="5" max="5" width="11.42578125" style="1" bestFit="1" customWidth="1"/>
    <col min="6" max="6" width="12.5703125" style="1" bestFit="1" customWidth="1"/>
    <col min="7" max="7" width="9.7109375" style="1" bestFit="1" customWidth="1"/>
    <col min="8" max="8" width="10.5703125" style="1" customWidth="1"/>
    <col min="9" max="9" width="12.28515625" style="1" bestFit="1" customWidth="1"/>
    <col min="10" max="10" width="11.5703125" style="1"/>
    <col min="11" max="11" width="31.42578125" style="1" bestFit="1" customWidth="1"/>
    <col min="12" max="12" width="14.140625" style="1" bestFit="1" customWidth="1"/>
    <col min="13" max="13" width="10.28515625" style="178" bestFit="1" customWidth="1"/>
    <col min="14" max="14" width="10.42578125" style="1" bestFit="1" customWidth="1"/>
    <col min="15" max="15" width="12.28515625" style="44" bestFit="1" customWidth="1"/>
    <col min="16" max="16" width="12.7109375" style="1" customWidth="1"/>
    <col min="17" max="17" width="11.28515625" style="1" bestFit="1" customWidth="1"/>
    <col min="18" max="18" width="12.5703125" style="1" bestFit="1" customWidth="1"/>
    <col min="19" max="19" width="9.7109375" style="1" bestFit="1" customWidth="1"/>
    <col min="20" max="20" width="10.42578125" style="1" bestFit="1" customWidth="1"/>
    <col min="21" max="21" width="10.28515625" style="1" bestFit="1" customWidth="1"/>
    <col min="23" max="23" width="11.28515625" style="1" bestFit="1" customWidth="1"/>
    <col min="24" max="24" width="22.42578125" style="1" bestFit="1" customWidth="1"/>
    <col min="25" max="25" width="9.7109375" style="1" bestFit="1" customWidth="1"/>
    <col min="26" max="26" width="10.42578125" style="1" bestFit="1" customWidth="1"/>
    <col min="27" max="27" width="11.28515625" bestFit="1" customWidth="1"/>
    <col min="29" max="29" width="15" style="1" bestFit="1" customWidth="1"/>
    <col min="30" max="30" width="11.5703125" style="1"/>
    <col min="31" max="31" width="13.7109375" style="44" bestFit="1" customWidth="1"/>
    <col min="32" max="32" width="11.7109375" style="44" bestFit="1" customWidth="1"/>
    <col min="33" max="33" width="15.28515625" style="44" bestFit="1" customWidth="1"/>
  </cols>
  <sheetData>
    <row r="1" spans="2:34" x14ac:dyDescent="0.25">
      <c r="E1" s="375" t="s">
        <v>420</v>
      </c>
      <c r="F1" s="375"/>
      <c r="G1" s="375"/>
      <c r="H1" s="375"/>
      <c r="I1" s="375"/>
    </row>
    <row r="2" spans="2:34" x14ac:dyDescent="0.25">
      <c r="E2" s="375"/>
      <c r="F2" s="375"/>
      <c r="G2" s="375"/>
      <c r="H2" s="375"/>
      <c r="I2" s="375"/>
      <c r="K2" s="368" t="s">
        <v>319</v>
      </c>
      <c r="L2" s="368"/>
      <c r="M2" s="368"/>
      <c r="N2" s="368"/>
      <c r="O2" s="368"/>
      <c r="Q2" s="368" t="s">
        <v>421</v>
      </c>
      <c r="R2" s="368"/>
      <c r="S2" s="368"/>
      <c r="T2" s="368"/>
      <c r="U2" s="368"/>
      <c r="W2" s="368" t="s">
        <v>429</v>
      </c>
      <c r="X2" s="368"/>
      <c r="Y2" s="368"/>
      <c r="Z2" s="368"/>
      <c r="AA2" s="368"/>
      <c r="AC2" s="368" t="s">
        <v>462</v>
      </c>
      <c r="AD2" s="368"/>
      <c r="AE2" s="368"/>
      <c r="AF2" s="368"/>
      <c r="AG2" s="368"/>
    </row>
    <row r="3" spans="2:34" ht="45" x14ac:dyDescent="0.25">
      <c r="B3" s="373" t="s">
        <v>360</v>
      </c>
      <c r="C3" s="374"/>
      <c r="E3" s="181" t="s">
        <v>372</v>
      </c>
      <c r="F3" s="181" t="s">
        <v>418</v>
      </c>
      <c r="G3" s="181" t="s">
        <v>3</v>
      </c>
      <c r="H3" s="182" t="s">
        <v>419</v>
      </c>
      <c r="I3" s="181" t="s">
        <v>5</v>
      </c>
      <c r="K3" s="181" t="s">
        <v>372</v>
      </c>
      <c r="L3" s="181" t="s">
        <v>418</v>
      </c>
      <c r="M3" s="187" t="s">
        <v>3</v>
      </c>
      <c r="N3" s="182" t="s">
        <v>419</v>
      </c>
      <c r="O3" s="188" t="s">
        <v>5</v>
      </c>
      <c r="Q3" s="167" t="s">
        <v>372</v>
      </c>
      <c r="R3" s="167" t="s">
        <v>418</v>
      </c>
      <c r="S3" s="167" t="s">
        <v>3</v>
      </c>
      <c r="T3" s="168" t="s">
        <v>419</v>
      </c>
      <c r="U3" s="167" t="s">
        <v>5</v>
      </c>
      <c r="W3" s="167" t="s">
        <v>372</v>
      </c>
      <c r="X3" s="167" t="s">
        <v>418</v>
      </c>
      <c r="Y3" s="167" t="s">
        <v>3</v>
      </c>
      <c r="Z3" s="168" t="s">
        <v>419</v>
      </c>
      <c r="AA3" s="167" t="s">
        <v>5</v>
      </c>
      <c r="AC3" s="181" t="s">
        <v>372</v>
      </c>
      <c r="AD3" s="181" t="s">
        <v>418</v>
      </c>
      <c r="AE3" s="188" t="s">
        <v>56</v>
      </c>
      <c r="AF3" s="215" t="s">
        <v>463</v>
      </c>
      <c r="AG3" s="188" t="s">
        <v>252</v>
      </c>
    </row>
    <row r="4" spans="2:34" x14ac:dyDescent="0.25">
      <c r="B4" s="167" t="s">
        <v>420</v>
      </c>
      <c r="C4" s="218">
        <f>I12</f>
        <v>336249.63625000004</v>
      </c>
      <c r="E4" s="183" t="s">
        <v>117</v>
      </c>
      <c r="F4" s="183" t="s">
        <v>426</v>
      </c>
      <c r="G4" s="183">
        <v>7</v>
      </c>
      <c r="H4" s="183" t="s">
        <v>425</v>
      </c>
      <c r="I4" s="184">
        <f>JORGE!N4</f>
        <v>236796.02000000002</v>
      </c>
      <c r="K4" s="110" t="s">
        <v>273</v>
      </c>
      <c r="L4" s="110" t="s">
        <v>447</v>
      </c>
      <c r="M4" s="189">
        <f>ACERO!E16</f>
        <v>1163.6200000000001</v>
      </c>
      <c r="N4" s="110" t="s">
        <v>433</v>
      </c>
      <c r="O4" s="190">
        <f>ACERO!J16</f>
        <v>42672.748103999998</v>
      </c>
      <c r="Q4" s="212" t="s">
        <v>99</v>
      </c>
      <c r="R4" s="212"/>
      <c r="S4" s="212">
        <v>3</v>
      </c>
      <c r="T4" s="212" t="s">
        <v>428</v>
      </c>
      <c r="U4" s="213">
        <f>ASESORIAS!J17</f>
        <v>8100</v>
      </c>
      <c r="W4" s="114" t="s">
        <v>430</v>
      </c>
      <c r="X4" s="114" t="s">
        <v>105</v>
      </c>
      <c r="Y4" s="114">
        <v>7</v>
      </c>
      <c r="Z4" s="114" t="s">
        <v>425</v>
      </c>
      <c r="AA4" s="211">
        <f>PERSONAL!J23</f>
        <v>26136</v>
      </c>
      <c r="AC4" s="120" t="s">
        <v>53</v>
      </c>
      <c r="AD4" s="120" t="s">
        <v>464</v>
      </c>
      <c r="AE4" s="75">
        <f>ANTICIPOS!K5</f>
        <v>87449.997600000002</v>
      </c>
      <c r="AF4" s="75">
        <f>ANTICIPOS!K15</f>
        <v>65847.06</v>
      </c>
      <c r="AG4" s="75">
        <f>AE4</f>
        <v>87449.997600000002</v>
      </c>
      <c r="AH4" t="s">
        <v>473</v>
      </c>
    </row>
    <row r="5" spans="2:34" x14ac:dyDescent="0.25">
      <c r="B5" s="167" t="s">
        <v>319</v>
      </c>
      <c r="C5" s="218">
        <f>O40</f>
        <v>592657.236714</v>
      </c>
      <c r="E5" s="111" t="s">
        <v>229</v>
      </c>
      <c r="F5" s="111" t="s">
        <v>424</v>
      </c>
      <c r="G5" s="111">
        <v>5</v>
      </c>
      <c r="H5" s="111" t="s">
        <v>427</v>
      </c>
      <c r="I5" s="185">
        <f>FORTUNATO!J14</f>
        <v>54000</v>
      </c>
      <c r="K5" s="110" t="s">
        <v>432</v>
      </c>
      <c r="L5" s="110" t="s">
        <v>448</v>
      </c>
      <c r="M5" s="189">
        <v>2</v>
      </c>
      <c r="N5" s="110" t="s">
        <v>434</v>
      </c>
      <c r="O5" s="190">
        <f>ACERO!CB21</f>
        <v>4362.0033600000006</v>
      </c>
      <c r="Q5" s="2"/>
      <c r="R5" s="2"/>
      <c r="S5" s="2"/>
      <c r="T5" s="2"/>
      <c r="U5" s="2"/>
      <c r="W5" s="114" t="s">
        <v>430</v>
      </c>
      <c r="X5" s="114" t="s">
        <v>303</v>
      </c>
      <c r="Y5" s="114">
        <v>8</v>
      </c>
      <c r="Z5" s="114" t="s">
        <v>425</v>
      </c>
      <c r="AA5" s="211">
        <f>PERSONAL!T23</f>
        <v>51840</v>
      </c>
      <c r="AC5" s="120" t="s">
        <v>92</v>
      </c>
      <c r="AD5" s="120"/>
      <c r="AE5" s="75">
        <v>174000</v>
      </c>
      <c r="AF5" s="75"/>
      <c r="AG5" s="75">
        <f t="shared" ref="AG5:AG10" si="0">AE5-AF5</f>
        <v>174000</v>
      </c>
    </row>
    <row r="6" spans="2:34" x14ac:dyDescent="0.25">
      <c r="B6" s="167" t="s">
        <v>421</v>
      </c>
      <c r="C6" s="218">
        <f>U8</f>
        <v>8100</v>
      </c>
      <c r="E6" s="216" t="s">
        <v>377</v>
      </c>
      <c r="F6" s="216" t="s">
        <v>426</v>
      </c>
      <c r="G6" s="216">
        <v>3</v>
      </c>
      <c r="H6" s="216" t="s">
        <v>425</v>
      </c>
      <c r="I6" s="217">
        <f>HERRERO!J11</f>
        <v>45453.616250000006</v>
      </c>
      <c r="K6" s="110" t="s">
        <v>278</v>
      </c>
      <c r="L6" s="110" t="s">
        <v>449</v>
      </c>
      <c r="M6" s="189">
        <f>ACERO!BC16</f>
        <v>67.72</v>
      </c>
      <c r="N6" s="110" t="s">
        <v>433</v>
      </c>
      <c r="O6" s="190">
        <f>ACERO!BH16</f>
        <v>3905.8009380000003</v>
      </c>
      <c r="Q6" s="2"/>
      <c r="R6" s="2"/>
      <c r="S6" s="2"/>
      <c r="T6" s="2"/>
      <c r="U6" s="2"/>
      <c r="W6" s="114" t="s">
        <v>430</v>
      </c>
      <c r="X6" s="114" t="s">
        <v>255</v>
      </c>
      <c r="Y6" s="114">
        <v>4</v>
      </c>
      <c r="Z6" s="114" t="s">
        <v>425</v>
      </c>
      <c r="AA6" s="211">
        <f>PERSONAL!AD23</f>
        <v>10800</v>
      </c>
      <c r="AC6" s="120" t="s">
        <v>465</v>
      </c>
      <c r="AD6" s="120"/>
      <c r="AE6" s="75">
        <f>ANTICIPOS!AE5</f>
        <v>26748.640000000003</v>
      </c>
      <c r="AF6" s="75"/>
      <c r="AG6" s="75">
        <f t="shared" si="0"/>
        <v>26748.640000000003</v>
      </c>
    </row>
    <row r="7" spans="2:34" x14ac:dyDescent="0.25">
      <c r="B7" s="167" t="s">
        <v>430</v>
      </c>
      <c r="C7" s="218">
        <f>AA11</f>
        <v>88776</v>
      </c>
      <c r="E7" s="2"/>
      <c r="F7" s="2"/>
      <c r="G7" s="2"/>
      <c r="H7" s="2"/>
      <c r="I7" s="2"/>
      <c r="K7" s="110" t="s">
        <v>276</v>
      </c>
      <c r="L7" s="110" t="s">
        <v>450</v>
      </c>
      <c r="M7" s="189">
        <f>ACERO!AI16</f>
        <v>190</v>
      </c>
      <c r="N7" s="110" t="s">
        <v>433</v>
      </c>
      <c r="O7" s="190">
        <f>ACERO!AN16</f>
        <v>5103.3999999999996</v>
      </c>
      <c r="Q7" s="2"/>
      <c r="R7" s="2"/>
      <c r="S7" s="2"/>
      <c r="T7" s="2"/>
      <c r="U7" s="2"/>
      <c r="W7" s="2"/>
      <c r="X7" s="2"/>
      <c r="Y7" s="2"/>
      <c r="Z7" s="2"/>
      <c r="AA7" s="10"/>
      <c r="AC7" s="2"/>
      <c r="AD7" s="2"/>
      <c r="AE7" s="4"/>
      <c r="AF7" s="4"/>
      <c r="AG7" s="5">
        <f t="shared" si="0"/>
        <v>0</v>
      </c>
    </row>
    <row r="8" spans="2:34" x14ac:dyDescent="0.25">
      <c r="B8" s="167" t="s">
        <v>462</v>
      </c>
      <c r="C8" s="218">
        <f>AE11</f>
        <v>288198.63760000002</v>
      </c>
      <c r="D8" s="9">
        <f>C8-AG11</f>
        <v>0</v>
      </c>
      <c r="E8" s="2"/>
      <c r="F8" s="2"/>
      <c r="G8" s="2"/>
      <c r="H8" s="2"/>
      <c r="I8" s="2"/>
      <c r="K8" s="110" t="s">
        <v>277</v>
      </c>
      <c r="L8" s="110" t="s">
        <v>451</v>
      </c>
      <c r="M8" s="189">
        <f>ACERO!AT16</f>
        <v>50.594999999999999</v>
      </c>
      <c r="N8" s="110" t="s">
        <v>433</v>
      </c>
      <c r="O8" s="190">
        <f>ACERO!AX16</f>
        <v>3224.34</v>
      </c>
      <c r="U8" s="214">
        <f>SUM(U4:U7)</f>
        <v>8100</v>
      </c>
      <c r="W8" s="2"/>
      <c r="X8" s="2"/>
      <c r="Y8" s="2"/>
      <c r="Z8" s="2"/>
      <c r="AA8" s="10"/>
      <c r="AC8" s="2"/>
      <c r="AD8" s="2"/>
      <c r="AE8" s="4"/>
      <c r="AF8" s="4"/>
      <c r="AG8" s="5">
        <f t="shared" si="0"/>
        <v>0</v>
      </c>
    </row>
    <row r="9" spans="2:34" x14ac:dyDescent="0.25">
      <c r="C9" s="14">
        <f>SUM(C4:C8)</f>
        <v>1313981.5105640001</v>
      </c>
      <c r="E9" s="2"/>
      <c r="F9" s="2"/>
      <c r="G9" s="2"/>
      <c r="H9" s="2"/>
      <c r="I9" s="2"/>
      <c r="K9" s="110" t="s">
        <v>435</v>
      </c>
      <c r="L9" s="110" t="s">
        <v>452</v>
      </c>
      <c r="M9" s="189">
        <f>ACERO!Y16</f>
        <v>213.06</v>
      </c>
      <c r="N9" s="110" t="s">
        <v>433</v>
      </c>
      <c r="O9" s="190">
        <f>ACERO!AD16</f>
        <v>6447.1600320000007</v>
      </c>
      <c r="W9" s="2"/>
      <c r="X9" s="2"/>
      <c r="Y9" s="2"/>
      <c r="Z9" s="2"/>
      <c r="AA9" s="10"/>
      <c r="AC9" s="2"/>
      <c r="AD9" s="2"/>
      <c r="AE9" s="4"/>
      <c r="AF9" s="4"/>
      <c r="AG9" s="5">
        <f t="shared" si="0"/>
        <v>0</v>
      </c>
    </row>
    <row r="10" spans="2:34" x14ac:dyDescent="0.25">
      <c r="C10" s="9"/>
      <c r="E10" s="2"/>
      <c r="F10" s="2"/>
      <c r="G10" s="2"/>
      <c r="H10" s="2"/>
      <c r="I10" s="2"/>
      <c r="K10" s="110" t="s">
        <v>281</v>
      </c>
      <c r="L10" s="110" t="s">
        <v>453</v>
      </c>
      <c r="M10" s="189" t="s">
        <v>340</v>
      </c>
      <c r="N10" s="110" t="s">
        <v>340</v>
      </c>
      <c r="O10" s="190">
        <f>ACERO!BR21</f>
        <v>11847.074440000002</v>
      </c>
      <c r="W10" s="2"/>
      <c r="X10" s="2"/>
      <c r="Y10" s="2"/>
      <c r="Z10" s="2"/>
      <c r="AA10" s="10"/>
      <c r="AC10" s="2"/>
      <c r="AD10" s="2"/>
      <c r="AE10" s="4"/>
      <c r="AF10" s="4"/>
      <c r="AG10" s="5">
        <f t="shared" si="0"/>
        <v>0</v>
      </c>
    </row>
    <row r="11" spans="2:34" x14ac:dyDescent="0.25">
      <c r="E11" s="2"/>
      <c r="F11" s="2"/>
      <c r="G11" s="2"/>
      <c r="H11" s="2"/>
      <c r="I11" s="2"/>
      <c r="K11" s="110" t="s">
        <v>439</v>
      </c>
      <c r="L11" s="110"/>
      <c r="M11" s="189">
        <f>ACERO!O28</f>
        <v>111.52</v>
      </c>
      <c r="N11" s="110" t="s">
        <v>433</v>
      </c>
      <c r="O11" s="190">
        <f>ACERO!T28</f>
        <v>3080.1254399999998</v>
      </c>
      <c r="AA11" s="14">
        <f>SUM(AA4:AA10)</f>
        <v>88776</v>
      </c>
      <c r="AE11" s="4">
        <f>SUM(AE4:AE10)</f>
        <v>288198.63760000002</v>
      </c>
      <c r="AG11" s="4">
        <f>SUM(AG4:AG10)</f>
        <v>288198.63760000002</v>
      </c>
    </row>
    <row r="12" spans="2:34" x14ac:dyDescent="0.25">
      <c r="I12" s="186">
        <f>SUM(I4:I11)</f>
        <v>336249.63625000004</v>
      </c>
      <c r="K12" s="110" t="s">
        <v>436</v>
      </c>
      <c r="L12" s="110"/>
      <c r="M12" s="189">
        <f>ACERO!O7</f>
        <v>2025</v>
      </c>
      <c r="N12" s="110" t="s">
        <v>433</v>
      </c>
      <c r="O12" s="190">
        <f>ACERO!T7</f>
        <v>52061.4</v>
      </c>
      <c r="T12" s="2"/>
    </row>
    <row r="13" spans="2:34" x14ac:dyDescent="0.25">
      <c r="K13" s="110" t="s">
        <v>437</v>
      </c>
      <c r="L13" s="110"/>
      <c r="M13" s="189">
        <f>ACERO!O17</f>
        <v>1500</v>
      </c>
      <c r="N13" s="110" t="s">
        <v>433</v>
      </c>
      <c r="O13" s="190">
        <f>ACERO!T17</f>
        <v>36514.800000000003</v>
      </c>
    </row>
    <row r="14" spans="2:34" x14ac:dyDescent="0.25">
      <c r="K14" s="110" t="s">
        <v>438</v>
      </c>
      <c r="L14" s="110"/>
      <c r="M14" s="189">
        <f>ACERO!O37</f>
        <v>500</v>
      </c>
      <c r="N14" s="110" t="s">
        <v>433</v>
      </c>
      <c r="O14" s="190">
        <f>ACERO!T37</f>
        <v>12171.6</v>
      </c>
    </row>
    <row r="15" spans="2:34" x14ac:dyDescent="0.25">
      <c r="K15" s="113" t="s">
        <v>272</v>
      </c>
      <c r="L15" s="113"/>
      <c r="M15" s="191"/>
      <c r="N15" s="113"/>
      <c r="O15" s="192">
        <f>'COMPRA Y RENTA DE EQUIPO'!K45</f>
        <v>11697.707799999998</v>
      </c>
    </row>
    <row r="16" spans="2:34" x14ac:dyDescent="0.25">
      <c r="K16" s="113" t="s">
        <v>299</v>
      </c>
      <c r="L16" s="113"/>
      <c r="M16" s="191"/>
      <c r="N16" s="113"/>
      <c r="O16" s="192">
        <f>'COMPRA Y RENTA DE EQUIPO'!U15</f>
        <v>617.76</v>
      </c>
    </row>
    <row r="17" spans="10:15" x14ac:dyDescent="0.25">
      <c r="J17"/>
      <c r="K17" s="113" t="s">
        <v>440</v>
      </c>
      <c r="L17" s="113"/>
      <c r="M17" s="191">
        <f>'COMPRA Y RENTA DE EQUIPO'!Z21</f>
        <v>9</v>
      </c>
      <c r="N17" s="113" t="s">
        <v>444</v>
      </c>
      <c r="O17" s="192">
        <f>'COMPRA Y RENTA DE EQUIPO'!AE21</f>
        <v>7776</v>
      </c>
    </row>
    <row r="18" spans="10:15" x14ac:dyDescent="0.25">
      <c r="J18"/>
      <c r="K18" s="113" t="s">
        <v>441</v>
      </c>
      <c r="L18" s="113"/>
      <c r="M18" s="191">
        <f>'COMPRA Y RENTA DE EQUIPO'!Z30</f>
        <v>9</v>
      </c>
      <c r="N18" s="113" t="s">
        <v>444</v>
      </c>
      <c r="O18" s="192">
        <f>'COMPRA Y RENTA DE EQUIPO'!AE30</f>
        <v>8106.48</v>
      </c>
    </row>
    <row r="19" spans="10:15" x14ac:dyDescent="0.25">
      <c r="J19"/>
      <c r="K19" s="113" t="s">
        <v>442</v>
      </c>
      <c r="L19" s="113"/>
      <c r="M19" s="191">
        <f>'COMPRA Y RENTA DE EQUIPO'!AE14</f>
        <v>16873.919999999998</v>
      </c>
      <c r="N19" s="113" t="s">
        <v>444</v>
      </c>
      <c r="O19" s="192">
        <f>'COMPRA Y RENTA DE EQUIPO'!AE14</f>
        <v>16873.919999999998</v>
      </c>
    </row>
    <row r="20" spans="10:15" x14ac:dyDescent="0.25">
      <c r="K20" s="113" t="s">
        <v>280</v>
      </c>
      <c r="L20" s="113"/>
      <c r="M20" s="191">
        <v>9</v>
      </c>
      <c r="N20" s="113" t="s">
        <v>445</v>
      </c>
      <c r="O20" s="192">
        <f>'COMPRA Y RENTA DE EQUIPO'!AO15</f>
        <v>6220.8</v>
      </c>
    </row>
    <row r="21" spans="10:15" x14ac:dyDescent="0.25">
      <c r="K21" s="113" t="s">
        <v>287</v>
      </c>
      <c r="L21" s="113"/>
      <c r="M21" s="191">
        <v>50</v>
      </c>
      <c r="N21" s="113" t="s">
        <v>446</v>
      </c>
      <c r="O21" s="192">
        <f>'COMPRA Y RENTA DE EQUIPO'!AY15</f>
        <v>1455.6239999999998</v>
      </c>
    </row>
    <row r="22" spans="10:15" x14ac:dyDescent="0.25">
      <c r="K22" s="116" t="s">
        <v>271</v>
      </c>
      <c r="L22" s="116"/>
      <c r="M22" s="193"/>
      <c r="N22" s="116"/>
      <c r="O22" s="194">
        <f>MADERA!K21</f>
        <v>21762</v>
      </c>
    </row>
    <row r="23" spans="10:15" x14ac:dyDescent="0.25">
      <c r="K23" s="118" t="s">
        <v>91</v>
      </c>
      <c r="L23" s="118"/>
      <c r="M23" s="195"/>
      <c r="N23" s="118"/>
      <c r="O23" s="196">
        <f>PLOMERIA!J111</f>
        <v>12811.601199999999</v>
      </c>
    </row>
    <row r="24" spans="10:15" x14ac:dyDescent="0.25">
      <c r="K24" s="119" t="s">
        <v>300</v>
      </c>
      <c r="L24" s="119"/>
      <c r="M24" s="197"/>
      <c r="N24" s="119"/>
      <c r="O24" s="198">
        <f>ELECTRICIDAD!J55</f>
        <v>15970.837600000001</v>
      </c>
    </row>
    <row r="25" spans="10:15" x14ac:dyDescent="0.25">
      <c r="K25" s="199" t="s">
        <v>265</v>
      </c>
      <c r="L25" s="199"/>
      <c r="M25" s="200">
        <f>AGLOMERANTES!E11</f>
        <v>1540</v>
      </c>
      <c r="N25" s="199" t="s">
        <v>460</v>
      </c>
      <c r="O25" s="201">
        <f>AGLOMERANTES!J11</f>
        <v>27302.400000000001</v>
      </c>
    </row>
    <row r="26" spans="10:15" x14ac:dyDescent="0.25">
      <c r="K26" s="199" t="s">
        <v>267</v>
      </c>
      <c r="L26" s="199"/>
      <c r="M26" s="200">
        <f>AGLOMERANTES!O18</f>
        <v>238</v>
      </c>
      <c r="N26" s="199" t="s">
        <v>461</v>
      </c>
      <c r="O26" s="201">
        <f>AGLOMERANTES!T18</f>
        <v>65267.894399999997</v>
      </c>
    </row>
    <row r="27" spans="10:15" x14ac:dyDescent="0.25">
      <c r="K27" s="199" t="s">
        <v>454</v>
      </c>
      <c r="L27" s="199"/>
      <c r="M27" s="200">
        <f>AGLOMERANTES!Y11</f>
        <v>60</v>
      </c>
      <c r="N27" s="199" t="s">
        <v>461</v>
      </c>
      <c r="O27" s="201">
        <f>AGLOMERANTES!AD11</f>
        <v>14819.76</v>
      </c>
    </row>
    <row r="28" spans="10:15" x14ac:dyDescent="0.25">
      <c r="K28" s="199" t="s">
        <v>270</v>
      </c>
      <c r="L28" s="199"/>
      <c r="M28" s="200">
        <f>AGLOMERANTES!AI11</f>
        <v>50</v>
      </c>
      <c r="N28" s="199" t="s">
        <v>461</v>
      </c>
      <c r="O28" s="201">
        <f>AGLOMERANTES!AN11</f>
        <v>8858.16</v>
      </c>
    </row>
    <row r="29" spans="10:15" x14ac:dyDescent="0.25">
      <c r="K29" s="199" t="s">
        <v>283</v>
      </c>
      <c r="L29" s="199"/>
      <c r="M29" s="200">
        <f>AGLOMERANTES!AS11</f>
        <v>5</v>
      </c>
      <c r="N29" s="199" t="s">
        <v>459</v>
      </c>
      <c r="O29" s="201">
        <f>AGLOMERANTES!AX11</f>
        <v>3476.12</v>
      </c>
    </row>
    <row r="30" spans="10:15" x14ac:dyDescent="0.25">
      <c r="K30" s="199" t="s">
        <v>455</v>
      </c>
      <c r="L30" s="199"/>
      <c r="M30" s="200">
        <f>AGLOMERANTES!BC11</f>
        <v>4</v>
      </c>
      <c r="N30" s="199" t="s">
        <v>460</v>
      </c>
      <c r="O30" s="201">
        <f>AGLOMERANTES!BH11</f>
        <v>1082.9156</v>
      </c>
    </row>
    <row r="31" spans="10:15" x14ac:dyDescent="0.25">
      <c r="K31" s="112" t="s">
        <v>254</v>
      </c>
      <c r="L31" s="112"/>
      <c r="M31" s="202"/>
      <c r="N31" s="112"/>
      <c r="O31" s="84">
        <f>MISCELANEOS!J21</f>
        <v>7722.6679999999997</v>
      </c>
    </row>
    <row r="32" spans="10:15" x14ac:dyDescent="0.25">
      <c r="K32" s="117" t="s">
        <v>306</v>
      </c>
      <c r="L32" s="117"/>
      <c r="M32" s="203">
        <f>EPOXY!E13</f>
        <v>16</v>
      </c>
      <c r="N32" s="117"/>
      <c r="O32" s="204">
        <f>EPOXY!J13</f>
        <v>12578.137119999999</v>
      </c>
    </row>
    <row r="33" spans="11:15" x14ac:dyDescent="0.25">
      <c r="K33" s="205" t="s">
        <v>458</v>
      </c>
      <c r="L33" s="205"/>
      <c r="M33" s="206">
        <f>PINTURAS!F19</f>
        <v>16</v>
      </c>
      <c r="N33" s="205" t="s">
        <v>459</v>
      </c>
      <c r="O33" s="207">
        <f>PINTURAS!K19</f>
        <v>32640.300000000003</v>
      </c>
    </row>
    <row r="34" spans="11:15" x14ac:dyDescent="0.25">
      <c r="K34" s="205" t="s">
        <v>319</v>
      </c>
      <c r="L34" s="205"/>
      <c r="M34" s="206"/>
      <c r="N34" s="205"/>
      <c r="O34" s="207">
        <f>PINTURAS!U19</f>
        <v>95.331600000000009</v>
      </c>
    </row>
    <row r="35" spans="11:15" x14ac:dyDescent="0.25">
      <c r="K35" s="115" t="s">
        <v>429</v>
      </c>
      <c r="L35" s="115"/>
      <c r="M35" s="208"/>
      <c r="N35" s="115"/>
      <c r="O35" s="209">
        <f>'GASTOS ADMINISTRATIVOS'!J11</f>
        <v>3583.2240000000002</v>
      </c>
    </row>
    <row r="36" spans="11:15" x14ac:dyDescent="0.25">
      <c r="K36" s="2" t="s">
        <v>344</v>
      </c>
      <c r="L36" s="2" t="s">
        <v>466</v>
      </c>
      <c r="M36" s="210"/>
      <c r="N36" s="2"/>
      <c r="O36" s="4">
        <f>'COMPRAS SD'!M35</f>
        <v>39474.658079999994</v>
      </c>
    </row>
    <row r="37" spans="11:15" x14ac:dyDescent="0.25">
      <c r="K37" s="250" t="s">
        <v>488</v>
      </c>
      <c r="L37" s="250"/>
      <c r="M37" s="251"/>
      <c r="N37" s="250"/>
      <c r="O37" s="252">
        <f>TABLAROCA!J39</f>
        <v>25192.484999999997</v>
      </c>
    </row>
    <row r="38" spans="11:15" x14ac:dyDescent="0.25">
      <c r="K38" s="250" t="s">
        <v>390</v>
      </c>
      <c r="L38" s="250"/>
      <c r="M38" s="251"/>
      <c r="N38" s="250"/>
      <c r="O38" s="252">
        <f>TABLAROCA!AK23</f>
        <v>12960</v>
      </c>
    </row>
    <row r="39" spans="11:15" x14ac:dyDescent="0.25">
      <c r="K39" s="2" t="s">
        <v>387</v>
      </c>
      <c r="L39" s="2"/>
      <c r="M39" s="210"/>
      <c r="N39" s="2"/>
      <c r="O39" s="4">
        <f>YESERO!U15</f>
        <v>52920</v>
      </c>
    </row>
    <row r="40" spans="11:15" x14ac:dyDescent="0.25">
      <c r="O40" s="4">
        <f>SUM(O4:O39)</f>
        <v>592657.236714</v>
      </c>
    </row>
  </sheetData>
  <mergeCells count="6">
    <mergeCell ref="AC2:AG2"/>
    <mergeCell ref="B3:C3"/>
    <mergeCell ref="E1:I2"/>
    <mergeCell ref="K2:O2"/>
    <mergeCell ref="Q2:U2"/>
    <mergeCell ref="W2:A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400"/>
  <sheetViews>
    <sheetView zoomScaleNormal="100" workbookViewId="0">
      <selection activeCell="E24" sqref="E24"/>
    </sheetView>
  </sheetViews>
  <sheetFormatPr baseColWidth="10" defaultColWidth="8.85546875" defaultRowHeight="15" x14ac:dyDescent="0.25"/>
  <cols>
    <col min="1" max="1" width="12.28515625" bestFit="1" customWidth="1"/>
    <col min="2" max="2" width="9.42578125" bestFit="1" customWidth="1"/>
    <col min="3" max="3" width="8.85546875" style="1"/>
    <col min="4" max="4" width="19.7109375" style="1" bestFit="1" customWidth="1"/>
    <col min="5" max="5" width="37.42578125" style="1" bestFit="1" customWidth="1"/>
    <col min="6" max="6" width="9.28515625" style="1" customWidth="1"/>
    <col min="7" max="7" width="15.85546875" style="44" bestFit="1" customWidth="1"/>
    <col min="8" max="8" width="12.28515625" style="44" bestFit="1" customWidth="1"/>
    <col min="9" max="9" width="12" style="44" bestFit="1" customWidth="1"/>
    <col min="10" max="10" width="8.85546875" style="44" bestFit="1" customWidth="1"/>
    <col min="11" max="11" width="13.7109375" style="44" bestFit="1" customWidth="1"/>
    <col min="12" max="12" width="11.28515625" bestFit="1" customWidth="1"/>
    <col min="13" max="13" width="8.85546875" bestFit="1" customWidth="1"/>
    <col min="14" max="14" width="12.28515625" style="1" bestFit="1" customWidth="1"/>
    <col min="15" max="15" width="32" bestFit="1" customWidth="1"/>
    <col min="16" max="16" width="9.7109375" bestFit="1" customWidth="1"/>
    <col min="17" max="17" width="16" style="6" bestFit="1" customWidth="1"/>
    <col min="18" max="18" width="11.28515625" style="6" bestFit="1" customWidth="1"/>
    <col min="19" max="19" width="10.28515625" style="6" bestFit="1" customWidth="1"/>
    <col min="20" max="20" width="4.85546875" style="6" bestFit="1" customWidth="1"/>
    <col min="21" max="21" width="11.28515625" style="6" bestFit="1" customWidth="1"/>
    <col min="24" max="24" width="18.28515625" bestFit="1" customWidth="1"/>
    <col min="27" max="27" width="15.85546875" bestFit="1" customWidth="1"/>
  </cols>
  <sheetData>
    <row r="2" spans="1:31" x14ac:dyDescent="0.25">
      <c r="C2" s="368" t="s">
        <v>11</v>
      </c>
      <c r="D2" s="368"/>
      <c r="E2" s="368"/>
      <c r="F2" s="368"/>
      <c r="G2" s="368"/>
      <c r="H2" s="368"/>
      <c r="I2" s="368"/>
      <c r="J2" s="368"/>
      <c r="K2" s="368"/>
      <c r="M2" s="368" t="s">
        <v>12</v>
      </c>
      <c r="N2" s="368"/>
      <c r="O2" s="368"/>
      <c r="P2" s="368"/>
      <c r="Q2" s="368"/>
      <c r="R2" s="368"/>
      <c r="S2" s="368"/>
      <c r="T2" s="368"/>
      <c r="U2" s="368"/>
      <c r="W2" s="376" t="s">
        <v>44</v>
      </c>
      <c r="X2" s="376"/>
      <c r="Y2" s="376"/>
      <c r="Z2" s="376"/>
      <c r="AA2" s="376"/>
      <c r="AB2" s="376"/>
      <c r="AC2" s="376"/>
      <c r="AD2" s="376"/>
      <c r="AE2" s="376"/>
    </row>
    <row r="3" spans="1:31" x14ac:dyDescent="0.25">
      <c r="C3" s="2" t="s">
        <v>0</v>
      </c>
      <c r="D3" s="2" t="s">
        <v>1</v>
      </c>
      <c r="E3" s="2" t="s">
        <v>2</v>
      </c>
      <c r="F3" s="2" t="s">
        <v>3</v>
      </c>
      <c r="G3" s="4" t="s">
        <v>4</v>
      </c>
      <c r="H3" s="4" t="s">
        <v>8</v>
      </c>
      <c r="I3" s="5" t="s">
        <v>9</v>
      </c>
      <c r="J3" s="5" t="s">
        <v>10</v>
      </c>
      <c r="K3" s="5" t="s">
        <v>5</v>
      </c>
      <c r="M3" s="2" t="s">
        <v>0</v>
      </c>
      <c r="N3" s="2" t="s">
        <v>1</v>
      </c>
      <c r="O3" s="2" t="s">
        <v>2</v>
      </c>
      <c r="P3" s="2" t="s">
        <v>3</v>
      </c>
      <c r="Q3" s="4" t="s">
        <v>4</v>
      </c>
      <c r="R3" s="4" t="s">
        <v>8</v>
      </c>
      <c r="S3" s="5" t="s">
        <v>9</v>
      </c>
      <c r="T3" s="5" t="s">
        <v>10</v>
      </c>
      <c r="U3" s="5" t="s">
        <v>5</v>
      </c>
      <c r="W3" s="2" t="s">
        <v>0</v>
      </c>
      <c r="X3" s="2" t="s">
        <v>1</v>
      </c>
      <c r="Y3" s="2" t="s">
        <v>2</v>
      </c>
      <c r="Z3" s="2" t="s">
        <v>3</v>
      </c>
      <c r="AA3" s="2" t="s">
        <v>4</v>
      </c>
      <c r="AB3" s="2" t="s">
        <v>8</v>
      </c>
      <c r="AC3" s="2" t="s">
        <v>9</v>
      </c>
      <c r="AD3" s="2" t="s">
        <v>10</v>
      </c>
      <c r="AE3" s="2" t="s">
        <v>5</v>
      </c>
    </row>
    <row r="4" spans="1:31" x14ac:dyDescent="0.25">
      <c r="C4" s="291">
        <v>45630</v>
      </c>
      <c r="D4" s="50" t="s">
        <v>6</v>
      </c>
      <c r="E4" s="50" t="s">
        <v>7</v>
      </c>
      <c r="F4" s="50">
        <v>38</v>
      </c>
      <c r="G4" s="292">
        <v>37</v>
      </c>
      <c r="H4" s="292">
        <f>F4*G4</f>
        <v>1406</v>
      </c>
      <c r="I4" s="292">
        <f>H4*0.08</f>
        <v>112.48</v>
      </c>
      <c r="J4" s="292"/>
      <c r="K4" s="292">
        <f>SUM(H4:I4)-J4</f>
        <v>1518.48</v>
      </c>
      <c r="M4" s="3">
        <v>45628</v>
      </c>
      <c r="N4" s="1" t="s">
        <v>15</v>
      </c>
      <c r="O4" t="s">
        <v>16</v>
      </c>
      <c r="P4">
        <v>5</v>
      </c>
      <c r="Q4" s="6">
        <v>50.53</v>
      </c>
      <c r="R4" s="6">
        <f t="shared" ref="R4:R35" si="0">P4*Q4</f>
        <v>252.65</v>
      </c>
      <c r="S4" s="6">
        <f t="shared" ref="S4:S35" si="1">R4*0.08</f>
        <v>20.212</v>
      </c>
      <c r="U4" s="7">
        <f t="shared" ref="U4:U35" si="2">SUM(R4:S4)-T4</f>
        <v>272.86200000000002</v>
      </c>
      <c r="W4" s="3">
        <v>45631</v>
      </c>
      <c r="X4" t="s">
        <v>45</v>
      </c>
      <c r="Y4" t="s">
        <v>46</v>
      </c>
      <c r="Z4">
        <v>31.125</v>
      </c>
      <c r="AA4">
        <v>20.86</v>
      </c>
      <c r="AB4">
        <f>Z4*AA4</f>
        <v>649.26749999999993</v>
      </c>
      <c r="AC4">
        <f t="shared" ref="AC4:AC7" si="3">AB4*0.08</f>
        <v>51.941399999999994</v>
      </c>
      <c r="AE4">
        <f t="shared" ref="AE4:AE8" si="4">AB4+AC4-AD4</f>
        <v>701.20889999999997</v>
      </c>
    </row>
    <row r="5" spans="1:31" x14ac:dyDescent="0.25">
      <c r="B5" t="s">
        <v>56</v>
      </c>
      <c r="C5" s="293">
        <v>45633</v>
      </c>
      <c r="D5" s="19" t="s">
        <v>53</v>
      </c>
      <c r="E5" s="19" t="s">
        <v>54</v>
      </c>
      <c r="F5" s="19">
        <v>30</v>
      </c>
      <c r="G5" s="294">
        <f>80972.22/F5</f>
        <v>2699.0740000000001</v>
      </c>
      <c r="H5" s="294">
        <f t="shared" ref="H5" si="5">F5*G5</f>
        <v>80972.22</v>
      </c>
      <c r="I5" s="294">
        <f t="shared" ref="I5" si="6">H5*0.08</f>
        <v>6477.7776000000003</v>
      </c>
      <c r="J5" s="294"/>
      <c r="K5" s="294">
        <f t="shared" ref="K5" si="7">SUM(H5:I5)-J5</f>
        <v>87449.997600000002</v>
      </c>
      <c r="M5" s="3">
        <v>45628</v>
      </c>
      <c r="N5" s="1" t="s">
        <v>15</v>
      </c>
      <c r="O5" t="s">
        <v>17</v>
      </c>
      <c r="P5">
        <v>2</v>
      </c>
      <c r="Q5" s="6">
        <f>175.26/1.08</f>
        <v>162.27777777777777</v>
      </c>
      <c r="R5" s="6">
        <f t="shared" si="0"/>
        <v>324.55555555555554</v>
      </c>
      <c r="S5" s="6">
        <f t="shared" si="1"/>
        <v>25.964444444444442</v>
      </c>
      <c r="U5" s="7">
        <f t="shared" si="2"/>
        <v>350.52</v>
      </c>
      <c r="W5" s="3">
        <v>45631</v>
      </c>
      <c r="X5" t="s">
        <v>50</v>
      </c>
      <c r="Y5" t="s">
        <v>46</v>
      </c>
      <c r="Z5">
        <v>47.64</v>
      </c>
      <c r="AA5">
        <v>19.47</v>
      </c>
      <c r="AB5">
        <f>Z5*AA5</f>
        <v>927.55079999999998</v>
      </c>
      <c r="AC5">
        <f t="shared" si="3"/>
        <v>74.204064000000002</v>
      </c>
      <c r="AE5">
        <f t="shared" si="4"/>
        <v>1001.754864</v>
      </c>
    </row>
    <row r="6" spans="1:31" x14ac:dyDescent="0.25">
      <c r="A6" s="20">
        <f>SUM(H6:I6)-J6</f>
        <v>182062</v>
      </c>
      <c r="B6" t="s">
        <v>56</v>
      </c>
      <c r="C6" s="293">
        <v>45633</v>
      </c>
      <c r="D6" s="19" t="s">
        <v>87</v>
      </c>
      <c r="E6" s="19"/>
      <c r="F6" s="19">
        <v>73</v>
      </c>
      <c r="G6" s="294">
        <v>2150</v>
      </c>
      <c r="H6" s="294">
        <f t="shared" ref="H6:H9" si="8">F6*G6</f>
        <v>156950</v>
      </c>
      <c r="I6" s="294">
        <f>H6*0.16</f>
        <v>25112</v>
      </c>
      <c r="J6" s="294"/>
      <c r="M6" s="3">
        <v>45628</v>
      </c>
      <c r="N6" s="1" t="s">
        <v>15</v>
      </c>
      <c r="O6" t="s">
        <v>18</v>
      </c>
      <c r="P6">
        <v>3</v>
      </c>
      <c r="Q6" s="6">
        <f>88.73/1.08</f>
        <v>82.157407407407405</v>
      </c>
      <c r="R6" s="6">
        <f t="shared" si="0"/>
        <v>246.47222222222223</v>
      </c>
      <c r="S6" s="6">
        <f t="shared" si="1"/>
        <v>19.71777777777778</v>
      </c>
      <c r="U6" s="7">
        <f t="shared" si="2"/>
        <v>266.19</v>
      </c>
      <c r="W6" s="3">
        <v>45648</v>
      </c>
      <c r="X6" t="s">
        <v>86</v>
      </c>
      <c r="Y6" t="s">
        <v>46</v>
      </c>
      <c r="Z6">
        <v>23.82</v>
      </c>
      <c r="AA6">
        <v>19.47</v>
      </c>
      <c r="AB6">
        <f>Z6*AA6</f>
        <v>463.77539999999999</v>
      </c>
      <c r="AC6">
        <f t="shared" si="3"/>
        <v>37.102032000000001</v>
      </c>
      <c r="AE6">
        <f t="shared" si="4"/>
        <v>500.877432</v>
      </c>
    </row>
    <row r="7" spans="1:31" x14ac:dyDescent="0.25">
      <c r="A7" s="20">
        <f>SUM(H7:I7)-J7</f>
        <v>31320</v>
      </c>
      <c r="B7" t="s">
        <v>56</v>
      </c>
      <c r="C7" s="293">
        <v>45633</v>
      </c>
      <c r="D7" s="19" t="s">
        <v>88</v>
      </c>
      <c r="E7" s="19" t="s">
        <v>89</v>
      </c>
      <c r="F7" s="19">
        <v>1</v>
      </c>
      <c r="G7" s="294">
        <v>27000</v>
      </c>
      <c r="H7" s="294">
        <f t="shared" si="8"/>
        <v>27000</v>
      </c>
      <c r="I7" s="294">
        <f>H7*0.16</f>
        <v>4320</v>
      </c>
      <c r="J7" s="294"/>
      <c r="M7" s="3">
        <v>45628</v>
      </c>
      <c r="N7" s="1" t="s">
        <v>15</v>
      </c>
      <c r="O7" t="s">
        <v>19</v>
      </c>
      <c r="P7">
        <v>2</v>
      </c>
      <c r="Q7" s="6">
        <f>258.86/1.08</f>
        <v>239.68518518518519</v>
      </c>
      <c r="R7" s="6">
        <f t="shared" si="0"/>
        <v>479.37037037037038</v>
      </c>
      <c r="S7" s="6">
        <f t="shared" si="1"/>
        <v>38.349629629629632</v>
      </c>
      <c r="U7" s="7">
        <f t="shared" si="2"/>
        <v>517.72</v>
      </c>
      <c r="W7" s="3">
        <v>45327</v>
      </c>
      <c r="X7" t="s">
        <v>234</v>
      </c>
      <c r="Y7" t="s">
        <v>46</v>
      </c>
      <c r="Z7">
        <v>49.512999999999998</v>
      </c>
      <c r="AA7">
        <v>21.97</v>
      </c>
      <c r="AB7">
        <v>1003.22</v>
      </c>
      <c r="AC7">
        <f t="shared" si="3"/>
        <v>80.257600000000011</v>
      </c>
      <c r="AE7">
        <f t="shared" si="4"/>
        <v>1083.4775999999999</v>
      </c>
    </row>
    <row r="8" spans="1:31" x14ac:dyDescent="0.25">
      <c r="A8" s="20">
        <f>SUM(H8:I8)-J8</f>
        <v>38880</v>
      </c>
      <c r="B8" t="s">
        <v>56</v>
      </c>
      <c r="C8" s="293">
        <v>45633</v>
      </c>
      <c r="D8" s="19" t="s">
        <v>90</v>
      </c>
      <c r="E8" s="19" t="s">
        <v>91</v>
      </c>
      <c r="F8" s="19">
        <v>1</v>
      </c>
      <c r="G8" s="294">
        <v>36000</v>
      </c>
      <c r="H8" s="294">
        <f t="shared" si="8"/>
        <v>36000</v>
      </c>
      <c r="I8" s="294">
        <f>H8*0.08</f>
        <v>2880</v>
      </c>
      <c r="J8" s="294"/>
      <c r="M8" s="3">
        <v>45628</v>
      </c>
      <c r="N8" s="1" t="s">
        <v>15</v>
      </c>
      <c r="O8" t="s">
        <v>20</v>
      </c>
      <c r="P8">
        <v>5</v>
      </c>
      <c r="Q8" s="6">
        <f>41.81/1.08</f>
        <v>38.712962962962962</v>
      </c>
      <c r="R8" s="6">
        <f t="shared" si="0"/>
        <v>193.56481481481481</v>
      </c>
      <c r="S8" s="6">
        <f t="shared" si="1"/>
        <v>15.485185185185186</v>
      </c>
      <c r="U8" s="7">
        <f t="shared" si="2"/>
        <v>209.04999999999998</v>
      </c>
      <c r="W8" s="3">
        <v>45332</v>
      </c>
      <c r="X8" t="s">
        <v>234</v>
      </c>
      <c r="Y8" t="s">
        <v>46</v>
      </c>
      <c r="Z8">
        <v>47.64</v>
      </c>
      <c r="AA8">
        <v>19.47</v>
      </c>
      <c r="AB8">
        <f>Z8*AA8</f>
        <v>927.55079999999998</v>
      </c>
      <c r="AC8">
        <f>AB8*0.08</f>
        <v>74.204064000000002</v>
      </c>
      <c r="AE8">
        <f t="shared" si="4"/>
        <v>1001.754864</v>
      </c>
    </row>
    <row r="9" spans="1:31" x14ac:dyDescent="0.25">
      <c r="B9" t="s">
        <v>56</v>
      </c>
      <c r="C9" s="293">
        <v>45633</v>
      </c>
      <c r="D9" s="19" t="s">
        <v>92</v>
      </c>
      <c r="E9" s="19" t="s">
        <v>93</v>
      </c>
      <c r="F9" s="19">
        <v>1</v>
      </c>
      <c r="G9" s="294">
        <v>150000</v>
      </c>
      <c r="H9" s="294">
        <f t="shared" si="8"/>
        <v>150000</v>
      </c>
      <c r="I9" s="294">
        <f>H9*0.16</f>
        <v>24000</v>
      </c>
      <c r="J9" s="294"/>
      <c r="K9" s="294">
        <f t="shared" ref="K9:K10" si="9">SUM(H9:I9)-J9</f>
        <v>174000</v>
      </c>
      <c r="M9" s="3">
        <v>45628</v>
      </c>
      <c r="N9" s="1" t="s">
        <v>15</v>
      </c>
      <c r="O9" t="s">
        <v>21</v>
      </c>
      <c r="P9">
        <v>1</v>
      </c>
      <c r="Q9" s="6">
        <f>266.58/1.08</f>
        <v>246.83333333333331</v>
      </c>
      <c r="R9" s="6">
        <f t="shared" si="0"/>
        <v>246.83333333333331</v>
      </c>
      <c r="S9" s="6">
        <f t="shared" si="1"/>
        <v>19.746666666666666</v>
      </c>
      <c r="U9" s="7">
        <f t="shared" si="2"/>
        <v>266.58</v>
      </c>
      <c r="W9" s="3">
        <v>45338</v>
      </c>
      <c r="X9" t="s">
        <v>234</v>
      </c>
      <c r="Y9" t="s">
        <v>46</v>
      </c>
      <c r="Z9">
        <v>47.64</v>
      </c>
      <c r="AA9">
        <v>19.47</v>
      </c>
      <c r="AB9">
        <f>Z9*AA9</f>
        <v>927.55079999999998</v>
      </c>
      <c r="AC9">
        <f>AB9*0.08</f>
        <v>74.204064000000002</v>
      </c>
      <c r="AE9">
        <f>AB9+AC9-AD9</f>
        <v>1001.754864</v>
      </c>
    </row>
    <row r="10" spans="1:31" x14ac:dyDescent="0.25">
      <c r="B10" t="s">
        <v>94</v>
      </c>
      <c r="C10" s="293">
        <v>45633</v>
      </c>
      <c r="D10" s="19" t="s">
        <v>95</v>
      </c>
      <c r="E10" s="19" t="s">
        <v>96</v>
      </c>
      <c r="F10" s="19">
        <v>1</v>
      </c>
      <c r="G10" s="294">
        <f>26748.64/1.16</f>
        <v>23059.172413793105</v>
      </c>
      <c r="H10" s="294">
        <f t="shared" ref="H10" si="10">F10*G10</f>
        <v>23059.172413793105</v>
      </c>
      <c r="I10" s="294">
        <f>H10*0.16</f>
        <v>3689.4675862068971</v>
      </c>
      <c r="J10" s="294"/>
      <c r="K10" s="294">
        <f t="shared" si="9"/>
        <v>26748.640000000003</v>
      </c>
      <c r="M10" s="3">
        <v>45628</v>
      </c>
      <c r="N10" s="1" t="s">
        <v>15</v>
      </c>
      <c r="O10" t="s">
        <v>22</v>
      </c>
      <c r="P10">
        <v>1</v>
      </c>
      <c r="Q10" s="6">
        <f>350/1.08</f>
        <v>324.07407407407408</v>
      </c>
      <c r="R10" s="6">
        <f t="shared" si="0"/>
        <v>324.07407407407408</v>
      </c>
      <c r="S10" s="6">
        <f t="shared" si="1"/>
        <v>25.925925925925927</v>
      </c>
      <c r="U10" s="7">
        <f t="shared" si="2"/>
        <v>350</v>
      </c>
      <c r="W10" s="3">
        <v>45350</v>
      </c>
      <c r="X10" t="s">
        <v>234</v>
      </c>
      <c r="Y10" t="s">
        <v>46</v>
      </c>
      <c r="Z10">
        <v>47.64</v>
      </c>
      <c r="AA10">
        <v>19.47</v>
      </c>
      <c r="AB10">
        <f>Z10*AA10</f>
        <v>927.55079999999998</v>
      </c>
      <c r="AC10">
        <f>AB10*0.08</f>
        <v>74.204064000000002</v>
      </c>
      <c r="AE10">
        <f>AB10+AC10-AD10</f>
        <v>1001.754864</v>
      </c>
    </row>
    <row r="11" spans="1:31" x14ac:dyDescent="0.25">
      <c r="C11" s="295">
        <v>45634</v>
      </c>
      <c r="D11" s="23" t="s">
        <v>227</v>
      </c>
      <c r="E11" s="23" t="s">
        <v>228</v>
      </c>
      <c r="F11" s="23">
        <v>10</v>
      </c>
      <c r="G11" s="229">
        <v>15</v>
      </c>
      <c r="H11" s="229">
        <f t="shared" ref="H11" si="11">F11*G11</f>
        <v>150</v>
      </c>
      <c r="I11" s="229">
        <f>H11*0.16</f>
        <v>24</v>
      </c>
      <c r="J11" s="229"/>
      <c r="K11" s="229">
        <f t="shared" ref="K11" si="12">SUM(H11:I11)-J11</f>
        <v>174</v>
      </c>
      <c r="M11" s="3">
        <v>45628</v>
      </c>
      <c r="N11" s="1" t="s">
        <v>15</v>
      </c>
      <c r="O11" t="s">
        <v>23</v>
      </c>
      <c r="P11">
        <v>3</v>
      </c>
      <c r="Q11" s="6">
        <f>18.93/1.08</f>
        <v>17.527777777777775</v>
      </c>
      <c r="R11" s="6">
        <f t="shared" si="0"/>
        <v>52.583333333333329</v>
      </c>
      <c r="S11" s="6">
        <f t="shared" si="1"/>
        <v>4.2066666666666661</v>
      </c>
      <c r="U11" s="6">
        <f t="shared" si="2"/>
        <v>56.789999999999992</v>
      </c>
      <c r="W11" s="3">
        <v>45357</v>
      </c>
      <c r="X11" t="s">
        <v>86</v>
      </c>
      <c r="Y11" t="s">
        <v>46</v>
      </c>
      <c r="Z11">
        <v>23.82</v>
      </c>
      <c r="AA11">
        <v>19.47</v>
      </c>
      <c r="AB11">
        <f>Z11*AA11</f>
        <v>463.77539999999999</v>
      </c>
      <c r="AC11">
        <f t="shared" ref="AC11" si="13">AB11*0.08</f>
        <v>37.102032000000001</v>
      </c>
      <c r="AE11">
        <f t="shared" ref="AE11" si="14">AB11+AC11-AD11</f>
        <v>500.877432</v>
      </c>
    </row>
    <row r="12" spans="1:31" x14ac:dyDescent="0.25">
      <c r="C12" s="296">
        <v>45634</v>
      </c>
      <c r="D12" s="24" t="s">
        <v>97</v>
      </c>
      <c r="E12" s="24" t="s">
        <v>98</v>
      </c>
      <c r="F12" s="24">
        <v>1500</v>
      </c>
      <c r="G12" s="297">
        <v>16.2</v>
      </c>
      <c r="H12" s="297">
        <f t="shared" ref="H12" si="15">F12*G12</f>
        <v>24300</v>
      </c>
      <c r="I12" s="297">
        <f t="shared" ref="I12:I43" si="16">H12*0.08</f>
        <v>1944</v>
      </c>
      <c r="J12" s="297"/>
      <c r="K12" s="297">
        <f t="shared" ref="K12" si="17">SUM(H12:I12)-J12</f>
        <v>26244</v>
      </c>
      <c r="M12" s="3">
        <v>45628</v>
      </c>
      <c r="N12" s="1" t="s">
        <v>15</v>
      </c>
      <c r="O12" t="s">
        <v>24</v>
      </c>
      <c r="P12">
        <v>2</v>
      </c>
      <c r="Q12" s="6">
        <f>39.65/1.08</f>
        <v>36.712962962962962</v>
      </c>
      <c r="R12" s="6">
        <f t="shared" si="0"/>
        <v>73.425925925925924</v>
      </c>
      <c r="S12" s="6">
        <f t="shared" si="1"/>
        <v>5.8740740740740742</v>
      </c>
      <c r="U12" s="6">
        <f t="shared" si="2"/>
        <v>79.3</v>
      </c>
    </row>
    <row r="13" spans="1:31" x14ac:dyDescent="0.25">
      <c r="C13" s="67">
        <v>45634</v>
      </c>
      <c r="D13" s="26" t="s">
        <v>57</v>
      </c>
      <c r="E13" s="26" t="s">
        <v>58</v>
      </c>
      <c r="F13" s="26">
        <v>272.72000000000003</v>
      </c>
      <c r="G13" s="225">
        <v>35.450000000000003</v>
      </c>
      <c r="H13" s="225">
        <f t="shared" ref="H13:H26" si="18">F13*G13</f>
        <v>9667.9240000000009</v>
      </c>
      <c r="I13" s="225">
        <f t="shared" si="16"/>
        <v>773.43392000000006</v>
      </c>
      <c r="J13" s="225"/>
      <c r="K13" s="225">
        <f t="shared" ref="K13:K26" si="19">SUM(H13:I13)-J13</f>
        <v>10441.35792</v>
      </c>
      <c r="M13" s="3">
        <v>45628</v>
      </c>
      <c r="N13" s="1" t="s">
        <v>15</v>
      </c>
      <c r="O13" t="s">
        <v>25</v>
      </c>
      <c r="P13">
        <v>2</v>
      </c>
      <c r="Q13" s="6">
        <f>24.17/1.08</f>
        <v>22.37962962962963</v>
      </c>
      <c r="R13" s="6">
        <f t="shared" si="0"/>
        <v>44.75925925925926</v>
      </c>
      <c r="S13" s="6">
        <f t="shared" si="1"/>
        <v>3.5807407407407408</v>
      </c>
      <c r="U13" s="6">
        <f t="shared" si="2"/>
        <v>48.34</v>
      </c>
    </row>
    <row r="14" spans="1:31" x14ac:dyDescent="0.25">
      <c r="C14" s="67">
        <v>45634</v>
      </c>
      <c r="D14" s="26" t="s">
        <v>57</v>
      </c>
      <c r="E14" s="26" t="s">
        <v>59</v>
      </c>
      <c r="F14" s="26">
        <v>436.36</v>
      </c>
      <c r="G14" s="225">
        <v>35.07</v>
      </c>
      <c r="H14" s="225">
        <f t="shared" si="18"/>
        <v>15303.145200000001</v>
      </c>
      <c r="I14" s="225">
        <f t="shared" si="16"/>
        <v>1224.251616</v>
      </c>
      <c r="J14" s="225"/>
      <c r="K14" s="225">
        <f t="shared" si="19"/>
        <v>16527.396816</v>
      </c>
      <c r="M14" s="3">
        <v>45628</v>
      </c>
      <c r="N14" s="1" t="s">
        <v>15</v>
      </c>
      <c r="O14" t="s">
        <v>26</v>
      </c>
      <c r="P14">
        <v>3</v>
      </c>
      <c r="Q14" s="6">
        <f>53.95/1.08</f>
        <v>49.953703703703702</v>
      </c>
      <c r="R14" s="6">
        <f t="shared" si="0"/>
        <v>149.86111111111111</v>
      </c>
      <c r="S14" s="6">
        <f t="shared" si="1"/>
        <v>11.988888888888889</v>
      </c>
      <c r="U14" s="6">
        <f t="shared" si="2"/>
        <v>161.85</v>
      </c>
    </row>
    <row r="15" spans="1:31" x14ac:dyDescent="0.25">
      <c r="C15" s="67">
        <v>45634</v>
      </c>
      <c r="D15" s="26" t="s">
        <v>57</v>
      </c>
      <c r="E15" s="26" t="s">
        <v>60</v>
      </c>
      <c r="F15" s="26">
        <v>20</v>
      </c>
      <c r="G15" s="225">
        <v>60.68</v>
      </c>
      <c r="H15" s="225">
        <f t="shared" si="18"/>
        <v>1213.5999999999999</v>
      </c>
      <c r="I15" s="225">
        <f t="shared" si="16"/>
        <v>97.087999999999994</v>
      </c>
      <c r="J15" s="225"/>
      <c r="K15" s="225">
        <f t="shared" si="19"/>
        <v>1310.6879999999999</v>
      </c>
      <c r="M15" s="3">
        <v>45628</v>
      </c>
      <c r="N15" s="1" t="s">
        <v>15</v>
      </c>
      <c r="O15" t="s">
        <v>27</v>
      </c>
      <c r="P15">
        <v>1</v>
      </c>
      <c r="Q15" s="6">
        <f>30.17/1.08</f>
        <v>27.935185185185183</v>
      </c>
      <c r="R15" s="6">
        <f t="shared" si="0"/>
        <v>27.935185185185183</v>
      </c>
      <c r="S15" s="6">
        <f t="shared" si="1"/>
        <v>2.2348148148148148</v>
      </c>
      <c r="U15" s="6">
        <f t="shared" si="2"/>
        <v>30.169999999999998</v>
      </c>
    </row>
    <row r="16" spans="1:31" x14ac:dyDescent="0.25">
      <c r="C16" s="67">
        <v>45634</v>
      </c>
      <c r="D16" s="26" t="s">
        <v>57</v>
      </c>
      <c r="E16" s="26" t="s">
        <v>61</v>
      </c>
      <c r="F16" s="26">
        <v>454.54</v>
      </c>
      <c r="G16" s="225">
        <v>31.99</v>
      </c>
      <c r="H16" s="225">
        <f t="shared" si="18"/>
        <v>14540.7346</v>
      </c>
      <c r="I16" s="225">
        <f t="shared" si="16"/>
        <v>1163.2587679999999</v>
      </c>
      <c r="J16" s="225"/>
      <c r="K16" s="225">
        <f t="shared" si="19"/>
        <v>15703.993367999999</v>
      </c>
      <c r="M16" s="3">
        <v>45628</v>
      </c>
      <c r="N16" s="1" t="s">
        <v>15</v>
      </c>
      <c r="O16" t="s">
        <v>28</v>
      </c>
      <c r="P16">
        <v>1</v>
      </c>
      <c r="Q16" s="6">
        <f>18.65/1.08</f>
        <v>17.268518518518515</v>
      </c>
      <c r="R16" s="6">
        <f t="shared" si="0"/>
        <v>17.268518518518515</v>
      </c>
      <c r="S16" s="6">
        <f t="shared" si="1"/>
        <v>1.3814814814814813</v>
      </c>
      <c r="U16" s="6">
        <f t="shared" si="2"/>
        <v>18.649999999999999</v>
      </c>
    </row>
    <row r="17" spans="3:31" x14ac:dyDescent="0.25">
      <c r="C17" s="67">
        <v>45634</v>
      </c>
      <c r="D17" s="26" t="s">
        <v>57</v>
      </c>
      <c r="E17" s="26" t="s">
        <v>62</v>
      </c>
      <c r="F17" s="26">
        <v>2000</v>
      </c>
      <c r="G17" s="225">
        <v>22.54</v>
      </c>
      <c r="H17" s="225">
        <f t="shared" si="18"/>
        <v>45080</v>
      </c>
      <c r="I17" s="225">
        <f t="shared" si="16"/>
        <v>3606.4</v>
      </c>
      <c r="J17" s="225"/>
      <c r="K17" s="225">
        <f t="shared" si="19"/>
        <v>48686.400000000001</v>
      </c>
      <c r="M17" s="3">
        <v>45628</v>
      </c>
      <c r="N17" s="1" t="s">
        <v>15</v>
      </c>
      <c r="O17" t="s">
        <v>29</v>
      </c>
      <c r="P17">
        <v>4</v>
      </c>
      <c r="Q17" s="6">
        <f>17.6/1.08</f>
        <v>16.296296296296298</v>
      </c>
      <c r="R17" s="6">
        <f t="shared" si="0"/>
        <v>65.18518518518519</v>
      </c>
      <c r="S17" s="6">
        <f t="shared" si="1"/>
        <v>5.2148148148148152</v>
      </c>
      <c r="U17" s="6">
        <f t="shared" si="2"/>
        <v>70.400000000000006</v>
      </c>
      <c r="AE17">
        <f>SUM(AE4:AE16)</f>
        <v>6793.4608200000011</v>
      </c>
    </row>
    <row r="18" spans="3:31" x14ac:dyDescent="0.25">
      <c r="C18" s="67">
        <v>45634</v>
      </c>
      <c r="D18" s="26" t="s">
        <v>57</v>
      </c>
      <c r="E18" s="26" t="s">
        <v>63</v>
      </c>
      <c r="F18" s="26">
        <v>1500</v>
      </c>
      <c r="G18" s="225">
        <v>22.54</v>
      </c>
      <c r="H18" s="225">
        <f t="shared" si="18"/>
        <v>33810</v>
      </c>
      <c r="I18" s="225">
        <f t="shared" si="16"/>
        <v>2704.8</v>
      </c>
      <c r="J18" s="225"/>
      <c r="K18" s="225">
        <f t="shared" si="19"/>
        <v>36514.800000000003</v>
      </c>
      <c r="M18" s="3">
        <v>45628</v>
      </c>
      <c r="N18" s="1" t="s">
        <v>15</v>
      </c>
      <c r="O18" t="s">
        <v>30</v>
      </c>
      <c r="P18">
        <v>1</v>
      </c>
      <c r="Q18" s="6">
        <f>83.96/1.08</f>
        <v>77.740740740740733</v>
      </c>
      <c r="R18" s="6">
        <f t="shared" si="0"/>
        <v>77.740740740740733</v>
      </c>
      <c r="S18" s="6">
        <f t="shared" si="1"/>
        <v>6.2192592592592586</v>
      </c>
      <c r="U18" s="6">
        <f t="shared" si="2"/>
        <v>83.96</v>
      </c>
    </row>
    <row r="19" spans="3:31" x14ac:dyDescent="0.25">
      <c r="C19" s="67">
        <v>45634</v>
      </c>
      <c r="D19" s="26" t="s">
        <v>57</v>
      </c>
      <c r="E19" s="26" t="s">
        <v>64</v>
      </c>
      <c r="F19" s="26">
        <v>500</v>
      </c>
      <c r="G19" s="225">
        <v>22.54</v>
      </c>
      <c r="H19" s="225">
        <f t="shared" si="18"/>
        <v>11270</v>
      </c>
      <c r="I19" s="225">
        <f t="shared" si="16"/>
        <v>901.6</v>
      </c>
      <c r="J19" s="225"/>
      <c r="K19" s="225">
        <f t="shared" si="19"/>
        <v>12171.6</v>
      </c>
      <c r="M19" s="3">
        <v>45628</v>
      </c>
      <c r="N19" s="1" t="s">
        <v>15</v>
      </c>
      <c r="O19" t="s">
        <v>31</v>
      </c>
      <c r="P19">
        <v>1</v>
      </c>
      <c r="Q19" s="6">
        <f>19.95/1.08</f>
        <v>18.472222222222221</v>
      </c>
      <c r="R19" s="6">
        <f t="shared" si="0"/>
        <v>18.472222222222221</v>
      </c>
      <c r="S19" s="6">
        <f t="shared" si="1"/>
        <v>1.4777777777777776</v>
      </c>
      <c r="U19" s="6">
        <f t="shared" si="2"/>
        <v>19.95</v>
      </c>
    </row>
    <row r="20" spans="3:31" x14ac:dyDescent="0.25">
      <c r="C20" s="67">
        <v>45634</v>
      </c>
      <c r="D20" s="26" t="s">
        <v>57</v>
      </c>
      <c r="E20" s="26" t="s">
        <v>65</v>
      </c>
      <c r="F20" s="26">
        <v>100</v>
      </c>
      <c r="G20" s="225">
        <v>24.67</v>
      </c>
      <c r="H20" s="225">
        <f t="shared" si="18"/>
        <v>2467</v>
      </c>
      <c r="I20" s="225">
        <f t="shared" si="16"/>
        <v>197.36</v>
      </c>
      <c r="J20" s="225"/>
      <c r="K20" s="225">
        <f t="shared" si="19"/>
        <v>2664.36</v>
      </c>
      <c r="M20" s="3">
        <v>45628</v>
      </c>
      <c r="N20" s="1" t="s">
        <v>15</v>
      </c>
      <c r="O20" t="s">
        <v>34</v>
      </c>
      <c r="P20">
        <v>2</v>
      </c>
      <c r="Q20" s="6">
        <f>98.05/1.08</f>
        <v>90.787037037037024</v>
      </c>
      <c r="R20" s="6">
        <f t="shared" si="0"/>
        <v>181.57407407407405</v>
      </c>
      <c r="S20" s="6">
        <f t="shared" si="1"/>
        <v>14.525925925925923</v>
      </c>
      <c r="U20" s="6">
        <f t="shared" si="2"/>
        <v>196.09999999999997</v>
      </c>
    </row>
    <row r="21" spans="3:31" x14ac:dyDescent="0.25">
      <c r="C21" s="67">
        <v>45634</v>
      </c>
      <c r="D21" s="26" t="s">
        <v>57</v>
      </c>
      <c r="E21" s="26" t="s">
        <v>66</v>
      </c>
      <c r="F21" s="26">
        <v>100</v>
      </c>
      <c r="G21" s="225">
        <v>25.6</v>
      </c>
      <c r="H21" s="225">
        <f t="shared" si="18"/>
        <v>2560</v>
      </c>
      <c r="I21" s="225">
        <f t="shared" si="16"/>
        <v>204.8</v>
      </c>
      <c r="J21" s="225"/>
      <c r="K21" s="225">
        <f t="shared" si="19"/>
        <v>2764.8</v>
      </c>
      <c r="M21" s="3">
        <v>45628</v>
      </c>
      <c r="N21" s="1" t="s">
        <v>15</v>
      </c>
      <c r="O21" t="s">
        <v>33</v>
      </c>
      <c r="P21">
        <v>1</v>
      </c>
      <c r="Q21" s="6">
        <f>64.43/1.08</f>
        <v>59.657407407407412</v>
      </c>
      <c r="R21" s="6">
        <f t="shared" si="0"/>
        <v>59.657407407407412</v>
      </c>
      <c r="S21" s="6">
        <f t="shared" si="1"/>
        <v>4.7725925925925932</v>
      </c>
      <c r="U21" s="6">
        <f t="shared" si="2"/>
        <v>64.430000000000007</v>
      </c>
    </row>
    <row r="22" spans="3:31" x14ac:dyDescent="0.25">
      <c r="C22" s="67">
        <v>45634</v>
      </c>
      <c r="D22" s="26" t="s">
        <v>57</v>
      </c>
      <c r="E22" s="26" t="s">
        <v>67</v>
      </c>
      <c r="F22" s="26">
        <v>22.72</v>
      </c>
      <c r="G22" s="225">
        <v>44.63</v>
      </c>
      <c r="H22" s="225">
        <f t="shared" si="18"/>
        <v>1013.9936</v>
      </c>
      <c r="I22" s="225">
        <f t="shared" si="16"/>
        <v>81.119488000000004</v>
      </c>
      <c r="J22" s="225"/>
      <c r="K22" s="225">
        <f t="shared" si="19"/>
        <v>1095.1130880000001</v>
      </c>
      <c r="M22" s="3">
        <v>45628</v>
      </c>
      <c r="N22" s="1" t="s">
        <v>15</v>
      </c>
      <c r="O22" t="s">
        <v>35</v>
      </c>
      <c r="P22">
        <v>4</v>
      </c>
      <c r="Q22" s="6">
        <f>15.45/1.08</f>
        <v>14.305555555555554</v>
      </c>
      <c r="R22" s="6">
        <f t="shared" si="0"/>
        <v>57.222222222222214</v>
      </c>
      <c r="S22" s="6">
        <f t="shared" si="1"/>
        <v>4.5777777777777775</v>
      </c>
      <c r="U22" s="6">
        <f t="shared" si="2"/>
        <v>61.79999999999999</v>
      </c>
    </row>
    <row r="23" spans="3:31" x14ac:dyDescent="0.25">
      <c r="C23" s="67">
        <v>45634</v>
      </c>
      <c r="D23" s="26" t="s">
        <v>57</v>
      </c>
      <c r="E23" s="26" t="s">
        <v>68</v>
      </c>
      <c r="F23" s="26">
        <v>142.56</v>
      </c>
      <c r="G23" s="225">
        <v>34.090000000000003</v>
      </c>
      <c r="H23" s="225">
        <f t="shared" si="18"/>
        <v>4859.8704000000007</v>
      </c>
      <c r="I23" s="225">
        <f t="shared" si="16"/>
        <v>388.78963200000004</v>
      </c>
      <c r="J23" s="225"/>
      <c r="K23" s="225">
        <f t="shared" si="19"/>
        <v>5248.6600320000007</v>
      </c>
      <c r="M23" s="3">
        <v>45628</v>
      </c>
      <c r="N23" s="1" t="s">
        <v>15</v>
      </c>
      <c r="O23" t="s">
        <v>36</v>
      </c>
      <c r="P23">
        <v>12</v>
      </c>
      <c r="Q23" s="6">
        <f>3.65/1.08</f>
        <v>3.3796296296296293</v>
      </c>
      <c r="R23" s="6">
        <f t="shared" si="0"/>
        <v>40.55555555555555</v>
      </c>
      <c r="S23" s="6">
        <f t="shared" si="1"/>
        <v>3.244444444444444</v>
      </c>
      <c r="U23" s="6">
        <f t="shared" si="2"/>
        <v>43.8</v>
      </c>
    </row>
    <row r="24" spans="3:31" x14ac:dyDescent="0.25">
      <c r="C24" s="42">
        <v>45635</v>
      </c>
      <c r="D24" s="1" t="s">
        <v>69</v>
      </c>
      <c r="E24" s="1" t="s">
        <v>69</v>
      </c>
      <c r="F24" s="1">
        <v>1</v>
      </c>
      <c r="G24" s="44">
        <v>12773.1</v>
      </c>
      <c r="H24" s="44">
        <f t="shared" si="18"/>
        <v>12773.1</v>
      </c>
      <c r="I24" s="44">
        <f t="shared" si="16"/>
        <v>1021.8480000000001</v>
      </c>
      <c r="K24" s="44">
        <f t="shared" si="19"/>
        <v>13794.948</v>
      </c>
      <c r="M24" s="3">
        <v>45628</v>
      </c>
      <c r="N24" s="1" t="s">
        <v>15</v>
      </c>
      <c r="O24" t="s">
        <v>37</v>
      </c>
      <c r="P24">
        <v>2</v>
      </c>
      <c r="Q24" s="6">
        <f>4.48/1.08</f>
        <v>4.1481481481481479</v>
      </c>
      <c r="R24" s="6">
        <f t="shared" si="0"/>
        <v>8.2962962962962958</v>
      </c>
      <c r="S24" s="6">
        <f t="shared" si="1"/>
        <v>0.66370370370370368</v>
      </c>
      <c r="U24" s="6">
        <f t="shared" si="2"/>
        <v>8.9599999999999991</v>
      </c>
    </row>
    <row r="25" spans="3:31" x14ac:dyDescent="0.25">
      <c r="C25" s="296">
        <v>45638</v>
      </c>
      <c r="D25" s="24" t="s">
        <v>13</v>
      </c>
      <c r="E25" s="24" t="s">
        <v>70</v>
      </c>
      <c r="F25" s="24">
        <v>72</v>
      </c>
      <c r="G25" s="297">
        <v>260</v>
      </c>
      <c r="H25" s="297">
        <f t="shared" si="18"/>
        <v>18720</v>
      </c>
      <c r="I25" s="297">
        <f t="shared" si="16"/>
        <v>1497.6000000000001</v>
      </c>
      <c r="J25" s="297"/>
      <c r="K25" s="297">
        <f t="shared" si="19"/>
        <v>20217.599999999999</v>
      </c>
      <c r="M25" s="3">
        <v>45628</v>
      </c>
      <c r="N25" s="1" t="s">
        <v>15</v>
      </c>
      <c r="O25" t="s">
        <v>38</v>
      </c>
      <c r="P25">
        <v>3</v>
      </c>
      <c r="Q25" s="6">
        <f>3.52/1.08</f>
        <v>3.2592592592592591</v>
      </c>
      <c r="R25" s="6">
        <f t="shared" si="0"/>
        <v>9.7777777777777768</v>
      </c>
      <c r="S25" s="6">
        <f t="shared" si="1"/>
        <v>0.78222222222222215</v>
      </c>
      <c r="U25" s="6">
        <f t="shared" si="2"/>
        <v>10.559999999999999</v>
      </c>
    </row>
    <row r="26" spans="3:31" x14ac:dyDescent="0.25">
      <c r="C26" s="296">
        <v>45638</v>
      </c>
      <c r="D26" s="24" t="s">
        <v>13</v>
      </c>
      <c r="E26" s="24" t="s">
        <v>71</v>
      </c>
      <c r="F26" s="24">
        <v>60</v>
      </c>
      <c r="G26" s="297">
        <v>228.7</v>
      </c>
      <c r="H26" s="297">
        <f t="shared" si="18"/>
        <v>13722</v>
      </c>
      <c r="I26" s="297">
        <f t="shared" si="16"/>
        <v>1097.76</v>
      </c>
      <c r="J26" s="297"/>
      <c r="K26" s="297">
        <f t="shared" si="19"/>
        <v>14819.76</v>
      </c>
      <c r="M26" s="3">
        <v>45628</v>
      </c>
      <c r="N26" s="1" t="s">
        <v>15</v>
      </c>
      <c r="O26" t="s">
        <v>39</v>
      </c>
      <c r="P26">
        <v>1</v>
      </c>
      <c r="Q26" s="6">
        <f>4.84/1.08</f>
        <v>4.481481481481481</v>
      </c>
      <c r="R26" s="6">
        <f t="shared" si="0"/>
        <v>4.481481481481481</v>
      </c>
      <c r="S26" s="6">
        <f t="shared" si="1"/>
        <v>0.35851851851851846</v>
      </c>
      <c r="U26" s="6">
        <f t="shared" si="2"/>
        <v>4.84</v>
      </c>
    </row>
    <row r="27" spans="3:31" x14ac:dyDescent="0.25">
      <c r="C27" s="298">
        <v>45638</v>
      </c>
      <c r="D27" s="30" t="s">
        <v>13</v>
      </c>
      <c r="E27" s="30" t="s">
        <v>72</v>
      </c>
      <c r="F27" s="30">
        <v>4</v>
      </c>
      <c r="G27" s="239">
        <v>3023.25</v>
      </c>
      <c r="H27" s="239">
        <f t="shared" ref="H27:H33" si="20">F27*G27</f>
        <v>12093</v>
      </c>
      <c r="I27" s="239">
        <f t="shared" si="16"/>
        <v>967.44</v>
      </c>
      <c r="J27" s="239"/>
      <c r="K27" s="239">
        <f t="shared" ref="K27:K33" si="21">SUM(H27:I27)-J27</f>
        <v>13060.44</v>
      </c>
      <c r="M27" s="3">
        <v>45628</v>
      </c>
      <c r="N27" s="1" t="s">
        <v>15</v>
      </c>
      <c r="O27" t="s">
        <v>40</v>
      </c>
      <c r="P27">
        <v>2</v>
      </c>
      <c r="Q27" s="6">
        <f>25.25/1.08</f>
        <v>23.37962962962963</v>
      </c>
      <c r="R27" s="6">
        <f t="shared" si="0"/>
        <v>46.75925925925926</v>
      </c>
      <c r="S27" s="6">
        <f t="shared" si="1"/>
        <v>3.7407407407407409</v>
      </c>
      <c r="U27" s="6">
        <f t="shared" si="2"/>
        <v>50.5</v>
      </c>
    </row>
    <row r="28" spans="3:31" x14ac:dyDescent="0.25">
      <c r="C28" s="298">
        <v>45638</v>
      </c>
      <c r="D28" s="30" t="s">
        <v>13</v>
      </c>
      <c r="E28" s="30" t="s">
        <v>73</v>
      </c>
      <c r="F28" s="30">
        <v>3</v>
      </c>
      <c r="G28" s="239">
        <v>3471.53</v>
      </c>
      <c r="H28" s="239">
        <f t="shared" si="20"/>
        <v>10414.59</v>
      </c>
      <c r="I28" s="239">
        <f t="shared" si="16"/>
        <v>833.16719999999998</v>
      </c>
      <c r="J28" s="239"/>
      <c r="K28" s="239">
        <f t="shared" si="21"/>
        <v>11247.7572</v>
      </c>
      <c r="M28" s="3">
        <v>45628</v>
      </c>
      <c r="N28" s="1" t="s">
        <v>15</v>
      </c>
      <c r="O28" t="s">
        <v>41</v>
      </c>
      <c r="P28">
        <v>1</v>
      </c>
      <c r="Q28" s="6">
        <f>25.25/1.08</f>
        <v>23.37962962962963</v>
      </c>
      <c r="R28" s="6">
        <f t="shared" si="0"/>
        <v>23.37962962962963</v>
      </c>
      <c r="S28" s="6">
        <f t="shared" si="1"/>
        <v>1.8703703703703705</v>
      </c>
      <c r="U28" s="6">
        <f t="shared" si="2"/>
        <v>25.25</v>
      </c>
    </row>
    <row r="29" spans="3:31" x14ac:dyDescent="0.25">
      <c r="C29" s="298">
        <v>45638</v>
      </c>
      <c r="D29" s="30" t="s">
        <v>13</v>
      </c>
      <c r="E29" s="30" t="s">
        <v>74</v>
      </c>
      <c r="F29" s="30">
        <v>4</v>
      </c>
      <c r="G29" s="239">
        <v>1602.36</v>
      </c>
      <c r="H29" s="239">
        <f t="shared" si="20"/>
        <v>6409.44</v>
      </c>
      <c r="I29" s="239">
        <f t="shared" si="16"/>
        <v>512.75519999999995</v>
      </c>
      <c r="J29" s="239"/>
      <c r="K29" s="239">
        <f t="shared" si="21"/>
        <v>6922.1951999999992</v>
      </c>
      <c r="M29" s="3">
        <v>45628</v>
      </c>
      <c r="N29" s="1" t="s">
        <v>15</v>
      </c>
      <c r="O29" t="s">
        <v>42</v>
      </c>
      <c r="P29">
        <v>1</v>
      </c>
      <c r="Q29" s="6">
        <f>75.88/1.08</f>
        <v>70.259259259259252</v>
      </c>
      <c r="R29" s="6">
        <f t="shared" si="0"/>
        <v>70.259259259259252</v>
      </c>
      <c r="S29" s="6">
        <f t="shared" si="1"/>
        <v>5.6207407407407404</v>
      </c>
      <c r="U29" s="6">
        <f t="shared" si="2"/>
        <v>75.88</v>
      </c>
    </row>
    <row r="30" spans="3:31" x14ac:dyDescent="0.25">
      <c r="C30" s="296">
        <v>45638</v>
      </c>
      <c r="D30" s="24" t="s">
        <v>13</v>
      </c>
      <c r="E30" s="24" t="s">
        <v>75</v>
      </c>
      <c r="F30" s="24">
        <v>50</v>
      </c>
      <c r="G30" s="297">
        <v>164.04</v>
      </c>
      <c r="H30" s="297">
        <f t="shared" si="20"/>
        <v>8202</v>
      </c>
      <c r="I30" s="297">
        <f t="shared" si="16"/>
        <v>656.16</v>
      </c>
      <c r="J30" s="297"/>
      <c r="K30" s="297">
        <f t="shared" si="21"/>
        <v>8858.16</v>
      </c>
      <c r="M30" s="3">
        <v>45628</v>
      </c>
      <c r="N30" s="1" t="s">
        <v>15</v>
      </c>
      <c r="O30" t="s">
        <v>43</v>
      </c>
      <c r="P30">
        <v>1</v>
      </c>
      <c r="Q30" s="6">
        <f>11.98/1.08</f>
        <v>11.092592592592592</v>
      </c>
      <c r="R30" s="6">
        <f t="shared" si="0"/>
        <v>11.092592592592592</v>
      </c>
      <c r="S30" s="6">
        <f t="shared" si="1"/>
        <v>0.88740740740740731</v>
      </c>
      <c r="U30" s="6">
        <f t="shared" si="2"/>
        <v>11.979999999999999</v>
      </c>
    </row>
    <row r="31" spans="3:31" x14ac:dyDescent="0.25">
      <c r="C31" s="298">
        <v>45639</v>
      </c>
      <c r="D31" s="30" t="s">
        <v>15</v>
      </c>
      <c r="E31" s="30" t="s">
        <v>77</v>
      </c>
      <c r="F31" s="30">
        <v>1</v>
      </c>
      <c r="G31" s="239">
        <v>64.209999999999994</v>
      </c>
      <c r="H31" s="239">
        <f t="shared" si="20"/>
        <v>64.209999999999994</v>
      </c>
      <c r="I31" s="239">
        <f t="shared" si="16"/>
        <v>5.1368</v>
      </c>
      <c r="J31" s="239"/>
      <c r="K31" s="239">
        <f t="shared" si="21"/>
        <v>69.346799999999988</v>
      </c>
      <c r="M31" s="3">
        <v>45631</v>
      </c>
      <c r="N31" s="1" t="s">
        <v>13</v>
      </c>
      <c r="O31" t="s">
        <v>14</v>
      </c>
      <c r="P31">
        <v>1</v>
      </c>
      <c r="Q31" s="6">
        <v>2794.44</v>
      </c>
      <c r="R31" s="6">
        <f t="shared" si="0"/>
        <v>2794.44</v>
      </c>
      <c r="S31" s="6">
        <f t="shared" si="1"/>
        <v>223.55520000000001</v>
      </c>
      <c r="U31" s="6">
        <f t="shared" si="2"/>
        <v>3017.9952000000003</v>
      </c>
    </row>
    <row r="32" spans="3:31" x14ac:dyDescent="0.25">
      <c r="C32" s="298">
        <v>45639</v>
      </c>
      <c r="D32" s="30" t="s">
        <v>15</v>
      </c>
      <c r="E32" s="30" t="s">
        <v>76</v>
      </c>
      <c r="F32" s="30">
        <v>1</v>
      </c>
      <c r="G32" s="239">
        <v>61.32</v>
      </c>
      <c r="H32" s="239">
        <f t="shared" si="20"/>
        <v>61.32</v>
      </c>
      <c r="I32" s="239">
        <f t="shared" si="16"/>
        <v>4.9055999999999997</v>
      </c>
      <c r="J32" s="239"/>
      <c r="K32" s="239">
        <f t="shared" si="21"/>
        <v>66.2256</v>
      </c>
      <c r="M32" s="3">
        <v>45631</v>
      </c>
      <c r="N32" s="1" t="s">
        <v>47</v>
      </c>
      <c r="O32" t="s">
        <v>48</v>
      </c>
      <c r="P32">
        <v>1</v>
      </c>
      <c r="Q32" s="6">
        <f>91.67/1.08</f>
        <v>84.879629629629619</v>
      </c>
      <c r="R32" s="6">
        <f t="shared" si="0"/>
        <v>84.879629629629619</v>
      </c>
      <c r="S32" s="6">
        <f t="shared" si="1"/>
        <v>6.7903703703703693</v>
      </c>
      <c r="U32" s="6">
        <f t="shared" si="2"/>
        <v>91.669999999999987</v>
      </c>
    </row>
    <row r="33" spans="3:21" x14ac:dyDescent="0.25">
      <c r="C33" s="298">
        <v>45639</v>
      </c>
      <c r="D33" s="30" t="s">
        <v>15</v>
      </c>
      <c r="E33" s="30" t="s">
        <v>78</v>
      </c>
      <c r="F33" s="30">
        <v>1</v>
      </c>
      <c r="G33" s="239">
        <v>61.32</v>
      </c>
      <c r="H33" s="239">
        <f t="shared" si="20"/>
        <v>61.32</v>
      </c>
      <c r="I33" s="239">
        <f t="shared" si="16"/>
        <v>4.9055999999999997</v>
      </c>
      <c r="J33" s="239"/>
      <c r="K33" s="239">
        <f t="shared" si="21"/>
        <v>66.2256</v>
      </c>
      <c r="M33" s="3">
        <v>45631</v>
      </c>
      <c r="N33" s="1" t="s">
        <v>47</v>
      </c>
      <c r="O33" t="s">
        <v>48</v>
      </c>
      <c r="P33">
        <v>1</v>
      </c>
      <c r="Q33" s="6">
        <f>91.67/1.08</f>
        <v>84.879629629629619</v>
      </c>
      <c r="R33" s="6">
        <f t="shared" si="0"/>
        <v>84.879629629629619</v>
      </c>
      <c r="S33" s="6">
        <f t="shared" si="1"/>
        <v>6.7903703703703693</v>
      </c>
      <c r="U33" s="6">
        <f t="shared" si="2"/>
        <v>91.669999999999987</v>
      </c>
    </row>
    <row r="34" spans="3:21" x14ac:dyDescent="0.25">
      <c r="C34" s="291">
        <v>45640</v>
      </c>
      <c r="D34" s="50" t="s">
        <v>6</v>
      </c>
      <c r="E34" s="50" t="s">
        <v>7</v>
      </c>
      <c r="F34" s="50">
        <v>38</v>
      </c>
      <c r="G34" s="292">
        <v>37</v>
      </c>
      <c r="H34" s="292">
        <f t="shared" ref="H34:H40" si="22">F34*G34</f>
        <v>1406</v>
      </c>
      <c r="I34" s="292">
        <f t="shared" si="16"/>
        <v>112.48</v>
      </c>
      <c r="J34" s="292"/>
      <c r="K34" s="292">
        <f t="shared" ref="K34:K43" si="23">SUM(H34:I34)-J34</f>
        <v>1518.48</v>
      </c>
      <c r="M34" s="3">
        <v>45631</v>
      </c>
      <c r="N34" s="1" t="s">
        <v>47</v>
      </c>
      <c r="O34" t="s">
        <v>49</v>
      </c>
      <c r="P34">
        <v>1</v>
      </c>
      <c r="Q34" s="6">
        <f>282.41/1.08</f>
        <v>261.49074074074076</v>
      </c>
      <c r="R34" s="6">
        <f t="shared" si="0"/>
        <v>261.49074074074076</v>
      </c>
      <c r="S34" s="6">
        <f t="shared" si="1"/>
        <v>20.91925925925926</v>
      </c>
      <c r="U34" s="6">
        <f t="shared" si="2"/>
        <v>282.41000000000003</v>
      </c>
    </row>
    <row r="35" spans="3:21" x14ac:dyDescent="0.25">
      <c r="C35" s="291">
        <v>45640</v>
      </c>
      <c r="D35" s="50" t="s">
        <v>6</v>
      </c>
      <c r="E35" s="50" t="s">
        <v>79</v>
      </c>
      <c r="F35" s="50">
        <v>38</v>
      </c>
      <c r="G35" s="292">
        <v>8</v>
      </c>
      <c r="H35" s="292">
        <f t="shared" si="22"/>
        <v>304</v>
      </c>
      <c r="I35" s="292">
        <f t="shared" si="16"/>
        <v>24.32</v>
      </c>
      <c r="J35" s="292"/>
      <c r="K35" s="292">
        <f t="shared" si="23"/>
        <v>328.32</v>
      </c>
      <c r="M35" s="3">
        <v>45631</v>
      </c>
      <c r="N35" s="1" t="s">
        <v>47</v>
      </c>
      <c r="O35" t="s">
        <v>49</v>
      </c>
      <c r="P35">
        <v>1</v>
      </c>
      <c r="Q35" s="6">
        <f>282.41/1.08</f>
        <v>261.49074074074076</v>
      </c>
      <c r="R35" s="6">
        <f t="shared" si="0"/>
        <v>261.49074074074076</v>
      </c>
      <c r="S35" s="6">
        <f t="shared" si="1"/>
        <v>20.91925925925926</v>
      </c>
      <c r="U35" s="6">
        <f t="shared" si="2"/>
        <v>282.41000000000003</v>
      </c>
    </row>
    <row r="36" spans="3:21" x14ac:dyDescent="0.25">
      <c r="C36" s="299">
        <v>45644</v>
      </c>
      <c r="D36" s="55" t="s">
        <v>99</v>
      </c>
      <c r="E36" s="55" t="s">
        <v>100</v>
      </c>
      <c r="F36" s="55">
        <v>1</v>
      </c>
      <c r="G36" s="300">
        <v>2500</v>
      </c>
      <c r="H36" s="300">
        <f t="shared" si="22"/>
        <v>2500</v>
      </c>
      <c r="I36" s="300">
        <f t="shared" si="16"/>
        <v>200</v>
      </c>
      <c r="J36" s="300"/>
      <c r="K36" s="300">
        <f t="shared" si="23"/>
        <v>2700</v>
      </c>
      <c r="M36" s="3">
        <v>45632</v>
      </c>
      <c r="N36" s="1" t="s">
        <v>13</v>
      </c>
      <c r="O36" t="s">
        <v>51</v>
      </c>
      <c r="P36">
        <v>1</v>
      </c>
      <c r="Q36" s="6">
        <v>162.04</v>
      </c>
      <c r="R36" s="6">
        <f t="shared" ref="R36:R67" si="24">P36*Q36</f>
        <v>162.04</v>
      </c>
      <c r="S36" s="6">
        <f t="shared" ref="S36:S67" si="25">R36*0.08</f>
        <v>12.963200000000001</v>
      </c>
      <c r="U36" s="6">
        <f t="shared" ref="U36:U67" si="26">SUM(R36:S36)-T36</f>
        <v>175.00319999999999</v>
      </c>
    </row>
    <row r="37" spans="3:21" x14ac:dyDescent="0.25">
      <c r="C37" s="295">
        <v>45644</v>
      </c>
      <c r="D37" s="23" t="s">
        <v>101</v>
      </c>
      <c r="E37" s="23" t="s">
        <v>102</v>
      </c>
      <c r="F37" s="23">
        <v>1</v>
      </c>
      <c r="G37" s="229">
        <v>900</v>
      </c>
      <c r="H37" s="229">
        <f t="shared" si="22"/>
        <v>900</v>
      </c>
      <c r="I37" s="229">
        <f t="shared" si="16"/>
        <v>72</v>
      </c>
      <c r="J37" s="229"/>
      <c r="K37" s="229">
        <f t="shared" si="23"/>
        <v>972</v>
      </c>
      <c r="M37" s="3">
        <v>45632</v>
      </c>
      <c r="N37" s="1" t="s">
        <v>13</v>
      </c>
      <c r="O37" t="s">
        <v>52</v>
      </c>
      <c r="P37">
        <v>1</v>
      </c>
      <c r="Q37" s="6">
        <v>97.22</v>
      </c>
      <c r="R37" s="6">
        <f t="shared" si="24"/>
        <v>97.22</v>
      </c>
      <c r="S37" s="6">
        <f t="shared" si="25"/>
        <v>7.7776000000000005</v>
      </c>
      <c r="U37" s="6">
        <f t="shared" si="26"/>
        <v>104.99760000000001</v>
      </c>
    </row>
    <row r="38" spans="3:21" x14ac:dyDescent="0.25">
      <c r="C38" s="301">
        <v>45646</v>
      </c>
      <c r="D38" s="52" t="s">
        <v>105</v>
      </c>
      <c r="E38" s="52"/>
      <c r="F38" s="52">
        <v>1</v>
      </c>
      <c r="G38" s="236">
        <v>2500</v>
      </c>
      <c r="H38" s="236">
        <f t="shared" si="22"/>
        <v>2500</v>
      </c>
      <c r="I38" s="236">
        <f t="shared" si="16"/>
        <v>200</v>
      </c>
      <c r="J38" s="236"/>
      <c r="K38" s="236">
        <f t="shared" si="23"/>
        <v>2700</v>
      </c>
      <c r="M38" s="3">
        <v>45632</v>
      </c>
      <c r="N38" s="1" t="s">
        <v>53</v>
      </c>
      <c r="O38" t="s">
        <v>54</v>
      </c>
      <c r="P38">
        <v>8</v>
      </c>
      <c r="Q38">
        <v>2407.4</v>
      </c>
      <c r="R38" s="6">
        <f t="shared" si="24"/>
        <v>19259.2</v>
      </c>
      <c r="S38" s="6">
        <f t="shared" si="25"/>
        <v>1540.7360000000001</v>
      </c>
      <c r="U38" s="6">
        <f t="shared" si="26"/>
        <v>20799.936000000002</v>
      </c>
    </row>
    <row r="39" spans="3:21" x14ac:dyDescent="0.25">
      <c r="C39" s="301">
        <v>45292</v>
      </c>
      <c r="D39" s="52" t="s">
        <v>303</v>
      </c>
      <c r="E39" s="52"/>
      <c r="F39" s="52">
        <v>1</v>
      </c>
      <c r="G39" s="236">
        <v>16000</v>
      </c>
      <c r="H39" s="236">
        <f t="shared" ref="H39" si="27">F39*G39</f>
        <v>16000</v>
      </c>
      <c r="I39" s="236">
        <f t="shared" ref="I39" si="28">H39*0.08</f>
        <v>1280</v>
      </c>
      <c r="J39" s="236"/>
      <c r="K39" s="236">
        <f t="shared" ref="K39" si="29">SUM(H39:I39)-J39</f>
        <v>17280</v>
      </c>
      <c r="M39" s="3">
        <v>45632</v>
      </c>
      <c r="N39" s="1" t="s">
        <v>53</v>
      </c>
      <c r="O39" t="s">
        <v>55</v>
      </c>
      <c r="P39">
        <v>10</v>
      </c>
      <c r="Q39" s="6">
        <v>291.67</v>
      </c>
      <c r="R39" s="6">
        <f t="shared" si="24"/>
        <v>2916.7000000000003</v>
      </c>
      <c r="S39" s="6">
        <f t="shared" si="25"/>
        <v>233.33600000000001</v>
      </c>
      <c r="U39" s="6">
        <f t="shared" si="26"/>
        <v>3150.0360000000001</v>
      </c>
    </row>
    <row r="40" spans="3:21" x14ac:dyDescent="0.25">
      <c r="C40" s="302">
        <v>45296</v>
      </c>
      <c r="D40" s="32" t="s">
        <v>106</v>
      </c>
      <c r="E40" s="32" t="s">
        <v>152</v>
      </c>
      <c r="F40" s="32">
        <v>1</v>
      </c>
      <c r="G40" s="240">
        <f>22090/1.08</f>
        <v>20453.703703703701</v>
      </c>
      <c r="H40" s="240">
        <f t="shared" si="22"/>
        <v>20453.703703703701</v>
      </c>
      <c r="I40" s="240">
        <f t="shared" si="16"/>
        <v>1636.2962962962961</v>
      </c>
      <c r="J40" s="240"/>
      <c r="K40" s="240">
        <f t="shared" si="23"/>
        <v>22089.999999999996</v>
      </c>
      <c r="M40" s="3">
        <v>45635</v>
      </c>
      <c r="N40" s="1" t="s">
        <v>105</v>
      </c>
      <c r="P40">
        <v>1</v>
      </c>
      <c r="Q40" s="6">
        <v>2500</v>
      </c>
      <c r="R40" s="6">
        <f t="shared" si="24"/>
        <v>2500</v>
      </c>
      <c r="S40" s="6">
        <f t="shared" si="25"/>
        <v>200</v>
      </c>
      <c r="U40" s="6">
        <f t="shared" si="26"/>
        <v>2700</v>
      </c>
    </row>
    <row r="41" spans="3:21" x14ac:dyDescent="0.25">
      <c r="C41" s="301">
        <v>45297</v>
      </c>
      <c r="D41" s="52" t="s">
        <v>105</v>
      </c>
      <c r="E41" s="52"/>
      <c r="F41" s="52">
        <v>1</v>
      </c>
      <c r="G41" s="236">
        <v>600</v>
      </c>
      <c r="H41" s="236">
        <f t="shared" ref="H41" si="30">F41*G41</f>
        <v>600</v>
      </c>
      <c r="I41" s="236">
        <f t="shared" ref="I41" si="31">H41*0.08</f>
        <v>48</v>
      </c>
      <c r="J41" s="236"/>
      <c r="K41" s="236">
        <f t="shared" ref="K41" si="32">SUM(H41:I41)-J41</f>
        <v>648</v>
      </c>
      <c r="M41" s="3">
        <v>45640</v>
      </c>
      <c r="N41" s="1" t="s">
        <v>80</v>
      </c>
      <c r="O41" t="s">
        <v>81</v>
      </c>
      <c r="P41">
        <v>1</v>
      </c>
      <c r="Q41" s="6">
        <v>64.81</v>
      </c>
      <c r="R41" s="6">
        <f t="shared" si="24"/>
        <v>64.81</v>
      </c>
      <c r="S41" s="6">
        <f t="shared" si="25"/>
        <v>5.1848000000000001</v>
      </c>
      <c r="T41">
        <v>12.96</v>
      </c>
      <c r="U41" s="6">
        <f t="shared" si="26"/>
        <v>57.034799999999997</v>
      </c>
    </row>
    <row r="42" spans="3:21" x14ac:dyDescent="0.25">
      <c r="C42" s="295">
        <v>45297</v>
      </c>
      <c r="D42" s="23" t="s">
        <v>13</v>
      </c>
      <c r="E42" s="23" t="s">
        <v>107</v>
      </c>
      <c r="F42" s="23">
        <v>8</v>
      </c>
      <c r="G42" s="229">
        <v>60.19</v>
      </c>
      <c r="H42" s="229">
        <f>F42*G42-192.59</f>
        <v>288.92999999999995</v>
      </c>
      <c r="I42" s="229">
        <f t="shared" si="16"/>
        <v>23.114399999999996</v>
      </c>
      <c r="J42" s="229"/>
      <c r="K42" s="229">
        <f t="shared" si="23"/>
        <v>312.04439999999994</v>
      </c>
      <c r="M42" s="3">
        <v>45640</v>
      </c>
      <c r="N42" s="1" t="s">
        <v>80</v>
      </c>
      <c r="O42" t="s">
        <v>82</v>
      </c>
      <c r="P42">
        <v>1</v>
      </c>
      <c r="Q42" s="6">
        <v>156.49</v>
      </c>
      <c r="R42" s="6">
        <f t="shared" si="24"/>
        <v>156.49</v>
      </c>
      <c r="S42" s="6">
        <f t="shared" si="25"/>
        <v>12.519200000000001</v>
      </c>
      <c r="T42">
        <v>31.3</v>
      </c>
      <c r="U42" s="6">
        <f t="shared" si="26"/>
        <v>137.70920000000001</v>
      </c>
    </row>
    <row r="43" spans="3:21" x14ac:dyDescent="0.25">
      <c r="C43" s="302">
        <v>45303</v>
      </c>
      <c r="D43" s="32" t="s">
        <v>117</v>
      </c>
      <c r="E43" s="32" t="s">
        <v>118</v>
      </c>
      <c r="F43" s="32">
        <v>1</v>
      </c>
      <c r="G43" s="240">
        <v>8300</v>
      </c>
      <c r="H43" s="240">
        <f>F43*G43</f>
        <v>8300</v>
      </c>
      <c r="I43" s="240">
        <f t="shared" si="16"/>
        <v>664</v>
      </c>
      <c r="J43" s="240"/>
      <c r="K43" s="240">
        <f t="shared" si="23"/>
        <v>8964</v>
      </c>
      <c r="M43" s="3">
        <v>45640</v>
      </c>
      <c r="N43" s="1" t="s">
        <v>80</v>
      </c>
      <c r="O43" t="s">
        <v>83</v>
      </c>
      <c r="P43">
        <v>1</v>
      </c>
      <c r="Q43" s="6">
        <v>257.39999999999998</v>
      </c>
      <c r="R43" s="6">
        <f t="shared" si="24"/>
        <v>257.39999999999998</v>
      </c>
      <c r="S43" s="6">
        <f t="shared" si="25"/>
        <v>20.591999999999999</v>
      </c>
      <c r="T43"/>
      <c r="U43" s="6">
        <f t="shared" si="26"/>
        <v>277.99199999999996</v>
      </c>
    </row>
    <row r="44" spans="3:21" x14ac:dyDescent="0.25">
      <c r="C44" s="301">
        <v>45303</v>
      </c>
      <c r="D44" s="52" t="s">
        <v>105</v>
      </c>
      <c r="E44" s="52"/>
      <c r="F44" s="52">
        <v>1</v>
      </c>
      <c r="G44" s="236">
        <v>2500</v>
      </c>
      <c r="H44" s="236">
        <f>F44*G44</f>
        <v>2500</v>
      </c>
      <c r="I44" s="236">
        <f t="shared" ref="I44" si="33">H44*0.08</f>
        <v>200</v>
      </c>
      <c r="J44" s="236"/>
      <c r="K44" s="236">
        <f t="shared" ref="K44" si="34">SUM(H44:I44)-J44</f>
        <v>2700</v>
      </c>
      <c r="M44" s="3">
        <v>45640</v>
      </c>
      <c r="N44" s="1" t="s">
        <v>84</v>
      </c>
      <c r="O44" t="s">
        <v>85</v>
      </c>
      <c r="P44">
        <v>1</v>
      </c>
      <c r="Q44" s="6">
        <v>6066.81</v>
      </c>
      <c r="R44" s="6">
        <f t="shared" si="24"/>
        <v>6066.81</v>
      </c>
      <c r="S44" s="6">
        <f t="shared" si="25"/>
        <v>485.34480000000002</v>
      </c>
      <c r="T44"/>
      <c r="U44" s="6">
        <f t="shared" si="26"/>
        <v>6552.1548000000003</v>
      </c>
    </row>
    <row r="45" spans="3:21" x14ac:dyDescent="0.25">
      <c r="C45" s="287">
        <v>45306</v>
      </c>
      <c r="D45" s="288" t="s">
        <v>13</v>
      </c>
      <c r="E45" s="288" t="s">
        <v>457</v>
      </c>
      <c r="F45" s="288">
        <v>8</v>
      </c>
      <c r="G45" s="288">
        <f>299/8*18</f>
        <v>672.75</v>
      </c>
      <c r="H45" s="289">
        <f>F45*G45</f>
        <v>5382</v>
      </c>
      <c r="I45" s="289">
        <f>H45*0.08</f>
        <v>430.56</v>
      </c>
      <c r="J45" s="289"/>
      <c r="K45" s="289">
        <f>SUM(H45:I45)-J45</f>
        <v>5812.56</v>
      </c>
      <c r="M45" s="3">
        <v>45642</v>
      </c>
      <c r="N45" s="1" t="s">
        <v>105</v>
      </c>
      <c r="P45">
        <v>1</v>
      </c>
      <c r="Q45" s="6">
        <v>2500</v>
      </c>
      <c r="R45" s="6">
        <f t="shared" si="24"/>
        <v>2500</v>
      </c>
      <c r="S45" s="6">
        <f t="shared" si="25"/>
        <v>200</v>
      </c>
      <c r="U45" s="6">
        <f t="shared" si="26"/>
        <v>2700</v>
      </c>
    </row>
    <row r="46" spans="3:21" x14ac:dyDescent="0.25">
      <c r="C46" s="303">
        <v>45307</v>
      </c>
      <c r="D46" s="33" t="s">
        <v>15</v>
      </c>
      <c r="E46" s="33" t="s">
        <v>122</v>
      </c>
      <c r="F46" s="33">
        <v>3</v>
      </c>
      <c r="G46" s="233">
        <f>258.86/1.08</f>
        <v>239.68518518518519</v>
      </c>
      <c r="H46" s="233">
        <f t="shared" ref="H46:H57" si="35">F46*G46</f>
        <v>719.05555555555554</v>
      </c>
      <c r="I46" s="233">
        <f t="shared" ref="I46:I57" si="36">H46*0.08</f>
        <v>57.524444444444441</v>
      </c>
      <c r="J46" s="233"/>
      <c r="K46" s="233">
        <f>SUM(H46:I46)</f>
        <v>776.57999999999993</v>
      </c>
      <c r="M46" s="3">
        <v>45642</v>
      </c>
      <c r="N46" s="1" t="s">
        <v>255</v>
      </c>
      <c r="P46">
        <v>1</v>
      </c>
      <c r="Q46" s="6">
        <v>2000</v>
      </c>
      <c r="R46" s="6">
        <f t="shared" si="24"/>
        <v>2000</v>
      </c>
      <c r="S46" s="6">
        <f t="shared" si="25"/>
        <v>160</v>
      </c>
      <c r="U46" s="6">
        <f t="shared" si="26"/>
        <v>2160</v>
      </c>
    </row>
    <row r="47" spans="3:21" x14ac:dyDescent="0.25">
      <c r="C47" s="304">
        <v>45307</v>
      </c>
      <c r="D47" s="41" t="s">
        <v>15</v>
      </c>
      <c r="E47" s="41" t="s">
        <v>22</v>
      </c>
      <c r="F47" s="41">
        <v>2</v>
      </c>
      <c r="G47" s="232">
        <f>844.75/1.08</f>
        <v>782.17592592592587</v>
      </c>
      <c r="H47" s="232">
        <f t="shared" si="35"/>
        <v>1564.3518518518517</v>
      </c>
      <c r="I47" s="232">
        <f t="shared" si="36"/>
        <v>125.14814814814814</v>
      </c>
      <c r="J47" s="232"/>
      <c r="K47" s="232">
        <f t="shared" ref="K47:K57" si="37">SUM(H47:I47)</f>
        <v>1689.4999999999998</v>
      </c>
      <c r="M47" s="3">
        <v>45649</v>
      </c>
      <c r="N47" s="1" t="s">
        <v>105</v>
      </c>
      <c r="P47">
        <v>1</v>
      </c>
      <c r="Q47" s="6">
        <v>2500</v>
      </c>
      <c r="R47" s="6">
        <f t="shared" si="24"/>
        <v>2500</v>
      </c>
      <c r="S47" s="6">
        <f t="shared" si="25"/>
        <v>200</v>
      </c>
      <c r="U47" s="6">
        <f t="shared" si="26"/>
        <v>2700</v>
      </c>
    </row>
    <row r="48" spans="3:21" x14ac:dyDescent="0.25">
      <c r="C48" s="304">
        <v>45307</v>
      </c>
      <c r="D48" s="41" t="s">
        <v>15</v>
      </c>
      <c r="E48" s="41" t="s">
        <v>123</v>
      </c>
      <c r="F48" s="41">
        <v>1</v>
      </c>
      <c r="G48" s="232">
        <f>680/1.08</f>
        <v>629.62962962962956</v>
      </c>
      <c r="H48" s="232">
        <f t="shared" si="35"/>
        <v>629.62962962962956</v>
      </c>
      <c r="I48" s="232">
        <f t="shared" si="36"/>
        <v>50.370370370370367</v>
      </c>
      <c r="J48" s="232"/>
      <c r="K48" s="232">
        <f t="shared" si="37"/>
        <v>679.99999999999989</v>
      </c>
      <c r="M48" s="3">
        <v>45649</v>
      </c>
      <c r="N48" s="1" t="s">
        <v>255</v>
      </c>
      <c r="P48">
        <v>1</v>
      </c>
      <c r="Q48" s="6">
        <v>2000</v>
      </c>
      <c r="R48" s="6">
        <f t="shared" si="24"/>
        <v>2000</v>
      </c>
      <c r="S48" s="6">
        <f t="shared" si="25"/>
        <v>160</v>
      </c>
      <c r="U48" s="6">
        <f t="shared" si="26"/>
        <v>2160</v>
      </c>
    </row>
    <row r="49" spans="3:21" x14ac:dyDescent="0.25">
      <c r="C49" s="303">
        <v>45307</v>
      </c>
      <c r="D49" s="33" t="s">
        <v>15</v>
      </c>
      <c r="E49" s="33" t="s">
        <v>124</v>
      </c>
      <c r="F49" s="33">
        <v>4</v>
      </c>
      <c r="G49" s="233">
        <f>24.17/1.08</f>
        <v>22.37962962962963</v>
      </c>
      <c r="H49" s="233">
        <f t="shared" si="35"/>
        <v>89.518518518518519</v>
      </c>
      <c r="I49" s="233">
        <f t="shared" si="36"/>
        <v>7.1614814814814816</v>
      </c>
      <c r="J49" s="233"/>
      <c r="K49" s="233">
        <f t="shared" si="37"/>
        <v>96.68</v>
      </c>
      <c r="M49" s="3">
        <v>45656</v>
      </c>
      <c r="N49" s="1" t="s">
        <v>105</v>
      </c>
      <c r="P49">
        <v>1</v>
      </c>
      <c r="Q49" s="6">
        <v>2500</v>
      </c>
      <c r="R49" s="6">
        <f t="shared" si="24"/>
        <v>2500</v>
      </c>
      <c r="S49" s="6">
        <f t="shared" si="25"/>
        <v>200</v>
      </c>
      <c r="U49" s="6">
        <f t="shared" si="26"/>
        <v>2700</v>
      </c>
    </row>
    <row r="50" spans="3:21" x14ac:dyDescent="0.25">
      <c r="C50" s="303">
        <v>45307</v>
      </c>
      <c r="D50" s="33" t="s">
        <v>15</v>
      </c>
      <c r="E50" s="33" t="s">
        <v>43</v>
      </c>
      <c r="F50" s="33">
        <v>2</v>
      </c>
      <c r="G50" s="233">
        <f>11.98/1.08</f>
        <v>11.092592592592592</v>
      </c>
      <c r="H50" s="233">
        <f t="shared" si="35"/>
        <v>22.185185185185183</v>
      </c>
      <c r="I50" s="233">
        <f t="shared" si="36"/>
        <v>1.7748148148148146</v>
      </c>
      <c r="J50" s="233"/>
      <c r="K50" s="233">
        <f t="shared" si="37"/>
        <v>23.959999999999997</v>
      </c>
      <c r="M50" s="3">
        <v>45656</v>
      </c>
      <c r="N50" s="1" t="s">
        <v>255</v>
      </c>
      <c r="P50">
        <v>1</v>
      </c>
      <c r="Q50" s="6">
        <v>2000</v>
      </c>
      <c r="R50" s="6">
        <f t="shared" si="24"/>
        <v>2000</v>
      </c>
      <c r="S50" s="6">
        <f t="shared" si="25"/>
        <v>160</v>
      </c>
      <c r="U50" s="6">
        <f t="shared" si="26"/>
        <v>2160</v>
      </c>
    </row>
    <row r="51" spans="3:21" x14ac:dyDescent="0.25">
      <c r="C51" s="303">
        <v>45307</v>
      </c>
      <c r="D51" s="33" t="s">
        <v>15</v>
      </c>
      <c r="E51" s="33" t="s">
        <v>125</v>
      </c>
      <c r="F51" s="33">
        <v>1</v>
      </c>
      <c r="G51" s="233">
        <f>98.05/1.08</f>
        <v>90.787037037037024</v>
      </c>
      <c r="H51" s="233">
        <f t="shared" si="35"/>
        <v>90.787037037037024</v>
      </c>
      <c r="I51" s="233">
        <f t="shared" si="36"/>
        <v>7.2629629629629617</v>
      </c>
      <c r="J51" s="233"/>
      <c r="K51" s="233">
        <f t="shared" si="37"/>
        <v>98.049999999999983</v>
      </c>
      <c r="M51" s="3">
        <v>45297</v>
      </c>
      <c r="N51" s="1" t="s">
        <v>13</v>
      </c>
      <c r="O51" t="s">
        <v>108</v>
      </c>
      <c r="P51">
        <v>1</v>
      </c>
      <c r="Q51" s="6">
        <v>184.26</v>
      </c>
      <c r="R51" s="6">
        <f t="shared" si="24"/>
        <v>184.26</v>
      </c>
      <c r="S51" s="6">
        <f t="shared" si="25"/>
        <v>14.7408</v>
      </c>
      <c r="U51" s="6">
        <f t="shared" si="26"/>
        <v>199.0008</v>
      </c>
    </row>
    <row r="52" spans="3:21" x14ac:dyDescent="0.25">
      <c r="C52" s="303">
        <v>45307</v>
      </c>
      <c r="D52" s="33" t="s">
        <v>15</v>
      </c>
      <c r="E52" s="33" t="s">
        <v>126</v>
      </c>
      <c r="F52" s="33">
        <v>3</v>
      </c>
      <c r="G52" s="233">
        <f>2.3/1.08</f>
        <v>2.1296296296296293</v>
      </c>
      <c r="H52" s="233">
        <f t="shared" si="35"/>
        <v>6.3888888888888875</v>
      </c>
      <c r="I52" s="233">
        <f t="shared" si="36"/>
        <v>0.51111111111111096</v>
      </c>
      <c r="J52" s="233"/>
      <c r="K52" s="233">
        <f t="shared" si="37"/>
        <v>6.8999999999999986</v>
      </c>
      <c r="M52" s="3">
        <v>45297</v>
      </c>
      <c r="N52" s="1" t="s">
        <v>13</v>
      </c>
      <c r="O52" t="s">
        <v>109</v>
      </c>
      <c r="P52">
        <v>1</v>
      </c>
      <c r="Q52" s="6">
        <v>74.069999999999993</v>
      </c>
      <c r="R52" s="6">
        <f t="shared" si="24"/>
        <v>74.069999999999993</v>
      </c>
      <c r="S52" s="6">
        <f t="shared" si="25"/>
        <v>5.9255999999999993</v>
      </c>
      <c r="U52" s="6">
        <f t="shared" si="26"/>
        <v>79.995599999999996</v>
      </c>
    </row>
    <row r="53" spans="3:21" x14ac:dyDescent="0.25">
      <c r="C53" s="303">
        <v>45307</v>
      </c>
      <c r="D53" s="33" t="s">
        <v>15</v>
      </c>
      <c r="E53" s="33" t="s">
        <v>127</v>
      </c>
      <c r="F53" s="33">
        <v>1</v>
      </c>
      <c r="G53" s="233">
        <f>11.3/1.08</f>
        <v>10.462962962962964</v>
      </c>
      <c r="H53" s="233">
        <f t="shared" si="35"/>
        <v>10.462962962962964</v>
      </c>
      <c r="I53" s="233">
        <f t="shared" si="36"/>
        <v>0.83703703703703713</v>
      </c>
      <c r="J53" s="233"/>
      <c r="K53" s="233">
        <f t="shared" si="37"/>
        <v>11.3</v>
      </c>
      <c r="L53" s="1"/>
      <c r="M53" s="3">
        <v>45297</v>
      </c>
      <c r="N53" s="1" t="s">
        <v>13</v>
      </c>
      <c r="O53" t="s">
        <v>110</v>
      </c>
      <c r="P53">
        <v>2</v>
      </c>
      <c r="Q53" s="6">
        <v>2517.6</v>
      </c>
      <c r="R53" s="6">
        <f t="shared" si="24"/>
        <v>5035.2</v>
      </c>
      <c r="S53" s="6">
        <f t="shared" si="25"/>
        <v>402.81599999999997</v>
      </c>
      <c r="T53"/>
      <c r="U53" s="6">
        <f t="shared" si="26"/>
        <v>5438.0159999999996</v>
      </c>
    </row>
    <row r="54" spans="3:21" x14ac:dyDescent="0.25">
      <c r="C54" s="303">
        <v>45307</v>
      </c>
      <c r="D54" s="33" t="s">
        <v>15</v>
      </c>
      <c r="E54" s="33" t="s">
        <v>128</v>
      </c>
      <c r="F54" s="33">
        <v>1</v>
      </c>
      <c r="G54" s="233">
        <f>2.5/1.08</f>
        <v>2.3148148148148149</v>
      </c>
      <c r="H54" s="233">
        <f t="shared" si="35"/>
        <v>2.3148148148148149</v>
      </c>
      <c r="I54" s="233">
        <f t="shared" si="36"/>
        <v>0.1851851851851852</v>
      </c>
      <c r="J54" s="233"/>
      <c r="K54" s="233">
        <f t="shared" si="37"/>
        <v>2.5</v>
      </c>
      <c r="L54" s="1"/>
      <c r="M54" s="3">
        <v>45297</v>
      </c>
      <c r="N54" s="1" t="s">
        <v>13</v>
      </c>
      <c r="O54" t="s">
        <v>111</v>
      </c>
      <c r="P54">
        <v>1</v>
      </c>
      <c r="Q54" s="6">
        <v>736.11</v>
      </c>
      <c r="R54" s="6">
        <f t="shared" si="24"/>
        <v>736.11</v>
      </c>
      <c r="S54" s="6">
        <f t="shared" si="25"/>
        <v>58.888800000000003</v>
      </c>
      <c r="T54"/>
      <c r="U54" s="6">
        <f t="shared" si="26"/>
        <v>794.99880000000007</v>
      </c>
    </row>
    <row r="55" spans="3:21" x14ac:dyDescent="0.25">
      <c r="C55" s="303">
        <v>45307</v>
      </c>
      <c r="D55" s="33" t="s">
        <v>15</v>
      </c>
      <c r="E55" s="33" t="s">
        <v>129</v>
      </c>
      <c r="F55" s="33">
        <v>1</v>
      </c>
      <c r="G55" s="233">
        <f>1.28/1.08</f>
        <v>1.1851851851851851</v>
      </c>
      <c r="H55" s="233">
        <f t="shared" si="35"/>
        <v>1.1851851851851851</v>
      </c>
      <c r="I55" s="233">
        <f t="shared" si="36"/>
        <v>9.481481481481481E-2</v>
      </c>
      <c r="J55" s="233"/>
      <c r="K55" s="233">
        <f t="shared" si="37"/>
        <v>1.28</v>
      </c>
      <c r="L55" s="1"/>
      <c r="M55" s="3">
        <v>45297</v>
      </c>
      <c r="N55" s="1" t="s">
        <v>13</v>
      </c>
      <c r="O55" t="s">
        <v>112</v>
      </c>
      <c r="P55">
        <v>2</v>
      </c>
      <c r="Q55" s="6">
        <v>50.93</v>
      </c>
      <c r="R55" s="6">
        <f t="shared" si="24"/>
        <v>101.86</v>
      </c>
      <c r="S55" s="6">
        <f t="shared" si="25"/>
        <v>8.1487999999999996</v>
      </c>
      <c r="U55" s="6">
        <f t="shared" si="26"/>
        <v>110.00879999999999</v>
      </c>
    </row>
    <row r="56" spans="3:21" x14ac:dyDescent="0.25">
      <c r="C56" s="303">
        <v>45307</v>
      </c>
      <c r="D56" s="33" t="s">
        <v>15</v>
      </c>
      <c r="E56" s="33" t="s">
        <v>130</v>
      </c>
      <c r="F56" s="33">
        <v>1</v>
      </c>
      <c r="G56" s="233">
        <f>3147.02/1.08</f>
        <v>2913.9074074074074</v>
      </c>
      <c r="H56" s="233">
        <f t="shared" si="35"/>
        <v>2913.9074074074074</v>
      </c>
      <c r="I56" s="233">
        <f t="shared" si="36"/>
        <v>233.11259259259259</v>
      </c>
      <c r="J56" s="233"/>
      <c r="K56" s="233">
        <f t="shared" si="37"/>
        <v>3147.02</v>
      </c>
      <c r="L56" s="1"/>
      <c r="M56" s="3">
        <v>45297</v>
      </c>
      <c r="N56" s="1" t="s">
        <v>13</v>
      </c>
      <c r="O56" t="s">
        <v>113</v>
      </c>
      <c r="P56">
        <v>1</v>
      </c>
      <c r="Q56" s="6">
        <v>89.81</v>
      </c>
      <c r="R56" s="6">
        <f t="shared" si="24"/>
        <v>89.81</v>
      </c>
      <c r="S56" s="6">
        <f t="shared" si="25"/>
        <v>7.1848000000000001</v>
      </c>
      <c r="U56" s="6">
        <f t="shared" si="26"/>
        <v>96.994799999999998</v>
      </c>
    </row>
    <row r="57" spans="3:21" x14ac:dyDescent="0.25">
      <c r="C57" s="303">
        <v>45307</v>
      </c>
      <c r="D57" s="33" t="s">
        <v>15</v>
      </c>
      <c r="E57" s="33" t="s">
        <v>32</v>
      </c>
      <c r="F57" s="33">
        <v>1</v>
      </c>
      <c r="G57" s="233">
        <f>45.99/1.08</f>
        <v>42.583333333333336</v>
      </c>
      <c r="H57" s="233">
        <f t="shared" si="35"/>
        <v>42.583333333333336</v>
      </c>
      <c r="I57" s="233">
        <f t="shared" si="36"/>
        <v>3.4066666666666667</v>
      </c>
      <c r="J57" s="233"/>
      <c r="K57" s="233">
        <f t="shared" si="37"/>
        <v>45.99</v>
      </c>
      <c r="L57" s="1"/>
      <c r="M57" s="3">
        <v>45297</v>
      </c>
      <c r="N57" s="1" t="s">
        <v>13</v>
      </c>
      <c r="O57" t="s">
        <v>114</v>
      </c>
      <c r="P57">
        <v>1</v>
      </c>
      <c r="Q57" s="6">
        <v>84.26</v>
      </c>
      <c r="R57" s="6">
        <f t="shared" si="24"/>
        <v>84.26</v>
      </c>
      <c r="S57" s="6">
        <f t="shared" si="25"/>
        <v>6.7408000000000001</v>
      </c>
      <c r="U57" s="6">
        <f t="shared" si="26"/>
        <v>91.000799999999998</v>
      </c>
    </row>
    <row r="58" spans="3:21" x14ac:dyDescent="0.25">
      <c r="C58" s="60">
        <v>45307</v>
      </c>
      <c r="D58" s="35" t="s">
        <v>103</v>
      </c>
      <c r="E58" s="35" t="s">
        <v>244</v>
      </c>
      <c r="F58" s="35">
        <v>6</v>
      </c>
      <c r="G58" s="241">
        <v>600</v>
      </c>
      <c r="H58" s="241">
        <f>F58*G58</f>
        <v>3600</v>
      </c>
      <c r="I58" s="241">
        <f>H58*0.08</f>
        <v>288</v>
      </c>
      <c r="J58" s="241"/>
      <c r="K58" s="241">
        <f>SUM(H58:I58)-J58</f>
        <v>3888</v>
      </c>
      <c r="L58" s="1"/>
      <c r="M58" s="3">
        <v>45297</v>
      </c>
      <c r="N58" s="1" t="s">
        <v>13</v>
      </c>
      <c r="O58" t="s">
        <v>112</v>
      </c>
      <c r="P58">
        <v>1</v>
      </c>
      <c r="Q58" s="6">
        <v>42.59</v>
      </c>
      <c r="R58" s="6">
        <f t="shared" si="24"/>
        <v>42.59</v>
      </c>
      <c r="S58" s="6">
        <f t="shared" si="25"/>
        <v>3.4072000000000005</v>
      </c>
      <c r="U58" s="6">
        <f t="shared" si="26"/>
        <v>45.997200000000007</v>
      </c>
    </row>
    <row r="59" spans="3:21" x14ac:dyDescent="0.25">
      <c r="C59" s="305">
        <v>45309</v>
      </c>
      <c r="D59" s="38" t="s">
        <v>131</v>
      </c>
      <c r="E59" s="224" t="s">
        <v>132</v>
      </c>
      <c r="F59" s="38">
        <v>1</v>
      </c>
      <c r="G59" s="224">
        <f>1369.44</f>
        <v>1369.44</v>
      </c>
      <c r="H59" s="224">
        <f>F59*G59</f>
        <v>1369.44</v>
      </c>
      <c r="I59" s="224">
        <f>H59*0.08</f>
        <v>109.55520000000001</v>
      </c>
      <c r="J59" s="224"/>
      <c r="K59" s="224">
        <f>SUM(H59:I59)</f>
        <v>1478.9952000000001</v>
      </c>
      <c r="L59" s="1"/>
      <c r="M59" s="3">
        <v>45297</v>
      </c>
      <c r="N59" s="1" t="s">
        <v>105</v>
      </c>
      <c r="P59">
        <v>1</v>
      </c>
      <c r="Q59" s="6">
        <v>2500</v>
      </c>
      <c r="R59" s="6">
        <f t="shared" si="24"/>
        <v>2500</v>
      </c>
      <c r="S59" s="6">
        <f t="shared" si="25"/>
        <v>200</v>
      </c>
      <c r="U59" s="6">
        <f t="shared" si="26"/>
        <v>2700</v>
      </c>
    </row>
    <row r="60" spans="3:21" x14ac:dyDescent="0.25">
      <c r="C60" s="305">
        <v>45309</v>
      </c>
      <c r="D60" s="38" t="s">
        <v>131</v>
      </c>
      <c r="E60" s="224" t="s">
        <v>133</v>
      </c>
      <c r="F60" s="38">
        <v>1</v>
      </c>
      <c r="G60" s="224">
        <f>542.59</f>
        <v>542.59</v>
      </c>
      <c r="H60" s="224">
        <f>F60*G60</f>
        <v>542.59</v>
      </c>
      <c r="I60" s="224">
        <f>H60*0.08</f>
        <v>43.407200000000003</v>
      </c>
      <c r="J60" s="224"/>
      <c r="K60" s="224">
        <f>SUM(H60:I60)</f>
        <v>585.99720000000002</v>
      </c>
      <c r="L60" s="1"/>
      <c r="M60" s="3">
        <v>45297</v>
      </c>
      <c r="N60" s="1" t="s">
        <v>255</v>
      </c>
      <c r="P60">
        <v>1</v>
      </c>
      <c r="Q60" s="6">
        <v>2000</v>
      </c>
      <c r="R60" s="6">
        <f t="shared" si="24"/>
        <v>2000</v>
      </c>
      <c r="S60" s="6">
        <f t="shared" si="25"/>
        <v>160</v>
      </c>
      <c r="U60" s="6">
        <f t="shared" si="26"/>
        <v>2160</v>
      </c>
    </row>
    <row r="61" spans="3:21" x14ac:dyDescent="0.25">
      <c r="C61" s="305">
        <v>45310</v>
      </c>
      <c r="D61" s="38" t="s">
        <v>231</v>
      </c>
      <c r="E61" s="224" t="s">
        <v>232</v>
      </c>
      <c r="F61" s="38">
        <v>72</v>
      </c>
      <c r="G61" s="224">
        <v>217</v>
      </c>
      <c r="H61" s="224">
        <f t="shared" ref="H61:H62" si="38">F61*G61</f>
        <v>15624</v>
      </c>
      <c r="I61" s="224">
        <f t="shared" ref="I61:I62" si="39">H61*0.08</f>
        <v>1249.92</v>
      </c>
      <c r="J61" s="224"/>
      <c r="K61" s="224">
        <f t="shared" ref="K61:K62" si="40">SUM(H61:I61)</f>
        <v>16873.919999999998</v>
      </c>
      <c r="L61" s="1"/>
      <c r="M61" s="3">
        <v>45303</v>
      </c>
      <c r="N61" s="1" t="s">
        <v>105</v>
      </c>
      <c r="P61">
        <v>1</v>
      </c>
      <c r="Q61" s="6">
        <v>2500</v>
      </c>
      <c r="R61" s="6">
        <f t="shared" si="24"/>
        <v>2500</v>
      </c>
      <c r="S61" s="6">
        <f t="shared" si="25"/>
        <v>200</v>
      </c>
      <c r="U61" s="6">
        <f t="shared" si="26"/>
        <v>2700</v>
      </c>
    </row>
    <row r="62" spans="3:21" x14ac:dyDescent="0.25">
      <c r="C62" s="305">
        <v>45310</v>
      </c>
      <c r="D62" s="38" t="s">
        <v>231</v>
      </c>
      <c r="E62" s="224" t="s">
        <v>233</v>
      </c>
      <c r="F62" s="38">
        <v>5</v>
      </c>
      <c r="G62" s="224">
        <f>3200/5</f>
        <v>640</v>
      </c>
      <c r="H62" s="224">
        <f t="shared" si="38"/>
        <v>3200</v>
      </c>
      <c r="I62" s="224">
        <f t="shared" si="39"/>
        <v>256</v>
      </c>
      <c r="J62" s="224"/>
      <c r="K62" s="224">
        <f t="shared" si="40"/>
        <v>3456</v>
      </c>
      <c r="L62" s="1"/>
      <c r="M62" s="3">
        <v>45303</v>
      </c>
      <c r="N62" s="1" t="s">
        <v>115</v>
      </c>
      <c r="O62" t="s">
        <v>116</v>
      </c>
      <c r="P62">
        <v>1</v>
      </c>
      <c r="Q62" s="6">
        <v>7000</v>
      </c>
      <c r="R62" s="6">
        <f t="shared" si="24"/>
        <v>7000</v>
      </c>
      <c r="S62" s="6">
        <f t="shared" si="25"/>
        <v>560</v>
      </c>
      <c r="U62" s="6">
        <f t="shared" si="26"/>
        <v>7560</v>
      </c>
    </row>
    <row r="63" spans="3:21" x14ac:dyDescent="0.25">
      <c r="C63" s="67">
        <v>45310</v>
      </c>
      <c r="D63" s="26" t="s">
        <v>134</v>
      </c>
      <c r="E63" s="225" t="s">
        <v>135</v>
      </c>
      <c r="F63" s="26">
        <v>37</v>
      </c>
      <c r="G63" s="225">
        <v>83.33</v>
      </c>
      <c r="H63" s="225">
        <f t="shared" ref="H63:H69" si="41">F63*G63</f>
        <v>3083.21</v>
      </c>
      <c r="I63" s="225">
        <f t="shared" ref="I63:I90" si="42">H63*0.08</f>
        <v>246.6568</v>
      </c>
      <c r="J63" s="225"/>
      <c r="K63" s="225">
        <f t="shared" ref="K63:K69" si="43">SUM(H63:I63)</f>
        <v>3329.8668000000002</v>
      </c>
      <c r="L63" s="1"/>
      <c r="M63" s="3">
        <v>45304</v>
      </c>
      <c r="N63" s="1" t="s">
        <v>105</v>
      </c>
      <c r="P63">
        <v>1</v>
      </c>
      <c r="Q63" s="6">
        <v>2500</v>
      </c>
      <c r="R63" s="6">
        <f t="shared" si="24"/>
        <v>2500</v>
      </c>
      <c r="S63" s="6">
        <f t="shared" si="25"/>
        <v>200</v>
      </c>
      <c r="U63" s="6">
        <f t="shared" si="26"/>
        <v>2700</v>
      </c>
    </row>
    <row r="64" spans="3:21" x14ac:dyDescent="0.25">
      <c r="C64" s="67">
        <v>45310</v>
      </c>
      <c r="D64" s="26" t="s">
        <v>134</v>
      </c>
      <c r="E64" s="225" t="s">
        <v>136</v>
      </c>
      <c r="F64" s="26">
        <v>74</v>
      </c>
      <c r="G64" s="225">
        <v>4.72</v>
      </c>
      <c r="H64" s="225">
        <f t="shared" si="41"/>
        <v>349.28</v>
      </c>
      <c r="I64" s="225">
        <f t="shared" si="42"/>
        <v>27.942399999999999</v>
      </c>
      <c r="J64" s="225"/>
      <c r="K64" s="225">
        <f t="shared" si="43"/>
        <v>377.22239999999999</v>
      </c>
      <c r="L64" s="1"/>
      <c r="M64" s="3">
        <v>45304</v>
      </c>
      <c r="N64" s="1" t="s">
        <v>255</v>
      </c>
      <c r="P64">
        <v>1</v>
      </c>
      <c r="Q64" s="6">
        <v>2000</v>
      </c>
      <c r="R64" s="6">
        <f t="shared" si="24"/>
        <v>2000</v>
      </c>
      <c r="S64" s="6">
        <f t="shared" si="25"/>
        <v>160</v>
      </c>
      <c r="U64" s="6">
        <f t="shared" si="26"/>
        <v>2160</v>
      </c>
    </row>
    <row r="65" spans="3:21" x14ac:dyDescent="0.25">
      <c r="C65" s="67">
        <v>45310</v>
      </c>
      <c r="D65" s="26" t="s">
        <v>134</v>
      </c>
      <c r="E65" s="225" t="s">
        <v>137</v>
      </c>
      <c r="F65" s="226">
        <v>74</v>
      </c>
      <c r="G65" s="225">
        <v>4.63</v>
      </c>
      <c r="H65" s="225">
        <f t="shared" si="41"/>
        <v>342.62</v>
      </c>
      <c r="I65" s="225">
        <f t="shared" si="42"/>
        <v>27.409600000000001</v>
      </c>
      <c r="J65" s="225"/>
      <c r="K65" s="225">
        <f t="shared" si="43"/>
        <v>370.02960000000002</v>
      </c>
      <c r="L65" s="1"/>
      <c r="M65" s="3">
        <v>45311</v>
      </c>
      <c r="N65" s="1" t="s">
        <v>105</v>
      </c>
      <c r="P65">
        <v>1</v>
      </c>
      <c r="Q65" s="6">
        <v>2500</v>
      </c>
      <c r="R65" s="6">
        <f t="shared" si="24"/>
        <v>2500</v>
      </c>
      <c r="S65" s="6">
        <f t="shared" si="25"/>
        <v>200</v>
      </c>
      <c r="U65" s="6">
        <f t="shared" si="26"/>
        <v>2700</v>
      </c>
    </row>
    <row r="66" spans="3:21" x14ac:dyDescent="0.25">
      <c r="C66" s="305">
        <v>45310</v>
      </c>
      <c r="D66" s="38" t="s">
        <v>134</v>
      </c>
      <c r="E66" s="224" t="s">
        <v>138</v>
      </c>
      <c r="F66" s="227">
        <v>15</v>
      </c>
      <c r="G66" s="224">
        <v>41.66</v>
      </c>
      <c r="H66" s="224">
        <f t="shared" si="41"/>
        <v>624.9</v>
      </c>
      <c r="I66" s="224">
        <f t="shared" si="42"/>
        <v>49.991999999999997</v>
      </c>
      <c r="J66" s="38"/>
      <c r="K66" s="224">
        <f t="shared" si="43"/>
        <v>674.89199999999994</v>
      </c>
      <c r="L66" s="1"/>
      <c r="M66" s="3">
        <v>45311</v>
      </c>
      <c r="N66" s="1" t="s">
        <v>255</v>
      </c>
      <c r="P66">
        <v>1</v>
      </c>
      <c r="Q66" s="6">
        <v>2000</v>
      </c>
      <c r="R66" s="6">
        <f t="shared" si="24"/>
        <v>2000</v>
      </c>
      <c r="S66" s="6">
        <f t="shared" si="25"/>
        <v>160</v>
      </c>
      <c r="U66" s="6">
        <f t="shared" si="26"/>
        <v>2160</v>
      </c>
    </row>
    <row r="67" spans="3:21" x14ac:dyDescent="0.25">
      <c r="C67" s="305">
        <v>45310</v>
      </c>
      <c r="D67" s="38" t="s">
        <v>131</v>
      </c>
      <c r="E67" s="224" t="s">
        <v>139</v>
      </c>
      <c r="F67" s="227">
        <v>1</v>
      </c>
      <c r="G67" s="224">
        <v>171.3</v>
      </c>
      <c r="H67" s="224">
        <f t="shared" si="41"/>
        <v>171.3</v>
      </c>
      <c r="I67" s="224">
        <f t="shared" si="42"/>
        <v>13.704000000000001</v>
      </c>
      <c r="J67" s="38"/>
      <c r="K67" s="224">
        <f t="shared" si="43"/>
        <v>185.00400000000002</v>
      </c>
      <c r="L67" s="1"/>
      <c r="M67" s="3">
        <v>45318</v>
      </c>
      <c r="N67" s="1" t="s">
        <v>105</v>
      </c>
      <c r="P67">
        <v>1</v>
      </c>
      <c r="Q67" s="6">
        <v>2500</v>
      </c>
      <c r="R67" s="6">
        <f t="shared" si="24"/>
        <v>2500</v>
      </c>
      <c r="S67" s="6">
        <f t="shared" si="25"/>
        <v>200</v>
      </c>
      <c r="U67" s="6">
        <f t="shared" si="26"/>
        <v>2700</v>
      </c>
    </row>
    <row r="68" spans="3:21" ht="13.9" customHeight="1" x14ac:dyDescent="0.25">
      <c r="C68" s="305">
        <v>45310</v>
      </c>
      <c r="D68" s="38" t="s">
        <v>131</v>
      </c>
      <c r="E68" s="224" t="s">
        <v>140</v>
      </c>
      <c r="F68" s="227">
        <v>1</v>
      </c>
      <c r="G68" s="224">
        <v>97.22</v>
      </c>
      <c r="H68" s="224">
        <f t="shared" si="41"/>
        <v>97.22</v>
      </c>
      <c r="I68" s="224">
        <f t="shared" si="42"/>
        <v>7.7776000000000005</v>
      </c>
      <c r="J68" s="38"/>
      <c r="K68" s="224">
        <f t="shared" si="43"/>
        <v>104.99760000000001</v>
      </c>
      <c r="M68" s="3">
        <v>45318</v>
      </c>
      <c r="N68" s="1" t="s">
        <v>255</v>
      </c>
      <c r="P68">
        <v>1</v>
      </c>
      <c r="Q68" s="6">
        <v>2000</v>
      </c>
      <c r="R68" s="6">
        <f t="shared" ref="R68:R75" si="44">P68*Q68</f>
        <v>2000</v>
      </c>
      <c r="S68" s="6">
        <f t="shared" ref="S68:S75" si="45">R68*0.08</f>
        <v>160</v>
      </c>
      <c r="U68" s="6">
        <f t="shared" ref="U68:U75" si="46">SUM(R68:S68)-T68</f>
        <v>2160</v>
      </c>
    </row>
    <row r="69" spans="3:21" ht="13.9" customHeight="1" x14ac:dyDescent="0.25">
      <c r="C69" s="305">
        <v>45310</v>
      </c>
      <c r="D69" s="38" t="s">
        <v>131</v>
      </c>
      <c r="E69" s="224" t="s">
        <v>141</v>
      </c>
      <c r="F69" s="227">
        <v>2</v>
      </c>
      <c r="G69" s="224">
        <v>25.93</v>
      </c>
      <c r="H69" s="224">
        <f t="shared" si="41"/>
        <v>51.86</v>
      </c>
      <c r="I69" s="224">
        <f t="shared" si="42"/>
        <v>4.1487999999999996</v>
      </c>
      <c r="J69" s="38"/>
      <c r="K69" s="224">
        <f t="shared" si="43"/>
        <v>56.008800000000001</v>
      </c>
      <c r="M69" s="3">
        <v>45320</v>
      </c>
      <c r="N69" s="1" t="s">
        <v>146</v>
      </c>
      <c r="O69" s="6" t="s">
        <v>147</v>
      </c>
      <c r="P69">
        <v>1</v>
      </c>
      <c r="Q69" s="6">
        <v>15091.67</v>
      </c>
      <c r="R69" s="6">
        <f t="shared" si="44"/>
        <v>15091.67</v>
      </c>
      <c r="S69" s="6">
        <f t="shared" si="45"/>
        <v>1207.3335999999999</v>
      </c>
      <c r="U69" s="6">
        <f t="shared" si="46"/>
        <v>16299.0036</v>
      </c>
    </row>
    <row r="70" spans="3:21" ht="13.9" customHeight="1" x14ac:dyDescent="0.25">
      <c r="C70" s="299">
        <v>45310</v>
      </c>
      <c r="D70" s="55" t="s">
        <v>99</v>
      </c>
      <c r="E70" s="55" t="s">
        <v>100</v>
      </c>
      <c r="F70" s="55">
        <v>1</v>
      </c>
      <c r="G70" s="300">
        <v>2500</v>
      </c>
      <c r="H70" s="300">
        <f t="shared" ref="H70:H90" si="47">F70*G70</f>
        <v>2500</v>
      </c>
      <c r="I70" s="300">
        <f t="shared" si="42"/>
        <v>200</v>
      </c>
      <c r="J70" s="300"/>
      <c r="K70" s="300">
        <f>SUM(H70:I70)-J70</f>
        <v>2700</v>
      </c>
      <c r="M70" s="3">
        <v>45324</v>
      </c>
      <c r="N70" s="1" t="s">
        <v>80</v>
      </c>
      <c r="O70" s="6" t="s">
        <v>200</v>
      </c>
      <c r="P70" s="8">
        <v>1</v>
      </c>
      <c r="Q70" s="6">
        <v>2073.14</v>
      </c>
      <c r="R70" s="6">
        <f t="shared" si="44"/>
        <v>2073.14</v>
      </c>
      <c r="S70" s="6">
        <f t="shared" si="45"/>
        <v>165.85120000000001</v>
      </c>
      <c r="T70"/>
      <c r="U70" s="6">
        <f t="shared" si="46"/>
        <v>2238.9911999999999</v>
      </c>
    </row>
    <row r="71" spans="3:21" ht="13.9" customHeight="1" x14ac:dyDescent="0.25">
      <c r="C71" s="302">
        <v>45311</v>
      </c>
      <c r="D71" s="32" t="s">
        <v>117</v>
      </c>
      <c r="E71" s="32" t="s">
        <v>119</v>
      </c>
      <c r="F71" s="32">
        <v>1</v>
      </c>
      <c r="G71" s="240">
        <v>30600</v>
      </c>
      <c r="H71" s="240">
        <f t="shared" si="47"/>
        <v>30600</v>
      </c>
      <c r="I71" s="240">
        <f t="shared" si="42"/>
        <v>2448</v>
      </c>
      <c r="J71" s="240"/>
      <c r="K71" s="240">
        <f>SUM(H71:I71)-J71</f>
        <v>33048</v>
      </c>
      <c r="M71" s="3">
        <v>45324</v>
      </c>
      <c r="N71" s="1" t="s">
        <v>80</v>
      </c>
      <c r="O71" s="6" t="s">
        <v>201</v>
      </c>
      <c r="P71" s="8">
        <v>1</v>
      </c>
      <c r="Q71" s="6">
        <v>689.81</v>
      </c>
      <c r="R71" s="6">
        <f t="shared" si="44"/>
        <v>689.81</v>
      </c>
      <c r="S71" s="6">
        <f t="shared" si="45"/>
        <v>55.184799999999996</v>
      </c>
      <c r="T71"/>
      <c r="U71" s="6">
        <f t="shared" si="46"/>
        <v>744.99479999999994</v>
      </c>
    </row>
    <row r="72" spans="3:21" x14ac:dyDescent="0.25">
      <c r="C72" s="301">
        <v>45311</v>
      </c>
      <c r="D72" s="52" t="s">
        <v>105</v>
      </c>
      <c r="E72" s="52"/>
      <c r="F72" s="228">
        <v>1</v>
      </c>
      <c r="G72" s="236">
        <v>2300</v>
      </c>
      <c r="H72" s="236">
        <f t="shared" si="47"/>
        <v>2300</v>
      </c>
      <c r="I72" s="236">
        <f t="shared" si="42"/>
        <v>184</v>
      </c>
      <c r="J72" s="236"/>
      <c r="K72" s="236">
        <f>SUM(H72:I72)-J72</f>
        <v>2484</v>
      </c>
      <c r="M72" s="3">
        <v>45325</v>
      </c>
      <c r="N72" s="1" t="s">
        <v>105</v>
      </c>
      <c r="P72">
        <v>1</v>
      </c>
      <c r="Q72" s="6">
        <v>2500</v>
      </c>
      <c r="R72" s="6">
        <f t="shared" si="44"/>
        <v>2500</v>
      </c>
      <c r="S72" s="6">
        <f t="shared" si="45"/>
        <v>200</v>
      </c>
      <c r="U72" s="6">
        <f t="shared" si="46"/>
        <v>2700</v>
      </c>
    </row>
    <row r="73" spans="3:21" x14ac:dyDescent="0.25">
      <c r="C73" s="295">
        <v>45295</v>
      </c>
      <c r="D73" s="23" t="s">
        <v>242</v>
      </c>
      <c r="E73" s="229" t="s">
        <v>243</v>
      </c>
      <c r="F73" s="23">
        <v>1</v>
      </c>
      <c r="G73" s="229">
        <v>3000</v>
      </c>
      <c r="H73" s="229">
        <f t="shared" si="47"/>
        <v>3000</v>
      </c>
      <c r="I73" s="229">
        <f t="shared" si="42"/>
        <v>240</v>
      </c>
      <c r="J73" s="229"/>
      <c r="K73" s="229">
        <f>SUM(H73:I73)-J73</f>
        <v>3240</v>
      </c>
      <c r="M73" s="3">
        <v>45325</v>
      </c>
      <c r="N73" s="1" t="s">
        <v>255</v>
      </c>
      <c r="P73">
        <v>1</v>
      </c>
      <c r="Q73" s="6">
        <v>2000</v>
      </c>
      <c r="R73" s="6">
        <f t="shared" si="44"/>
        <v>2000</v>
      </c>
      <c r="S73" s="6">
        <f t="shared" si="45"/>
        <v>160</v>
      </c>
      <c r="U73" s="6">
        <f t="shared" si="46"/>
        <v>2160</v>
      </c>
    </row>
    <row r="74" spans="3:21" x14ac:dyDescent="0.25">
      <c r="C74" s="305">
        <v>45315</v>
      </c>
      <c r="D74" s="38" t="s">
        <v>13</v>
      </c>
      <c r="E74" s="224" t="s">
        <v>282</v>
      </c>
      <c r="F74" s="38">
        <v>1</v>
      </c>
      <c r="G74" s="224">
        <f>(1665-166)/1.08</f>
        <v>1387.9629629629628</v>
      </c>
      <c r="H74" s="224">
        <f t="shared" ref="H74:H76" si="48">F74*G74</f>
        <v>1387.9629629629628</v>
      </c>
      <c r="I74" s="224">
        <f t="shared" ref="I74:I76" si="49">H74*0.08</f>
        <v>111.03703703703702</v>
      </c>
      <c r="J74" s="224"/>
      <c r="K74" s="224">
        <f t="shared" ref="K74:K76" si="50">SUM(H74:I74)-J74</f>
        <v>1498.9999999999998</v>
      </c>
      <c r="M74" s="3">
        <v>45327</v>
      </c>
      <c r="N74" s="1" t="s">
        <v>13</v>
      </c>
      <c r="O74" s="6" t="s">
        <v>236</v>
      </c>
      <c r="P74" s="8">
        <v>2</v>
      </c>
      <c r="Q74" s="6">
        <f>115/1.08</f>
        <v>106.48148148148148</v>
      </c>
      <c r="R74" s="6">
        <f t="shared" si="44"/>
        <v>212.96296296296296</v>
      </c>
      <c r="S74" s="6">
        <f t="shared" si="45"/>
        <v>17.037037037037038</v>
      </c>
      <c r="T74"/>
      <c r="U74" s="6">
        <f t="shared" si="46"/>
        <v>230</v>
      </c>
    </row>
    <row r="75" spans="3:21" x14ac:dyDescent="0.25">
      <c r="C75" s="306">
        <v>45315</v>
      </c>
      <c r="D75" s="18" t="s">
        <v>13</v>
      </c>
      <c r="E75" s="230" t="s">
        <v>263</v>
      </c>
      <c r="F75" s="18">
        <v>1</v>
      </c>
      <c r="G75" s="230">
        <f>515/1.08</f>
        <v>476.85185185185185</v>
      </c>
      <c r="H75" s="230">
        <f t="shared" si="48"/>
        <v>476.85185185185185</v>
      </c>
      <c r="I75" s="230">
        <f t="shared" si="49"/>
        <v>38.148148148148145</v>
      </c>
      <c r="J75" s="230"/>
      <c r="K75" s="230">
        <f t="shared" si="50"/>
        <v>515</v>
      </c>
      <c r="M75" s="3">
        <v>45327</v>
      </c>
      <c r="N75" s="1" t="s">
        <v>13</v>
      </c>
      <c r="O75" s="6" t="s">
        <v>237</v>
      </c>
      <c r="P75" s="8">
        <v>1</v>
      </c>
      <c r="Q75" s="6">
        <f>279/1.08</f>
        <v>258.33333333333331</v>
      </c>
      <c r="R75" s="6">
        <f t="shared" si="44"/>
        <v>258.33333333333331</v>
      </c>
      <c r="S75" s="6">
        <f t="shared" si="45"/>
        <v>20.666666666666664</v>
      </c>
      <c r="T75"/>
      <c r="U75" s="6">
        <f t="shared" si="46"/>
        <v>279</v>
      </c>
    </row>
    <row r="76" spans="3:21" x14ac:dyDescent="0.25">
      <c r="C76" s="306">
        <v>45315</v>
      </c>
      <c r="D76" s="18" t="s">
        <v>13</v>
      </c>
      <c r="E76" s="230" t="s">
        <v>283</v>
      </c>
      <c r="F76" s="18">
        <v>1</v>
      </c>
      <c r="G76" s="230">
        <f>(875-86)/1.08</f>
        <v>730.55555555555554</v>
      </c>
      <c r="H76" s="230">
        <f t="shared" si="48"/>
        <v>730.55555555555554</v>
      </c>
      <c r="I76" s="230">
        <f t="shared" si="49"/>
        <v>58.444444444444443</v>
      </c>
      <c r="J76" s="230"/>
      <c r="K76" s="230">
        <f t="shared" si="50"/>
        <v>789</v>
      </c>
      <c r="M76" s="3">
        <v>45331</v>
      </c>
      <c r="N76" s="1" t="s">
        <v>255</v>
      </c>
      <c r="P76" s="8">
        <v>1</v>
      </c>
      <c r="Q76" s="6">
        <v>2000</v>
      </c>
      <c r="R76" s="6">
        <f t="shared" ref="R76:R77" si="51">P76*Q76</f>
        <v>2000</v>
      </c>
      <c r="S76" s="6">
        <f t="shared" ref="S76:S77" si="52">R76*0.08</f>
        <v>160</v>
      </c>
      <c r="T76"/>
      <c r="U76" s="6">
        <f t="shared" ref="U76:U77" si="53">SUM(R76:S76)-T76</f>
        <v>2160</v>
      </c>
    </row>
    <row r="77" spans="3:21" x14ac:dyDescent="0.25">
      <c r="C77" s="305">
        <v>45315</v>
      </c>
      <c r="D77" s="38" t="s">
        <v>13</v>
      </c>
      <c r="E77" s="224" t="s">
        <v>284</v>
      </c>
      <c r="F77" s="38">
        <v>7</v>
      </c>
      <c r="G77" s="224">
        <f>28/1.08</f>
        <v>25.925925925925924</v>
      </c>
      <c r="H77" s="224">
        <f>F77*G77-38.5</f>
        <v>142.98148148148147</v>
      </c>
      <c r="I77" s="224">
        <f t="shared" ref="I77" si="54">H77*0.08</f>
        <v>11.438518518518517</v>
      </c>
      <c r="J77" s="224"/>
      <c r="K77" s="224">
        <f t="shared" ref="K77" si="55">SUM(H77:I77)-J77</f>
        <v>154.41999999999999</v>
      </c>
      <c r="M77" s="3">
        <v>45331</v>
      </c>
      <c r="N77" s="1" t="s">
        <v>105</v>
      </c>
      <c r="P77" s="8">
        <v>1</v>
      </c>
      <c r="Q77" s="6">
        <v>2500</v>
      </c>
      <c r="R77" s="6">
        <f t="shared" si="51"/>
        <v>2500</v>
      </c>
      <c r="S77" s="6">
        <f t="shared" si="52"/>
        <v>200</v>
      </c>
      <c r="T77"/>
      <c r="U77" s="6">
        <f t="shared" si="53"/>
        <v>2700</v>
      </c>
    </row>
    <row r="78" spans="3:21" x14ac:dyDescent="0.25">
      <c r="C78" s="306">
        <v>45317</v>
      </c>
      <c r="D78" s="18" t="s">
        <v>13</v>
      </c>
      <c r="E78" s="230" t="s">
        <v>226</v>
      </c>
      <c r="F78" s="18">
        <v>40</v>
      </c>
      <c r="G78" s="230">
        <v>24.5</v>
      </c>
      <c r="H78" s="230">
        <f t="shared" si="47"/>
        <v>980</v>
      </c>
      <c r="I78" s="230">
        <f t="shared" si="42"/>
        <v>78.400000000000006</v>
      </c>
      <c r="J78" s="230"/>
      <c r="K78" s="230">
        <f>SUM(H78:I78)-J78</f>
        <v>1058.4000000000001</v>
      </c>
      <c r="M78" s="3">
        <v>45341</v>
      </c>
      <c r="N78" s="1" t="s">
        <v>255</v>
      </c>
      <c r="P78" s="8">
        <v>1</v>
      </c>
      <c r="Q78" s="6">
        <v>2000</v>
      </c>
      <c r="R78" s="6">
        <f t="shared" ref="R78:R79" si="56">P78*Q78</f>
        <v>2000</v>
      </c>
      <c r="S78" s="6">
        <f t="shared" ref="S78:S79" si="57">R78*0.08</f>
        <v>160</v>
      </c>
      <c r="T78"/>
      <c r="U78" s="6">
        <f t="shared" ref="U78:U79" si="58">SUM(R78:S78)-T78</f>
        <v>2160</v>
      </c>
    </row>
    <row r="79" spans="3:21" x14ac:dyDescent="0.25">
      <c r="C79" s="305">
        <v>45317</v>
      </c>
      <c r="D79" s="38" t="s">
        <v>134</v>
      </c>
      <c r="E79" s="224" t="s">
        <v>138</v>
      </c>
      <c r="F79" s="227">
        <v>20</v>
      </c>
      <c r="G79" s="224">
        <v>41.66</v>
      </c>
      <c r="H79" s="224">
        <f t="shared" si="47"/>
        <v>833.19999999999993</v>
      </c>
      <c r="I79" s="224">
        <f t="shared" si="42"/>
        <v>66.655999999999992</v>
      </c>
      <c r="J79" s="38"/>
      <c r="K79" s="224">
        <f>SUM(H79:I79)</f>
        <v>899.85599999999988</v>
      </c>
      <c r="M79" s="3">
        <v>45341</v>
      </c>
      <c r="N79" s="1" t="s">
        <v>105</v>
      </c>
      <c r="P79" s="8">
        <v>1</v>
      </c>
      <c r="Q79" s="6">
        <v>2500</v>
      </c>
      <c r="R79" s="6">
        <f t="shared" si="56"/>
        <v>2500</v>
      </c>
      <c r="S79" s="6">
        <f t="shared" si="57"/>
        <v>200</v>
      </c>
      <c r="T79"/>
      <c r="U79" s="6">
        <f t="shared" si="58"/>
        <v>2700</v>
      </c>
    </row>
    <row r="80" spans="3:21" x14ac:dyDescent="0.25">
      <c r="C80" s="305">
        <v>45317</v>
      </c>
      <c r="D80" s="38" t="s">
        <v>134</v>
      </c>
      <c r="E80" s="224" t="s">
        <v>142</v>
      </c>
      <c r="F80" s="227">
        <v>1</v>
      </c>
      <c r="G80" s="224">
        <v>80</v>
      </c>
      <c r="H80" s="224">
        <f t="shared" si="47"/>
        <v>80</v>
      </c>
      <c r="I80" s="224">
        <f t="shared" si="42"/>
        <v>6.4</v>
      </c>
      <c r="J80" s="38"/>
      <c r="K80" s="224">
        <f>SUM(H80:I80)</f>
        <v>86.4</v>
      </c>
    </row>
    <row r="81" spans="3:11" x14ac:dyDescent="0.25">
      <c r="C81" s="305">
        <v>45317</v>
      </c>
      <c r="D81" s="38" t="s">
        <v>131</v>
      </c>
      <c r="E81" s="224" t="s">
        <v>143</v>
      </c>
      <c r="F81" s="227">
        <v>1</v>
      </c>
      <c r="G81" s="224">
        <v>134.26</v>
      </c>
      <c r="H81" s="224">
        <f t="shared" si="47"/>
        <v>134.26</v>
      </c>
      <c r="I81" s="224">
        <f t="shared" si="42"/>
        <v>10.7408</v>
      </c>
      <c r="J81" s="38"/>
      <c r="K81" s="224">
        <f>SUM(H81:I81)</f>
        <v>145.0008</v>
      </c>
    </row>
    <row r="82" spans="3:11" x14ac:dyDescent="0.25">
      <c r="C82" s="305">
        <v>45317</v>
      </c>
      <c r="D82" s="38" t="s">
        <v>131</v>
      </c>
      <c r="E82" s="224" t="s">
        <v>144</v>
      </c>
      <c r="F82" s="227">
        <v>1</v>
      </c>
      <c r="G82" s="224">
        <v>193.52</v>
      </c>
      <c r="H82" s="224">
        <f t="shared" si="47"/>
        <v>193.52</v>
      </c>
      <c r="I82" s="224">
        <f t="shared" si="42"/>
        <v>15.481600000000002</v>
      </c>
      <c r="J82" s="38"/>
      <c r="K82" s="224">
        <f>SUM(H82:I82)</f>
        <v>209.00160000000002</v>
      </c>
    </row>
    <row r="83" spans="3:11" x14ac:dyDescent="0.25">
      <c r="C83" s="305">
        <v>45317</v>
      </c>
      <c r="D83" s="38" t="s">
        <v>131</v>
      </c>
      <c r="E83" s="224" t="s">
        <v>145</v>
      </c>
      <c r="F83" s="227">
        <v>1</v>
      </c>
      <c r="G83" s="224">
        <v>21.3</v>
      </c>
      <c r="H83" s="224">
        <f t="shared" si="47"/>
        <v>21.3</v>
      </c>
      <c r="I83" s="224">
        <f t="shared" si="42"/>
        <v>1.7040000000000002</v>
      </c>
      <c r="J83" s="38"/>
      <c r="K83" s="224">
        <f>SUM(H83:I83)</f>
        <v>23.004000000000001</v>
      </c>
    </row>
    <row r="84" spans="3:11" x14ac:dyDescent="0.25">
      <c r="C84" s="302">
        <v>45318</v>
      </c>
      <c r="D84" s="32" t="s">
        <v>117</v>
      </c>
      <c r="E84" s="32" t="s">
        <v>120</v>
      </c>
      <c r="F84" s="231">
        <v>1</v>
      </c>
      <c r="G84" s="240">
        <v>27100</v>
      </c>
      <c r="H84" s="240">
        <f t="shared" si="47"/>
        <v>27100</v>
      </c>
      <c r="I84" s="240">
        <f t="shared" si="42"/>
        <v>2168</v>
      </c>
      <c r="J84" s="240"/>
      <c r="K84" s="240">
        <f>SUM(H84:I84)-J84</f>
        <v>29268</v>
      </c>
    </row>
    <row r="85" spans="3:11" x14ac:dyDescent="0.25">
      <c r="C85" s="301">
        <v>45318</v>
      </c>
      <c r="D85" s="52" t="s">
        <v>105</v>
      </c>
      <c r="E85" s="52"/>
      <c r="F85" s="228">
        <v>1</v>
      </c>
      <c r="G85" s="236">
        <v>800</v>
      </c>
      <c r="H85" s="236">
        <f t="shared" si="47"/>
        <v>800</v>
      </c>
      <c r="I85" s="236">
        <f t="shared" si="42"/>
        <v>64</v>
      </c>
      <c r="J85" s="236"/>
      <c r="K85" s="236">
        <f>SUM(H85:I85)-J85</f>
        <v>864</v>
      </c>
    </row>
    <row r="86" spans="3:11" x14ac:dyDescent="0.25">
      <c r="C86" s="67">
        <v>45321</v>
      </c>
      <c r="D86" s="26" t="s">
        <v>13</v>
      </c>
      <c r="E86" s="225" t="s">
        <v>148</v>
      </c>
      <c r="F86" s="26">
        <v>1</v>
      </c>
      <c r="G86" s="225">
        <v>1816.67</v>
      </c>
      <c r="H86" s="225">
        <f t="shared" si="47"/>
        <v>1816.67</v>
      </c>
      <c r="I86" s="225">
        <f t="shared" si="42"/>
        <v>145.33360000000002</v>
      </c>
      <c r="J86" s="225"/>
      <c r="K86" s="225">
        <f t="shared" ref="K86:K90" si="59">SUM(H86:I86)-J86</f>
        <v>1962.0036</v>
      </c>
    </row>
    <row r="87" spans="3:11" x14ac:dyDescent="0.25">
      <c r="C87" s="306">
        <v>45321</v>
      </c>
      <c r="D87" s="18" t="s">
        <v>13</v>
      </c>
      <c r="E87" s="230" t="s">
        <v>149</v>
      </c>
      <c r="F87" s="18">
        <v>1</v>
      </c>
      <c r="G87" s="230">
        <v>254.63</v>
      </c>
      <c r="H87" s="230">
        <f t="shared" si="47"/>
        <v>254.63</v>
      </c>
      <c r="I87" s="230">
        <f t="shared" si="42"/>
        <v>20.3704</v>
      </c>
      <c r="J87" s="230"/>
      <c r="K87" s="230">
        <f t="shared" si="59"/>
        <v>275.00040000000001</v>
      </c>
    </row>
    <row r="88" spans="3:11" x14ac:dyDescent="0.25">
      <c r="C88" s="306">
        <v>45321</v>
      </c>
      <c r="D88" s="18" t="s">
        <v>13</v>
      </c>
      <c r="E88" s="230" t="s">
        <v>150</v>
      </c>
      <c r="F88" s="18">
        <v>1</v>
      </c>
      <c r="G88" s="230">
        <v>219.44</v>
      </c>
      <c r="H88" s="230">
        <f t="shared" si="47"/>
        <v>219.44</v>
      </c>
      <c r="I88" s="230">
        <f t="shared" si="42"/>
        <v>17.555199999999999</v>
      </c>
      <c r="J88" s="230"/>
      <c r="K88" s="230">
        <f t="shared" si="59"/>
        <v>236.99520000000001</v>
      </c>
    </row>
    <row r="89" spans="3:11" x14ac:dyDescent="0.25">
      <c r="C89" s="305">
        <v>45321</v>
      </c>
      <c r="D89" s="38" t="s">
        <v>13</v>
      </c>
      <c r="E89" s="224" t="s">
        <v>151</v>
      </c>
      <c r="F89" s="38">
        <v>1</v>
      </c>
      <c r="G89" s="224">
        <v>52.78</v>
      </c>
      <c r="H89" s="224">
        <f t="shared" si="47"/>
        <v>52.78</v>
      </c>
      <c r="I89" s="224">
        <f t="shared" si="42"/>
        <v>4.2224000000000004</v>
      </c>
      <c r="J89" s="224"/>
      <c r="K89" s="224">
        <f t="shared" si="59"/>
        <v>57.002400000000002</v>
      </c>
    </row>
    <row r="90" spans="3:11" x14ac:dyDescent="0.25">
      <c r="C90" s="304">
        <v>30.01</v>
      </c>
      <c r="D90" s="41" t="s">
        <v>15</v>
      </c>
      <c r="E90" s="232" t="s">
        <v>153</v>
      </c>
      <c r="F90" s="41">
        <v>4</v>
      </c>
      <c r="G90" s="232">
        <f>22.84/1.08</f>
        <v>21.148148148148145</v>
      </c>
      <c r="H90" s="232">
        <f t="shared" si="47"/>
        <v>84.592592592592581</v>
      </c>
      <c r="I90" s="232">
        <f t="shared" si="42"/>
        <v>6.7674074074074069</v>
      </c>
      <c r="J90" s="232"/>
      <c r="K90" s="232">
        <f t="shared" si="59"/>
        <v>91.359999999999985</v>
      </c>
    </row>
    <row r="91" spans="3:11" x14ac:dyDescent="0.25">
      <c r="C91" s="304">
        <v>45321</v>
      </c>
      <c r="D91" s="41" t="s">
        <v>15</v>
      </c>
      <c r="E91" s="232" t="s">
        <v>154</v>
      </c>
      <c r="F91" s="41">
        <v>4</v>
      </c>
      <c r="G91" s="232">
        <v>9.16</v>
      </c>
      <c r="H91" s="232">
        <f t="shared" ref="H91:H101" si="60">F91*G91</f>
        <v>36.64</v>
      </c>
      <c r="I91" s="232">
        <f t="shared" ref="I91:I151" si="61">H91*0.08</f>
        <v>2.9312</v>
      </c>
      <c r="J91" s="232"/>
      <c r="K91" s="232">
        <f t="shared" ref="K91:K101" si="62">SUM(H91:I91)-J91</f>
        <v>39.571199999999997</v>
      </c>
    </row>
    <row r="92" spans="3:11" x14ac:dyDescent="0.25">
      <c r="C92" s="304">
        <v>45321</v>
      </c>
      <c r="D92" s="41" t="s">
        <v>15</v>
      </c>
      <c r="E92" s="232" t="s">
        <v>155</v>
      </c>
      <c r="F92" s="41">
        <v>3</v>
      </c>
      <c r="G92" s="232">
        <v>28.62</v>
      </c>
      <c r="H92" s="232">
        <f t="shared" si="60"/>
        <v>85.86</v>
      </c>
      <c r="I92" s="232">
        <f t="shared" si="61"/>
        <v>6.8688000000000002</v>
      </c>
      <c r="J92" s="232"/>
      <c r="K92" s="232">
        <f t="shared" si="62"/>
        <v>92.728800000000007</v>
      </c>
    </row>
    <row r="93" spans="3:11" x14ac:dyDescent="0.25">
      <c r="C93" s="303">
        <v>45321</v>
      </c>
      <c r="D93" s="33" t="s">
        <v>15</v>
      </c>
      <c r="E93" s="233" t="s">
        <v>156</v>
      </c>
      <c r="F93" s="33">
        <v>5</v>
      </c>
      <c r="G93" s="233">
        <v>25.74</v>
      </c>
      <c r="H93" s="233">
        <f t="shared" si="60"/>
        <v>128.69999999999999</v>
      </c>
      <c r="I93" s="233">
        <f t="shared" si="61"/>
        <v>10.295999999999999</v>
      </c>
      <c r="J93" s="233"/>
      <c r="K93" s="233">
        <f t="shared" si="62"/>
        <v>138.99599999999998</v>
      </c>
    </row>
    <row r="94" spans="3:11" x14ac:dyDescent="0.25">
      <c r="C94" s="303">
        <v>45321</v>
      </c>
      <c r="D94" s="33" t="s">
        <v>15</v>
      </c>
      <c r="E94" s="233" t="s">
        <v>157</v>
      </c>
      <c r="F94" s="33">
        <v>1</v>
      </c>
      <c r="G94" s="233">
        <v>98.05</v>
      </c>
      <c r="H94" s="233">
        <f t="shared" si="60"/>
        <v>98.05</v>
      </c>
      <c r="I94" s="233">
        <f t="shared" si="61"/>
        <v>7.8440000000000003</v>
      </c>
      <c r="J94" s="233"/>
      <c r="K94" s="233">
        <f t="shared" si="62"/>
        <v>105.89399999999999</v>
      </c>
    </row>
    <row r="95" spans="3:11" x14ac:dyDescent="0.25">
      <c r="C95" s="303">
        <v>30.01</v>
      </c>
      <c r="D95" s="33" t="s">
        <v>15</v>
      </c>
      <c r="E95" s="233" t="s">
        <v>158</v>
      </c>
      <c r="F95" s="33">
        <v>10</v>
      </c>
      <c r="G95" s="233">
        <v>7.41</v>
      </c>
      <c r="H95" s="233">
        <f t="shared" si="60"/>
        <v>74.099999999999994</v>
      </c>
      <c r="I95" s="233">
        <f t="shared" si="61"/>
        <v>5.9279999999999999</v>
      </c>
      <c r="J95" s="233"/>
      <c r="K95" s="233">
        <f t="shared" si="62"/>
        <v>80.027999999999992</v>
      </c>
    </row>
    <row r="96" spans="3:11" x14ac:dyDescent="0.25">
      <c r="C96" s="303">
        <v>45321</v>
      </c>
      <c r="D96" s="33" t="s">
        <v>15</v>
      </c>
      <c r="E96" s="233" t="s">
        <v>159</v>
      </c>
      <c r="F96" s="33">
        <v>5</v>
      </c>
      <c r="G96" s="233">
        <v>13.83</v>
      </c>
      <c r="H96" s="233">
        <f t="shared" si="60"/>
        <v>69.150000000000006</v>
      </c>
      <c r="I96" s="233">
        <f t="shared" si="61"/>
        <v>5.5320000000000009</v>
      </c>
      <c r="J96" s="233"/>
      <c r="K96" s="233">
        <f t="shared" si="62"/>
        <v>74.682000000000002</v>
      </c>
    </row>
    <row r="97" spans="3:11" x14ac:dyDescent="0.25">
      <c r="C97" s="303">
        <v>45321</v>
      </c>
      <c r="D97" s="33" t="s">
        <v>15</v>
      </c>
      <c r="E97" s="233" t="s">
        <v>160</v>
      </c>
      <c r="F97" s="33">
        <v>1</v>
      </c>
      <c r="G97" s="233">
        <v>127.86</v>
      </c>
      <c r="H97" s="233">
        <f t="shared" si="60"/>
        <v>127.86</v>
      </c>
      <c r="I97" s="233">
        <f t="shared" si="61"/>
        <v>10.2288</v>
      </c>
      <c r="J97" s="233"/>
      <c r="K97" s="233">
        <f t="shared" si="62"/>
        <v>138.08879999999999</v>
      </c>
    </row>
    <row r="98" spans="3:11" x14ac:dyDescent="0.25">
      <c r="C98" s="303">
        <v>45321</v>
      </c>
      <c r="D98" s="33" t="s">
        <v>15</v>
      </c>
      <c r="E98" s="233" t="s">
        <v>161</v>
      </c>
      <c r="F98" s="33">
        <v>2</v>
      </c>
      <c r="G98" s="233">
        <v>13.26</v>
      </c>
      <c r="H98" s="233">
        <f t="shared" si="60"/>
        <v>26.52</v>
      </c>
      <c r="I98" s="233">
        <f t="shared" si="61"/>
        <v>2.1215999999999999</v>
      </c>
      <c r="J98" s="233"/>
      <c r="K98" s="233">
        <f t="shared" si="62"/>
        <v>28.6416</v>
      </c>
    </row>
    <row r="99" spans="3:11" x14ac:dyDescent="0.25">
      <c r="C99" s="303">
        <v>45321</v>
      </c>
      <c r="D99" s="33" t="s">
        <v>15</v>
      </c>
      <c r="E99" s="233" t="s">
        <v>162</v>
      </c>
      <c r="F99" s="33">
        <v>2</v>
      </c>
      <c r="G99" s="233">
        <v>35.1</v>
      </c>
      <c r="H99" s="233">
        <f t="shared" si="60"/>
        <v>70.2</v>
      </c>
      <c r="I99" s="233">
        <f t="shared" si="61"/>
        <v>5.6160000000000005</v>
      </c>
      <c r="J99" s="233"/>
      <c r="K99" s="233">
        <f t="shared" si="62"/>
        <v>75.816000000000003</v>
      </c>
    </row>
    <row r="100" spans="3:11" x14ac:dyDescent="0.25">
      <c r="C100" s="303">
        <v>30.01</v>
      </c>
      <c r="D100" s="33" t="s">
        <v>15</v>
      </c>
      <c r="E100" s="233" t="s">
        <v>23</v>
      </c>
      <c r="F100" s="33">
        <v>2</v>
      </c>
      <c r="G100" s="233">
        <v>32.659999999999997</v>
      </c>
      <c r="H100" s="233">
        <f t="shared" si="60"/>
        <v>65.319999999999993</v>
      </c>
      <c r="I100" s="233">
        <f t="shared" si="61"/>
        <v>5.2255999999999991</v>
      </c>
      <c r="J100" s="233"/>
      <c r="K100" s="233">
        <f t="shared" si="62"/>
        <v>70.545599999999993</v>
      </c>
    </row>
    <row r="101" spans="3:11" x14ac:dyDescent="0.25">
      <c r="C101" s="303">
        <v>30.01</v>
      </c>
      <c r="D101" s="33" t="s">
        <v>15</v>
      </c>
      <c r="E101" s="233" t="s">
        <v>163</v>
      </c>
      <c r="F101" s="33">
        <v>1</v>
      </c>
      <c r="G101" s="233">
        <v>42.9</v>
      </c>
      <c r="H101" s="233">
        <f t="shared" si="60"/>
        <v>42.9</v>
      </c>
      <c r="I101" s="233">
        <f t="shared" si="61"/>
        <v>3.4319999999999999</v>
      </c>
      <c r="J101" s="233"/>
      <c r="K101" s="233">
        <f t="shared" si="62"/>
        <v>46.332000000000001</v>
      </c>
    </row>
    <row r="102" spans="3:11" x14ac:dyDescent="0.25">
      <c r="C102" s="304">
        <v>45321</v>
      </c>
      <c r="D102" s="41" t="s">
        <v>15</v>
      </c>
      <c r="E102" s="232" t="s">
        <v>30</v>
      </c>
      <c r="F102" s="41">
        <v>1</v>
      </c>
      <c r="G102" s="232">
        <v>83.96</v>
      </c>
      <c r="H102" s="232">
        <f t="shared" ref="H102:H113" si="63">F102*G102</f>
        <v>83.96</v>
      </c>
      <c r="I102" s="232">
        <f t="shared" si="61"/>
        <v>6.7167999999999992</v>
      </c>
      <c r="J102" s="232"/>
      <c r="K102" s="232">
        <f t="shared" ref="K102:K113" si="64">SUM(H102:I102)-J102</f>
        <v>90.676799999999986</v>
      </c>
    </row>
    <row r="103" spans="3:11" x14ac:dyDescent="0.25">
      <c r="C103" s="303">
        <v>45321</v>
      </c>
      <c r="D103" s="33" t="s">
        <v>15</v>
      </c>
      <c r="E103" s="233" t="s">
        <v>164</v>
      </c>
      <c r="F103" s="33">
        <v>1</v>
      </c>
      <c r="G103" s="233">
        <v>55.33</v>
      </c>
      <c r="H103" s="233">
        <f t="shared" si="63"/>
        <v>55.33</v>
      </c>
      <c r="I103" s="233">
        <f t="shared" si="61"/>
        <v>4.4264000000000001</v>
      </c>
      <c r="J103" s="233"/>
      <c r="K103" s="233">
        <f t="shared" si="64"/>
        <v>59.756399999999999</v>
      </c>
    </row>
    <row r="104" spans="3:11" x14ac:dyDescent="0.25">
      <c r="C104" s="303">
        <v>45321</v>
      </c>
      <c r="D104" s="33" t="s">
        <v>15</v>
      </c>
      <c r="E104" s="233" t="s">
        <v>43</v>
      </c>
      <c r="F104" s="33">
        <v>1</v>
      </c>
      <c r="G104" s="233">
        <v>20.45</v>
      </c>
      <c r="H104" s="233">
        <f t="shared" si="63"/>
        <v>20.45</v>
      </c>
      <c r="I104" s="233">
        <f t="shared" si="61"/>
        <v>1.6359999999999999</v>
      </c>
      <c r="J104" s="233"/>
      <c r="K104" s="233">
        <f t="shared" si="64"/>
        <v>22.085999999999999</v>
      </c>
    </row>
    <row r="105" spans="3:11" x14ac:dyDescent="0.25">
      <c r="C105" s="303">
        <v>45321</v>
      </c>
      <c r="D105" s="33" t="s">
        <v>15</v>
      </c>
      <c r="E105" s="233" t="s">
        <v>165</v>
      </c>
      <c r="F105" s="33">
        <v>1</v>
      </c>
      <c r="G105" s="233">
        <v>24.57</v>
      </c>
      <c r="H105" s="233">
        <f t="shared" si="63"/>
        <v>24.57</v>
      </c>
      <c r="I105" s="233">
        <f t="shared" si="61"/>
        <v>1.9656</v>
      </c>
      <c r="J105" s="233"/>
      <c r="K105" s="233">
        <f t="shared" si="64"/>
        <v>26.535599999999999</v>
      </c>
    </row>
    <row r="106" spans="3:11" x14ac:dyDescent="0.25">
      <c r="C106" s="303">
        <v>30.01</v>
      </c>
      <c r="D106" s="33" t="s">
        <v>15</v>
      </c>
      <c r="E106" s="233" t="s">
        <v>166</v>
      </c>
      <c r="F106" s="33">
        <v>1</v>
      </c>
      <c r="G106" s="233">
        <v>49.43</v>
      </c>
      <c r="H106" s="233">
        <f t="shared" si="63"/>
        <v>49.43</v>
      </c>
      <c r="I106" s="233">
        <f t="shared" si="61"/>
        <v>3.9544000000000001</v>
      </c>
      <c r="J106" s="233"/>
      <c r="K106" s="233">
        <f t="shared" si="64"/>
        <v>53.384399999999999</v>
      </c>
    </row>
    <row r="107" spans="3:11" x14ac:dyDescent="0.25">
      <c r="C107" s="303">
        <v>45321</v>
      </c>
      <c r="D107" s="33" t="s">
        <v>15</v>
      </c>
      <c r="E107" s="233" t="s">
        <v>167</v>
      </c>
      <c r="F107" s="33">
        <v>1</v>
      </c>
      <c r="G107" s="233">
        <v>45.99</v>
      </c>
      <c r="H107" s="233">
        <f t="shared" si="63"/>
        <v>45.99</v>
      </c>
      <c r="I107" s="233">
        <f t="shared" si="61"/>
        <v>3.6792000000000002</v>
      </c>
      <c r="J107" s="233"/>
      <c r="K107" s="233">
        <f t="shared" si="64"/>
        <v>49.669200000000004</v>
      </c>
    </row>
    <row r="108" spans="3:11" x14ac:dyDescent="0.25">
      <c r="C108" s="304">
        <v>45321</v>
      </c>
      <c r="D108" s="41" t="s">
        <v>15</v>
      </c>
      <c r="E108" s="232" t="s">
        <v>168</v>
      </c>
      <c r="F108" s="41">
        <v>2</v>
      </c>
      <c r="G108" s="232">
        <v>6.24</v>
      </c>
      <c r="H108" s="232">
        <f t="shared" si="63"/>
        <v>12.48</v>
      </c>
      <c r="I108" s="232">
        <f t="shared" si="61"/>
        <v>0.99840000000000007</v>
      </c>
      <c r="J108" s="232"/>
      <c r="K108" s="232">
        <f t="shared" si="64"/>
        <v>13.478400000000001</v>
      </c>
    </row>
    <row r="109" spans="3:11" x14ac:dyDescent="0.25">
      <c r="C109" s="303">
        <v>45321</v>
      </c>
      <c r="D109" s="33" t="s">
        <v>15</v>
      </c>
      <c r="E109" s="233" t="s">
        <v>169</v>
      </c>
      <c r="F109" s="33">
        <v>2</v>
      </c>
      <c r="G109" s="233">
        <v>4.88</v>
      </c>
      <c r="H109" s="233">
        <f t="shared" si="63"/>
        <v>9.76</v>
      </c>
      <c r="I109" s="233">
        <f t="shared" si="61"/>
        <v>0.78080000000000005</v>
      </c>
      <c r="J109" s="233"/>
      <c r="K109" s="233">
        <f t="shared" si="64"/>
        <v>10.540799999999999</v>
      </c>
    </row>
    <row r="110" spans="3:11" x14ac:dyDescent="0.25">
      <c r="C110" s="304">
        <v>45321</v>
      </c>
      <c r="D110" s="41" t="s">
        <v>15</v>
      </c>
      <c r="E110" s="232" t="s">
        <v>170</v>
      </c>
      <c r="F110" s="41">
        <v>2</v>
      </c>
      <c r="G110" s="232">
        <v>5.1100000000000003</v>
      </c>
      <c r="H110" s="232">
        <f t="shared" si="63"/>
        <v>10.220000000000001</v>
      </c>
      <c r="I110" s="232">
        <f t="shared" si="61"/>
        <v>0.8176000000000001</v>
      </c>
      <c r="J110" s="232"/>
      <c r="K110" s="232">
        <f t="shared" si="64"/>
        <v>11.037600000000001</v>
      </c>
    </row>
    <row r="111" spans="3:11" x14ac:dyDescent="0.25">
      <c r="C111" s="303">
        <v>30.01</v>
      </c>
      <c r="D111" s="33" t="s">
        <v>15</v>
      </c>
      <c r="E111" s="233" t="s">
        <v>171</v>
      </c>
      <c r="F111" s="33">
        <v>1</v>
      </c>
      <c r="G111" s="233">
        <v>28.12</v>
      </c>
      <c r="H111" s="233">
        <f t="shared" si="63"/>
        <v>28.12</v>
      </c>
      <c r="I111" s="233">
        <f t="shared" si="61"/>
        <v>2.2496</v>
      </c>
      <c r="J111" s="233"/>
      <c r="K111" s="233">
        <f t="shared" si="64"/>
        <v>30.369600000000002</v>
      </c>
    </row>
    <row r="112" spans="3:11" x14ac:dyDescent="0.25">
      <c r="C112" s="303">
        <v>45321</v>
      </c>
      <c r="D112" s="33" t="s">
        <v>15</v>
      </c>
      <c r="E112" s="233" t="s">
        <v>172</v>
      </c>
      <c r="F112" s="33">
        <v>16</v>
      </c>
      <c r="G112" s="233">
        <v>1.21</v>
      </c>
      <c r="H112" s="233">
        <f t="shared" si="63"/>
        <v>19.36</v>
      </c>
      <c r="I112" s="233">
        <f t="shared" si="61"/>
        <v>1.5488</v>
      </c>
      <c r="J112" s="233"/>
      <c r="K112" s="233">
        <f t="shared" si="64"/>
        <v>20.908799999999999</v>
      </c>
    </row>
    <row r="113" spans="3:11" x14ac:dyDescent="0.25">
      <c r="C113" s="305">
        <v>30.01</v>
      </c>
      <c r="D113" s="38" t="s">
        <v>15</v>
      </c>
      <c r="E113" s="224" t="s">
        <v>173</v>
      </c>
      <c r="F113" s="38">
        <v>1</v>
      </c>
      <c r="G113" s="224">
        <v>24.79</v>
      </c>
      <c r="H113" s="224">
        <f t="shared" si="63"/>
        <v>24.79</v>
      </c>
      <c r="I113" s="224">
        <f t="shared" si="61"/>
        <v>1.9832000000000001</v>
      </c>
      <c r="J113" s="224"/>
      <c r="K113" s="224">
        <f t="shared" si="64"/>
        <v>26.773199999999999</v>
      </c>
    </row>
    <row r="114" spans="3:11" x14ac:dyDescent="0.25">
      <c r="C114" s="305">
        <v>45321</v>
      </c>
      <c r="D114" s="38" t="s">
        <v>15</v>
      </c>
      <c r="E114" s="224" t="s">
        <v>174</v>
      </c>
      <c r="F114" s="38">
        <v>2</v>
      </c>
      <c r="G114" s="224">
        <v>93.83</v>
      </c>
      <c r="H114" s="224">
        <f t="shared" ref="H114:H151" si="65">F114*G114</f>
        <v>187.66</v>
      </c>
      <c r="I114" s="224">
        <f t="shared" si="61"/>
        <v>15.0128</v>
      </c>
      <c r="J114" s="224"/>
      <c r="K114" s="224">
        <f t="shared" ref="K114:K151" si="66">SUM(H114:I114)-J114</f>
        <v>202.6728</v>
      </c>
    </row>
    <row r="115" spans="3:11" x14ac:dyDescent="0.25">
      <c r="C115" s="303">
        <v>30.01</v>
      </c>
      <c r="D115" s="33" t="s">
        <v>15</v>
      </c>
      <c r="E115" s="233" t="s">
        <v>175</v>
      </c>
      <c r="F115" s="33">
        <v>6</v>
      </c>
      <c r="G115" s="233">
        <v>3.57</v>
      </c>
      <c r="H115" s="233">
        <f t="shared" si="65"/>
        <v>21.419999999999998</v>
      </c>
      <c r="I115" s="233">
        <f t="shared" si="61"/>
        <v>1.7135999999999998</v>
      </c>
      <c r="J115" s="233"/>
      <c r="K115" s="233">
        <f t="shared" si="66"/>
        <v>23.133599999999998</v>
      </c>
    </row>
    <row r="116" spans="3:11" x14ac:dyDescent="0.25">
      <c r="C116" s="303">
        <v>45321</v>
      </c>
      <c r="D116" s="33" t="s">
        <v>15</v>
      </c>
      <c r="E116" s="233" t="s">
        <v>176</v>
      </c>
      <c r="F116" s="33">
        <v>4</v>
      </c>
      <c r="G116" s="233">
        <v>3.46</v>
      </c>
      <c r="H116" s="233">
        <f t="shared" si="65"/>
        <v>13.84</v>
      </c>
      <c r="I116" s="233">
        <f t="shared" si="61"/>
        <v>1.1072</v>
      </c>
      <c r="J116" s="233"/>
      <c r="K116" s="233">
        <f t="shared" si="66"/>
        <v>14.9472</v>
      </c>
    </row>
    <row r="117" spans="3:11" x14ac:dyDescent="0.25">
      <c r="C117" s="303">
        <v>30.01</v>
      </c>
      <c r="D117" s="33" t="s">
        <v>15</v>
      </c>
      <c r="E117" s="233" t="s">
        <v>177</v>
      </c>
      <c r="F117" s="33">
        <v>8</v>
      </c>
      <c r="G117" s="233">
        <v>1.28</v>
      </c>
      <c r="H117" s="233">
        <f t="shared" si="65"/>
        <v>10.24</v>
      </c>
      <c r="I117" s="233">
        <f t="shared" si="61"/>
        <v>0.81920000000000004</v>
      </c>
      <c r="J117" s="233"/>
      <c r="K117" s="233">
        <f t="shared" si="66"/>
        <v>11.059200000000001</v>
      </c>
    </row>
    <row r="118" spans="3:11" x14ac:dyDescent="0.25">
      <c r="C118" s="303">
        <v>45321</v>
      </c>
      <c r="D118" s="33" t="s">
        <v>15</v>
      </c>
      <c r="E118" s="233" t="s">
        <v>178</v>
      </c>
      <c r="F118" s="33">
        <v>8</v>
      </c>
      <c r="G118" s="233">
        <v>2.1800000000000002</v>
      </c>
      <c r="H118" s="233">
        <f t="shared" si="65"/>
        <v>17.440000000000001</v>
      </c>
      <c r="I118" s="233">
        <f t="shared" si="61"/>
        <v>1.3952000000000002</v>
      </c>
      <c r="J118" s="233"/>
      <c r="K118" s="233">
        <f t="shared" si="66"/>
        <v>18.8352</v>
      </c>
    </row>
    <row r="119" spans="3:11" x14ac:dyDescent="0.25">
      <c r="C119" s="303">
        <v>45321</v>
      </c>
      <c r="D119" s="33" t="s">
        <v>15</v>
      </c>
      <c r="E119" s="233" t="s">
        <v>179</v>
      </c>
      <c r="F119" s="33">
        <v>8</v>
      </c>
      <c r="G119" s="233">
        <v>1.27</v>
      </c>
      <c r="H119" s="233">
        <f t="shared" si="65"/>
        <v>10.16</v>
      </c>
      <c r="I119" s="233">
        <f t="shared" si="61"/>
        <v>0.81280000000000008</v>
      </c>
      <c r="J119" s="233"/>
      <c r="K119" s="233">
        <f t="shared" si="66"/>
        <v>10.972799999999999</v>
      </c>
    </row>
    <row r="120" spans="3:11" x14ac:dyDescent="0.25">
      <c r="C120" s="303">
        <v>30.01</v>
      </c>
      <c r="D120" s="33" t="s">
        <v>15</v>
      </c>
      <c r="E120" s="233" t="s">
        <v>126</v>
      </c>
      <c r="F120" s="33">
        <v>15</v>
      </c>
      <c r="G120" s="233">
        <v>2.2999999999999998</v>
      </c>
      <c r="H120" s="233">
        <f t="shared" si="65"/>
        <v>34.5</v>
      </c>
      <c r="I120" s="233">
        <f t="shared" si="61"/>
        <v>2.7600000000000002</v>
      </c>
      <c r="J120" s="233"/>
      <c r="K120" s="233">
        <f t="shared" si="66"/>
        <v>37.26</v>
      </c>
    </row>
    <row r="121" spans="3:11" x14ac:dyDescent="0.25">
      <c r="C121" s="303">
        <v>45321</v>
      </c>
      <c r="D121" s="33" t="s">
        <v>15</v>
      </c>
      <c r="E121" s="233" t="s">
        <v>180</v>
      </c>
      <c r="F121" s="33">
        <v>4</v>
      </c>
      <c r="G121" s="233">
        <v>1.0900000000000001</v>
      </c>
      <c r="H121" s="233">
        <f t="shared" si="65"/>
        <v>4.3600000000000003</v>
      </c>
      <c r="I121" s="233">
        <f t="shared" si="61"/>
        <v>0.34880000000000005</v>
      </c>
      <c r="J121" s="233"/>
      <c r="K121" s="233">
        <f t="shared" si="66"/>
        <v>4.7088000000000001</v>
      </c>
    </row>
    <row r="122" spans="3:11" x14ac:dyDescent="0.25">
      <c r="C122" s="303">
        <v>30.01</v>
      </c>
      <c r="D122" s="33" t="s">
        <v>15</v>
      </c>
      <c r="E122" s="233" t="s">
        <v>181</v>
      </c>
      <c r="F122" s="33">
        <v>1</v>
      </c>
      <c r="G122" s="233">
        <v>13.27</v>
      </c>
      <c r="H122" s="233">
        <f t="shared" si="65"/>
        <v>13.27</v>
      </c>
      <c r="I122" s="233">
        <f t="shared" si="61"/>
        <v>1.0615999999999999</v>
      </c>
      <c r="J122" s="233"/>
      <c r="K122" s="233">
        <f t="shared" si="66"/>
        <v>14.3316</v>
      </c>
    </row>
    <row r="123" spans="3:11" x14ac:dyDescent="0.25">
      <c r="C123" s="303">
        <v>45321</v>
      </c>
      <c r="D123" s="33" t="s">
        <v>15</v>
      </c>
      <c r="E123" s="233" t="s">
        <v>182</v>
      </c>
      <c r="F123" s="33">
        <v>3</v>
      </c>
      <c r="G123" s="233">
        <v>1.35</v>
      </c>
      <c r="H123" s="233">
        <f t="shared" si="65"/>
        <v>4.0500000000000007</v>
      </c>
      <c r="I123" s="233">
        <f t="shared" si="61"/>
        <v>0.32400000000000007</v>
      </c>
      <c r="J123" s="233"/>
      <c r="K123" s="233">
        <f t="shared" si="66"/>
        <v>4.3740000000000006</v>
      </c>
    </row>
    <row r="124" spans="3:11" x14ac:dyDescent="0.25">
      <c r="C124" s="303">
        <v>45321</v>
      </c>
      <c r="D124" s="33" t="s">
        <v>15</v>
      </c>
      <c r="E124" s="233" t="s">
        <v>183</v>
      </c>
      <c r="F124" s="33">
        <v>5</v>
      </c>
      <c r="G124" s="233">
        <v>0.86</v>
      </c>
      <c r="H124" s="233">
        <f t="shared" si="65"/>
        <v>4.3</v>
      </c>
      <c r="I124" s="233">
        <f t="shared" si="61"/>
        <v>0.34399999999999997</v>
      </c>
      <c r="J124" s="233"/>
      <c r="K124" s="233">
        <f t="shared" si="66"/>
        <v>4.6440000000000001</v>
      </c>
    </row>
    <row r="125" spans="3:11" x14ac:dyDescent="0.25">
      <c r="C125" s="303">
        <v>30.01</v>
      </c>
      <c r="D125" s="33" t="s">
        <v>15</v>
      </c>
      <c r="E125" s="233" t="s">
        <v>184</v>
      </c>
      <c r="F125" s="33">
        <v>18</v>
      </c>
      <c r="G125" s="233">
        <v>50.24</v>
      </c>
      <c r="H125" s="233">
        <f t="shared" si="65"/>
        <v>904.32</v>
      </c>
      <c r="I125" s="233">
        <f t="shared" si="61"/>
        <v>72.345600000000005</v>
      </c>
      <c r="J125" s="233"/>
      <c r="K125" s="233">
        <f t="shared" si="66"/>
        <v>976.66560000000004</v>
      </c>
    </row>
    <row r="126" spans="3:11" x14ac:dyDescent="0.25">
      <c r="C126" s="305">
        <v>45321</v>
      </c>
      <c r="D126" s="38" t="s">
        <v>15</v>
      </c>
      <c r="E126" s="224" t="s">
        <v>185</v>
      </c>
      <c r="F126" s="38">
        <v>4</v>
      </c>
      <c r="G126" s="224">
        <v>25.25</v>
      </c>
      <c r="H126" s="224">
        <f t="shared" si="65"/>
        <v>101</v>
      </c>
      <c r="I126" s="224">
        <f t="shared" si="61"/>
        <v>8.08</v>
      </c>
      <c r="J126" s="224"/>
      <c r="K126" s="224">
        <f t="shared" si="66"/>
        <v>109.08</v>
      </c>
    </row>
    <row r="127" spans="3:11" x14ac:dyDescent="0.25">
      <c r="C127" s="305">
        <v>30.01</v>
      </c>
      <c r="D127" s="38" t="s">
        <v>15</v>
      </c>
      <c r="E127" s="224" t="s">
        <v>186</v>
      </c>
      <c r="F127" s="38">
        <v>2</v>
      </c>
      <c r="G127" s="224">
        <v>25.25</v>
      </c>
      <c r="H127" s="224">
        <f t="shared" si="65"/>
        <v>50.5</v>
      </c>
      <c r="I127" s="224">
        <f t="shared" si="61"/>
        <v>4.04</v>
      </c>
      <c r="J127" s="224"/>
      <c r="K127" s="224">
        <f t="shared" si="66"/>
        <v>54.54</v>
      </c>
    </row>
    <row r="128" spans="3:11" x14ac:dyDescent="0.25">
      <c r="C128" s="307">
        <v>45321</v>
      </c>
      <c r="D128" s="21" t="s">
        <v>15</v>
      </c>
      <c r="E128" s="234" t="s">
        <v>17</v>
      </c>
      <c r="F128" s="21">
        <v>5</v>
      </c>
      <c r="G128" s="234">
        <v>175.26</v>
      </c>
      <c r="H128" s="234">
        <f t="shared" si="65"/>
        <v>876.3</v>
      </c>
      <c r="I128" s="234">
        <f t="shared" si="61"/>
        <v>70.103999999999999</v>
      </c>
      <c r="J128" s="234"/>
      <c r="K128" s="234">
        <f t="shared" si="66"/>
        <v>946.404</v>
      </c>
    </row>
    <row r="129" spans="3:11" x14ac:dyDescent="0.25">
      <c r="C129" s="307">
        <v>45321</v>
      </c>
      <c r="D129" s="21" t="s">
        <v>15</v>
      </c>
      <c r="E129" s="234" t="s">
        <v>187</v>
      </c>
      <c r="F129" s="21">
        <v>5</v>
      </c>
      <c r="G129" s="234">
        <v>5</v>
      </c>
      <c r="H129" s="234">
        <f t="shared" si="65"/>
        <v>25</v>
      </c>
      <c r="I129" s="234">
        <f t="shared" si="61"/>
        <v>2</v>
      </c>
      <c r="J129" s="234"/>
      <c r="K129" s="234">
        <f t="shared" si="66"/>
        <v>27</v>
      </c>
    </row>
    <row r="130" spans="3:11" x14ac:dyDescent="0.25">
      <c r="C130" s="307">
        <v>30.01</v>
      </c>
      <c r="D130" s="21" t="s">
        <v>15</v>
      </c>
      <c r="E130" s="234" t="s">
        <v>188</v>
      </c>
      <c r="F130" s="21">
        <v>9</v>
      </c>
      <c r="G130" s="234">
        <v>32.4</v>
      </c>
      <c r="H130" s="234">
        <f t="shared" si="65"/>
        <v>291.59999999999997</v>
      </c>
      <c r="I130" s="234">
        <f t="shared" si="61"/>
        <v>23.327999999999999</v>
      </c>
      <c r="J130" s="234"/>
      <c r="K130" s="234">
        <f t="shared" si="66"/>
        <v>314.92799999999994</v>
      </c>
    </row>
    <row r="131" spans="3:11" x14ac:dyDescent="0.25">
      <c r="C131" s="295">
        <v>45321</v>
      </c>
      <c r="D131" s="23" t="s">
        <v>15</v>
      </c>
      <c r="E131" s="229" t="s">
        <v>189</v>
      </c>
      <c r="F131" s="23">
        <v>1</v>
      </c>
      <c r="G131" s="229">
        <v>101.55</v>
      </c>
      <c r="H131" s="229">
        <f t="shared" si="65"/>
        <v>101.55</v>
      </c>
      <c r="I131" s="229">
        <f t="shared" si="61"/>
        <v>8.1240000000000006</v>
      </c>
      <c r="J131" s="229"/>
      <c r="K131" s="229">
        <f t="shared" si="66"/>
        <v>109.67399999999999</v>
      </c>
    </row>
    <row r="132" spans="3:11" x14ac:dyDescent="0.25">
      <c r="C132" s="305">
        <v>45321</v>
      </c>
      <c r="D132" s="38" t="s">
        <v>190</v>
      </c>
      <c r="E132" s="224" t="s">
        <v>191</v>
      </c>
      <c r="F132" s="38">
        <v>1</v>
      </c>
      <c r="G132" s="224">
        <v>572</v>
      </c>
      <c r="H132" s="224">
        <f t="shared" si="65"/>
        <v>572</v>
      </c>
      <c r="I132" s="224">
        <f t="shared" si="61"/>
        <v>45.76</v>
      </c>
      <c r="J132" s="224"/>
      <c r="K132" s="224">
        <f t="shared" si="66"/>
        <v>617.76</v>
      </c>
    </row>
    <row r="133" spans="3:11" x14ac:dyDescent="0.25">
      <c r="C133" s="307">
        <v>30.01</v>
      </c>
      <c r="D133" s="21" t="s">
        <v>15</v>
      </c>
      <c r="E133" s="234" t="s">
        <v>161</v>
      </c>
      <c r="F133" s="21">
        <v>4</v>
      </c>
      <c r="G133" s="234">
        <v>13.26</v>
      </c>
      <c r="H133" s="234">
        <f t="shared" si="65"/>
        <v>53.04</v>
      </c>
      <c r="I133" s="234">
        <f t="shared" si="61"/>
        <v>4.2431999999999999</v>
      </c>
      <c r="J133" s="234"/>
      <c r="K133" s="234">
        <f t="shared" si="66"/>
        <v>57.283200000000001</v>
      </c>
    </row>
    <row r="134" spans="3:11" x14ac:dyDescent="0.25">
      <c r="C134" s="307">
        <v>45321</v>
      </c>
      <c r="D134" s="21" t="s">
        <v>15</v>
      </c>
      <c r="E134" s="234" t="s">
        <v>29</v>
      </c>
      <c r="F134" s="21">
        <v>1</v>
      </c>
      <c r="G134" s="234">
        <v>27.3</v>
      </c>
      <c r="H134" s="234">
        <f t="shared" si="65"/>
        <v>27.3</v>
      </c>
      <c r="I134" s="234">
        <f t="shared" si="61"/>
        <v>2.1840000000000002</v>
      </c>
      <c r="J134" s="234"/>
      <c r="K134" s="234">
        <f t="shared" si="66"/>
        <v>29.484000000000002</v>
      </c>
    </row>
    <row r="135" spans="3:11" x14ac:dyDescent="0.25">
      <c r="C135" s="307">
        <v>30.01</v>
      </c>
      <c r="D135" s="21" t="s">
        <v>15</v>
      </c>
      <c r="E135" s="234" t="s">
        <v>192</v>
      </c>
      <c r="F135" s="21">
        <v>1</v>
      </c>
      <c r="G135" s="234">
        <v>31.2</v>
      </c>
      <c r="H135" s="234">
        <f t="shared" si="65"/>
        <v>31.2</v>
      </c>
      <c r="I135" s="234">
        <f t="shared" si="61"/>
        <v>2.496</v>
      </c>
      <c r="J135" s="234"/>
      <c r="K135" s="234">
        <f t="shared" si="66"/>
        <v>33.695999999999998</v>
      </c>
    </row>
    <row r="136" spans="3:11" x14ac:dyDescent="0.25">
      <c r="C136" s="307">
        <v>45321</v>
      </c>
      <c r="D136" s="21" t="s">
        <v>15</v>
      </c>
      <c r="E136" s="234" t="s">
        <v>160</v>
      </c>
      <c r="F136" s="21">
        <v>1</v>
      </c>
      <c r="G136" s="234">
        <v>127.86</v>
      </c>
      <c r="H136" s="234">
        <f t="shared" si="65"/>
        <v>127.86</v>
      </c>
      <c r="I136" s="234">
        <f t="shared" si="61"/>
        <v>10.2288</v>
      </c>
      <c r="J136" s="234"/>
      <c r="K136" s="234">
        <f t="shared" si="66"/>
        <v>138.08879999999999</v>
      </c>
    </row>
    <row r="137" spans="3:11" x14ac:dyDescent="0.25">
      <c r="C137" s="307">
        <v>45321</v>
      </c>
      <c r="D137" s="21" t="s">
        <v>15</v>
      </c>
      <c r="E137" s="234" t="s">
        <v>193</v>
      </c>
      <c r="F137" s="21">
        <v>1</v>
      </c>
      <c r="G137" s="234">
        <v>50.7</v>
      </c>
      <c r="H137" s="234">
        <f t="shared" si="65"/>
        <v>50.7</v>
      </c>
      <c r="I137" s="234">
        <f t="shared" si="61"/>
        <v>4.056</v>
      </c>
      <c r="J137" s="234"/>
      <c r="K137" s="234">
        <f t="shared" si="66"/>
        <v>54.756</v>
      </c>
    </row>
    <row r="138" spans="3:11" x14ac:dyDescent="0.25">
      <c r="C138" s="307">
        <v>30.01</v>
      </c>
      <c r="D138" s="21" t="s">
        <v>15</v>
      </c>
      <c r="E138" s="234" t="s">
        <v>166</v>
      </c>
      <c r="F138" s="21">
        <v>1</v>
      </c>
      <c r="G138" s="234">
        <v>49.43</v>
      </c>
      <c r="H138" s="234">
        <f t="shared" si="65"/>
        <v>49.43</v>
      </c>
      <c r="I138" s="234">
        <f t="shared" si="61"/>
        <v>3.9544000000000001</v>
      </c>
      <c r="J138" s="234"/>
      <c r="K138" s="234">
        <f t="shared" si="66"/>
        <v>53.384399999999999</v>
      </c>
    </row>
    <row r="139" spans="3:11" x14ac:dyDescent="0.25">
      <c r="C139" s="307">
        <v>45321</v>
      </c>
      <c r="D139" s="21" t="s">
        <v>15</v>
      </c>
      <c r="E139" s="234" t="s">
        <v>24</v>
      </c>
      <c r="F139" s="21">
        <v>1</v>
      </c>
      <c r="G139" s="234">
        <v>55.33</v>
      </c>
      <c r="H139" s="234">
        <f t="shared" si="65"/>
        <v>55.33</v>
      </c>
      <c r="I139" s="234">
        <f t="shared" si="61"/>
        <v>4.4264000000000001</v>
      </c>
      <c r="J139" s="234"/>
      <c r="K139" s="234">
        <f t="shared" si="66"/>
        <v>59.756399999999999</v>
      </c>
    </row>
    <row r="140" spans="3:11" x14ac:dyDescent="0.25">
      <c r="C140" s="307">
        <v>30.01</v>
      </c>
      <c r="D140" s="21" t="s">
        <v>15</v>
      </c>
      <c r="E140" s="234" t="s">
        <v>17</v>
      </c>
      <c r="F140" s="21">
        <v>4</v>
      </c>
      <c r="G140" s="234">
        <v>175.26</v>
      </c>
      <c r="H140" s="234">
        <f t="shared" si="65"/>
        <v>701.04</v>
      </c>
      <c r="I140" s="234">
        <f t="shared" si="61"/>
        <v>56.083199999999998</v>
      </c>
      <c r="J140" s="234"/>
      <c r="K140" s="234">
        <f t="shared" si="66"/>
        <v>757.1232</v>
      </c>
    </row>
    <row r="141" spans="3:11" x14ac:dyDescent="0.25">
      <c r="C141" s="307">
        <v>45321</v>
      </c>
      <c r="D141" s="21" t="s">
        <v>15</v>
      </c>
      <c r="E141" s="234" t="s">
        <v>18</v>
      </c>
      <c r="F141" s="21">
        <v>4</v>
      </c>
      <c r="G141" s="234">
        <v>88.73</v>
      </c>
      <c r="H141" s="234">
        <f t="shared" si="65"/>
        <v>354.92</v>
      </c>
      <c r="I141" s="234">
        <f t="shared" si="61"/>
        <v>28.393600000000003</v>
      </c>
      <c r="J141" s="234"/>
      <c r="K141" s="234">
        <f t="shared" si="66"/>
        <v>383.31360000000001</v>
      </c>
    </row>
    <row r="142" spans="3:11" x14ac:dyDescent="0.25">
      <c r="C142" s="305">
        <v>45321</v>
      </c>
      <c r="D142" s="38" t="s">
        <v>15</v>
      </c>
      <c r="E142" s="224" t="s">
        <v>138</v>
      </c>
      <c r="F142" s="38">
        <v>20</v>
      </c>
      <c r="G142" s="224">
        <v>25.73</v>
      </c>
      <c r="H142" s="224">
        <f t="shared" si="65"/>
        <v>514.6</v>
      </c>
      <c r="I142" s="224">
        <f t="shared" si="61"/>
        <v>41.167999999999999</v>
      </c>
      <c r="J142" s="224"/>
      <c r="K142" s="224">
        <f t="shared" si="66"/>
        <v>555.76800000000003</v>
      </c>
    </row>
    <row r="143" spans="3:11" x14ac:dyDescent="0.25">
      <c r="C143" s="307">
        <v>45321</v>
      </c>
      <c r="D143" s="21" t="s">
        <v>15</v>
      </c>
      <c r="E143" s="234" t="s">
        <v>193</v>
      </c>
      <c r="F143" s="21">
        <v>1</v>
      </c>
      <c r="G143" s="234">
        <v>50.7</v>
      </c>
      <c r="H143" s="234">
        <f t="shared" si="65"/>
        <v>50.7</v>
      </c>
      <c r="I143" s="234">
        <f t="shared" si="61"/>
        <v>4.056</v>
      </c>
      <c r="J143" s="234"/>
      <c r="K143" s="234">
        <f t="shared" si="66"/>
        <v>54.756</v>
      </c>
    </row>
    <row r="144" spans="3:11" x14ac:dyDescent="0.25">
      <c r="C144" s="307">
        <v>30.01</v>
      </c>
      <c r="D144" s="21" t="s">
        <v>15</v>
      </c>
      <c r="E144" s="234" t="s">
        <v>156</v>
      </c>
      <c r="F144" s="21">
        <v>3</v>
      </c>
      <c r="G144" s="234">
        <v>25.74</v>
      </c>
      <c r="H144" s="234">
        <f t="shared" si="65"/>
        <v>77.22</v>
      </c>
      <c r="I144" s="234">
        <f t="shared" si="61"/>
        <v>6.1776</v>
      </c>
      <c r="J144" s="234"/>
      <c r="K144" s="234">
        <f t="shared" si="66"/>
        <v>83.397599999999997</v>
      </c>
    </row>
    <row r="145" spans="3:11" x14ac:dyDescent="0.25">
      <c r="C145" s="307">
        <v>45321</v>
      </c>
      <c r="D145" s="21" t="s">
        <v>15</v>
      </c>
      <c r="E145" s="234" t="s">
        <v>23</v>
      </c>
      <c r="F145" s="21">
        <v>2</v>
      </c>
      <c r="G145" s="234">
        <v>32.659999999999997</v>
      </c>
      <c r="H145" s="234">
        <f t="shared" si="65"/>
        <v>65.319999999999993</v>
      </c>
      <c r="I145" s="234">
        <f t="shared" si="61"/>
        <v>5.2255999999999991</v>
      </c>
      <c r="J145" s="234"/>
      <c r="K145" s="234">
        <f t="shared" si="66"/>
        <v>70.545599999999993</v>
      </c>
    </row>
    <row r="146" spans="3:11" x14ac:dyDescent="0.25">
      <c r="C146" s="307">
        <v>30.01</v>
      </c>
      <c r="D146" s="21" t="s">
        <v>15</v>
      </c>
      <c r="E146" s="234" t="s">
        <v>163</v>
      </c>
      <c r="F146" s="21">
        <v>1</v>
      </c>
      <c r="G146" s="234">
        <v>42.9</v>
      </c>
      <c r="H146" s="234">
        <f t="shared" si="65"/>
        <v>42.9</v>
      </c>
      <c r="I146" s="234">
        <f t="shared" si="61"/>
        <v>3.4319999999999999</v>
      </c>
      <c r="J146" s="234"/>
      <c r="K146" s="234">
        <f t="shared" si="66"/>
        <v>46.332000000000001</v>
      </c>
    </row>
    <row r="147" spans="3:11" x14ac:dyDescent="0.25">
      <c r="C147" s="307">
        <v>45321</v>
      </c>
      <c r="D147" s="21" t="s">
        <v>15</v>
      </c>
      <c r="E147" s="234" t="s">
        <v>43</v>
      </c>
      <c r="F147" s="21">
        <v>2</v>
      </c>
      <c r="G147" s="234">
        <v>20.45</v>
      </c>
      <c r="H147" s="234">
        <f t="shared" si="65"/>
        <v>40.9</v>
      </c>
      <c r="I147" s="234">
        <f t="shared" si="61"/>
        <v>3.2719999999999998</v>
      </c>
      <c r="J147" s="234"/>
      <c r="K147" s="234">
        <f t="shared" si="66"/>
        <v>44.171999999999997</v>
      </c>
    </row>
    <row r="148" spans="3:11" x14ac:dyDescent="0.25">
      <c r="C148" s="307">
        <v>45321</v>
      </c>
      <c r="D148" s="21" t="s">
        <v>15</v>
      </c>
      <c r="E148" s="234" t="s">
        <v>194</v>
      </c>
      <c r="F148" s="21">
        <v>1</v>
      </c>
      <c r="G148" s="234">
        <v>16.71</v>
      </c>
      <c r="H148" s="234">
        <f t="shared" si="65"/>
        <v>16.71</v>
      </c>
      <c r="I148" s="234">
        <f t="shared" si="61"/>
        <v>1.3368</v>
      </c>
      <c r="J148" s="234"/>
      <c r="K148" s="234">
        <f t="shared" si="66"/>
        <v>18.046800000000001</v>
      </c>
    </row>
    <row r="149" spans="3:11" x14ac:dyDescent="0.25">
      <c r="C149" s="295">
        <v>45321</v>
      </c>
      <c r="D149" s="23" t="s">
        <v>224</v>
      </c>
      <c r="E149" s="229" t="s">
        <v>225</v>
      </c>
      <c r="F149" s="23">
        <v>1</v>
      </c>
      <c r="G149" s="229">
        <v>305.55</v>
      </c>
      <c r="H149" s="229">
        <f t="shared" si="65"/>
        <v>305.55</v>
      </c>
      <c r="I149" s="229">
        <f t="shared" si="61"/>
        <v>24.444000000000003</v>
      </c>
      <c r="J149" s="229"/>
      <c r="K149" s="229">
        <f t="shared" si="66"/>
        <v>329.99400000000003</v>
      </c>
    </row>
    <row r="150" spans="3:11" x14ac:dyDescent="0.25">
      <c r="C150" s="304">
        <v>45321</v>
      </c>
      <c r="D150" s="41" t="s">
        <v>238</v>
      </c>
      <c r="E150" s="232" t="s">
        <v>239</v>
      </c>
      <c r="F150" s="41">
        <v>1</v>
      </c>
      <c r="G150" s="232">
        <v>119.16</v>
      </c>
      <c r="H150" s="232">
        <f t="shared" si="65"/>
        <v>119.16</v>
      </c>
      <c r="I150" s="232">
        <f t="shared" si="61"/>
        <v>9.5327999999999999</v>
      </c>
      <c r="J150" s="232"/>
      <c r="K150" s="232">
        <f t="shared" si="66"/>
        <v>128.69280000000001</v>
      </c>
    </row>
    <row r="151" spans="3:11" x14ac:dyDescent="0.25">
      <c r="C151" s="304">
        <v>45321</v>
      </c>
      <c r="D151" s="41" t="s">
        <v>238</v>
      </c>
      <c r="E151" s="232" t="s">
        <v>240</v>
      </c>
      <c r="F151" s="41">
        <v>1</v>
      </c>
      <c r="G151" s="232">
        <v>33.1</v>
      </c>
      <c r="H151" s="232">
        <f t="shared" si="65"/>
        <v>33.1</v>
      </c>
      <c r="I151" s="232">
        <f t="shared" si="61"/>
        <v>2.6480000000000001</v>
      </c>
      <c r="J151" s="232"/>
      <c r="K151" s="232">
        <f t="shared" si="66"/>
        <v>35.748000000000005</v>
      </c>
    </row>
    <row r="152" spans="3:11" x14ac:dyDescent="0.25">
      <c r="C152" s="304">
        <v>45322</v>
      </c>
      <c r="D152" s="41" t="s">
        <v>15</v>
      </c>
      <c r="E152" s="232" t="s">
        <v>122</v>
      </c>
      <c r="F152" s="41">
        <v>1</v>
      </c>
      <c r="G152" s="232">
        <v>258.86</v>
      </c>
      <c r="H152" s="232">
        <f t="shared" ref="H152:H169" si="67">F152*G152</f>
        <v>258.86</v>
      </c>
      <c r="I152" s="232">
        <f t="shared" ref="I152:I169" si="68">H152*0.08</f>
        <v>20.7088</v>
      </c>
      <c r="J152" s="232"/>
      <c r="K152" s="232">
        <f t="shared" ref="K152:K169" si="69">SUM(H152:I152)-J152</f>
        <v>279.56880000000001</v>
      </c>
    </row>
    <row r="153" spans="3:11" x14ac:dyDescent="0.25">
      <c r="C153" s="304">
        <v>45322</v>
      </c>
      <c r="D153" s="41" t="s">
        <v>15</v>
      </c>
      <c r="E153" s="232" t="s">
        <v>31</v>
      </c>
      <c r="F153" s="41">
        <v>3</v>
      </c>
      <c r="G153" s="232">
        <v>21.3</v>
      </c>
      <c r="H153" s="232">
        <f t="shared" si="67"/>
        <v>63.900000000000006</v>
      </c>
      <c r="I153" s="232">
        <f t="shared" si="68"/>
        <v>5.112000000000001</v>
      </c>
      <c r="J153" s="232"/>
      <c r="K153" s="232">
        <f t="shared" si="69"/>
        <v>69.012</v>
      </c>
    </row>
    <row r="154" spans="3:11" x14ac:dyDescent="0.25">
      <c r="C154" s="304">
        <v>45322</v>
      </c>
      <c r="D154" s="41" t="s">
        <v>15</v>
      </c>
      <c r="E154" s="232" t="s">
        <v>195</v>
      </c>
      <c r="F154" s="41">
        <v>1</v>
      </c>
      <c r="G154" s="232">
        <v>190.13</v>
      </c>
      <c r="H154" s="232">
        <f t="shared" si="67"/>
        <v>190.13</v>
      </c>
      <c r="I154" s="232">
        <f t="shared" si="68"/>
        <v>15.2104</v>
      </c>
      <c r="J154" s="232"/>
      <c r="K154" s="232">
        <f t="shared" si="69"/>
        <v>205.34039999999999</v>
      </c>
    </row>
    <row r="155" spans="3:11" x14ac:dyDescent="0.25">
      <c r="C155" s="304">
        <v>45322</v>
      </c>
      <c r="D155" s="41" t="s">
        <v>15</v>
      </c>
      <c r="E155" s="232" t="s">
        <v>196</v>
      </c>
      <c r="F155" s="41">
        <v>6</v>
      </c>
      <c r="G155" s="232">
        <v>1.35</v>
      </c>
      <c r="H155" s="232">
        <f t="shared" si="67"/>
        <v>8.1000000000000014</v>
      </c>
      <c r="I155" s="232">
        <f t="shared" si="68"/>
        <v>0.64800000000000013</v>
      </c>
      <c r="J155" s="232"/>
      <c r="K155" s="232">
        <f t="shared" si="69"/>
        <v>8.7480000000000011</v>
      </c>
    </row>
    <row r="156" spans="3:11" x14ac:dyDescent="0.25">
      <c r="C156" s="295">
        <v>45322</v>
      </c>
      <c r="D156" s="23" t="s">
        <v>241</v>
      </c>
      <c r="E156" s="229"/>
      <c r="F156" s="23">
        <v>1</v>
      </c>
      <c r="G156" s="229">
        <v>500</v>
      </c>
      <c r="H156" s="229">
        <f t="shared" si="67"/>
        <v>500</v>
      </c>
      <c r="I156" s="229">
        <f t="shared" si="68"/>
        <v>40</v>
      </c>
      <c r="J156" s="229"/>
      <c r="K156" s="229">
        <f t="shared" si="69"/>
        <v>540</v>
      </c>
    </row>
    <row r="157" spans="3:11" x14ac:dyDescent="0.25">
      <c r="C157" s="305">
        <v>45324</v>
      </c>
      <c r="D157" s="38" t="s">
        <v>13</v>
      </c>
      <c r="E157" s="38" t="s">
        <v>285</v>
      </c>
      <c r="F157" s="38">
        <v>8</v>
      </c>
      <c r="G157" s="224">
        <v>57</v>
      </c>
      <c r="H157" s="224">
        <f t="shared" si="67"/>
        <v>456</v>
      </c>
      <c r="I157" s="224">
        <f t="shared" si="68"/>
        <v>36.480000000000004</v>
      </c>
      <c r="J157" s="224"/>
      <c r="K157" s="224">
        <f t="shared" si="69"/>
        <v>492.48</v>
      </c>
    </row>
    <row r="158" spans="3:11" x14ac:dyDescent="0.25">
      <c r="C158" s="305">
        <v>45324</v>
      </c>
      <c r="D158" s="38" t="s">
        <v>231</v>
      </c>
      <c r="E158" s="38" t="s">
        <v>443</v>
      </c>
      <c r="F158" s="38">
        <v>3</v>
      </c>
      <c r="G158" s="224">
        <v>800</v>
      </c>
      <c r="H158" s="224">
        <f t="shared" ref="H158:H159" si="70">F158*G158</f>
        <v>2400</v>
      </c>
      <c r="I158" s="224">
        <f t="shared" ref="I158:I159" si="71">H158*0.08</f>
        <v>192</v>
      </c>
      <c r="J158" s="224"/>
      <c r="K158" s="224">
        <f t="shared" ref="K158:K159" si="72">SUM(H158:I158)-J158</f>
        <v>2592</v>
      </c>
    </row>
    <row r="159" spans="3:11" x14ac:dyDescent="0.25">
      <c r="C159" s="305">
        <v>45324</v>
      </c>
      <c r="D159" s="38" t="s">
        <v>231</v>
      </c>
      <c r="E159" s="38" t="s">
        <v>441</v>
      </c>
      <c r="F159" s="38">
        <v>3</v>
      </c>
      <c r="G159" s="224">
        <v>834</v>
      </c>
      <c r="H159" s="224">
        <f t="shared" si="70"/>
        <v>2502</v>
      </c>
      <c r="I159" s="224">
        <f t="shared" si="71"/>
        <v>200.16</v>
      </c>
      <c r="J159" s="224"/>
      <c r="K159" s="224">
        <f t="shared" si="72"/>
        <v>2702.16</v>
      </c>
    </row>
    <row r="160" spans="3:11" x14ac:dyDescent="0.25">
      <c r="C160" s="306">
        <v>45324</v>
      </c>
      <c r="D160" s="18" t="s">
        <v>13</v>
      </c>
      <c r="E160" s="18" t="s">
        <v>286</v>
      </c>
      <c r="F160" s="18">
        <v>1</v>
      </c>
      <c r="G160" s="230">
        <v>274</v>
      </c>
      <c r="H160" s="230">
        <f t="shared" si="67"/>
        <v>274</v>
      </c>
      <c r="I160" s="230">
        <f t="shared" si="68"/>
        <v>21.92</v>
      </c>
      <c r="J160" s="230"/>
      <c r="K160" s="230">
        <f t="shared" si="69"/>
        <v>295.92</v>
      </c>
    </row>
    <row r="161" spans="3:11" x14ac:dyDescent="0.25">
      <c r="C161" s="67">
        <v>45324</v>
      </c>
      <c r="D161" s="26" t="s">
        <v>197</v>
      </c>
      <c r="E161" s="225" t="s">
        <v>66</v>
      </c>
      <c r="F161" s="26">
        <v>40</v>
      </c>
      <c r="G161" s="225">
        <v>23</v>
      </c>
      <c r="H161" s="225">
        <f t="shared" si="67"/>
        <v>920</v>
      </c>
      <c r="I161" s="225">
        <f t="shared" si="68"/>
        <v>73.600000000000009</v>
      </c>
      <c r="J161" s="225"/>
      <c r="K161" s="225">
        <f t="shared" si="69"/>
        <v>993.6</v>
      </c>
    </row>
    <row r="162" spans="3:11" x14ac:dyDescent="0.25">
      <c r="C162" s="67">
        <v>45324</v>
      </c>
      <c r="D162" s="26" t="s">
        <v>197</v>
      </c>
      <c r="E162" s="225" t="s">
        <v>195</v>
      </c>
      <c r="F162" s="26">
        <v>3</v>
      </c>
      <c r="G162" s="225">
        <v>144</v>
      </c>
      <c r="H162" s="225">
        <f t="shared" si="67"/>
        <v>432</v>
      </c>
      <c r="I162" s="225">
        <f t="shared" si="68"/>
        <v>34.56</v>
      </c>
      <c r="J162" s="225"/>
      <c r="K162" s="225">
        <f t="shared" si="69"/>
        <v>466.56</v>
      </c>
    </row>
    <row r="163" spans="3:11" x14ac:dyDescent="0.25">
      <c r="C163" s="67">
        <v>45324</v>
      </c>
      <c r="D163" s="26" t="s">
        <v>197</v>
      </c>
      <c r="E163" s="225" t="s">
        <v>198</v>
      </c>
      <c r="F163" s="26">
        <v>2.98</v>
      </c>
      <c r="G163" s="225">
        <v>25.8</v>
      </c>
      <c r="H163" s="225">
        <f t="shared" si="67"/>
        <v>76.884</v>
      </c>
      <c r="I163" s="225">
        <f t="shared" si="68"/>
        <v>6.1507199999999997</v>
      </c>
      <c r="J163" s="225"/>
      <c r="K163" s="225">
        <f t="shared" si="69"/>
        <v>83.034719999999993</v>
      </c>
    </row>
    <row r="164" spans="3:11" x14ac:dyDescent="0.25">
      <c r="C164" s="305">
        <v>45324</v>
      </c>
      <c r="D164" s="38" t="s">
        <v>197</v>
      </c>
      <c r="E164" s="224" t="s">
        <v>199</v>
      </c>
      <c r="F164" s="38">
        <v>1</v>
      </c>
      <c r="G164" s="224">
        <v>69.62</v>
      </c>
      <c r="H164" s="224">
        <f t="shared" si="67"/>
        <v>69.62</v>
      </c>
      <c r="I164" s="224">
        <f t="shared" si="68"/>
        <v>5.5696000000000003</v>
      </c>
      <c r="J164" s="224"/>
      <c r="K164" s="224">
        <f t="shared" si="69"/>
        <v>75.189599999999999</v>
      </c>
    </row>
    <row r="165" spans="3:11" x14ac:dyDescent="0.25">
      <c r="C165" s="302">
        <v>45325</v>
      </c>
      <c r="D165" s="32" t="s">
        <v>117</v>
      </c>
      <c r="E165" s="32" t="s">
        <v>121</v>
      </c>
      <c r="F165" s="32">
        <v>1</v>
      </c>
      <c r="G165" s="240">
        <f>25100+1500</f>
        <v>26600</v>
      </c>
      <c r="H165" s="240">
        <f t="shared" si="67"/>
        <v>26600</v>
      </c>
      <c r="I165" s="240">
        <f t="shared" si="68"/>
        <v>2128</v>
      </c>
      <c r="J165" s="240"/>
      <c r="K165" s="240">
        <f t="shared" si="69"/>
        <v>28728</v>
      </c>
    </row>
    <row r="166" spans="3:11" x14ac:dyDescent="0.25">
      <c r="C166" s="301">
        <v>45325</v>
      </c>
      <c r="D166" s="52" t="s">
        <v>303</v>
      </c>
      <c r="E166" s="52"/>
      <c r="F166" s="52">
        <v>1</v>
      </c>
      <c r="G166" s="236">
        <v>16000</v>
      </c>
      <c r="H166" s="236">
        <f t="shared" ref="H166" si="73">F166*G166</f>
        <v>16000</v>
      </c>
      <c r="I166" s="236">
        <f t="shared" ref="I166" si="74">H166*0.08</f>
        <v>1280</v>
      </c>
      <c r="J166" s="236"/>
      <c r="K166" s="236">
        <f t="shared" ref="K166" si="75">SUM(H166:I166)-J166</f>
        <v>17280</v>
      </c>
    </row>
    <row r="167" spans="3:11" x14ac:dyDescent="0.25">
      <c r="C167" s="308">
        <v>45325</v>
      </c>
      <c r="D167" s="48" t="s">
        <v>229</v>
      </c>
      <c r="E167" s="235" t="s">
        <v>230</v>
      </c>
      <c r="F167" s="48">
        <v>1</v>
      </c>
      <c r="G167" s="235">
        <v>3000</v>
      </c>
      <c r="H167" s="235">
        <f t="shared" si="67"/>
        <v>3000</v>
      </c>
      <c r="I167" s="235">
        <f t="shared" si="68"/>
        <v>240</v>
      </c>
      <c r="J167" s="235"/>
      <c r="K167" s="235">
        <f t="shared" si="69"/>
        <v>3240</v>
      </c>
    </row>
    <row r="168" spans="3:11" x14ac:dyDescent="0.25">
      <c r="C168" s="301">
        <v>45325</v>
      </c>
      <c r="D168" s="52" t="s">
        <v>105</v>
      </c>
      <c r="E168" s="236"/>
      <c r="F168" s="52">
        <v>1</v>
      </c>
      <c r="G168" s="236">
        <v>2500</v>
      </c>
      <c r="H168" s="236"/>
      <c r="I168" s="236"/>
      <c r="J168" s="236"/>
      <c r="K168" s="236"/>
    </row>
    <row r="169" spans="3:11" x14ac:dyDescent="0.25">
      <c r="C169" s="67">
        <v>45327</v>
      </c>
      <c r="D169" s="26" t="s">
        <v>235</v>
      </c>
      <c r="E169" s="225" t="s">
        <v>62</v>
      </c>
      <c r="F169" s="26">
        <v>25</v>
      </c>
      <c r="G169" s="225">
        <v>125</v>
      </c>
      <c r="H169" s="225">
        <f t="shared" si="67"/>
        <v>3125</v>
      </c>
      <c r="I169" s="225">
        <f t="shared" si="68"/>
        <v>250</v>
      </c>
      <c r="J169" s="225"/>
      <c r="K169" s="225">
        <f t="shared" si="69"/>
        <v>3375</v>
      </c>
    </row>
    <row r="170" spans="3:11" x14ac:dyDescent="0.25">
      <c r="C170" s="304">
        <v>45328</v>
      </c>
      <c r="D170" s="41" t="s">
        <v>15</v>
      </c>
      <c r="E170" s="232" t="s">
        <v>202</v>
      </c>
      <c r="F170" s="41">
        <v>3</v>
      </c>
      <c r="G170" s="232">
        <v>136.81</v>
      </c>
      <c r="H170" s="232">
        <f t="shared" ref="H170:H198" si="76">F170*G170</f>
        <v>410.43</v>
      </c>
      <c r="I170" s="232">
        <f t="shared" ref="I170:I198" si="77">H170*0.08</f>
        <v>32.834400000000002</v>
      </c>
      <c r="J170" s="232"/>
      <c r="K170" s="232">
        <f t="shared" ref="K170:K198" si="78">SUM(H170:I170)-J170</f>
        <v>443.26440000000002</v>
      </c>
    </row>
    <row r="171" spans="3:11" x14ac:dyDescent="0.25">
      <c r="C171" s="304">
        <v>45328</v>
      </c>
      <c r="D171" s="41" t="s">
        <v>15</v>
      </c>
      <c r="E171" s="232" t="s">
        <v>203</v>
      </c>
      <c r="F171" s="41">
        <v>2</v>
      </c>
      <c r="G171" s="232">
        <v>172.94</v>
      </c>
      <c r="H171" s="232">
        <f t="shared" si="76"/>
        <v>345.88</v>
      </c>
      <c r="I171" s="232">
        <f t="shared" si="77"/>
        <v>27.670400000000001</v>
      </c>
      <c r="J171" s="232"/>
      <c r="K171" s="232">
        <f t="shared" si="78"/>
        <v>373.55039999999997</v>
      </c>
    </row>
    <row r="172" spans="3:11" x14ac:dyDescent="0.25">
      <c r="C172" s="304">
        <v>45328</v>
      </c>
      <c r="D172" s="41" t="s">
        <v>15</v>
      </c>
      <c r="E172" s="232" t="s">
        <v>204</v>
      </c>
      <c r="F172" s="41">
        <v>1</v>
      </c>
      <c r="G172" s="232">
        <v>153.91</v>
      </c>
      <c r="H172" s="232">
        <f t="shared" si="76"/>
        <v>153.91</v>
      </c>
      <c r="I172" s="232">
        <f t="shared" si="77"/>
        <v>12.312799999999999</v>
      </c>
      <c r="J172" s="232"/>
      <c r="K172" s="232">
        <f t="shared" si="78"/>
        <v>166.22280000000001</v>
      </c>
    </row>
    <row r="173" spans="3:11" x14ac:dyDescent="0.25">
      <c r="C173" s="303">
        <v>45328</v>
      </c>
      <c r="D173" s="33" t="s">
        <v>15</v>
      </c>
      <c r="E173" s="233" t="s">
        <v>205</v>
      </c>
      <c r="F173" s="33">
        <v>2</v>
      </c>
      <c r="G173" s="233">
        <v>98.05</v>
      </c>
      <c r="H173" s="233">
        <f t="shared" si="76"/>
        <v>196.1</v>
      </c>
      <c r="I173" s="233">
        <f t="shared" si="77"/>
        <v>15.688000000000001</v>
      </c>
      <c r="J173" s="233"/>
      <c r="K173" s="233">
        <f t="shared" si="78"/>
        <v>211.78799999999998</v>
      </c>
    </row>
    <row r="174" spans="3:11" x14ac:dyDescent="0.25">
      <c r="C174" s="304">
        <v>45328</v>
      </c>
      <c r="D174" s="41" t="s">
        <v>15</v>
      </c>
      <c r="E174" s="232" t="s">
        <v>206</v>
      </c>
      <c r="F174" s="41">
        <v>10</v>
      </c>
      <c r="G174" s="232">
        <v>16.829999999999998</v>
      </c>
      <c r="H174" s="232">
        <f t="shared" si="76"/>
        <v>168.29999999999998</v>
      </c>
      <c r="I174" s="232">
        <f t="shared" si="77"/>
        <v>13.463999999999999</v>
      </c>
      <c r="J174" s="232"/>
      <c r="K174" s="232">
        <f t="shared" si="78"/>
        <v>181.76399999999998</v>
      </c>
    </row>
    <row r="175" spans="3:11" x14ac:dyDescent="0.25">
      <c r="C175" s="304">
        <v>45328</v>
      </c>
      <c r="D175" s="41" t="s">
        <v>15</v>
      </c>
      <c r="E175" s="232" t="s">
        <v>207</v>
      </c>
      <c r="F175" s="41">
        <v>3</v>
      </c>
      <c r="G175" s="232">
        <v>680</v>
      </c>
      <c r="H175" s="232">
        <f t="shared" si="76"/>
        <v>2040</v>
      </c>
      <c r="I175" s="232">
        <f t="shared" si="77"/>
        <v>163.20000000000002</v>
      </c>
      <c r="J175" s="232"/>
      <c r="K175" s="232">
        <f t="shared" si="78"/>
        <v>2203.1999999999998</v>
      </c>
    </row>
    <row r="176" spans="3:11" x14ac:dyDescent="0.25">
      <c r="C176" s="304">
        <v>45328</v>
      </c>
      <c r="D176" s="41" t="s">
        <v>15</v>
      </c>
      <c r="E176" s="232" t="s">
        <v>208</v>
      </c>
      <c r="F176" s="41">
        <v>7</v>
      </c>
      <c r="G176" s="232">
        <v>16.829999999999998</v>
      </c>
      <c r="H176" s="232">
        <f t="shared" si="76"/>
        <v>117.80999999999999</v>
      </c>
      <c r="I176" s="232">
        <f t="shared" si="77"/>
        <v>9.4247999999999994</v>
      </c>
      <c r="J176" s="232"/>
      <c r="K176" s="232">
        <f t="shared" si="78"/>
        <v>127.23479999999999</v>
      </c>
    </row>
    <row r="177" spans="3:15" x14ac:dyDescent="0.25">
      <c r="C177" s="304">
        <v>45328</v>
      </c>
      <c r="D177" s="41" t="s">
        <v>15</v>
      </c>
      <c r="E177" s="232" t="s">
        <v>209</v>
      </c>
      <c r="F177" s="41">
        <v>20</v>
      </c>
      <c r="G177" s="232">
        <v>21.63</v>
      </c>
      <c r="H177" s="232">
        <f t="shared" si="76"/>
        <v>432.59999999999997</v>
      </c>
      <c r="I177" s="232">
        <f t="shared" si="77"/>
        <v>34.607999999999997</v>
      </c>
      <c r="J177" s="232"/>
      <c r="K177" s="232">
        <f t="shared" si="78"/>
        <v>467.20799999999997</v>
      </c>
      <c r="N177" s="1" t="s">
        <v>325</v>
      </c>
      <c r="O177" t="s">
        <v>326</v>
      </c>
    </row>
    <row r="178" spans="3:15" x14ac:dyDescent="0.25">
      <c r="C178" s="304">
        <v>45328</v>
      </c>
      <c r="D178" s="41" t="s">
        <v>15</v>
      </c>
      <c r="E178" s="232" t="s">
        <v>210</v>
      </c>
      <c r="F178" s="41">
        <v>1</v>
      </c>
      <c r="G178" s="232">
        <v>23.1</v>
      </c>
      <c r="H178" s="232">
        <f t="shared" si="76"/>
        <v>23.1</v>
      </c>
      <c r="I178" s="232">
        <f t="shared" si="77"/>
        <v>1.8480000000000001</v>
      </c>
      <c r="J178" s="232"/>
      <c r="K178" s="232">
        <f t="shared" si="78"/>
        <v>24.948</v>
      </c>
      <c r="N178" s="1" t="s">
        <v>274</v>
      </c>
      <c r="O178" t="s">
        <v>324</v>
      </c>
    </row>
    <row r="179" spans="3:15" x14ac:dyDescent="0.25">
      <c r="C179" s="303">
        <v>45328</v>
      </c>
      <c r="D179" s="33" t="s">
        <v>15</v>
      </c>
      <c r="E179" s="233" t="s">
        <v>125</v>
      </c>
      <c r="F179" s="33">
        <v>2</v>
      </c>
      <c r="G179" s="233">
        <v>45.99</v>
      </c>
      <c r="H179" s="233">
        <f t="shared" si="76"/>
        <v>91.98</v>
      </c>
      <c r="I179" s="233">
        <f t="shared" si="77"/>
        <v>7.3584000000000005</v>
      </c>
      <c r="J179" s="233"/>
      <c r="K179" s="233">
        <f t="shared" si="78"/>
        <v>99.338400000000007</v>
      </c>
      <c r="N179" s="1" t="s">
        <v>269</v>
      </c>
    </row>
    <row r="180" spans="3:15" x14ac:dyDescent="0.25">
      <c r="C180" s="303">
        <v>45328</v>
      </c>
      <c r="D180" s="33" t="s">
        <v>15</v>
      </c>
      <c r="E180" s="233" t="s">
        <v>211</v>
      </c>
      <c r="F180" s="33">
        <v>1</v>
      </c>
      <c r="G180" s="233">
        <v>64.430000000000007</v>
      </c>
      <c r="H180" s="233">
        <f t="shared" si="76"/>
        <v>64.430000000000007</v>
      </c>
      <c r="I180" s="233">
        <f t="shared" si="77"/>
        <v>5.1544000000000008</v>
      </c>
      <c r="J180" s="233"/>
      <c r="K180" s="233">
        <f t="shared" si="78"/>
        <v>69.584400000000002</v>
      </c>
    </row>
    <row r="181" spans="3:15" x14ac:dyDescent="0.25">
      <c r="C181" s="304">
        <v>45328</v>
      </c>
      <c r="D181" s="41" t="s">
        <v>15</v>
      </c>
      <c r="E181" s="232" t="s">
        <v>212</v>
      </c>
      <c r="F181" s="41">
        <v>21</v>
      </c>
      <c r="G181" s="232">
        <v>17.79</v>
      </c>
      <c r="H181" s="232">
        <f t="shared" si="76"/>
        <v>373.59</v>
      </c>
      <c r="I181" s="232">
        <f t="shared" si="77"/>
        <v>29.8872</v>
      </c>
      <c r="J181" s="232"/>
      <c r="K181" s="232">
        <f t="shared" si="78"/>
        <v>403.47719999999998</v>
      </c>
    </row>
    <row r="182" spans="3:15" x14ac:dyDescent="0.25">
      <c r="C182" s="303">
        <v>45328</v>
      </c>
      <c r="D182" s="33" t="s">
        <v>15</v>
      </c>
      <c r="E182" s="233" t="s">
        <v>23</v>
      </c>
      <c r="F182" s="33">
        <v>4</v>
      </c>
      <c r="G182" s="233">
        <v>32.659999999999997</v>
      </c>
      <c r="H182" s="233">
        <f t="shared" si="76"/>
        <v>130.63999999999999</v>
      </c>
      <c r="I182" s="233">
        <f t="shared" si="77"/>
        <v>10.451199999999998</v>
      </c>
      <c r="J182" s="233"/>
      <c r="K182" s="233">
        <f t="shared" si="78"/>
        <v>141.09119999999999</v>
      </c>
    </row>
    <row r="183" spans="3:15" x14ac:dyDescent="0.25">
      <c r="C183" s="303">
        <v>45328</v>
      </c>
      <c r="D183" s="33" t="s">
        <v>15</v>
      </c>
      <c r="E183" s="233" t="s">
        <v>159</v>
      </c>
      <c r="F183" s="33">
        <v>4</v>
      </c>
      <c r="G183" s="233">
        <v>13.83</v>
      </c>
      <c r="H183" s="233">
        <f t="shared" si="76"/>
        <v>55.32</v>
      </c>
      <c r="I183" s="233">
        <f t="shared" si="77"/>
        <v>4.4256000000000002</v>
      </c>
      <c r="J183" s="233"/>
      <c r="K183" s="233">
        <f t="shared" si="78"/>
        <v>59.745600000000003</v>
      </c>
    </row>
    <row r="184" spans="3:15" x14ac:dyDescent="0.25">
      <c r="C184" s="303">
        <v>45328</v>
      </c>
      <c r="D184" s="33" t="s">
        <v>15</v>
      </c>
      <c r="E184" s="233" t="s">
        <v>166</v>
      </c>
      <c r="F184" s="33">
        <v>1</v>
      </c>
      <c r="G184" s="233">
        <v>49.43</v>
      </c>
      <c r="H184" s="233">
        <f t="shared" si="76"/>
        <v>49.43</v>
      </c>
      <c r="I184" s="233">
        <f t="shared" si="77"/>
        <v>3.9544000000000001</v>
      </c>
      <c r="J184" s="233"/>
      <c r="K184" s="233">
        <f t="shared" si="78"/>
        <v>53.384399999999999</v>
      </c>
    </row>
    <row r="185" spans="3:15" x14ac:dyDescent="0.25">
      <c r="C185" s="303">
        <v>45328</v>
      </c>
      <c r="D185" s="33" t="s">
        <v>15</v>
      </c>
      <c r="E185" s="233" t="s">
        <v>193</v>
      </c>
      <c r="F185" s="33">
        <v>1</v>
      </c>
      <c r="G185" s="233">
        <v>50.7</v>
      </c>
      <c r="H185" s="233">
        <f t="shared" si="76"/>
        <v>50.7</v>
      </c>
      <c r="I185" s="233">
        <f t="shared" si="77"/>
        <v>4.056</v>
      </c>
      <c r="J185" s="233"/>
      <c r="K185" s="233">
        <f t="shared" si="78"/>
        <v>54.756</v>
      </c>
    </row>
    <row r="186" spans="3:15" x14ac:dyDescent="0.25">
      <c r="C186" s="303">
        <v>45328</v>
      </c>
      <c r="D186" s="33" t="s">
        <v>15</v>
      </c>
      <c r="E186" s="233" t="s">
        <v>213</v>
      </c>
      <c r="F186" s="33">
        <v>2</v>
      </c>
      <c r="G186" s="233">
        <v>30.87</v>
      </c>
      <c r="H186" s="233">
        <f t="shared" si="76"/>
        <v>61.74</v>
      </c>
      <c r="I186" s="233">
        <f t="shared" si="77"/>
        <v>4.9392000000000005</v>
      </c>
      <c r="J186" s="233"/>
      <c r="K186" s="233">
        <f t="shared" si="78"/>
        <v>66.679200000000009</v>
      </c>
    </row>
    <row r="187" spans="3:15" x14ac:dyDescent="0.25">
      <c r="C187" s="303">
        <v>45328</v>
      </c>
      <c r="D187" s="33" t="s">
        <v>15</v>
      </c>
      <c r="E187" s="233" t="s">
        <v>214</v>
      </c>
      <c r="F187" s="33">
        <v>3</v>
      </c>
      <c r="G187" s="233">
        <v>25.74</v>
      </c>
      <c r="H187" s="233">
        <f t="shared" si="76"/>
        <v>77.22</v>
      </c>
      <c r="I187" s="233">
        <f t="shared" si="77"/>
        <v>6.1776</v>
      </c>
      <c r="J187" s="233"/>
      <c r="K187" s="233">
        <f t="shared" si="78"/>
        <v>83.397599999999997</v>
      </c>
    </row>
    <row r="188" spans="3:15" x14ac:dyDescent="0.25">
      <c r="C188" s="303">
        <v>45328</v>
      </c>
      <c r="D188" s="33" t="s">
        <v>15</v>
      </c>
      <c r="E188" s="233" t="s">
        <v>215</v>
      </c>
      <c r="F188" s="33">
        <v>25</v>
      </c>
      <c r="G188" s="233">
        <v>2.2999999999999998</v>
      </c>
      <c r="H188" s="233">
        <f t="shared" si="76"/>
        <v>57.499999999999993</v>
      </c>
      <c r="I188" s="233">
        <f t="shared" si="77"/>
        <v>4.5999999999999996</v>
      </c>
      <c r="J188" s="233"/>
      <c r="K188" s="233">
        <f t="shared" si="78"/>
        <v>62.099999999999994</v>
      </c>
    </row>
    <row r="189" spans="3:15" x14ac:dyDescent="0.25">
      <c r="C189" s="303">
        <v>45328</v>
      </c>
      <c r="D189" s="33" t="s">
        <v>15</v>
      </c>
      <c r="E189" s="233" t="s">
        <v>175</v>
      </c>
      <c r="F189" s="33">
        <v>15</v>
      </c>
      <c r="G189" s="233">
        <v>3.57</v>
      </c>
      <c r="H189" s="233">
        <f t="shared" si="76"/>
        <v>53.55</v>
      </c>
      <c r="I189" s="233">
        <f t="shared" si="77"/>
        <v>4.2839999999999998</v>
      </c>
      <c r="J189" s="233"/>
      <c r="K189" s="233">
        <f t="shared" si="78"/>
        <v>57.833999999999996</v>
      </c>
    </row>
    <row r="190" spans="3:15" x14ac:dyDescent="0.25">
      <c r="C190" s="303">
        <v>45328</v>
      </c>
      <c r="D190" s="33" t="s">
        <v>15</v>
      </c>
      <c r="E190" s="233" t="s">
        <v>216</v>
      </c>
      <c r="F190" s="33">
        <v>10</v>
      </c>
      <c r="G190" s="233">
        <v>2.1800000000000002</v>
      </c>
      <c r="H190" s="233">
        <f t="shared" si="76"/>
        <v>21.8</v>
      </c>
      <c r="I190" s="233">
        <f t="shared" si="77"/>
        <v>1.744</v>
      </c>
      <c r="J190" s="233"/>
      <c r="K190" s="233">
        <f t="shared" si="78"/>
        <v>23.544</v>
      </c>
    </row>
    <row r="191" spans="3:15" x14ac:dyDescent="0.25">
      <c r="C191" s="303">
        <v>45328</v>
      </c>
      <c r="D191" s="33" t="s">
        <v>15</v>
      </c>
      <c r="E191" s="233" t="s">
        <v>179</v>
      </c>
      <c r="F191" s="33">
        <v>5</v>
      </c>
      <c r="G191" s="233">
        <v>1.27</v>
      </c>
      <c r="H191" s="233">
        <f t="shared" si="76"/>
        <v>6.35</v>
      </c>
      <c r="I191" s="233">
        <f t="shared" si="77"/>
        <v>0.50800000000000001</v>
      </c>
      <c r="J191" s="233"/>
      <c r="K191" s="233">
        <f t="shared" si="78"/>
        <v>6.8579999999999997</v>
      </c>
    </row>
    <row r="192" spans="3:15" x14ac:dyDescent="0.25">
      <c r="C192" s="303">
        <v>45328</v>
      </c>
      <c r="D192" s="33" t="s">
        <v>15</v>
      </c>
      <c r="E192" s="233" t="s">
        <v>217</v>
      </c>
      <c r="F192" s="33">
        <v>3</v>
      </c>
      <c r="G192" s="233">
        <v>2.14</v>
      </c>
      <c r="H192" s="233">
        <f t="shared" si="76"/>
        <v>6.42</v>
      </c>
      <c r="I192" s="233">
        <f t="shared" si="77"/>
        <v>0.51360000000000006</v>
      </c>
      <c r="J192" s="233"/>
      <c r="K192" s="233">
        <f t="shared" si="78"/>
        <v>6.9336000000000002</v>
      </c>
    </row>
    <row r="193" spans="3:11" x14ac:dyDescent="0.25">
      <c r="C193" s="303">
        <v>45328</v>
      </c>
      <c r="D193" s="33" t="s">
        <v>15</v>
      </c>
      <c r="E193" s="233" t="s">
        <v>218</v>
      </c>
      <c r="F193" s="237">
        <v>15</v>
      </c>
      <c r="G193" s="233">
        <v>1.28</v>
      </c>
      <c r="H193" s="233">
        <f t="shared" si="76"/>
        <v>19.2</v>
      </c>
      <c r="I193" s="233">
        <f t="shared" si="77"/>
        <v>1.536</v>
      </c>
      <c r="J193" s="233"/>
      <c r="K193" s="233">
        <f t="shared" si="78"/>
        <v>20.736000000000001</v>
      </c>
    </row>
    <row r="194" spans="3:11" x14ac:dyDescent="0.25">
      <c r="C194" s="303">
        <v>45328</v>
      </c>
      <c r="D194" s="33" t="s">
        <v>15</v>
      </c>
      <c r="E194" s="233" t="s">
        <v>219</v>
      </c>
      <c r="F194" s="33">
        <v>3</v>
      </c>
      <c r="G194" s="233">
        <v>2.14</v>
      </c>
      <c r="H194" s="233">
        <f t="shared" si="76"/>
        <v>6.42</v>
      </c>
      <c r="I194" s="233">
        <f t="shared" si="77"/>
        <v>0.51360000000000006</v>
      </c>
      <c r="J194" s="233"/>
      <c r="K194" s="233">
        <f t="shared" si="78"/>
        <v>6.9336000000000002</v>
      </c>
    </row>
    <row r="195" spans="3:11" x14ac:dyDescent="0.25">
      <c r="C195" s="303">
        <v>45328</v>
      </c>
      <c r="D195" s="33" t="s">
        <v>15</v>
      </c>
      <c r="E195" s="233" t="s">
        <v>220</v>
      </c>
      <c r="F195" s="33">
        <v>12</v>
      </c>
      <c r="G195" s="233">
        <v>1.21</v>
      </c>
      <c r="H195" s="233">
        <f t="shared" si="76"/>
        <v>14.52</v>
      </c>
      <c r="I195" s="233">
        <f t="shared" si="77"/>
        <v>1.1616</v>
      </c>
      <c r="J195" s="233"/>
      <c r="K195" s="233">
        <f t="shared" si="78"/>
        <v>15.6816</v>
      </c>
    </row>
    <row r="196" spans="3:11" x14ac:dyDescent="0.25">
      <c r="C196" s="295">
        <v>45328</v>
      </c>
      <c r="D196" s="23" t="s">
        <v>15</v>
      </c>
      <c r="E196" s="229" t="s">
        <v>221</v>
      </c>
      <c r="F196" s="23">
        <v>1</v>
      </c>
      <c r="G196" s="229">
        <v>100</v>
      </c>
      <c r="H196" s="229">
        <f t="shared" si="76"/>
        <v>100</v>
      </c>
      <c r="I196" s="229">
        <f t="shared" si="77"/>
        <v>8</v>
      </c>
      <c r="J196" s="229"/>
      <c r="K196" s="229">
        <f t="shared" si="78"/>
        <v>108</v>
      </c>
    </row>
    <row r="197" spans="3:11" x14ac:dyDescent="0.25">
      <c r="C197" s="67">
        <v>45328</v>
      </c>
      <c r="D197" s="26" t="s">
        <v>197</v>
      </c>
      <c r="E197" s="225" t="s">
        <v>222</v>
      </c>
      <c r="F197" s="26">
        <v>8.94</v>
      </c>
      <c r="G197" s="225">
        <v>25.8</v>
      </c>
      <c r="H197" s="225">
        <f t="shared" si="76"/>
        <v>230.65199999999999</v>
      </c>
      <c r="I197" s="225">
        <f t="shared" si="77"/>
        <v>18.452159999999999</v>
      </c>
      <c r="J197" s="225"/>
      <c r="K197" s="225">
        <f t="shared" si="78"/>
        <v>249.10415999999998</v>
      </c>
    </row>
    <row r="198" spans="3:11" x14ac:dyDescent="0.25">
      <c r="C198" s="67">
        <v>45328</v>
      </c>
      <c r="D198" s="26" t="s">
        <v>57</v>
      </c>
      <c r="E198" s="225" t="s">
        <v>223</v>
      </c>
      <c r="F198" s="26">
        <v>9.6</v>
      </c>
      <c r="G198" s="225">
        <v>30.67</v>
      </c>
      <c r="H198" s="225">
        <f t="shared" si="76"/>
        <v>294.43200000000002</v>
      </c>
      <c r="I198" s="225">
        <f t="shared" si="77"/>
        <v>23.554560000000002</v>
      </c>
      <c r="J198" s="225"/>
      <c r="K198" s="225">
        <f t="shared" si="78"/>
        <v>317.98656</v>
      </c>
    </row>
    <row r="199" spans="3:11" x14ac:dyDescent="0.25">
      <c r="C199" s="306">
        <v>45330</v>
      </c>
      <c r="D199" s="18" t="s">
        <v>13</v>
      </c>
      <c r="E199" s="230" t="s">
        <v>263</v>
      </c>
      <c r="F199" s="18">
        <v>1</v>
      </c>
      <c r="G199" s="230">
        <f>515/1.08</f>
        <v>476.85185185185185</v>
      </c>
      <c r="H199" s="230">
        <f t="shared" ref="H199:H209" si="79">F199*G199</f>
        <v>476.85185185185185</v>
      </c>
      <c r="I199" s="230">
        <f t="shared" ref="I199:I209" si="80">H199*0.08</f>
        <v>38.148148148148145</v>
      </c>
      <c r="J199" s="230"/>
      <c r="K199" s="230">
        <f t="shared" ref="K199:K209" si="81">SUM(H199:I199)-J199</f>
        <v>515</v>
      </c>
    </row>
    <row r="200" spans="3:11" x14ac:dyDescent="0.25">
      <c r="C200" s="306">
        <v>45330</v>
      </c>
      <c r="D200" s="18" t="s">
        <v>13</v>
      </c>
      <c r="E200" s="230" t="s">
        <v>264</v>
      </c>
      <c r="F200" s="18">
        <v>1</v>
      </c>
      <c r="G200" s="230">
        <f>275/1.08</f>
        <v>254.62962962962962</v>
      </c>
      <c r="H200" s="230">
        <f t="shared" si="79"/>
        <v>254.62962962962962</v>
      </c>
      <c r="I200" s="230">
        <f t="shared" si="80"/>
        <v>20.37037037037037</v>
      </c>
      <c r="J200" s="230"/>
      <c r="K200" s="230">
        <f t="shared" si="81"/>
        <v>275</v>
      </c>
    </row>
    <row r="201" spans="3:11" x14ac:dyDescent="0.25">
      <c r="C201" s="305">
        <v>45331</v>
      </c>
      <c r="D201" s="38" t="s">
        <v>227</v>
      </c>
      <c r="E201" s="224" t="s">
        <v>256</v>
      </c>
      <c r="F201" s="38">
        <v>1</v>
      </c>
      <c r="G201" s="224">
        <v>107.25</v>
      </c>
      <c r="H201" s="224">
        <f t="shared" si="79"/>
        <v>107.25</v>
      </c>
      <c r="I201" s="224">
        <f t="shared" si="80"/>
        <v>8.58</v>
      </c>
      <c r="J201" s="224"/>
      <c r="K201" s="224">
        <f t="shared" si="81"/>
        <v>115.83</v>
      </c>
    </row>
    <row r="202" spans="3:11" x14ac:dyDescent="0.25">
      <c r="C202" s="305">
        <v>45331</v>
      </c>
      <c r="D202" s="38" t="s">
        <v>13</v>
      </c>
      <c r="E202" s="224" t="s">
        <v>257</v>
      </c>
      <c r="F202" s="38">
        <v>2</v>
      </c>
      <c r="G202" s="224">
        <f>129/1.08</f>
        <v>119.44444444444444</v>
      </c>
      <c r="H202" s="224">
        <f t="shared" si="79"/>
        <v>238.88888888888889</v>
      </c>
      <c r="I202" s="224">
        <f t="shared" si="80"/>
        <v>19.111111111111111</v>
      </c>
      <c r="J202" s="224"/>
      <c r="K202" s="224">
        <f t="shared" si="81"/>
        <v>258</v>
      </c>
    </row>
    <row r="203" spans="3:11" x14ac:dyDescent="0.25">
      <c r="C203" s="305">
        <v>45331</v>
      </c>
      <c r="D203" s="38" t="s">
        <v>13</v>
      </c>
      <c r="E203" s="224" t="s">
        <v>258</v>
      </c>
      <c r="F203" s="38">
        <v>4</v>
      </c>
      <c r="G203" s="224">
        <f>31/1.08</f>
        <v>28.703703703703702</v>
      </c>
      <c r="H203" s="224">
        <f t="shared" si="79"/>
        <v>114.81481481481481</v>
      </c>
      <c r="I203" s="224">
        <f t="shared" si="80"/>
        <v>9.1851851851851851</v>
      </c>
      <c r="J203" s="224"/>
      <c r="K203" s="224">
        <f t="shared" si="81"/>
        <v>124</v>
      </c>
    </row>
    <row r="204" spans="3:11" x14ac:dyDescent="0.25">
      <c r="C204" s="305">
        <v>45331</v>
      </c>
      <c r="D204" s="38" t="s">
        <v>13</v>
      </c>
      <c r="E204" s="224" t="s">
        <v>259</v>
      </c>
      <c r="F204" s="38">
        <v>3</v>
      </c>
      <c r="G204" s="224">
        <f>138/1.08</f>
        <v>127.77777777777777</v>
      </c>
      <c r="H204" s="224">
        <f t="shared" si="79"/>
        <v>383.33333333333331</v>
      </c>
      <c r="I204" s="224">
        <f t="shared" si="80"/>
        <v>30.666666666666664</v>
      </c>
      <c r="J204" s="224"/>
      <c r="K204" s="224">
        <f t="shared" si="81"/>
        <v>414</v>
      </c>
    </row>
    <row r="205" spans="3:11" x14ac:dyDescent="0.25">
      <c r="C205" s="305">
        <v>45331</v>
      </c>
      <c r="D205" s="38" t="s">
        <v>231</v>
      </c>
      <c r="E205" s="224" t="s">
        <v>443</v>
      </c>
      <c r="F205" s="38">
        <v>6</v>
      </c>
      <c r="G205" s="224">
        <v>800</v>
      </c>
      <c r="H205" s="224">
        <f t="shared" ref="H205:H206" si="82">F205*G205</f>
        <v>4800</v>
      </c>
      <c r="I205" s="224">
        <f t="shared" ref="I205:I206" si="83">H205*0.08</f>
        <v>384</v>
      </c>
      <c r="J205" s="224"/>
      <c r="K205" s="224">
        <f t="shared" ref="K205:K206" si="84">SUM(H205:I205)-J205</f>
        <v>5184</v>
      </c>
    </row>
    <row r="206" spans="3:11" x14ac:dyDescent="0.25">
      <c r="C206" s="305">
        <v>45331</v>
      </c>
      <c r="D206" s="38" t="s">
        <v>231</v>
      </c>
      <c r="E206" s="224" t="s">
        <v>441</v>
      </c>
      <c r="F206" s="38">
        <v>6</v>
      </c>
      <c r="G206" s="224">
        <v>834</v>
      </c>
      <c r="H206" s="224">
        <f t="shared" si="82"/>
        <v>5004</v>
      </c>
      <c r="I206" s="224">
        <f t="shared" si="83"/>
        <v>400.32</v>
      </c>
      <c r="J206" s="224"/>
      <c r="K206" s="224">
        <f t="shared" si="84"/>
        <v>5404.32</v>
      </c>
    </row>
    <row r="207" spans="3:11" x14ac:dyDescent="0.25">
      <c r="C207" s="305">
        <v>45331</v>
      </c>
      <c r="D207" s="38" t="s">
        <v>13</v>
      </c>
      <c r="E207" s="224" t="s">
        <v>260</v>
      </c>
      <c r="F207" s="38">
        <v>1</v>
      </c>
      <c r="G207" s="224">
        <f>19.9/1.08</f>
        <v>18.425925925925924</v>
      </c>
      <c r="H207" s="224">
        <f t="shared" si="79"/>
        <v>18.425925925925924</v>
      </c>
      <c r="I207" s="224">
        <f t="shared" si="80"/>
        <v>1.4740740740740739</v>
      </c>
      <c r="J207" s="224"/>
      <c r="K207" s="224">
        <f t="shared" si="81"/>
        <v>19.899999999999999</v>
      </c>
    </row>
    <row r="208" spans="3:11" x14ac:dyDescent="0.25">
      <c r="C208" s="309">
        <v>45331</v>
      </c>
      <c r="D208" s="45" t="s">
        <v>13</v>
      </c>
      <c r="E208" s="238" t="s">
        <v>261</v>
      </c>
      <c r="F208" s="45">
        <v>3</v>
      </c>
      <c r="G208" s="238">
        <f>921/1.08</f>
        <v>852.77777777777771</v>
      </c>
      <c r="H208" s="238">
        <f t="shared" si="79"/>
        <v>2558.333333333333</v>
      </c>
      <c r="I208" s="238">
        <f t="shared" si="80"/>
        <v>204.66666666666666</v>
      </c>
      <c r="J208" s="238"/>
      <c r="K208" s="238">
        <f t="shared" si="81"/>
        <v>2762.9999999999995</v>
      </c>
    </row>
    <row r="209" spans="3:21" x14ac:dyDescent="0.25">
      <c r="C209" s="303">
        <v>45331</v>
      </c>
      <c r="D209" s="33" t="s">
        <v>13</v>
      </c>
      <c r="E209" s="233" t="s">
        <v>262</v>
      </c>
      <c r="F209" s="33">
        <v>2</v>
      </c>
      <c r="G209" s="233">
        <f>191.81/1.08</f>
        <v>177.60185185185185</v>
      </c>
      <c r="H209" s="233">
        <f t="shared" si="79"/>
        <v>355.2037037037037</v>
      </c>
      <c r="I209" s="233">
        <f t="shared" si="80"/>
        <v>28.416296296296295</v>
      </c>
      <c r="J209" s="233"/>
      <c r="K209" s="233">
        <f t="shared" si="81"/>
        <v>383.62</v>
      </c>
    </row>
    <row r="210" spans="3:21" x14ac:dyDescent="0.25">
      <c r="C210" s="67">
        <v>45331</v>
      </c>
      <c r="D210" s="26" t="s">
        <v>13</v>
      </c>
      <c r="E210" s="225" t="s">
        <v>66</v>
      </c>
      <c r="F210" s="26">
        <v>50</v>
      </c>
      <c r="G210" s="225">
        <f>26.9/1.08</f>
        <v>24.907407407407405</v>
      </c>
      <c r="H210" s="225">
        <f t="shared" ref="H210:H211" si="85">F210*G210</f>
        <v>1245.3703703703702</v>
      </c>
      <c r="I210" s="225">
        <f t="shared" ref="I210:I227" si="86">H210*0.08</f>
        <v>99.629629629629619</v>
      </c>
      <c r="J210" s="225"/>
      <c r="K210" s="225">
        <f t="shared" ref="K210:K211" si="87">SUM(H210:I210)-J210</f>
        <v>1344.9999999999998</v>
      </c>
    </row>
    <row r="211" spans="3:21" x14ac:dyDescent="0.25">
      <c r="C211" s="306">
        <v>45331</v>
      </c>
      <c r="D211" s="18" t="s">
        <v>13</v>
      </c>
      <c r="E211" s="230" t="s">
        <v>283</v>
      </c>
      <c r="F211" s="18">
        <v>1</v>
      </c>
      <c r="G211" s="230">
        <f>875/1.08-86</f>
        <v>724.18518518518511</v>
      </c>
      <c r="H211" s="230">
        <f t="shared" si="85"/>
        <v>724.18518518518511</v>
      </c>
      <c r="I211" s="230">
        <f t="shared" si="86"/>
        <v>57.934814814814807</v>
      </c>
      <c r="J211" s="230"/>
      <c r="K211" s="230">
        <f t="shared" si="87"/>
        <v>782.11999999999989</v>
      </c>
    </row>
    <row r="212" spans="3:21" x14ac:dyDescent="0.25">
      <c r="C212" s="67">
        <v>45331</v>
      </c>
      <c r="D212" s="26" t="s">
        <v>288</v>
      </c>
      <c r="E212" s="225" t="s">
        <v>289</v>
      </c>
      <c r="F212" s="26">
        <v>1</v>
      </c>
      <c r="G212" s="225">
        <v>538.70000000000005</v>
      </c>
      <c r="H212" s="225">
        <f t="shared" ref="H212:H227" si="88">F212*G212</f>
        <v>538.70000000000005</v>
      </c>
      <c r="I212" s="225">
        <f>H212*0.16</f>
        <v>86.192000000000007</v>
      </c>
      <c r="J212" s="225"/>
      <c r="K212" s="225">
        <f t="shared" ref="K212:K227" si="89">SUM(H212:I212)-J212</f>
        <v>624.89200000000005</v>
      </c>
    </row>
    <row r="213" spans="3:21" x14ac:dyDescent="0.25">
      <c r="C213" s="67">
        <v>45331</v>
      </c>
      <c r="D213" s="26" t="s">
        <v>288</v>
      </c>
      <c r="E213" s="225" t="s">
        <v>290</v>
      </c>
      <c r="F213" s="26">
        <v>36</v>
      </c>
      <c r="G213" s="225">
        <v>12.7</v>
      </c>
      <c r="H213" s="225">
        <f t="shared" si="88"/>
        <v>457.2</v>
      </c>
      <c r="I213" s="225">
        <f>H213*0.16</f>
        <v>73.152000000000001</v>
      </c>
      <c r="J213" s="225"/>
      <c r="K213" s="225">
        <f t="shared" si="89"/>
        <v>530.35199999999998</v>
      </c>
    </row>
    <row r="214" spans="3:21" x14ac:dyDescent="0.25">
      <c r="C214" s="298">
        <v>45331</v>
      </c>
      <c r="D214" s="30" t="s">
        <v>291</v>
      </c>
      <c r="E214" s="239" t="s">
        <v>292</v>
      </c>
      <c r="F214" s="30">
        <v>2</v>
      </c>
      <c r="G214" s="239">
        <v>610</v>
      </c>
      <c r="H214" s="239">
        <f t="shared" si="88"/>
        <v>1220</v>
      </c>
      <c r="I214" s="239">
        <f t="shared" si="86"/>
        <v>97.600000000000009</v>
      </c>
      <c r="J214" s="239"/>
      <c r="K214" s="239">
        <f t="shared" si="89"/>
        <v>1317.6</v>
      </c>
      <c r="M214" s="1"/>
      <c r="N214"/>
      <c r="P214" s="6"/>
      <c r="U214"/>
    </row>
    <row r="215" spans="3:21" x14ac:dyDescent="0.25">
      <c r="C215" s="298">
        <v>45331</v>
      </c>
      <c r="D215" s="30" t="s">
        <v>291</v>
      </c>
      <c r="E215" s="239" t="s">
        <v>293</v>
      </c>
      <c r="F215" s="30">
        <v>2</v>
      </c>
      <c r="G215" s="239">
        <v>22.76</v>
      </c>
      <c r="H215" s="239">
        <f t="shared" si="88"/>
        <v>45.52</v>
      </c>
      <c r="I215" s="239">
        <f t="shared" si="86"/>
        <v>3.6416000000000004</v>
      </c>
      <c r="J215" s="239"/>
      <c r="K215" s="239">
        <f t="shared" si="89"/>
        <v>49.161600000000007</v>
      </c>
      <c r="M215" s="1"/>
      <c r="N215"/>
      <c r="P215" s="6"/>
      <c r="U215"/>
    </row>
    <row r="216" spans="3:21" x14ac:dyDescent="0.25">
      <c r="C216" s="298">
        <v>45331</v>
      </c>
      <c r="D216" s="30" t="s">
        <v>291</v>
      </c>
      <c r="E216" s="239" t="s">
        <v>294</v>
      </c>
      <c r="F216" s="30">
        <v>1</v>
      </c>
      <c r="G216" s="239">
        <v>42.75</v>
      </c>
      <c r="H216" s="239">
        <f t="shared" si="88"/>
        <v>42.75</v>
      </c>
      <c r="I216" s="239">
        <f t="shared" si="86"/>
        <v>3.42</v>
      </c>
      <c r="J216" s="239"/>
      <c r="K216" s="239">
        <f t="shared" si="89"/>
        <v>46.17</v>
      </c>
    </row>
    <row r="217" spans="3:21" x14ac:dyDescent="0.25">
      <c r="C217" s="67">
        <v>45331</v>
      </c>
      <c r="D217" s="26" t="s">
        <v>295</v>
      </c>
      <c r="E217" s="225" t="s">
        <v>301</v>
      </c>
      <c r="F217" s="26">
        <v>70.5</v>
      </c>
      <c r="G217" s="225">
        <f>17/1.08</f>
        <v>15.74074074074074</v>
      </c>
      <c r="H217" s="225">
        <f t="shared" si="88"/>
        <v>1109.7222222222222</v>
      </c>
      <c r="I217" s="225">
        <f t="shared" si="86"/>
        <v>88.777777777777771</v>
      </c>
      <c r="J217" s="225"/>
      <c r="K217" s="225">
        <f t="shared" si="89"/>
        <v>1198.5</v>
      </c>
    </row>
    <row r="218" spans="3:21" x14ac:dyDescent="0.25">
      <c r="C218" s="308">
        <v>45331</v>
      </c>
      <c r="D218" s="48" t="s">
        <v>229</v>
      </c>
      <c r="E218" s="235"/>
      <c r="F218" s="48">
        <v>1</v>
      </c>
      <c r="G218" s="235">
        <v>7000</v>
      </c>
      <c r="H218" s="235">
        <f t="shared" si="88"/>
        <v>7000</v>
      </c>
      <c r="I218" s="235">
        <f t="shared" si="86"/>
        <v>560</v>
      </c>
      <c r="J218" s="235"/>
      <c r="K218" s="235">
        <f t="shared" si="89"/>
        <v>7560</v>
      </c>
    </row>
    <row r="219" spans="3:21" x14ac:dyDescent="0.25">
      <c r="C219" s="302">
        <v>45331</v>
      </c>
      <c r="D219" s="32" t="s">
        <v>117</v>
      </c>
      <c r="E219" s="240"/>
      <c r="F219" s="32">
        <v>1</v>
      </c>
      <c r="G219" s="240">
        <f>27600-3500</f>
        <v>24100</v>
      </c>
      <c r="H219" s="240">
        <f t="shared" si="88"/>
        <v>24100</v>
      </c>
      <c r="I219" s="240">
        <f t="shared" si="86"/>
        <v>1928</v>
      </c>
      <c r="J219" s="240"/>
      <c r="K219" s="240">
        <f t="shared" si="89"/>
        <v>26028</v>
      </c>
    </row>
    <row r="220" spans="3:21" x14ac:dyDescent="0.25">
      <c r="C220" s="42">
        <v>45331</v>
      </c>
      <c r="D220" s="1" t="s">
        <v>377</v>
      </c>
      <c r="E220" s="43" t="s">
        <v>468</v>
      </c>
      <c r="F220" s="1">
        <v>1</v>
      </c>
      <c r="G220" s="43">
        <v>13814.5</v>
      </c>
      <c r="H220" s="43">
        <v>13814.5</v>
      </c>
      <c r="I220" s="43">
        <f t="shared" ref="I220" si="90">H220*0.08</f>
        <v>1105.1600000000001</v>
      </c>
      <c r="J220" s="43">
        <f>1.25%*H220</f>
        <v>172.68125000000001</v>
      </c>
      <c r="K220" s="43">
        <f t="shared" si="89"/>
        <v>14746.97875</v>
      </c>
    </row>
    <row r="221" spans="3:21" x14ac:dyDescent="0.25">
      <c r="C221" s="301">
        <v>45331</v>
      </c>
      <c r="D221" s="52" t="s">
        <v>105</v>
      </c>
      <c r="E221" s="236"/>
      <c r="F221" s="52">
        <v>1</v>
      </c>
      <c r="G221" s="236">
        <v>2500</v>
      </c>
      <c r="H221" s="236">
        <f t="shared" si="88"/>
        <v>2500</v>
      </c>
      <c r="I221" s="236">
        <f t="shared" si="86"/>
        <v>200</v>
      </c>
      <c r="J221" s="236"/>
      <c r="K221" s="236">
        <f t="shared" si="89"/>
        <v>2700</v>
      </c>
    </row>
    <row r="222" spans="3:21" x14ac:dyDescent="0.25">
      <c r="C222" s="67">
        <v>45334</v>
      </c>
      <c r="D222" s="26" t="s">
        <v>307</v>
      </c>
      <c r="E222" s="225" t="s">
        <v>308</v>
      </c>
      <c r="F222" s="26">
        <v>10</v>
      </c>
      <c r="G222" s="225">
        <v>71.63</v>
      </c>
      <c r="H222" s="225">
        <f t="shared" si="88"/>
        <v>716.3</v>
      </c>
      <c r="I222" s="225">
        <f t="shared" si="86"/>
        <v>57.303999999999995</v>
      </c>
      <c r="J222" s="225"/>
      <c r="K222" s="225">
        <f t="shared" si="89"/>
        <v>773.60399999999993</v>
      </c>
    </row>
    <row r="223" spans="3:21" x14ac:dyDescent="0.25">
      <c r="C223" s="60">
        <v>45334</v>
      </c>
      <c r="D223" s="60" t="s">
        <v>103</v>
      </c>
      <c r="E223" s="241" t="s">
        <v>244</v>
      </c>
      <c r="F223" s="35">
        <v>3</v>
      </c>
      <c r="G223" s="241">
        <v>500</v>
      </c>
      <c r="H223" s="241">
        <f t="shared" si="88"/>
        <v>1500</v>
      </c>
      <c r="I223" s="241">
        <f t="shared" si="86"/>
        <v>120</v>
      </c>
      <c r="J223" s="241"/>
      <c r="K223" s="241">
        <f t="shared" si="89"/>
        <v>1620</v>
      </c>
    </row>
    <row r="224" spans="3:21" x14ac:dyDescent="0.25">
      <c r="C224" s="60">
        <v>45334</v>
      </c>
      <c r="D224" s="60" t="s">
        <v>103</v>
      </c>
      <c r="E224" s="35" t="s">
        <v>309</v>
      </c>
      <c r="F224" s="35">
        <v>30</v>
      </c>
      <c r="G224" s="241">
        <v>70</v>
      </c>
      <c r="H224" s="241">
        <f t="shared" si="88"/>
        <v>2100</v>
      </c>
      <c r="I224" s="241">
        <f t="shared" si="86"/>
        <v>168</v>
      </c>
      <c r="J224" s="241"/>
      <c r="K224" s="241">
        <f t="shared" si="89"/>
        <v>2268</v>
      </c>
    </row>
    <row r="225" spans="3:11" x14ac:dyDescent="0.25">
      <c r="C225" s="60">
        <v>45335</v>
      </c>
      <c r="D225" s="60" t="s">
        <v>103</v>
      </c>
      <c r="E225" s="241" t="s">
        <v>244</v>
      </c>
      <c r="F225" s="35">
        <v>3</v>
      </c>
      <c r="G225" s="241">
        <v>500</v>
      </c>
      <c r="H225" s="241">
        <f t="shared" si="88"/>
        <v>1500</v>
      </c>
      <c r="I225" s="241">
        <f t="shared" si="86"/>
        <v>120</v>
      </c>
      <c r="J225" s="241"/>
      <c r="K225" s="241">
        <f t="shared" si="89"/>
        <v>1620</v>
      </c>
    </row>
    <row r="226" spans="3:11" x14ac:dyDescent="0.25">
      <c r="C226" s="67">
        <v>45335</v>
      </c>
      <c r="D226" s="67" t="s">
        <v>311</v>
      </c>
      <c r="E226" s="26" t="s">
        <v>312</v>
      </c>
      <c r="F226" s="26">
        <v>6</v>
      </c>
      <c r="G226" s="225">
        <v>393.14</v>
      </c>
      <c r="H226" s="225">
        <f t="shared" si="88"/>
        <v>2358.84</v>
      </c>
      <c r="I226" s="225">
        <f t="shared" si="86"/>
        <v>188.70720000000003</v>
      </c>
      <c r="J226" s="225"/>
      <c r="K226" s="225">
        <f t="shared" si="89"/>
        <v>2547.5472</v>
      </c>
    </row>
    <row r="227" spans="3:11" x14ac:dyDescent="0.25">
      <c r="C227" s="67">
        <v>45335</v>
      </c>
      <c r="D227" s="67" t="s">
        <v>311</v>
      </c>
      <c r="E227" s="225" t="s">
        <v>313</v>
      </c>
      <c r="F227" s="26">
        <v>1</v>
      </c>
      <c r="G227" s="225">
        <v>171.3</v>
      </c>
      <c r="H227" s="225">
        <f t="shared" si="88"/>
        <v>171.3</v>
      </c>
      <c r="I227" s="225">
        <f t="shared" si="86"/>
        <v>13.704000000000001</v>
      </c>
      <c r="J227" s="225"/>
      <c r="K227" s="225">
        <f t="shared" si="89"/>
        <v>185.00400000000002</v>
      </c>
    </row>
    <row r="228" spans="3:11" x14ac:dyDescent="0.25">
      <c r="C228" s="60">
        <v>45336</v>
      </c>
      <c r="D228" s="60" t="s">
        <v>103</v>
      </c>
      <c r="E228" s="35" t="s">
        <v>309</v>
      </c>
      <c r="F228" s="35">
        <v>30</v>
      </c>
      <c r="G228" s="241">
        <v>70</v>
      </c>
      <c r="H228" s="241">
        <f t="shared" ref="H228:H230" si="91">F228*G228</f>
        <v>2100</v>
      </c>
      <c r="I228" s="241">
        <f t="shared" ref="I228:I230" si="92">H228*0.08</f>
        <v>168</v>
      </c>
      <c r="J228" s="241"/>
      <c r="K228" s="241">
        <f t="shared" ref="K228:K230" si="93">SUM(H228:I228)-J228</f>
        <v>2268</v>
      </c>
    </row>
    <row r="229" spans="3:11" x14ac:dyDescent="0.25">
      <c r="C229" s="60">
        <v>45336</v>
      </c>
      <c r="D229" s="60" t="s">
        <v>103</v>
      </c>
      <c r="E229" s="241" t="s">
        <v>244</v>
      </c>
      <c r="F229" s="35">
        <v>4</v>
      </c>
      <c r="G229" s="241">
        <v>500</v>
      </c>
      <c r="H229" s="241">
        <f t="shared" si="91"/>
        <v>2000</v>
      </c>
      <c r="I229" s="241">
        <f t="shared" si="92"/>
        <v>160</v>
      </c>
      <c r="J229" s="241"/>
      <c r="K229" s="241">
        <f t="shared" si="93"/>
        <v>2160</v>
      </c>
    </row>
    <row r="230" spans="3:11" x14ac:dyDescent="0.25">
      <c r="C230" s="60">
        <v>45336</v>
      </c>
      <c r="D230" s="60" t="s">
        <v>103</v>
      </c>
      <c r="E230" s="35" t="s">
        <v>310</v>
      </c>
      <c r="F230" s="35">
        <v>30</v>
      </c>
      <c r="G230" s="241">
        <v>170</v>
      </c>
      <c r="H230" s="241">
        <f t="shared" si="91"/>
        <v>5100</v>
      </c>
      <c r="I230" s="241">
        <f t="shared" si="92"/>
        <v>408</v>
      </c>
      <c r="J230" s="241"/>
      <c r="K230" s="241">
        <f t="shared" si="93"/>
        <v>5508</v>
      </c>
    </row>
    <row r="231" spans="3:11" x14ac:dyDescent="0.25">
      <c r="C231" s="310">
        <v>45336</v>
      </c>
      <c r="D231" s="109" t="s">
        <v>13</v>
      </c>
      <c r="E231" s="109" t="s">
        <v>336</v>
      </c>
      <c r="F231" s="109">
        <v>6</v>
      </c>
      <c r="G231" s="311">
        <f>325/1.08</f>
        <v>300.92592592592592</v>
      </c>
      <c r="H231" s="311">
        <f t="shared" ref="H231:H245" si="94">F231*G231</f>
        <v>1805.5555555555557</v>
      </c>
      <c r="I231" s="311">
        <f t="shared" ref="I231:I245" si="95">H231*0.08</f>
        <v>144.44444444444446</v>
      </c>
      <c r="J231" s="311"/>
      <c r="K231" s="311">
        <f t="shared" ref="K231:K245" si="96">SUM(H231:I231)-J231</f>
        <v>1950</v>
      </c>
    </row>
    <row r="232" spans="3:11" x14ac:dyDescent="0.25">
      <c r="C232" s="295">
        <v>45336</v>
      </c>
      <c r="D232" s="23" t="s">
        <v>13</v>
      </c>
      <c r="E232" s="23" t="s">
        <v>337</v>
      </c>
      <c r="F232" s="23">
        <v>1</v>
      </c>
      <c r="G232" s="229">
        <f>685/1.08</f>
        <v>634.25925925925924</v>
      </c>
      <c r="H232" s="229">
        <f t="shared" si="94"/>
        <v>634.25925925925924</v>
      </c>
      <c r="I232" s="229">
        <f t="shared" si="95"/>
        <v>50.74074074074074</v>
      </c>
      <c r="J232" s="229"/>
      <c r="K232" s="229">
        <f t="shared" si="96"/>
        <v>685</v>
      </c>
    </row>
    <row r="233" spans="3:11" x14ac:dyDescent="0.25">
      <c r="C233" s="295">
        <v>45336</v>
      </c>
      <c r="D233" s="23" t="s">
        <v>13</v>
      </c>
      <c r="E233" s="23" t="s">
        <v>338</v>
      </c>
      <c r="F233" s="242">
        <v>1</v>
      </c>
      <c r="G233" s="229">
        <f>175/1.08</f>
        <v>162.03703703703704</v>
      </c>
      <c r="H233" s="229">
        <f t="shared" si="94"/>
        <v>162.03703703703704</v>
      </c>
      <c r="I233" s="229">
        <f t="shared" si="95"/>
        <v>12.962962962962964</v>
      </c>
      <c r="J233" s="229"/>
      <c r="K233" s="229">
        <f t="shared" si="96"/>
        <v>175</v>
      </c>
    </row>
    <row r="234" spans="3:11" x14ac:dyDescent="0.25">
      <c r="C234" s="295">
        <v>45336</v>
      </c>
      <c r="D234" s="23" t="s">
        <v>13</v>
      </c>
      <c r="E234" s="23" t="s">
        <v>339</v>
      </c>
      <c r="F234" s="242">
        <v>1</v>
      </c>
      <c r="G234" s="229">
        <f>375/1.08</f>
        <v>347.22222222222217</v>
      </c>
      <c r="H234" s="229">
        <f t="shared" si="94"/>
        <v>347.22222222222217</v>
      </c>
      <c r="I234" s="229">
        <f t="shared" si="95"/>
        <v>27.777777777777775</v>
      </c>
      <c r="J234" s="229"/>
      <c r="K234" s="229">
        <f t="shared" si="96"/>
        <v>374.99999999999994</v>
      </c>
    </row>
    <row r="235" spans="3:11" x14ac:dyDescent="0.25">
      <c r="C235" s="67">
        <v>45336</v>
      </c>
      <c r="D235" s="26" t="s">
        <v>134</v>
      </c>
      <c r="E235" s="26" t="s">
        <v>341</v>
      </c>
      <c r="F235" s="226">
        <v>25</v>
      </c>
      <c r="G235" s="225">
        <v>55.555549999999997</v>
      </c>
      <c r="H235" s="225">
        <f t="shared" si="94"/>
        <v>1388.8887499999998</v>
      </c>
      <c r="I235" s="225">
        <f t="shared" si="95"/>
        <v>111.11109999999999</v>
      </c>
      <c r="J235" s="225"/>
      <c r="K235" s="225">
        <f t="shared" si="96"/>
        <v>1499.9998499999999</v>
      </c>
    </row>
    <row r="236" spans="3:11" x14ac:dyDescent="0.25">
      <c r="C236" s="67">
        <v>45336</v>
      </c>
      <c r="D236" s="26" t="s">
        <v>134</v>
      </c>
      <c r="E236" s="26" t="s">
        <v>65</v>
      </c>
      <c r="F236" s="226">
        <v>20</v>
      </c>
      <c r="G236" s="225">
        <v>25.925000000000001</v>
      </c>
      <c r="H236" s="225">
        <f t="shared" si="94"/>
        <v>518.5</v>
      </c>
      <c r="I236" s="225">
        <f t="shared" si="95"/>
        <v>41.480000000000004</v>
      </c>
      <c r="J236" s="225"/>
      <c r="K236" s="225">
        <f t="shared" si="96"/>
        <v>559.98</v>
      </c>
    </row>
    <row r="237" spans="3:11" x14ac:dyDescent="0.25">
      <c r="C237" s="305">
        <v>45336</v>
      </c>
      <c r="D237" s="38" t="s">
        <v>134</v>
      </c>
      <c r="E237" s="38" t="s">
        <v>342</v>
      </c>
      <c r="F237" s="227">
        <v>2</v>
      </c>
      <c r="G237" s="224">
        <v>194.44399999999999</v>
      </c>
      <c r="H237" s="224">
        <f t="shared" si="94"/>
        <v>388.88799999999998</v>
      </c>
      <c r="I237" s="224">
        <f t="shared" si="95"/>
        <v>31.111039999999999</v>
      </c>
      <c r="J237" s="224"/>
      <c r="K237" s="224">
        <f>SUM(H237:I237)-J237</f>
        <v>419.99903999999998</v>
      </c>
    </row>
    <row r="238" spans="3:11" x14ac:dyDescent="0.25">
      <c r="C238" s="305">
        <v>45336</v>
      </c>
      <c r="D238" s="38" t="s">
        <v>134</v>
      </c>
      <c r="E238" s="38" t="s">
        <v>343</v>
      </c>
      <c r="F238" s="227">
        <v>1</v>
      </c>
      <c r="G238" s="224">
        <v>32.406999999999996</v>
      </c>
      <c r="H238" s="224">
        <f t="shared" si="94"/>
        <v>32.406999999999996</v>
      </c>
      <c r="I238" s="224">
        <f t="shared" si="95"/>
        <v>2.5925599999999998</v>
      </c>
      <c r="J238" s="224"/>
      <c r="K238" s="224">
        <f t="shared" si="96"/>
        <v>34.999559999999995</v>
      </c>
    </row>
    <row r="239" spans="3:11" x14ac:dyDescent="0.25">
      <c r="C239" s="308">
        <v>45338</v>
      </c>
      <c r="D239" s="48" t="s">
        <v>229</v>
      </c>
      <c r="E239" s="48"/>
      <c r="F239" s="281">
        <v>1</v>
      </c>
      <c r="G239" s="235">
        <v>3000</v>
      </c>
      <c r="H239" s="235">
        <f t="shared" ref="H239" si="97">F239*G239</f>
        <v>3000</v>
      </c>
      <c r="I239" s="235">
        <f t="shared" ref="I239" si="98">H239*0.08</f>
        <v>240</v>
      </c>
      <c r="J239" s="235"/>
      <c r="K239" s="235">
        <f t="shared" ref="K239" si="99">SUM(H239:I239)-J239</f>
        <v>3240</v>
      </c>
    </row>
    <row r="240" spans="3:11" x14ac:dyDescent="0.25">
      <c r="C240" s="302">
        <v>45338</v>
      </c>
      <c r="D240" s="32" t="s">
        <v>117</v>
      </c>
      <c r="E240" s="32"/>
      <c r="F240" s="231">
        <v>1</v>
      </c>
      <c r="G240" s="240">
        <v>25100</v>
      </c>
      <c r="H240" s="240">
        <f t="shared" ref="H240:H242" si="100">F240*G240</f>
        <v>25100</v>
      </c>
      <c r="I240" s="240">
        <f t="shared" ref="I240:I242" si="101">H240*0.08</f>
        <v>2008</v>
      </c>
      <c r="J240" s="240"/>
      <c r="K240" s="240">
        <f t="shared" ref="K240:K242" si="102">SUM(H240:I240)-J240</f>
        <v>27108</v>
      </c>
    </row>
    <row r="241" spans="2:12" x14ac:dyDescent="0.25">
      <c r="C241" s="42">
        <v>45338</v>
      </c>
      <c r="D241" s="1" t="s">
        <v>377</v>
      </c>
      <c r="F241" s="243">
        <v>1</v>
      </c>
      <c r="G241" s="43">
        <v>16325</v>
      </c>
      <c r="H241" s="43">
        <f t="shared" ref="H241" si="103">F241*G241</f>
        <v>16325</v>
      </c>
      <c r="I241" s="43">
        <f t="shared" ref="I241" si="104">H241*0.08</f>
        <v>1306</v>
      </c>
      <c r="J241" s="43">
        <f>1.25%*G241</f>
        <v>204.0625</v>
      </c>
      <c r="K241" s="43">
        <f t="shared" ref="K241" si="105">SUM(H241:I241)-J241</f>
        <v>17426.9375</v>
      </c>
    </row>
    <row r="242" spans="2:12" x14ac:dyDescent="0.25">
      <c r="C242" s="301">
        <v>45338</v>
      </c>
      <c r="D242" s="52" t="s">
        <v>431</v>
      </c>
      <c r="E242" s="52"/>
      <c r="F242" s="228">
        <v>1</v>
      </c>
      <c r="G242" s="236">
        <v>2500</v>
      </c>
      <c r="H242" s="236">
        <f t="shared" si="100"/>
        <v>2500</v>
      </c>
      <c r="I242" s="236">
        <f t="shared" si="101"/>
        <v>200</v>
      </c>
      <c r="J242" s="236"/>
      <c r="K242" s="236">
        <f t="shared" si="102"/>
        <v>2700</v>
      </c>
      <c r="L242" s="9">
        <v>20000</v>
      </c>
    </row>
    <row r="243" spans="2:12" x14ac:dyDescent="0.25">
      <c r="B243" s="286"/>
      <c r="C243" s="67">
        <v>45341</v>
      </c>
      <c r="D243" s="26" t="s">
        <v>311</v>
      </c>
      <c r="E243" s="26" t="s">
        <v>312</v>
      </c>
      <c r="F243" s="26">
        <v>2</v>
      </c>
      <c r="G243" s="225">
        <v>393.14</v>
      </c>
      <c r="H243" s="225">
        <f t="shared" si="94"/>
        <v>786.28</v>
      </c>
      <c r="I243" s="225">
        <f t="shared" si="95"/>
        <v>62.9024</v>
      </c>
      <c r="J243" s="225"/>
      <c r="K243" s="225">
        <f t="shared" si="96"/>
        <v>849.18239999999992</v>
      </c>
      <c r="L243">
        <v>7500</v>
      </c>
    </row>
    <row r="244" spans="2:12" x14ac:dyDescent="0.25">
      <c r="B244" s="286"/>
      <c r="C244" s="67">
        <v>45341</v>
      </c>
      <c r="D244" s="26" t="s">
        <v>311</v>
      </c>
      <c r="E244" s="26" t="s">
        <v>414</v>
      </c>
      <c r="F244" s="26">
        <v>1</v>
      </c>
      <c r="G244" s="225">
        <v>49.64</v>
      </c>
      <c r="H244" s="225">
        <f t="shared" si="94"/>
        <v>49.64</v>
      </c>
      <c r="I244" s="225">
        <f t="shared" si="95"/>
        <v>3.9712000000000001</v>
      </c>
      <c r="J244" s="225"/>
      <c r="K244" s="225">
        <f t="shared" si="96"/>
        <v>53.611200000000004</v>
      </c>
      <c r="L244" s="9"/>
    </row>
    <row r="245" spans="2:12" x14ac:dyDescent="0.25">
      <c r="B245" s="286"/>
      <c r="C245" s="67">
        <v>45341</v>
      </c>
      <c r="D245" s="26" t="s">
        <v>134</v>
      </c>
      <c r="E245" s="26" t="s">
        <v>415</v>
      </c>
      <c r="F245" s="26">
        <v>7</v>
      </c>
      <c r="G245" s="225">
        <v>138.88900000000001</v>
      </c>
      <c r="H245" s="225">
        <f t="shared" si="94"/>
        <v>972.22300000000007</v>
      </c>
      <c r="I245" s="225">
        <f t="shared" si="95"/>
        <v>77.777840000000012</v>
      </c>
      <c r="J245" s="225"/>
      <c r="K245" s="225">
        <f t="shared" si="96"/>
        <v>1050.0008400000002</v>
      </c>
    </row>
    <row r="246" spans="2:12" x14ac:dyDescent="0.25">
      <c r="B246" s="286"/>
      <c r="C246" s="67">
        <v>45341</v>
      </c>
      <c r="D246" s="26" t="s">
        <v>134</v>
      </c>
      <c r="E246" s="26" t="s">
        <v>416</v>
      </c>
      <c r="F246" s="26">
        <v>30</v>
      </c>
      <c r="G246" s="225">
        <v>2.778</v>
      </c>
      <c r="H246" s="225">
        <f t="shared" ref="H246:H263" si="106">F246*G246</f>
        <v>83.34</v>
      </c>
      <c r="I246" s="225">
        <f t="shared" ref="I246:I263" si="107">H246*0.08</f>
        <v>6.6672000000000002</v>
      </c>
      <c r="J246" s="225"/>
      <c r="K246" s="225">
        <f t="shared" ref="K246:K263" si="108">SUM(H246:I246)-J246</f>
        <v>90.007199999999997</v>
      </c>
    </row>
    <row r="247" spans="2:12" x14ac:dyDescent="0.25">
      <c r="B247" s="286"/>
      <c r="C247" s="67">
        <v>45341</v>
      </c>
      <c r="D247" s="26" t="s">
        <v>134</v>
      </c>
      <c r="E247" s="26" t="s">
        <v>417</v>
      </c>
      <c r="F247" s="26">
        <v>30</v>
      </c>
      <c r="G247" s="225">
        <v>3.2410000000000001</v>
      </c>
      <c r="H247" s="225">
        <f t="shared" si="106"/>
        <v>97.23</v>
      </c>
      <c r="I247" s="225">
        <f t="shared" si="107"/>
        <v>7.7784000000000004</v>
      </c>
      <c r="J247" s="225"/>
      <c r="K247" s="225">
        <f t="shared" si="108"/>
        <v>105.00840000000001</v>
      </c>
    </row>
    <row r="248" spans="2:12" x14ac:dyDescent="0.25">
      <c r="B248" s="286"/>
      <c r="C248" s="312">
        <v>45341</v>
      </c>
      <c r="D248" s="165" t="s">
        <v>134</v>
      </c>
      <c r="E248" s="165" t="s">
        <v>148</v>
      </c>
      <c r="F248" s="165">
        <v>1</v>
      </c>
      <c r="G248" s="313">
        <v>2222.2220000000002</v>
      </c>
      <c r="H248" s="313">
        <f t="shared" si="106"/>
        <v>2222.2220000000002</v>
      </c>
      <c r="I248" s="313">
        <f t="shared" si="107"/>
        <v>177.77776000000003</v>
      </c>
      <c r="J248" s="313"/>
      <c r="K248" s="313">
        <f t="shared" si="108"/>
        <v>2399.9997600000002</v>
      </c>
    </row>
    <row r="249" spans="2:12" x14ac:dyDescent="0.25">
      <c r="B249" s="290"/>
      <c r="C249" s="295">
        <v>45341</v>
      </c>
      <c r="D249" s="23" t="s">
        <v>456</v>
      </c>
      <c r="E249" s="23"/>
      <c r="F249" s="242">
        <v>1</v>
      </c>
      <c r="G249" s="23">
        <v>100</v>
      </c>
      <c r="H249" s="229">
        <f t="shared" si="106"/>
        <v>100</v>
      </c>
      <c r="I249" s="229">
        <f t="shared" si="107"/>
        <v>8</v>
      </c>
      <c r="J249" s="229"/>
      <c r="K249" s="229">
        <f t="shared" ref="K249" si="109">SUM(H249:I249)-J249</f>
        <v>108</v>
      </c>
    </row>
    <row r="250" spans="2:12" x14ac:dyDescent="0.25">
      <c r="B250" s="286"/>
      <c r="C250" s="314">
        <v>45342</v>
      </c>
      <c r="D250" s="221" t="s">
        <v>13</v>
      </c>
      <c r="E250" s="221" t="s">
        <v>70</v>
      </c>
      <c r="F250" s="221">
        <v>24</v>
      </c>
      <c r="G250" s="315">
        <v>261</v>
      </c>
      <c r="H250" s="315">
        <f t="shared" ref="H250:H258" si="110">F250*G250</f>
        <v>6264</v>
      </c>
      <c r="I250" s="315">
        <f t="shared" ref="I250:I258" si="111">H250*0.08</f>
        <v>501.12</v>
      </c>
      <c r="J250" s="315"/>
      <c r="K250" s="315">
        <f t="shared" ref="K250:K258" si="112">SUM(H250:I250)-J250</f>
        <v>6765.12</v>
      </c>
    </row>
    <row r="251" spans="2:12" x14ac:dyDescent="0.25">
      <c r="B251" s="286"/>
      <c r="C251" s="314">
        <v>45342</v>
      </c>
      <c r="D251" s="221" t="s">
        <v>13</v>
      </c>
      <c r="E251" s="221" t="s">
        <v>70</v>
      </c>
      <c r="F251" s="221">
        <v>12</v>
      </c>
      <c r="G251" s="315">
        <v>261</v>
      </c>
      <c r="H251" s="315">
        <f t="shared" si="110"/>
        <v>3132</v>
      </c>
      <c r="I251" s="315">
        <f t="shared" si="111"/>
        <v>250.56</v>
      </c>
      <c r="J251" s="315"/>
      <c r="K251" s="315">
        <f t="shared" si="112"/>
        <v>3382.56</v>
      </c>
    </row>
    <row r="252" spans="2:12" x14ac:dyDescent="0.25">
      <c r="B252" s="286"/>
      <c r="C252" s="314">
        <v>45342</v>
      </c>
      <c r="D252" s="221" t="s">
        <v>13</v>
      </c>
      <c r="E252" s="221" t="s">
        <v>70</v>
      </c>
      <c r="F252" s="221">
        <v>12</v>
      </c>
      <c r="G252" s="315">
        <v>261</v>
      </c>
      <c r="H252" s="315">
        <f t="shared" si="110"/>
        <v>3132</v>
      </c>
      <c r="I252" s="315">
        <f t="shared" si="111"/>
        <v>250.56</v>
      </c>
      <c r="J252" s="315"/>
      <c r="K252" s="315">
        <f t="shared" si="112"/>
        <v>3382.56</v>
      </c>
    </row>
    <row r="253" spans="2:12" x14ac:dyDescent="0.25">
      <c r="B253" s="286"/>
      <c r="C253" s="316">
        <v>45342</v>
      </c>
      <c r="D253" s="248" t="s">
        <v>103</v>
      </c>
      <c r="E253" s="248" t="s">
        <v>469</v>
      </c>
      <c r="F253" s="248">
        <v>30</v>
      </c>
      <c r="G253" s="317">
        <v>75</v>
      </c>
      <c r="H253" s="317">
        <f t="shared" si="110"/>
        <v>2250</v>
      </c>
      <c r="I253" s="317">
        <f t="shared" si="111"/>
        <v>180</v>
      </c>
      <c r="J253" s="317"/>
      <c r="K253" s="317">
        <f t="shared" si="112"/>
        <v>2430</v>
      </c>
    </row>
    <row r="254" spans="2:12" x14ac:dyDescent="0.25">
      <c r="B254" s="286"/>
      <c r="C254" s="314">
        <v>45342</v>
      </c>
      <c r="D254" s="221" t="s">
        <v>470</v>
      </c>
      <c r="E254" s="221" t="s">
        <v>70</v>
      </c>
      <c r="F254" s="221">
        <v>4</v>
      </c>
      <c r="G254" s="315">
        <v>282.42</v>
      </c>
      <c r="H254" s="315">
        <f t="shared" si="110"/>
        <v>1129.68</v>
      </c>
      <c r="I254" s="315">
        <f t="shared" si="111"/>
        <v>90.374400000000009</v>
      </c>
      <c r="J254" s="315"/>
      <c r="K254" s="315">
        <f t="shared" si="112"/>
        <v>1220.0544</v>
      </c>
    </row>
    <row r="255" spans="2:12" x14ac:dyDescent="0.25">
      <c r="B255" s="286"/>
      <c r="C255" s="312">
        <v>45342</v>
      </c>
      <c r="D255" s="165" t="s">
        <v>471</v>
      </c>
      <c r="E255" s="165" t="s">
        <v>472</v>
      </c>
      <c r="F255" s="165">
        <v>90</v>
      </c>
      <c r="G255" s="313">
        <f>27/1.08</f>
        <v>25</v>
      </c>
      <c r="H255" s="313">
        <f t="shared" si="110"/>
        <v>2250</v>
      </c>
      <c r="I255" s="313">
        <f t="shared" si="111"/>
        <v>180</v>
      </c>
      <c r="J255" s="313"/>
      <c r="K255" s="313">
        <f t="shared" si="112"/>
        <v>2430</v>
      </c>
    </row>
    <row r="256" spans="2:12" x14ac:dyDescent="0.25">
      <c r="B256" s="286"/>
      <c r="C256" s="318">
        <v>45343</v>
      </c>
      <c r="D256" s="254" t="s">
        <v>476</v>
      </c>
      <c r="E256" s="254" t="s">
        <v>475</v>
      </c>
      <c r="F256" s="254">
        <v>5</v>
      </c>
      <c r="G256" s="319">
        <v>391.3</v>
      </c>
      <c r="H256" s="319">
        <f t="shared" si="110"/>
        <v>1956.5</v>
      </c>
      <c r="I256" s="319">
        <f t="shared" si="111"/>
        <v>156.52000000000001</v>
      </c>
      <c r="J256" s="319"/>
      <c r="K256" s="319">
        <f t="shared" si="112"/>
        <v>2113.02</v>
      </c>
    </row>
    <row r="257" spans="2:13" x14ac:dyDescent="0.25">
      <c r="B257" s="286"/>
      <c r="C257" s="318">
        <v>45343</v>
      </c>
      <c r="D257" s="254" t="s">
        <v>476</v>
      </c>
      <c r="E257" s="254" t="s">
        <v>474</v>
      </c>
      <c r="F257" s="254">
        <v>2</v>
      </c>
      <c r="G257" s="319">
        <v>514.20000000000005</v>
      </c>
      <c r="H257" s="319">
        <f t="shared" si="110"/>
        <v>1028.4000000000001</v>
      </c>
      <c r="I257" s="319">
        <f t="shared" si="111"/>
        <v>82.272000000000006</v>
      </c>
      <c r="J257" s="319"/>
      <c r="K257" s="319">
        <f t="shared" si="112"/>
        <v>1110.672</v>
      </c>
    </row>
    <row r="258" spans="2:13" x14ac:dyDescent="0.25">
      <c r="B258" s="286"/>
      <c r="C258" s="318">
        <v>45343</v>
      </c>
      <c r="D258" s="254" t="s">
        <v>477</v>
      </c>
      <c r="E258" s="254" t="s">
        <v>479</v>
      </c>
      <c r="F258" s="254">
        <v>15</v>
      </c>
      <c r="G258" s="319">
        <v>127.23</v>
      </c>
      <c r="H258" s="319">
        <f t="shared" si="110"/>
        <v>1908.45</v>
      </c>
      <c r="I258" s="319">
        <f t="shared" si="111"/>
        <v>152.67600000000002</v>
      </c>
      <c r="J258" s="319"/>
      <c r="K258" s="319">
        <f t="shared" si="112"/>
        <v>2061.1260000000002</v>
      </c>
    </row>
    <row r="259" spans="2:13" x14ac:dyDescent="0.25">
      <c r="B259" s="286"/>
      <c r="C259" s="318">
        <v>45343</v>
      </c>
      <c r="D259" s="254" t="s">
        <v>477</v>
      </c>
      <c r="E259" s="256" t="s">
        <v>478</v>
      </c>
      <c r="F259" s="256">
        <v>5</v>
      </c>
      <c r="G259" s="268">
        <v>104.65</v>
      </c>
      <c r="H259" s="268">
        <f t="shared" si="106"/>
        <v>523.25</v>
      </c>
      <c r="I259" s="268">
        <f t="shared" si="107"/>
        <v>41.86</v>
      </c>
      <c r="J259" s="268"/>
      <c r="K259" s="268">
        <f t="shared" si="108"/>
        <v>565.11</v>
      </c>
    </row>
    <row r="260" spans="2:13" x14ac:dyDescent="0.25">
      <c r="B260" s="286"/>
      <c r="C260" s="318">
        <v>45343</v>
      </c>
      <c r="D260" s="254" t="s">
        <v>477</v>
      </c>
      <c r="E260" s="256" t="s">
        <v>480</v>
      </c>
      <c r="F260" s="256">
        <v>4</v>
      </c>
      <c r="G260" s="268">
        <v>174.64</v>
      </c>
      <c r="H260" s="268">
        <f t="shared" si="106"/>
        <v>698.56</v>
      </c>
      <c r="I260" s="268">
        <f t="shared" si="107"/>
        <v>55.884799999999998</v>
      </c>
      <c r="J260" s="268"/>
      <c r="K260" s="268">
        <f t="shared" si="108"/>
        <v>754.44479999999999</v>
      </c>
    </row>
    <row r="261" spans="2:13" x14ac:dyDescent="0.25">
      <c r="B261" s="286"/>
      <c r="C261" s="318">
        <v>45343</v>
      </c>
      <c r="D261" s="254" t="s">
        <v>477</v>
      </c>
      <c r="E261" s="256" t="s">
        <v>481</v>
      </c>
      <c r="F261" s="256">
        <v>1</v>
      </c>
      <c r="G261" s="268">
        <v>159.63999999999999</v>
      </c>
      <c r="H261" s="268">
        <f t="shared" si="106"/>
        <v>159.63999999999999</v>
      </c>
      <c r="I261" s="268">
        <f t="shared" si="107"/>
        <v>12.771199999999999</v>
      </c>
      <c r="J261" s="268"/>
      <c r="K261" s="268">
        <f t="shared" si="108"/>
        <v>172.41119999999998</v>
      </c>
    </row>
    <row r="262" spans="2:13" x14ac:dyDescent="0.25">
      <c r="B262" s="286"/>
      <c r="C262" s="318">
        <v>45343</v>
      </c>
      <c r="D262" s="254" t="s">
        <v>477</v>
      </c>
      <c r="E262" s="256" t="s">
        <v>482</v>
      </c>
      <c r="F262" s="256">
        <v>1</v>
      </c>
      <c r="G262" s="268">
        <v>198.88</v>
      </c>
      <c r="H262" s="268">
        <f t="shared" si="106"/>
        <v>198.88</v>
      </c>
      <c r="I262" s="268">
        <f t="shared" si="107"/>
        <v>15.910399999999999</v>
      </c>
      <c r="J262" s="268"/>
      <c r="K262" s="268">
        <f t="shared" si="108"/>
        <v>214.79040000000001</v>
      </c>
    </row>
    <row r="263" spans="2:13" x14ac:dyDescent="0.25">
      <c r="B263" s="286"/>
      <c r="C263" s="318">
        <v>45343</v>
      </c>
      <c r="D263" s="254" t="s">
        <v>477</v>
      </c>
      <c r="E263" s="256" t="s">
        <v>483</v>
      </c>
      <c r="F263" s="256">
        <v>1</v>
      </c>
      <c r="G263" s="268">
        <v>196.02</v>
      </c>
      <c r="H263" s="268">
        <f t="shared" si="106"/>
        <v>196.02</v>
      </c>
      <c r="I263" s="268">
        <f t="shared" si="107"/>
        <v>15.681600000000001</v>
      </c>
      <c r="J263" s="268"/>
      <c r="K263" s="268">
        <f t="shared" si="108"/>
        <v>211.70160000000001</v>
      </c>
    </row>
    <row r="264" spans="2:13" x14ac:dyDescent="0.25">
      <c r="B264" s="286"/>
      <c r="C264" s="318">
        <v>45343</v>
      </c>
      <c r="D264" s="254" t="s">
        <v>477</v>
      </c>
      <c r="E264" s="256" t="s">
        <v>570</v>
      </c>
      <c r="F264" s="256">
        <v>1</v>
      </c>
      <c r="G264" s="268">
        <v>163.44</v>
      </c>
      <c r="H264" s="268">
        <f t="shared" ref="H264:H274" si="113">F264*G264</f>
        <v>163.44</v>
      </c>
      <c r="I264" s="268">
        <f t="shared" ref="I264:I274" si="114">H264*0.08</f>
        <v>13.075200000000001</v>
      </c>
      <c r="J264" s="268"/>
      <c r="K264" s="268">
        <f t="shared" ref="K264:K274" si="115">SUM(H264:I264)-J264</f>
        <v>176.51519999999999</v>
      </c>
    </row>
    <row r="265" spans="2:13" x14ac:dyDescent="0.25">
      <c r="B265" s="286"/>
      <c r="C265" s="318">
        <v>45343</v>
      </c>
      <c r="D265" s="254" t="s">
        <v>477</v>
      </c>
      <c r="E265" s="256" t="s">
        <v>478</v>
      </c>
      <c r="F265" s="256">
        <v>2</v>
      </c>
      <c r="G265" s="268">
        <v>104.65</v>
      </c>
      <c r="H265" s="268">
        <f t="shared" si="113"/>
        <v>209.3</v>
      </c>
      <c r="I265" s="268">
        <f t="shared" si="114"/>
        <v>16.744</v>
      </c>
      <c r="J265" s="268"/>
      <c r="K265" s="268">
        <f t="shared" si="115"/>
        <v>226.04400000000001</v>
      </c>
    </row>
    <row r="266" spans="2:13" x14ac:dyDescent="0.25">
      <c r="B266" s="286"/>
      <c r="C266" s="318">
        <v>45343</v>
      </c>
      <c r="D266" s="254" t="s">
        <v>477</v>
      </c>
      <c r="E266" s="256" t="s">
        <v>479</v>
      </c>
      <c r="F266" s="256">
        <v>10</v>
      </c>
      <c r="G266" s="268">
        <v>127.23</v>
      </c>
      <c r="H266" s="268">
        <f t="shared" si="113"/>
        <v>1272.3</v>
      </c>
      <c r="I266" s="268">
        <f t="shared" si="114"/>
        <v>101.78399999999999</v>
      </c>
      <c r="J266" s="268"/>
      <c r="K266" s="268">
        <f t="shared" si="115"/>
        <v>1374.0839999999998</v>
      </c>
    </row>
    <row r="267" spans="2:13" x14ac:dyDescent="0.25">
      <c r="B267" s="286"/>
      <c r="C267" s="318">
        <v>45343</v>
      </c>
      <c r="D267" s="254" t="s">
        <v>477</v>
      </c>
      <c r="E267" s="256" t="s">
        <v>485</v>
      </c>
      <c r="F267" s="256">
        <v>1.5</v>
      </c>
      <c r="G267" s="268">
        <v>164.12</v>
      </c>
      <c r="H267" s="268">
        <f t="shared" si="113"/>
        <v>246.18</v>
      </c>
      <c r="I267" s="268">
        <f t="shared" si="114"/>
        <v>19.694400000000002</v>
      </c>
      <c r="J267" s="268"/>
      <c r="K267" s="268">
        <f t="shared" si="115"/>
        <v>265.87440000000004</v>
      </c>
      <c r="L267" s="9">
        <f>SUM(K269:K272)</f>
        <v>1254.8952000000002</v>
      </c>
      <c r="M267" s="9">
        <f>1500-L267</f>
        <v>245.10479999999984</v>
      </c>
    </row>
    <row r="268" spans="2:13" x14ac:dyDescent="0.25">
      <c r="B268" s="286"/>
      <c r="C268" s="318">
        <v>45343</v>
      </c>
      <c r="D268" s="254" t="s">
        <v>477</v>
      </c>
      <c r="E268" s="256" t="s">
        <v>486</v>
      </c>
      <c r="F268" s="256">
        <v>1</v>
      </c>
      <c r="G268" s="268">
        <v>360.41</v>
      </c>
      <c r="H268" s="268">
        <f t="shared" si="113"/>
        <v>360.41</v>
      </c>
      <c r="I268" s="268">
        <f t="shared" si="114"/>
        <v>28.832800000000002</v>
      </c>
      <c r="J268" s="268"/>
      <c r="K268" s="268">
        <f t="shared" si="115"/>
        <v>389.24280000000005</v>
      </c>
    </row>
    <row r="269" spans="2:13" x14ac:dyDescent="0.25">
      <c r="B269" s="286"/>
      <c r="C269" s="267">
        <v>45344</v>
      </c>
      <c r="D269" s="256" t="s">
        <v>477</v>
      </c>
      <c r="E269" s="256" t="s">
        <v>479</v>
      </c>
      <c r="F269" s="256">
        <v>7</v>
      </c>
      <c r="G269" s="268">
        <v>104.65</v>
      </c>
      <c r="H269" s="268">
        <f t="shared" si="113"/>
        <v>732.55000000000007</v>
      </c>
      <c r="I269" s="268">
        <f t="shared" si="114"/>
        <v>58.604000000000006</v>
      </c>
      <c r="J269" s="268"/>
      <c r="K269" s="268">
        <f t="shared" si="115"/>
        <v>791.15400000000011</v>
      </c>
    </row>
    <row r="270" spans="2:13" x14ac:dyDescent="0.25">
      <c r="B270" s="286"/>
      <c r="C270" s="267">
        <v>45344</v>
      </c>
      <c r="D270" s="256" t="s">
        <v>477</v>
      </c>
      <c r="E270" s="256" t="s">
        <v>503</v>
      </c>
      <c r="F270" s="256">
        <v>5</v>
      </c>
      <c r="G270" s="268">
        <v>28.79</v>
      </c>
      <c r="H270" s="268">
        <f t="shared" si="113"/>
        <v>143.94999999999999</v>
      </c>
      <c r="I270" s="268">
        <f t="shared" si="114"/>
        <v>11.516</v>
      </c>
      <c r="J270" s="268"/>
      <c r="K270" s="268">
        <f t="shared" si="115"/>
        <v>155.46599999999998</v>
      </c>
    </row>
    <row r="271" spans="2:13" x14ac:dyDescent="0.25">
      <c r="B271" s="286"/>
      <c r="C271" s="267">
        <v>45344</v>
      </c>
      <c r="D271" s="256" t="s">
        <v>477</v>
      </c>
      <c r="E271" s="256" t="s">
        <v>504</v>
      </c>
      <c r="F271" s="256">
        <v>5</v>
      </c>
      <c r="G271" s="268">
        <v>46.03</v>
      </c>
      <c r="H271" s="268">
        <f t="shared" si="113"/>
        <v>230.15</v>
      </c>
      <c r="I271" s="268">
        <f t="shared" si="114"/>
        <v>18.412000000000003</v>
      </c>
      <c r="J271" s="268"/>
      <c r="K271" s="268">
        <f t="shared" si="115"/>
        <v>248.56200000000001</v>
      </c>
    </row>
    <row r="272" spans="2:13" x14ac:dyDescent="0.25">
      <c r="B272" s="286"/>
      <c r="C272" s="267">
        <v>45344</v>
      </c>
      <c r="D272" s="256" t="s">
        <v>477</v>
      </c>
      <c r="E272" s="256" t="s">
        <v>505</v>
      </c>
      <c r="F272" s="256">
        <v>1</v>
      </c>
      <c r="G272" s="268">
        <v>55.29</v>
      </c>
      <c r="H272" s="268">
        <f t="shared" si="113"/>
        <v>55.29</v>
      </c>
      <c r="I272" s="268">
        <f t="shared" si="114"/>
        <v>4.4232000000000005</v>
      </c>
      <c r="J272" s="268"/>
      <c r="K272" s="268">
        <f t="shared" si="115"/>
        <v>59.713200000000001</v>
      </c>
    </row>
    <row r="273" spans="2:12" x14ac:dyDescent="0.25">
      <c r="B273" s="286"/>
      <c r="C273" s="301">
        <v>45345</v>
      </c>
      <c r="D273" s="52" t="s">
        <v>255</v>
      </c>
      <c r="E273" s="52"/>
      <c r="F273" s="52">
        <v>1</v>
      </c>
      <c r="G273" s="236">
        <v>2000</v>
      </c>
      <c r="H273" s="236">
        <f t="shared" si="113"/>
        <v>2000</v>
      </c>
      <c r="I273" s="236">
        <f t="shared" si="114"/>
        <v>160</v>
      </c>
      <c r="J273" s="236"/>
      <c r="K273" s="236">
        <f t="shared" si="115"/>
        <v>2160</v>
      </c>
      <c r="L273" s="9"/>
    </row>
    <row r="274" spans="2:12" x14ac:dyDescent="0.25">
      <c r="B274" s="286"/>
      <c r="C274" s="308">
        <v>45345</v>
      </c>
      <c r="D274" s="48" t="s">
        <v>229</v>
      </c>
      <c r="E274" s="48"/>
      <c r="F274" s="48">
        <v>1</v>
      </c>
      <c r="G274" s="235">
        <v>7000</v>
      </c>
      <c r="H274" s="235">
        <f t="shared" si="113"/>
        <v>7000</v>
      </c>
      <c r="I274" s="235">
        <f t="shared" si="114"/>
        <v>560</v>
      </c>
      <c r="J274" s="235"/>
      <c r="K274" s="235">
        <f t="shared" si="115"/>
        <v>7560</v>
      </c>
    </row>
    <row r="275" spans="2:12" x14ac:dyDescent="0.25">
      <c r="B275" s="286"/>
      <c r="C275" s="299">
        <v>45345</v>
      </c>
      <c r="D275" s="55" t="s">
        <v>99</v>
      </c>
      <c r="E275" s="55" t="s">
        <v>513</v>
      </c>
      <c r="F275" s="55">
        <v>1</v>
      </c>
      <c r="G275" s="300">
        <v>2500</v>
      </c>
      <c r="H275" s="300">
        <f t="shared" ref="H275:H294" si="116">F275*G275</f>
        <v>2500</v>
      </c>
      <c r="I275" s="300">
        <f t="shared" ref="I275:I294" si="117">H275*0.08</f>
        <v>200</v>
      </c>
      <c r="J275" s="300"/>
      <c r="K275" s="300">
        <f t="shared" ref="K275:K294" si="118">SUM(H275:I275)-J275</f>
        <v>2700</v>
      </c>
    </row>
    <row r="276" spans="2:12" x14ac:dyDescent="0.25">
      <c r="C276" s="302">
        <v>45345</v>
      </c>
      <c r="D276" s="32" t="s">
        <v>117</v>
      </c>
      <c r="E276" s="32" t="s">
        <v>506</v>
      </c>
      <c r="F276" s="32">
        <v>1</v>
      </c>
      <c r="G276" s="240">
        <v>25100</v>
      </c>
      <c r="H276" s="240">
        <f t="shared" si="116"/>
        <v>25100</v>
      </c>
      <c r="I276" s="240">
        <f t="shared" si="117"/>
        <v>2008</v>
      </c>
      <c r="J276" s="240"/>
      <c r="K276" s="240">
        <f t="shared" si="118"/>
        <v>27108</v>
      </c>
    </row>
    <row r="277" spans="2:12" x14ac:dyDescent="0.25">
      <c r="C277" s="267">
        <v>45345</v>
      </c>
      <c r="D277" s="256" t="s">
        <v>489</v>
      </c>
      <c r="E277" s="256" t="s">
        <v>512</v>
      </c>
      <c r="F277" s="256">
        <v>1</v>
      </c>
      <c r="G277" s="268">
        <v>6000</v>
      </c>
      <c r="H277" s="268">
        <f t="shared" si="116"/>
        <v>6000</v>
      </c>
      <c r="I277" s="268">
        <f t="shared" si="117"/>
        <v>480</v>
      </c>
      <c r="J277" s="268"/>
      <c r="K277" s="268">
        <f t="shared" si="118"/>
        <v>6480</v>
      </c>
    </row>
    <row r="278" spans="2:12" x14ac:dyDescent="0.25">
      <c r="C278" s="301">
        <v>45345</v>
      </c>
      <c r="D278" s="52" t="s">
        <v>105</v>
      </c>
      <c r="E278" s="52"/>
      <c r="F278" s="52">
        <v>1</v>
      </c>
      <c r="G278" s="236">
        <v>2500</v>
      </c>
      <c r="H278" s="236">
        <f t="shared" si="116"/>
        <v>2500</v>
      </c>
      <c r="I278" s="236">
        <f t="shared" si="117"/>
        <v>200</v>
      </c>
      <c r="J278" s="236"/>
      <c r="K278" s="236">
        <f t="shared" si="118"/>
        <v>2700</v>
      </c>
    </row>
    <row r="279" spans="2:12" x14ac:dyDescent="0.25">
      <c r="C279" s="295">
        <v>45346</v>
      </c>
      <c r="D279" s="23" t="s">
        <v>466</v>
      </c>
      <c r="E279" s="23"/>
      <c r="F279" s="23">
        <v>1</v>
      </c>
      <c r="G279" s="229">
        <v>1000</v>
      </c>
      <c r="H279" s="229">
        <f t="shared" si="116"/>
        <v>1000</v>
      </c>
      <c r="I279" s="229">
        <f t="shared" si="117"/>
        <v>80</v>
      </c>
      <c r="J279" s="229"/>
      <c r="K279" s="229">
        <f t="shared" si="118"/>
        <v>1080</v>
      </c>
    </row>
    <row r="280" spans="2:12" x14ac:dyDescent="0.25">
      <c r="C280" s="321">
        <v>45346</v>
      </c>
      <c r="D280" s="322" t="s">
        <v>377</v>
      </c>
      <c r="E280" s="322" t="s">
        <v>509</v>
      </c>
      <c r="F280" s="322">
        <v>1</v>
      </c>
      <c r="G280" s="323">
        <v>13279.7</v>
      </c>
      <c r="H280" s="323">
        <f t="shared" si="116"/>
        <v>13279.7</v>
      </c>
      <c r="I280" s="323">
        <f t="shared" si="117"/>
        <v>1062.376</v>
      </c>
      <c r="J280" s="323"/>
      <c r="K280" s="323">
        <f t="shared" si="118"/>
        <v>14342.076000000001</v>
      </c>
    </row>
    <row r="281" spans="2:12" x14ac:dyDescent="0.25">
      <c r="C281" s="303">
        <v>45348</v>
      </c>
      <c r="D281" s="33" t="s">
        <v>15</v>
      </c>
      <c r="E281" s="33" t="s">
        <v>514</v>
      </c>
      <c r="F281" s="33">
        <v>13</v>
      </c>
      <c r="G281" s="233">
        <v>50.67</v>
      </c>
      <c r="H281" s="233">
        <f t="shared" si="116"/>
        <v>658.71</v>
      </c>
      <c r="I281" s="233">
        <f t="shared" si="117"/>
        <v>52.696800000000003</v>
      </c>
      <c r="J281" s="233"/>
      <c r="K281" s="233">
        <f t="shared" si="118"/>
        <v>711.40680000000009</v>
      </c>
    </row>
    <row r="282" spans="2:12" x14ac:dyDescent="0.25">
      <c r="C282" s="303">
        <v>45348</v>
      </c>
      <c r="D282" s="33" t="s">
        <v>15</v>
      </c>
      <c r="E282" s="33" t="s">
        <v>515</v>
      </c>
      <c r="F282" s="33">
        <v>1</v>
      </c>
      <c r="G282" s="233">
        <v>45.71</v>
      </c>
      <c r="H282" s="233">
        <f t="shared" si="116"/>
        <v>45.71</v>
      </c>
      <c r="I282" s="233">
        <f t="shared" si="117"/>
        <v>3.6568000000000001</v>
      </c>
      <c r="J282" s="233"/>
      <c r="K282" s="233">
        <f t="shared" si="118"/>
        <v>49.366799999999998</v>
      </c>
    </row>
    <row r="283" spans="2:12" x14ac:dyDescent="0.25">
      <c r="C283" s="304">
        <v>45348</v>
      </c>
      <c r="D283" s="41" t="s">
        <v>15</v>
      </c>
      <c r="E283" s="41" t="s">
        <v>516</v>
      </c>
      <c r="F283" s="41">
        <v>5</v>
      </c>
      <c r="G283" s="232">
        <v>7.1</v>
      </c>
      <c r="H283" s="232">
        <f t="shared" si="116"/>
        <v>35.5</v>
      </c>
      <c r="I283" s="232">
        <f t="shared" si="117"/>
        <v>2.84</v>
      </c>
      <c r="J283" s="232"/>
      <c r="K283" s="232">
        <f t="shared" si="118"/>
        <v>38.340000000000003</v>
      </c>
    </row>
    <row r="284" spans="2:12" x14ac:dyDescent="0.25">
      <c r="C284" s="304">
        <v>45348</v>
      </c>
      <c r="D284" s="41" t="s">
        <v>15</v>
      </c>
      <c r="E284" s="41" t="s">
        <v>518</v>
      </c>
      <c r="F284" s="41">
        <v>1</v>
      </c>
      <c r="G284" s="232">
        <v>7.4</v>
      </c>
      <c r="H284" s="232">
        <f t="shared" si="116"/>
        <v>7.4</v>
      </c>
      <c r="I284" s="232">
        <f t="shared" si="117"/>
        <v>0.59200000000000008</v>
      </c>
      <c r="J284" s="232"/>
      <c r="K284" s="232">
        <f t="shared" si="118"/>
        <v>7.9920000000000009</v>
      </c>
    </row>
    <row r="285" spans="2:12" x14ac:dyDescent="0.25">
      <c r="C285" s="304">
        <v>45348</v>
      </c>
      <c r="D285" s="41" t="s">
        <v>15</v>
      </c>
      <c r="E285" s="41" t="s">
        <v>517</v>
      </c>
      <c r="F285" s="41">
        <v>1</v>
      </c>
      <c r="G285" s="232">
        <v>33.76</v>
      </c>
      <c r="H285" s="232">
        <f t="shared" si="116"/>
        <v>33.76</v>
      </c>
      <c r="I285" s="232">
        <f t="shared" si="117"/>
        <v>2.7008000000000001</v>
      </c>
      <c r="J285" s="232"/>
      <c r="K285" s="232">
        <f t="shared" si="118"/>
        <v>36.460799999999999</v>
      </c>
    </row>
    <row r="286" spans="2:12" x14ac:dyDescent="0.25">
      <c r="C286" s="304">
        <v>45348</v>
      </c>
      <c r="D286" s="41" t="s">
        <v>15</v>
      </c>
      <c r="E286" s="41" t="s">
        <v>519</v>
      </c>
      <c r="F286" s="41">
        <v>1</v>
      </c>
      <c r="G286" s="232">
        <v>43.58</v>
      </c>
      <c r="H286" s="232">
        <f t="shared" si="116"/>
        <v>43.58</v>
      </c>
      <c r="I286" s="232">
        <f t="shared" si="117"/>
        <v>3.4863999999999997</v>
      </c>
      <c r="J286" s="232"/>
      <c r="K286" s="232">
        <f t="shared" si="118"/>
        <v>47.066400000000002</v>
      </c>
    </row>
    <row r="287" spans="2:12" x14ac:dyDescent="0.25">
      <c r="C287" s="304">
        <v>45349</v>
      </c>
      <c r="D287" s="41" t="s">
        <v>15</v>
      </c>
      <c r="E287" s="41" t="s">
        <v>123</v>
      </c>
      <c r="F287" s="41">
        <v>1</v>
      </c>
      <c r="G287" s="232">
        <v>310</v>
      </c>
      <c r="H287" s="232">
        <f t="shared" si="116"/>
        <v>310</v>
      </c>
      <c r="I287" s="232">
        <f t="shared" si="117"/>
        <v>24.8</v>
      </c>
      <c r="J287" s="232"/>
      <c r="K287" s="232">
        <f t="shared" si="118"/>
        <v>334.8</v>
      </c>
    </row>
    <row r="288" spans="2:12" x14ac:dyDescent="0.25">
      <c r="C288" s="304">
        <v>45349</v>
      </c>
      <c r="D288" s="41" t="s">
        <v>15</v>
      </c>
      <c r="E288" s="41" t="s">
        <v>520</v>
      </c>
      <c r="F288" s="41">
        <v>15</v>
      </c>
      <c r="G288" s="232">
        <v>27.77</v>
      </c>
      <c r="H288" s="232">
        <f t="shared" si="116"/>
        <v>416.55</v>
      </c>
      <c r="I288" s="232">
        <f t="shared" si="117"/>
        <v>33.323999999999998</v>
      </c>
      <c r="J288" s="232"/>
      <c r="K288" s="232">
        <f t="shared" si="118"/>
        <v>449.87400000000002</v>
      </c>
    </row>
    <row r="289" spans="3:11" x14ac:dyDescent="0.25">
      <c r="C289" s="304">
        <v>45349</v>
      </c>
      <c r="D289" s="41" t="s">
        <v>15</v>
      </c>
      <c r="E289" s="41" t="s">
        <v>521</v>
      </c>
      <c r="F289" s="41">
        <v>2</v>
      </c>
      <c r="G289" s="232">
        <v>27.77</v>
      </c>
      <c r="H289" s="232">
        <f t="shared" si="116"/>
        <v>55.54</v>
      </c>
      <c r="I289" s="232">
        <f t="shared" si="117"/>
        <v>4.4432</v>
      </c>
      <c r="J289" s="232"/>
      <c r="K289" s="232">
        <f t="shared" si="118"/>
        <v>59.983199999999997</v>
      </c>
    </row>
    <row r="290" spans="3:11" x14ac:dyDescent="0.25">
      <c r="C290" s="304">
        <v>45349</v>
      </c>
      <c r="D290" s="41" t="s">
        <v>15</v>
      </c>
      <c r="E290" s="41" t="s">
        <v>522</v>
      </c>
      <c r="F290" s="41">
        <v>1</v>
      </c>
      <c r="G290" s="232">
        <v>214.16</v>
      </c>
      <c r="H290" s="232">
        <f t="shared" si="116"/>
        <v>214.16</v>
      </c>
      <c r="I290" s="232">
        <f t="shared" si="117"/>
        <v>17.1328</v>
      </c>
      <c r="J290" s="232"/>
      <c r="K290" s="232">
        <f t="shared" si="118"/>
        <v>231.2928</v>
      </c>
    </row>
    <row r="291" spans="3:11" x14ac:dyDescent="0.25">
      <c r="C291" s="304">
        <v>45349</v>
      </c>
      <c r="D291" s="41" t="s">
        <v>15</v>
      </c>
      <c r="E291" s="41" t="s">
        <v>523</v>
      </c>
      <c r="F291" s="41">
        <v>1</v>
      </c>
      <c r="G291" s="232">
        <v>143.82</v>
      </c>
      <c r="H291" s="232">
        <f t="shared" si="116"/>
        <v>143.82</v>
      </c>
      <c r="I291" s="232">
        <f t="shared" si="117"/>
        <v>11.505599999999999</v>
      </c>
      <c r="J291" s="232"/>
      <c r="K291" s="232">
        <f t="shared" si="118"/>
        <v>155.32559999999998</v>
      </c>
    </row>
    <row r="292" spans="3:11" x14ac:dyDescent="0.25">
      <c r="C292" s="304">
        <v>45349</v>
      </c>
      <c r="D292" s="41" t="s">
        <v>15</v>
      </c>
      <c r="E292" s="41" t="s">
        <v>524</v>
      </c>
      <c r="F292" s="41">
        <v>3</v>
      </c>
      <c r="G292" s="232">
        <v>77.06</v>
      </c>
      <c r="H292" s="232">
        <f t="shared" si="116"/>
        <v>231.18</v>
      </c>
      <c r="I292" s="232">
        <f t="shared" si="117"/>
        <v>18.494400000000002</v>
      </c>
      <c r="J292" s="232"/>
      <c r="K292" s="232">
        <f t="shared" si="118"/>
        <v>249.67440000000002</v>
      </c>
    </row>
    <row r="293" spans="3:11" x14ac:dyDescent="0.25">
      <c r="C293" s="304">
        <v>45349</v>
      </c>
      <c r="D293" s="41" t="s">
        <v>15</v>
      </c>
      <c r="E293" s="41" t="s">
        <v>525</v>
      </c>
      <c r="F293" s="41">
        <v>1</v>
      </c>
      <c r="G293" s="232">
        <v>78.45</v>
      </c>
      <c r="H293" s="232">
        <f t="shared" si="116"/>
        <v>78.45</v>
      </c>
      <c r="I293" s="232">
        <f t="shared" si="117"/>
        <v>6.2760000000000007</v>
      </c>
      <c r="J293" s="232"/>
      <c r="K293" s="232">
        <f t="shared" si="118"/>
        <v>84.725999999999999</v>
      </c>
    </row>
    <row r="294" spans="3:11" x14ac:dyDescent="0.25">
      <c r="C294" s="304">
        <v>45349</v>
      </c>
      <c r="D294" s="41" t="s">
        <v>15</v>
      </c>
      <c r="E294" s="41" t="s">
        <v>30</v>
      </c>
      <c r="F294" s="41">
        <v>2</v>
      </c>
      <c r="G294" s="232">
        <v>26.56</v>
      </c>
      <c r="H294" s="232">
        <f t="shared" si="116"/>
        <v>53.12</v>
      </c>
      <c r="I294" s="232">
        <f t="shared" si="117"/>
        <v>4.2496</v>
      </c>
      <c r="J294" s="232"/>
      <c r="K294" s="232">
        <f t="shared" si="118"/>
        <v>57.369599999999998</v>
      </c>
    </row>
    <row r="295" spans="3:11" x14ac:dyDescent="0.25">
      <c r="C295" s="304">
        <v>45349</v>
      </c>
      <c r="D295" s="41" t="s">
        <v>15</v>
      </c>
      <c r="E295" s="41" t="s">
        <v>526</v>
      </c>
      <c r="F295" s="41">
        <v>2</v>
      </c>
      <c r="G295" s="232">
        <v>16.579999999999998</v>
      </c>
      <c r="H295" s="232">
        <f t="shared" ref="H295:H372" si="119">F295*G295</f>
        <v>33.159999999999997</v>
      </c>
      <c r="I295" s="232">
        <f t="shared" ref="I295:I372" si="120">H295*0.08</f>
        <v>2.6527999999999996</v>
      </c>
      <c r="J295" s="232"/>
      <c r="K295" s="232">
        <f t="shared" ref="K295:K372" si="121">SUM(H295:I295)-J295</f>
        <v>35.812799999999996</v>
      </c>
    </row>
    <row r="296" spans="3:11" x14ac:dyDescent="0.25">
      <c r="C296" s="304">
        <v>45349</v>
      </c>
      <c r="D296" s="41" t="s">
        <v>15</v>
      </c>
      <c r="E296" s="41" t="s">
        <v>527</v>
      </c>
      <c r="F296" s="41">
        <v>1</v>
      </c>
      <c r="G296" s="232">
        <v>30.14</v>
      </c>
      <c r="H296" s="232">
        <f t="shared" si="119"/>
        <v>30.14</v>
      </c>
      <c r="I296" s="232">
        <f t="shared" si="120"/>
        <v>2.4112</v>
      </c>
      <c r="J296" s="232"/>
      <c r="K296" s="232">
        <f t="shared" si="121"/>
        <v>32.551200000000001</v>
      </c>
    </row>
    <row r="297" spans="3:11" x14ac:dyDescent="0.25">
      <c r="C297" s="304">
        <v>45349</v>
      </c>
      <c r="D297" s="41" t="s">
        <v>15</v>
      </c>
      <c r="E297" s="41" t="s">
        <v>528</v>
      </c>
      <c r="F297" s="41">
        <v>1</v>
      </c>
      <c r="G297" s="232">
        <v>18.190000000000001</v>
      </c>
      <c r="H297" s="232">
        <f t="shared" si="119"/>
        <v>18.190000000000001</v>
      </c>
      <c r="I297" s="232">
        <f t="shared" si="120"/>
        <v>1.4552</v>
      </c>
      <c r="J297" s="232"/>
      <c r="K297" s="232">
        <f t="shared" si="121"/>
        <v>19.645200000000003</v>
      </c>
    </row>
    <row r="298" spans="3:11" x14ac:dyDescent="0.25">
      <c r="C298" s="304">
        <v>45349</v>
      </c>
      <c r="D298" s="41" t="s">
        <v>15</v>
      </c>
      <c r="E298" s="41" t="s">
        <v>516</v>
      </c>
      <c r="F298" s="41">
        <v>7</v>
      </c>
      <c r="G298" s="232">
        <v>7.1</v>
      </c>
      <c r="H298" s="232">
        <f t="shared" si="119"/>
        <v>49.699999999999996</v>
      </c>
      <c r="I298" s="232">
        <f t="shared" si="120"/>
        <v>3.9759999999999995</v>
      </c>
      <c r="J298" s="232"/>
      <c r="K298" s="232">
        <f t="shared" si="121"/>
        <v>53.675999999999995</v>
      </c>
    </row>
    <row r="299" spans="3:11" x14ac:dyDescent="0.25">
      <c r="C299" s="304">
        <v>45349</v>
      </c>
      <c r="D299" s="41" t="s">
        <v>15</v>
      </c>
      <c r="E299" s="41" t="s">
        <v>529</v>
      </c>
      <c r="F299" s="41">
        <v>13</v>
      </c>
      <c r="G299" s="232">
        <v>117.62</v>
      </c>
      <c r="H299" s="232">
        <f t="shared" si="119"/>
        <v>1529.06</v>
      </c>
      <c r="I299" s="232">
        <f t="shared" si="120"/>
        <v>122.3248</v>
      </c>
      <c r="J299" s="232"/>
      <c r="K299" s="232">
        <f t="shared" si="121"/>
        <v>1651.3848</v>
      </c>
    </row>
    <row r="300" spans="3:11" x14ac:dyDescent="0.25">
      <c r="C300" s="304">
        <v>45349</v>
      </c>
      <c r="D300" s="41" t="s">
        <v>15</v>
      </c>
      <c r="E300" s="41" t="s">
        <v>530</v>
      </c>
      <c r="F300" s="41">
        <v>2</v>
      </c>
      <c r="G300" s="232">
        <v>728.08</v>
      </c>
      <c r="H300" s="232">
        <f t="shared" si="119"/>
        <v>1456.16</v>
      </c>
      <c r="I300" s="232">
        <f t="shared" si="120"/>
        <v>116.4928</v>
      </c>
      <c r="J300" s="232"/>
      <c r="K300" s="232">
        <f t="shared" si="121"/>
        <v>1572.6528000000001</v>
      </c>
    </row>
    <row r="301" spans="3:11" x14ac:dyDescent="0.25">
      <c r="C301" s="304">
        <v>45349</v>
      </c>
      <c r="D301" s="41" t="s">
        <v>15</v>
      </c>
      <c r="E301" s="41" t="s">
        <v>531</v>
      </c>
      <c r="F301" s="41">
        <v>1</v>
      </c>
      <c r="G301" s="232">
        <v>728.08</v>
      </c>
      <c r="H301" s="232">
        <f t="shared" si="119"/>
        <v>728.08</v>
      </c>
      <c r="I301" s="232">
        <f t="shared" si="120"/>
        <v>58.246400000000001</v>
      </c>
      <c r="J301" s="232"/>
      <c r="K301" s="232">
        <f t="shared" si="121"/>
        <v>786.32640000000004</v>
      </c>
    </row>
    <row r="302" spans="3:11" x14ac:dyDescent="0.25">
      <c r="C302" s="304">
        <v>45349</v>
      </c>
      <c r="D302" s="41" t="s">
        <v>15</v>
      </c>
      <c r="E302" s="41" t="s">
        <v>532</v>
      </c>
      <c r="F302" s="41">
        <v>1</v>
      </c>
      <c r="G302" s="232">
        <v>271.70999999999998</v>
      </c>
      <c r="H302" s="232">
        <f t="shared" si="119"/>
        <v>271.70999999999998</v>
      </c>
      <c r="I302" s="232">
        <f t="shared" si="120"/>
        <v>21.736799999999999</v>
      </c>
      <c r="J302" s="232"/>
      <c r="K302" s="232">
        <f t="shared" si="121"/>
        <v>293.4468</v>
      </c>
    </row>
    <row r="303" spans="3:11" x14ac:dyDescent="0.25">
      <c r="C303" s="304">
        <v>45349</v>
      </c>
      <c r="D303" s="41" t="s">
        <v>15</v>
      </c>
      <c r="E303" s="41" t="s">
        <v>533</v>
      </c>
      <c r="F303" s="41">
        <v>2</v>
      </c>
      <c r="G303" s="232">
        <v>740.3</v>
      </c>
      <c r="H303" s="232">
        <f t="shared" si="119"/>
        <v>1480.6</v>
      </c>
      <c r="I303" s="232">
        <f t="shared" si="120"/>
        <v>118.44799999999999</v>
      </c>
      <c r="J303" s="232"/>
      <c r="K303" s="232">
        <f t="shared" si="121"/>
        <v>1599.048</v>
      </c>
    </row>
    <row r="304" spans="3:11" x14ac:dyDescent="0.25">
      <c r="C304" s="304">
        <v>45349</v>
      </c>
      <c r="D304" s="41" t="s">
        <v>15</v>
      </c>
      <c r="E304" s="41" t="s">
        <v>534</v>
      </c>
      <c r="F304" s="41">
        <v>2</v>
      </c>
      <c r="G304" s="232">
        <v>740.3</v>
      </c>
      <c r="H304" s="232">
        <f t="shared" si="119"/>
        <v>1480.6</v>
      </c>
      <c r="I304" s="232">
        <f t="shared" si="120"/>
        <v>118.44799999999999</v>
      </c>
      <c r="J304" s="232"/>
      <c r="K304" s="232">
        <f t="shared" si="121"/>
        <v>1599.048</v>
      </c>
    </row>
    <row r="305" spans="3:11" x14ac:dyDescent="0.25">
      <c r="C305" s="304">
        <v>45349</v>
      </c>
      <c r="D305" s="41" t="s">
        <v>15</v>
      </c>
      <c r="E305" s="41" t="s">
        <v>535</v>
      </c>
      <c r="F305" s="41">
        <v>1</v>
      </c>
      <c r="G305" s="232">
        <v>1216.79</v>
      </c>
      <c r="H305" s="232">
        <f t="shared" si="119"/>
        <v>1216.79</v>
      </c>
      <c r="I305" s="232">
        <f t="shared" si="120"/>
        <v>97.343199999999996</v>
      </c>
      <c r="J305" s="232"/>
      <c r="K305" s="232">
        <f t="shared" si="121"/>
        <v>1314.1332</v>
      </c>
    </row>
    <row r="306" spans="3:11" x14ac:dyDescent="0.25">
      <c r="C306" s="67">
        <v>45349</v>
      </c>
      <c r="D306" s="26" t="s">
        <v>197</v>
      </c>
      <c r="E306" s="26" t="s">
        <v>537</v>
      </c>
      <c r="F306" s="26">
        <v>1</v>
      </c>
      <c r="G306" s="225">
        <v>169.58</v>
      </c>
      <c r="H306" s="225">
        <f t="shared" si="119"/>
        <v>169.58</v>
      </c>
      <c r="I306" s="225">
        <f t="shared" si="120"/>
        <v>13.566400000000002</v>
      </c>
      <c r="J306" s="225"/>
      <c r="K306" s="225">
        <f t="shared" si="121"/>
        <v>183.14640000000003</v>
      </c>
    </row>
    <row r="307" spans="3:11" x14ac:dyDescent="0.25">
      <c r="C307" s="304">
        <v>45350</v>
      </c>
      <c r="D307" s="41" t="s">
        <v>15</v>
      </c>
      <c r="E307" s="41" t="s">
        <v>538</v>
      </c>
      <c r="F307" s="41">
        <v>1</v>
      </c>
      <c r="G307" s="232">
        <v>129.88999999999999</v>
      </c>
      <c r="H307" s="232">
        <f t="shared" si="119"/>
        <v>129.88999999999999</v>
      </c>
      <c r="I307" s="232">
        <f t="shared" si="120"/>
        <v>10.3912</v>
      </c>
      <c r="J307" s="232"/>
      <c r="K307" s="232">
        <f t="shared" si="121"/>
        <v>140.28119999999998</v>
      </c>
    </row>
    <row r="308" spans="3:11" x14ac:dyDescent="0.25">
      <c r="C308" s="304">
        <v>45350</v>
      </c>
      <c r="D308" s="41" t="s">
        <v>15</v>
      </c>
      <c r="E308" s="41" t="s">
        <v>540</v>
      </c>
      <c r="F308" s="41">
        <v>4</v>
      </c>
      <c r="G308" s="232">
        <v>6.34</v>
      </c>
      <c r="H308" s="232">
        <f t="shared" si="119"/>
        <v>25.36</v>
      </c>
      <c r="I308" s="232">
        <f t="shared" si="120"/>
        <v>2.0287999999999999</v>
      </c>
      <c r="J308" s="232"/>
      <c r="K308" s="232">
        <f t="shared" si="121"/>
        <v>27.3888</v>
      </c>
    </row>
    <row r="309" spans="3:11" x14ac:dyDescent="0.25">
      <c r="C309" s="304">
        <v>45350</v>
      </c>
      <c r="D309" s="41" t="s">
        <v>15</v>
      </c>
      <c r="E309" s="41" t="s">
        <v>541</v>
      </c>
      <c r="F309" s="41">
        <v>1</v>
      </c>
      <c r="G309" s="232">
        <v>5.85</v>
      </c>
      <c r="H309" s="232">
        <f t="shared" si="119"/>
        <v>5.85</v>
      </c>
      <c r="I309" s="232">
        <f t="shared" si="120"/>
        <v>0.46799999999999997</v>
      </c>
      <c r="J309" s="232"/>
      <c r="K309" s="232">
        <f t="shared" si="121"/>
        <v>6.3179999999999996</v>
      </c>
    </row>
    <row r="310" spans="3:11" x14ac:dyDescent="0.25">
      <c r="C310" s="304">
        <v>45350</v>
      </c>
      <c r="D310" s="41" t="s">
        <v>15</v>
      </c>
      <c r="E310" s="41" t="s">
        <v>539</v>
      </c>
      <c r="F310" s="41">
        <v>1</v>
      </c>
      <c r="G310" s="232">
        <v>5.2</v>
      </c>
      <c r="H310" s="232">
        <f t="shared" si="119"/>
        <v>5.2</v>
      </c>
      <c r="I310" s="232">
        <f t="shared" si="120"/>
        <v>0.41600000000000004</v>
      </c>
      <c r="J310" s="232"/>
      <c r="K310" s="232">
        <f t="shared" si="121"/>
        <v>5.6160000000000005</v>
      </c>
    </row>
    <row r="311" spans="3:11" x14ac:dyDescent="0.25">
      <c r="C311" s="304">
        <v>45350</v>
      </c>
      <c r="D311" s="41" t="s">
        <v>15</v>
      </c>
      <c r="E311" s="41" t="s">
        <v>542</v>
      </c>
      <c r="F311" s="41">
        <v>2</v>
      </c>
      <c r="G311" s="232">
        <v>9.58</v>
      </c>
      <c r="H311" s="232">
        <f t="shared" si="119"/>
        <v>19.16</v>
      </c>
      <c r="I311" s="232">
        <f t="shared" si="120"/>
        <v>1.5327999999999999</v>
      </c>
      <c r="J311" s="232"/>
      <c r="K311" s="232">
        <f t="shared" si="121"/>
        <v>20.692799999999998</v>
      </c>
    </row>
    <row r="312" spans="3:11" x14ac:dyDescent="0.25">
      <c r="C312" s="304">
        <v>45350</v>
      </c>
      <c r="D312" s="41" t="s">
        <v>15</v>
      </c>
      <c r="E312" s="41" t="s">
        <v>543</v>
      </c>
      <c r="F312" s="41">
        <v>1</v>
      </c>
      <c r="G312" s="232">
        <v>27.6</v>
      </c>
      <c r="H312" s="232">
        <f t="shared" si="119"/>
        <v>27.6</v>
      </c>
      <c r="I312" s="232">
        <f t="shared" si="120"/>
        <v>2.2080000000000002</v>
      </c>
      <c r="J312" s="232"/>
      <c r="K312" s="232">
        <f t="shared" si="121"/>
        <v>29.808</v>
      </c>
    </row>
    <row r="313" spans="3:11" x14ac:dyDescent="0.25">
      <c r="C313" s="304">
        <v>45350</v>
      </c>
      <c r="D313" s="41" t="s">
        <v>15</v>
      </c>
      <c r="E313" s="41" t="s">
        <v>544</v>
      </c>
      <c r="F313" s="41">
        <v>3</v>
      </c>
      <c r="G313" s="232">
        <v>11.05</v>
      </c>
      <c r="H313" s="232">
        <f t="shared" si="119"/>
        <v>33.150000000000006</v>
      </c>
      <c r="I313" s="232">
        <f t="shared" si="120"/>
        <v>2.6520000000000006</v>
      </c>
      <c r="J313" s="232"/>
      <c r="K313" s="232">
        <f t="shared" si="121"/>
        <v>35.802000000000007</v>
      </c>
    </row>
    <row r="314" spans="3:11" x14ac:dyDescent="0.25">
      <c r="C314" s="304">
        <v>45350</v>
      </c>
      <c r="D314" s="41" t="s">
        <v>15</v>
      </c>
      <c r="E314" s="41" t="s">
        <v>545</v>
      </c>
      <c r="F314" s="41">
        <v>1</v>
      </c>
      <c r="G314" s="232">
        <v>16.96</v>
      </c>
      <c r="H314" s="232">
        <f t="shared" si="119"/>
        <v>16.96</v>
      </c>
      <c r="I314" s="232">
        <f t="shared" si="120"/>
        <v>1.3568</v>
      </c>
      <c r="J314" s="232"/>
      <c r="K314" s="232">
        <f t="shared" si="121"/>
        <v>18.316800000000001</v>
      </c>
    </row>
    <row r="315" spans="3:11" x14ac:dyDescent="0.25">
      <c r="C315" s="304">
        <v>45350</v>
      </c>
      <c r="D315" s="41" t="s">
        <v>15</v>
      </c>
      <c r="E315" s="41" t="s">
        <v>546</v>
      </c>
      <c r="F315" s="41">
        <v>1</v>
      </c>
      <c r="G315" s="232">
        <v>3.9</v>
      </c>
      <c r="H315" s="232">
        <f t="shared" si="119"/>
        <v>3.9</v>
      </c>
      <c r="I315" s="232">
        <f t="shared" si="120"/>
        <v>0.312</v>
      </c>
      <c r="J315" s="232"/>
      <c r="K315" s="232">
        <f t="shared" si="121"/>
        <v>4.2119999999999997</v>
      </c>
    </row>
    <row r="316" spans="3:11" x14ac:dyDescent="0.25">
      <c r="C316" s="304">
        <v>45350</v>
      </c>
      <c r="D316" s="41" t="s">
        <v>15</v>
      </c>
      <c r="E316" s="41" t="s">
        <v>547</v>
      </c>
      <c r="F316" s="41">
        <v>1</v>
      </c>
      <c r="G316" s="232">
        <v>70.2</v>
      </c>
      <c r="H316" s="232">
        <f t="shared" si="119"/>
        <v>70.2</v>
      </c>
      <c r="I316" s="232">
        <f t="shared" si="120"/>
        <v>5.6160000000000005</v>
      </c>
      <c r="J316" s="232"/>
      <c r="K316" s="232">
        <f t="shared" si="121"/>
        <v>75.816000000000003</v>
      </c>
    </row>
    <row r="317" spans="3:11" x14ac:dyDescent="0.25">
      <c r="C317" s="304">
        <v>45350</v>
      </c>
      <c r="D317" s="41" t="s">
        <v>15</v>
      </c>
      <c r="E317" s="41" t="s">
        <v>22</v>
      </c>
      <c r="F317" s="41">
        <v>1</v>
      </c>
      <c r="G317" s="232">
        <v>350</v>
      </c>
      <c r="H317" s="232">
        <f t="shared" si="119"/>
        <v>350</v>
      </c>
      <c r="I317" s="232">
        <f t="shared" si="120"/>
        <v>28</v>
      </c>
      <c r="J317" s="232"/>
      <c r="K317" s="232">
        <f t="shared" si="121"/>
        <v>378</v>
      </c>
    </row>
    <row r="318" spans="3:11" x14ac:dyDescent="0.25">
      <c r="C318" s="291">
        <v>45350</v>
      </c>
      <c r="D318" s="50" t="s">
        <v>80</v>
      </c>
      <c r="E318" s="50" t="s">
        <v>549</v>
      </c>
      <c r="F318" s="50">
        <v>1</v>
      </c>
      <c r="G318" s="292">
        <v>27</v>
      </c>
      <c r="H318" s="292">
        <f t="shared" si="119"/>
        <v>27</v>
      </c>
      <c r="I318" s="292">
        <f t="shared" si="120"/>
        <v>2.16</v>
      </c>
      <c r="J318" s="292"/>
      <c r="K318" s="292">
        <f t="shared" si="121"/>
        <v>29.16</v>
      </c>
    </row>
    <row r="319" spans="3:11" x14ac:dyDescent="0.25">
      <c r="C319" s="291">
        <v>45350</v>
      </c>
      <c r="D319" s="50" t="s">
        <v>80</v>
      </c>
      <c r="E319" s="50" t="s">
        <v>548</v>
      </c>
      <c r="F319" s="50">
        <v>11</v>
      </c>
      <c r="G319" s="292">
        <v>14.8</v>
      </c>
      <c r="H319" s="292">
        <f t="shared" si="119"/>
        <v>162.80000000000001</v>
      </c>
      <c r="I319" s="292">
        <f t="shared" si="120"/>
        <v>13.024000000000001</v>
      </c>
      <c r="J319" s="292"/>
      <c r="K319" s="292">
        <f t="shared" si="121"/>
        <v>175.82400000000001</v>
      </c>
    </row>
    <row r="320" spans="3:11" x14ac:dyDescent="0.25">
      <c r="C320" s="291">
        <v>45350</v>
      </c>
      <c r="D320" s="50" t="s">
        <v>80</v>
      </c>
      <c r="E320" s="50" t="s">
        <v>550</v>
      </c>
      <c r="F320" s="50">
        <v>1</v>
      </c>
      <c r="G320" s="292">
        <v>12</v>
      </c>
      <c r="H320" s="292">
        <f t="shared" si="119"/>
        <v>12</v>
      </c>
      <c r="I320" s="292">
        <f t="shared" si="120"/>
        <v>0.96</v>
      </c>
      <c r="J320" s="292"/>
      <c r="K320" s="292">
        <f t="shared" si="121"/>
        <v>12.96</v>
      </c>
    </row>
    <row r="321" spans="3:11" x14ac:dyDescent="0.25">
      <c r="C321" s="309">
        <v>45350</v>
      </c>
      <c r="D321" s="45" t="s">
        <v>13</v>
      </c>
      <c r="E321" s="45" t="s">
        <v>551</v>
      </c>
      <c r="F321" s="45">
        <v>1</v>
      </c>
      <c r="G321" s="238">
        <f>865/1.08</f>
        <v>800.92592592592587</v>
      </c>
      <c r="H321" s="238">
        <f t="shared" ref="H321:H371" si="122">F321*G321</f>
        <v>800.92592592592587</v>
      </c>
      <c r="I321" s="238">
        <f t="shared" ref="I321:I371" si="123">H321*0.08</f>
        <v>64.074074074074076</v>
      </c>
      <c r="J321" s="238"/>
      <c r="K321" s="238">
        <f t="shared" ref="K321:K371" si="124">SUM(H321:I321)-J321</f>
        <v>865</v>
      </c>
    </row>
    <row r="322" spans="3:11" x14ac:dyDescent="0.25">
      <c r="C322" s="302">
        <v>45350</v>
      </c>
      <c r="D322" s="32" t="s">
        <v>117</v>
      </c>
      <c r="E322" s="32" t="s">
        <v>560</v>
      </c>
      <c r="F322" s="32">
        <v>1</v>
      </c>
      <c r="G322" s="240">
        <v>4000</v>
      </c>
      <c r="H322" s="240">
        <f t="shared" si="122"/>
        <v>4000</v>
      </c>
      <c r="I322" s="240">
        <f t="shared" si="123"/>
        <v>320</v>
      </c>
      <c r="J322" s="240"/>
      <c r="K322" s="240">
        <f t="shared" si="124"/>
        <v>4320</v>
      </c>
    </row>
    <row r="323" spans="3:11" x14ac:dyDescent="0.25">
      <c r="C323" s="308">
        <v>45350</v>
      </c>
      <c r="D323" s="48" t="s">
        <v>229</v>
      </c>
      <c r="E323" s="48"/>
      <c r="F323" s="48">
        <v>1</v>
      </c>
      <c r="G323" s="235">
        <v>30000</v>
      </c>
      <c r="H323" s="235">
        <f t="shared" si="122"/>
        <v>30000</v>
      </c>
      <c r="I323" s="235">
        <f t="shared" si="123"/>
        <v>2400</v>
      </c>
      <c r="J323" s="235"/>
      <c r="K323" s="235">
        <f t="shared" si="124"/>
        <v>32400</v>
      </c>
    </row>
    <row r="324" spans="3:11" x14ac:dyDescent="0.25">
      <c r="C324" s="338">
        <v>45352</v>
      </c>
      <c r="D324" s="339" t="s">
        <v>15</v>
      </c>
      <c r="E324" s="339" t="s">
        <v>520</v>
      </c>
      <c r="F324" s="339">
        <v>16</v>
      </c>
      <c r="G324" s="340">
        <v>27.77</v>
      </c>
      <c r="H324" s="340">
        <f t="shared" si="122"/>
        <v>444.32</v>
      </c>
      <c r="I324" s="340">
        <f t="shared" si="123"/>
        <v>35.5456</v>
      </c>
      <c r="J324" s="340"/>
      <c r="K324" s="340">
        <f t="shared" si="124"/>
        <v>479.86559999999997</v>
      </c>
    </row>
    <row r="325" spans="3:11" x14ac:dyDescent="0.25">
      <c r="C325" s="338">
        <v>45352</v>
      </c>
      <c r="D325" s="339" t="s">
        <v>15</v>
      </c>
      <c r="E325" s="339" t="s">
        <v>563</v>
      </c>
      <c r="F325" s="339">
        <v>1</v>
      </c>
      <c r="G325" s="340">
        <v>54.7</v>
      </c>
      <c r="H325" s="340">
        <f t="shared" si="122"/>
        <v>54.7</v>
      </c>
      <c r="I325" s="340">
        <f t="shared" si="123"/>
        <v>4.3760000000000003</v>
      </c>
      <c r="J325" s="340"/>
      <c r="K325" s="340">
        <f t="shared" si="124"/>
        <v>59.076000000000001</v>
      </c>
    </row>
    <row r="326" spans="3:11" x14ac:dyDescent="0.25">
      <c r="C326" s="338">
        <v>45352</v>
      </c>
      <c r="D326" s="339" t="s">
        <v>15</v>
      </c>
      <c r="E326" s="339" t="s">
        <v>23</v>
      </c>
      <c r="F326" s="339">
        <v>2</v>
      </c>
      <c r="G326" s="340">
        <v>32.659999999999997</v>
      </c>
      <c r="H326" s="340">
        <f t="shared" si="122"/>
        <v>65.319999999999993</v>
      </c>
      <c r="I326" s="340">
        <f t="shared" si="123"/>
        <v>5.2255999999999991</v>
      </c>
      <c r="J326" s="340"/>
      <c r="K326" s="340">
        <f t="shared" si="124"/>
        <v>70.545599999999993</v>
      </c>
    </row>
    <row r="327" spans="3:11" x14ac:dyDescent="0.25">
      <c r="C327" s="338">
        <v>45352</v>
      </c>
      <c r="D327" s="339" t="s">
        <v>15</v>
      </c>
      <c r="E327" s="339" t="s">
        <v>564</v>
      </c>
      <c r="F327" s="339">
        <v>1</v>
      </c>
      <c r="G327" s="340">
        <v>6.06</v>
      </c>
      <c r="H327" s="340">
        <f t="shared" si="122"/>
        <v>6.06</v>
      </c>
      <c r="I327" s="340">
        <f t="shared" si="123"/>
        <v>0.48479999999999995</v>
      </c>
      <c r="J327" s="340"/>
      <c r="K327" s="340">
        <f t="shared" si="124"/>
        <v>6.5447999999999995</v>
      </c>
    </row>
    <row r="328" spans="3:11" x14ac:dyDescent="0.25">
      <c r="C328" s="338">
        <v>45352</v>
      </c>
      <c r="D328" s="339" t="s">
        <v>15</v>
      </c>
      <c r="E328" s="339" t="s">
        <v>565</v>
      </c>
      <c r="F328" s="339">
        <v>1</v>
      </c>
      <c r="G328" s="340">
        <v>20.09</v>
      </c>
      <c r="H328" s="340">
        <f t="shared" si="122"/>
        <v>20.09</v>
      </c>
      <c r="I328" s="340">
        <f t="shared" si="123"/>
        <v>1.6072</v>
      </c>
      <c r="J328" s="340"/>
      <c r="K328" s="340">
        <f t="shared" si="124"/>
        <v>21.697199999999999</v>
      </c>
    </row>
    <row r="329" spans="3:11" x14ac:dyDescent="0.25">
      <c r="C329" s="338">
        <v>45352</v>
      </c>
      <c r="D329" s="339" t="s">
        <v>15</v>
      </c>
      <c r="E329" s="339" t="s">
        <v>566</v>
      </c>
      <c r="F329" s="339">
        <v>2</v>
      </c>
      <c r="G329" s="340">
        <v>10.039999999999999</v>
      </c>
      <c r="H329" s="340">
        <f t="shared" si="122"/>
        <v>20.079999999999998</v>
      </c>
      <c r="I329" s="340">
        <f t="shared" si="123"/>
        <v>1.6063999999999998</v>
      </c>
      <c r="J329" s="340"/>
      <c r="K329" s="340">
        <f t="shared" si="124"/>
        <v>21.686399999999999</v>
      </c>
    </row>
    <row r="330" spans="3:11" x14ac:dyDescent="0.25">
      <c r="C330" s="338">
        <v>45352</v>
      </c>
      <c r="D330" s="339" t="s">
        <v>15</v>
      </c>
      <c r="E330" s="339" t="s">
        <v>567</v>
      </c>
      <c r="F330" s="339">
        <v>1</v>
      </c>
      <c r="G330" s="340">
        <v>22.2</v>
      </c>
      <c r="H330" s="340">
        <f t="shared" si="122"/>
        <v>22.2</v>
      </c>
      <c r="I330" s="340">
        <f t="shared" si="123"/>
        <v>1.776</v>
      </c>
      <c r="J330" s="340"/>
      <c r="K330" s="340">
        <f t="shared" si="124"/>
        <v>23.975999999999999</v>
      </c>
    </row>
    <row r="331" spans="3:11" x14ac:dyDescent="0.25">
      <c r="C331" s="267">
        <v>45352</v>
      </c>
      <c r="D331" s="256" t="s">
        <v>476</v>
      </c>
      <c r="E331" s="256" t="s">
        <v>568</v>
      </c>
      <c r="F331" s="256">
        <v>2</v>
      </c>
      <c r="G331" s="268">
        <v>416.66</v>
      </c>
      <c r="H331" s="268">
        <f t="shared" si="122"/>
        <v>833.32</v>
      </c>
      <c r="I331" s="268">
        <f t="shared" si="123"/>
        <v>66.665600000000012</v>
      </c>
      <c r="J331" s="268"/>
      <c r="K331" s="268">
        <f t="shared" si="124"/>
        <v>899.98560000000009</v>
      </c>
    </row>
    <row r="332" spans="3:11" x14ac:dyDescent="0.25">
      <c r="C332" s="318">
        <v>45352</v>
      </c>
      <c r="D332" s="256" t="s">
        <v>477</v>
      </c>
      <c r="E332" s="256" t="s">
        <v>479</v>
      </c>
      <c r="F332" s="256">
        <v>30</v>
      </c>
      <c r="G332" s="268">
        <v>118.51</v>
      </c>
      <c r="H332" s="268">
        <f t="shared" si="122"/>
        <v>3555.3</v>
      </c>
      <c r="I332" s="268">
        <f t="shared" si="123"/>
        <v>284.42400000000004</v>
      </c>
      <c r="J332" s="268"/>
      <c r="K332" s="268">
        <f t="shared" si="124"/>
        <v>3839.7240000000002</v>
      </c>
    </row>
    <row r="333" spans="3:11" x14ac:dyDescent="0.25">
      <c r="C333" s="318">
        <v>45352</v>
      </c>
      <c r="D333" s="256" t="s">
        <v>477</v>
      </c>
      <c r="E333" s="256" t="s">
        <v>478</v>
      </c>
      <c r="F333" s="256">
        <v>15</v>
      </c>
      <c r="G333" s="268">
        <v>88.84</v>
      </c>
      <c r="H333" s="268">
        <f t="shared" si="122"/>
        <v>1332.6000000000001</v>
      </c>
      <c r="I333" s="268">
        <f t="shared" si="123"/>
        <v>106.60800000000002</v>
      </c>
      <c r="J333" s="268"/>
      <c r="K333" s="268">
        <f t="shared" si="124"/>
        <v>1439.2080000000001</v>
      </c>
    </row>
    <row r="334" spans="3:11" x14ac:dyDescent="0.25">
      <c r="C334" s="318">
        <v>45352</v>
      </c>
      <c r="D334" s="256" t="s">
        <v>477</v>
      </c>
      <c r="E334" s="256" t="s">
        <v>569</v>
      </c>
      <c r="F334" s="256">
        <v>1</v>
      </c>
      <c r="G334" s="268">
        <v>534.91999999999996</v>
      </c>
      <c r="H334" s="268">
        <f t="shared" si="122"/>
        <v>534.91999999999996</v>
      </c>
      <c r="I334" s="268">
        <f t="shared" si="123"/>
        <v>42.793599999999998</v>
      </c>
      <c r="J334" s="268"/>
      <c r="K334" s="268">
        <f t="shared" si="124"/>
        <v>577.71359999999993</v>
      </c>
    </row>
    <row r="335" spans="3:11" x14ac:dyDescent="0.25">
      <c r="C335" s="267">
        <v>45352</v>
      </c>
      <c r="D335" s="256" t="s">
        <v>477</v>
      </c>
      <c r="E335" s="256" t="s">
        <v>570</v>
      </c>
      <c r="F335" s="256">
        <v>0.5</v>
      </c>
      <c r="G335" s="268">
        <v>192.51</v>
      </c>
      <c r="H335" s="268">
        <f t="shared" si="122"/>
        <v>96.254999999999995</v>
      </c>
      <c r="I335" s="268">
        <f t="shared" si="123"/>
        <v>7.7004000000000001</v>
      </c>
      <c r="J335" s="268"/>
      <c r="K335" s="268">
        <f t="shared" si="124"/>
        <v>103.9554</v>
      </c>
    </row>
    <row r="336" spans="3:11" x14ac:dyDescent="0.25">
      <c r="C336" s="302">
        <v>45352</v>
      </c>
      <c r="D336" s="32" t="s">
        <v>117</v>
      </c>
      <c r="E336" s="32"/>
      <c r="F336" s="32">
        <v>1</v>
      </c>
      <c r="G336" s="240">
        <v>23600</v>
      </c>
      <c r="H336" s="240">
        <f t="shared" si="122"/>
        <v>23600</v>
      </c>
      <c r="I336" s="240">
        <f t="shared" si="123"/>
        <v>1888</v>
      </c>
      <c r="J336" s="240"/>
      <c r="K336" s="240">
        <f t="shared" si="124"/>
        <v>25488</v>
      </c>
    </row>
    <row r="337" spans="3:11" x14ac:dyDescent="0.25">
      <c r="C337" s="301">
        <v>45352</v>
      </c>
      <c r="D337" s="52" t="s">
        <v>255</v>
      </c>
      <c r="E337" s="52"/>
      <c r="F337" s="52">
        <v>1</v>
      </c>
      <c r="G337" s="236">
        <v>2000</v>
      </c>
      <c r="H337" s="236">
        <f t="shared" si="122"/>
        <v>2000</v>
      </c>
      <c r="I337" s="236">
        <f t="shared" si="123"/>
        <v>160</v>
      </c>
      <c r="J337" s="236"/>
      <c r="K337" s="236">
        <f t="shared" si="124"/>
        <v>2160</v>
      </c>
    </row>
    <row r="338" spans="3:11" x14ac:dyDescent="0.25">
      <c r="C338" s="301">
        <v>45352</v>
      </c>
      <c r="D338" s="52" t="s">
        <v>105</v>
      </c>
      <c r="E338" s="52"/>
      <c r="F338" s="52">
        <v>1</v>
      </c>
      <c r="G338" s="236">
        <v>4500</v>
      </c>
      <c r="H338" s="236">
        <f t="shared" si="122"/>
        <v>4500</v>
      </c>
      <c r="I338" s="236">
        <f t="shared" si="123"/>
        <v>360</v>
      </c>
      <c r="J338" s="236"/>
      <c r="K338" s="236">
        <f t="shared" si="124"/>
        <v>4860</v>
      </c>
    </row>
    <row r="339" spans="3:11" x14ac:dyDescent="0.25">
      <c r="C339" s="301">
        <v>45352</v>
      </c>
      <c r="D339" s="52" t="s">
        <v>303</v>
      </c>
      <c r="E339" s="52"/>
      <c r="F339" s="52">
        <v>1</v>
      </c>
      <c r="G339" s="236">
        <v>16000</v>
      </c>
      <c r="H339" s="236">
        <f t="shared" si="122"/>
        <v>16000</v>
      </c>
      <c r="I339" s="236">
        <f t="shared" si="123"/>
        <v>1280</v>
      </c>
      <c r="J339" s="236"/>
      <c r="K339" s="236">
        <f t="shared" si="124"/>
        <v>17280</v>
      </c>
    </row>
    <row r="340" spans="3:11" x14ac:dyDescent="0.25">
      <c r="C340" s="267">
        <v>45352</v>
      </c>
      <c r="D340" s="256" t="s">
        <v>489</v>
      </c>
      <c r="E340" s="256"/>
      <c r="F340" s="256">
        <v>1</v>
      </c>
      <c r="G340" s="268">
        <v>6000</v>
      </c>
      <c r="H340" s="268">
        <f t="shared" si="122"/>
        <v>6000</v>
      </c>
      <c r="I340" s="268">
        <f t="shared" si="123"/>
        <v>480</v>
      </c>
      <c r="J340" s="268"/>
      <c r="K340" s="268">
        <f t="shared" si="124"/>
        <v>6480</v>
      </c>
    </row>
    <row r="341" spans="3:11" x14ac:dyDescent="0.25">
      <c r="C341" s="305">
        <v>45353</v>
      </c>
      <c r="D341" s="38" t="s">
        <v>15</v>
      </c>
      <c r="E341" s="38" t="s">
        <v>573</v>
      </c>
      <c r="F341" s="38">
        <v>1</v>
      </c>
      <c r="G341" s="224">
        <v>529.11</v>
      </c>
      <c r="H341" s="224">
        <f t="shared" ref="H341:H356" si="125">F341*G341</f>
        <v>529.11</v>
      </c>
      <c r="I341" s="224">
        <f t="shared" ref="I341:I356" si="126">H341*0.08</f>
        <v>42.328800000000001</v>
      </c>
      <c r="J341" s="224"/>
      <c r="K341" s="224">
        <f t="shared" ref="K341:K356" si="127">SUM(H341:I341)-J341</f>
        <v>571.43880000000001</v>
      </c>
    </row>
    <row r="342" spans="3:11" x14ac:dyDescent="0.25">
      <c r="C342" s="305">
        <v>45353</v>
      </c>
      <c r="D342" s="38" t="s">
        <v>15</v>
      </c>
      <c r="E342" s="38" t="s">
        <v>574</v>
      </c>
      <c r="F342" s="38">
        <v>1</v>
      </c>
      <c r="G342" s="224">
        <v>215.66</v>
      </c>
      <c r="H342" s="224">
        <f t="shared" si="125"/>
        <v>215.66</v>
      </c>
      <c r="I342" s="224">
        <f t="shared" si="126"/>
        <v>17.252800000000001</v>
      </c>
      <c r="J342" s="224"/>
      <c r="K342" s="224">
        <f t="shared" si="127"/>
        <v>232.9128</v>
      </c>
    </row>
    <row r="343" spans="3:11" x14ac:dyDescent="0.25">
      <c r="C343" s="305">
        <v>45353</v>
      </c>
      <c r="D343" s="38" t="s">
        <v>13</v>
      </c>
      <c r="E343" s="38" t="s">
        <v>575</v>
      </c>
      <c r="F343" s="38">
        <v>1</v>
      </c>
      <c r="G343" s="224">
        <v>175</v>
      </c>
      <c r="H343" s="224">
        <f t="shared" si="125"/>
        <v>175</v>
      </c>
      <c r="I343" s="224">
        <f t="shared" si="126"/>
        <v>14</v>
      </c>
      <c r="J343" s="224"/>
      <c r="K343" s="224">
        <f t="shared" si="127"/>
        <v>189</v>
      </c>
    </row>
    <row r="344" spans="3:11" x14ac:dyDescent="0.25">
      <c r="C344" s="304">
        <v>45354</v>
      </c>
      <c r="D344" s="41" t="s">
        <v>15</v>
      </c>
      <c r="E344" s="41" t="s">
        <v>212</v>
      </c>
      <c r="F344" s="41">
        <v>12</v>
      </c>
      <c r="G344" s="232">
        <v>17.79</v>
      </c>
      <c r="H344" s="232">
        <f t="shared" si="125"/>
        <v>213.48</v>
      </c>
      <c r="I344" s="232">
        <f t="shared" si="126"/>
        <v>17.078399999999998</v>
      </c>
      <c r="J344" s="232"/>
      <c r="K344" s="232">
        <f t="shared" si="127"/>
        <v>230.55839999999998</v>
      </c>
    </row>
    <row r="345" spans="3:11" x14ac:dyDescent="0.25">
      <c r="C345" s="304">
        <v>45354</v>
      </c>
      <c r="D345" s="41" t="s">
        <v>15</v>
      </c>
      <c r="E345" s="41" t="s">
        <v>528</v>
      </c>
      <c r="F345" s="41">
        <v>3</v>
      </c>
      <c r="G345" s="232">
        <v>18.190000000000001</v>
      </c>
      <c r="H345" s="232">
        <f t="shared" si="125"/>
        <v>54.570000000000007</v>
      </c>
      <c r="I345" s="232">
        <f t="shared" si="126"/>
        <v>4.3656000000000006</v>
      </c>
      <c r="J345" s="232"/>
      <c r="K345" s="232">
        <f t="shared" si="127"/>
        <v>58.935600000000008</v>
      </c>
    </row>
    <row r="346" spans="3:11" x14ac:dyDescent="0.25">
      <c r="C346" s="303">
        <v>45354</v>
      </c>
      <c r="D346" s="33" t="s">
        <v>15</v>
      </c>
      <c r="E346" s="33" t="s">
        <v>576</v>
      </c>
      <c r="F346" s="33">
        <v>2</v>
      </c>
      <c r="G346" s="233">
        <v>109.7</v>
      </c>
      <c r="H346" s="233">
        <f t="shared" si="125"/>
        <v>219.4</v>
      </c>
      <c r="I346" s="233">
        <f t="shared" si="126"/>
        <v>17.552</v>
      </c>
      <c r="J346" s="233"/>
      <c r="K346" s="233">
        <f t="shared" si="127"/>
        <v>236.952</v>
      </c>
    </row>
    <row r="347" spans="3:11" x14ac:dyDescent="0.25">
      <c r="C347" s="303">
        <v>45354</v>
      </c>
      <c r="D347" s="33" t="s">
        <v>15</v>
      </c>
      <c r="E347" s="33" t="s">
        <v>577</v>
      </c>
      <c r="F347" s="33">
        <v>1</v>
      </c>
      <c r="G347" s="233">
        <v>45.02</v>
      </c>
      <c r="H347" s="233">
        <f t="shared" si="125"/>
        <v>45.02</v>
      </c>
      <c r="I347" s="233">
        <f t="shared" si="126"/>
        <v>3.6016000000000004</v>
      </c>
      <c r="J347" s="233"/>
      <c r="K347" s="233">
        <f t="shared" si="127"/>
        <v>48.621600000000001</v>
      </c>
    </row>
    <row r="348" spans="3:11" x14ac:dyDescent="0.25">
      <c r="C348" s="304">
        <v>45354</v>
      </c>
      <c r="D348" s="41" t="s">
        <v>15</v>
      </c>
      <c r="E348" s="41" t="s">
        <v>522</v>
      </c>
      <c r="F348" s="41">
        <v>1</v>
      </c>
      <c r="G348" s="232">
        <v>151.94</v>
      </c>
      <c r="H348" s="232">
        <f t="shared" si="125"/>
        <v>151.94</v>
      </c>
      <c r="I348" s="232">
        <f t="shared" si="126"/>
        <v>12.155200000000001</v>
      </c>
      <c r="J348" s="232"/>
      <c r="K348" s="232">
        <f t="shared" si="127"/>
        <v>164.09520000000001</v>
      </c>
    </row>
    <row r="349" spans="3:11" x14ac:dyDescent="0.25">
      <c r="C349" s="304">
        <v>45354</v>
      </c>
      <c r="D349" s="41" t="s">
        <v>15</v>
      </c>
      <c r="E349" s="41" t="s">
        <v>578</v>
      </c>
      <c r="F349" s="41">
        <v>1</v>
      </c>
      <c r="G349" s="232">
        <v>36.44</v>
      </c>
      <c r="H349" s="232">
        <f t="shared" si="125"/>
        <v>36.44</v>
      </c>
      <c r="I349" s="232">
        <f t="shared" si="126"/>
        <v>2.9152</v>
      </c>
      <c r="J349" s="232"/>
      <c r="K349" s="232">
        <f t="shared" si="127"/>
        <v>39.355199999999996</v>
      </c>
    </row>
    <row r="350" spans="3:11" x14ac:dyDescent="0.25">
      <c r="C350" s="303">
        <v>45354</v>
      </c>
      <c r="D350" s="33" t="s">
        <v>15</v>
      </c>
      <c r="E350" s="33" t="s">
        <v>579</v>
      </c>
      <c r="F350" s="33">
        <v>1</v>
      </c>
      <c r="G350" s="233">
        <v>5.15</v>
      </c>
      <c r="H350" s="233">
        <f t="shared" si="125"/>
        <v>5.15</v>
      </c>
      <c r="I350" s="233">
        <f t="shared" si="126"/>
        <v>0.41200000000000003</v>
      </c>
      <c r="J350" s="233"/>
      <c r="K350" s="233">
        <f t="shared" si="127"/>
        <v>5.5620000000000003</v>
      </c>
    </row>
    <row r="351" spans="3:11" x14ac:dyDescent="0.25">
      <c r="C351" s="303">
        <v>45354</v>
      </c>
      <c r="D351" s="33" t="s">
        <v>15</v>
      </c>
      <c r="E351" s="33" t="s">
        <v>580</v>
      </c>
      <c r="F351" s="33">
        <v>10</v>
      </c>
      <c r="G351" s="233">
        <v>2.2999999999999998</v>
      </c>
      <c r="H351" s="233">
        <f t="shared" si="125"/>
        <v>23</v>
      </c>
      <c r="I351" s="233">
        <f t="shared" si="126"/>
        <v>1.84</v>
      </c>
      <c r="J351" s="233"/>
      <c r="K351" s="233">
        <f t="shared" si="127"/>
        <v>24.84</v>
      </c>
    </row>
    <row r="352" spans="3:11" x14ac:dyDescent="0.25">
      <c r="C352" s="303">
        <v>45354</v>
      </c>
      <c r="D352" s="33" t="s">
        <v>15</v>
      </c>
      <c r="E352" s="33" t="s">
        <v>581</v>
      </c>
      <c r="F352" s="33">
        <v>6</v>
      </c>
      <c r="G352" s="233">
        <v>2.14</v>
      </c>
      <c r="H352" s="233">
        <f t="shared" si="125"/>
        <v>12.84</v>
      </c>
      <c r="I352" s="233">
        <f t="shared" si="126"/>
        <v>1.0272000000000001</v>
      </c>
      <c r="J352" s="233"/>
      <c r="K352" s="233">
        <f t="shared" si="127"/>
        <v>13.8672</v>
      </c>
    </row>
    <row r="353" spans="2:11" x14ac:dyDescent="0.25">
      <c r="C353" s="303">
        <v>45354</v>
      </c>
      <c r="D353" s="33" t="s">
        <v>15</v>
      </c>
      <c r="E353" s="33" t="s">
        <v>582</v>
      </c>
      <c r="F353" s="33">
        <v>2</v>
      </c>
      <c r="G353" s="233">
        <v>532.96</v>
      </c>
      <c r="H353" s="233">
        <f t="shared" si="125"/>
        <v>1065.92</v>
      </c>
      <c r="I353" s="233">
        <f t="shared" si="126"/>
        <v>85.273600000000002</v>
      </c>
      <c r="J353" s="233"/>
      <c r="K353" s="233">
        <f t="shared" si="127"/>
        <v>1151.1936000000001</v>
      </c>
    </row>
    <row r="354" spans="2:11" x14ac:dyDescent="0.25">
      <c r="C354" s="303">
        <v>45354</v>
      </c>
      <c r="D354" s="33" t="s">
        <v>15</v>
      </c>
      <c r="E354" s="33" t="s">
        <v>583</v>
      </c>
      <c r="F354" s="33">
        <v>2</v>
      </c>
      <c r="G354" s="233">
        <v>31.32</v>
      </c>
      <c r="H354" s="233">
        <f t="shared" si="125"/>
        <v>62.64</v>
      </c>
      <c r="I354" s="233">
        <f t="shared" si="126"/>
        <v>5.0112000000000005</v>
      </c>
      <c r="J354" s="233"/>
      <c r="K354" s="233">
        <f t="shared" si="127"/>
        <v>67.651200000000003</v>
      </c>
    </row>
    <row r="355" spans="2:11" x14ac:dyDescent="0.25">
      <c r="C355" s="303">
        <v>45354</v>
      </c>
      <c r="D355" s="33" t="s">
        <v>477</v>
      </c>
      <c r="E355" s="33" t="s">
        <v>584</v>
      </c>
      <c r="F355" s="33">
        <v>10</v>
      </c>
      <c r="G355" s="233">
        <v>192.48</v>
      </c>
      <c r="H355" s="234">
        <f t="shared" si="125"/>
        <v>1924.8</v>
      </c>
      <c r="I355" s="234">
        <f t="shared" si="126"/>
        <v>153.98400000000001</v>
      </c>
      <c r="J355" s="234"/>
      <c r="K355" s="234">
        <f t="shared" si="127"/>
        <v>2078.7840000000001</v>
      </c>
    </row>
    <row r="356" spans="2:11" x14ac:dyDescent="0.25">
      <c r="C356" s="304">
        <v>45354</v>
      </c>
      <c r="D356" s="41" t="s">
        <v>131</v>
      </c>
      <c r="E356" s="41" t="s">
        <v>586</v>
      </c>
      <c r="F356" s="41">
        <v>1</v>
      </c>
      <c r="G356" s="232">
        <v>128.69999999999999</v>
      </c>
      <c r="H356" s="232">
        <f t="shared" si="125"/>
        <v>128.69999999999999</v>
      </c>
      <c r="I356" s="232">
        <f t="shared" si="126"/>
        <v>10.295999999999999</v>
      </c>
      <c r="J356" s="232"/>
      <c r="K356" s="232">
        <f t="shared" si="127"/>
        <v>138.99599999999998</v>
      </c>
    </row>
    <row r="357" spans="2:11" x14ac:dyDescent="0.25">
      <c r="C357" s="67">
        <v>45356</v>
      </c>
      <c r="D357" s="26" t="s">
        <v>197</v>
      </c>
      <c r="E357" s="26" t="s">
        <v>587</v>
      </c>
      <c r="F357" s="26">
        <v>2</v>
      </c>
      <c r="G357" s="225">
        <v>144</v>
      </c>
      <c r="H357" s="225">
        <f t="shared" ref="H357:H368" si="128">F357*G357</f>
        <v>288</v>
      </c>
      <c r="I357" s="225">
        <f t="shared" ref="I357:I368" si="129">H357*0.08</f>
        <v>23.04</v>
      </c>
      <c r="J357" s="225"/>
      <c r="K357" s="225">
        <f t="shared" ref="K357:K368" si="130">SUM(H357:I357)-J357</f>
        <v>311.04000000000002</v>
      </c>
    </row>
    <row r="358" spans="2:11" x14ac:dyDescent="0.25">
      <c r="B358" s="350"/>
      <c r="C358" s="42">
        <v>45356</v>
      </c>
      <c r="D358" s="1" t="s">
        <v>588</v>
      </c>
      <c r="E358" s="1" t="s">
        <v>589</v>
      </c>
      <c r="F358" s="1">
        <v>2</v>
      </c>
      <c r="G358" s="43">
        <v>518.52</v>
      </c>
      <c r="H358" s="43">
        <f t="shared" si="128"/>
        <v>1037.04</v>
      </c>
      <c r="I358" s="43">
        <f t="shared" si="129"/>
        <v>82.963200000000001</v>
      </c>
      <c r="J358" s="43"/>
      <c r="K358" s="43">
        <f t="shared" si="130"/>
        <v>1120.0031999999999</v>
      </c>
    </row>
    <row r="359" spans="2:11" x14ac:dyDescent="0.25">
      <c r="B359" s="350"/>
      <c r="C359" s="42">
        <v>45356</v>
      </c>
      <c r="D359" s="1" t="s">
        <v>588</v>
      </c>
      <c r="E359" s="1" t="s">
        <v>590</v>
      </c>
      <c r="F359" s="1">
        <v>2</v>
      </c>
      <c r="G359" s="43">
        <v>76.39</v>
      </c>
      <c r="H359" s="43">
        <f t="shared" si="128"/>
        <v>152.78</v>
      </c>
      <c r="I359" s="43">
        <f t="shared" si="129"/>
        <v>12.2224</v>
      </c>
      <c r="J359" s="43"/>
      <c r="K359" s="43">
        <f t="shared" si="130"/>
        <v>165.00239999999999</v>
      </c>
    </row>
    <row r="360" spans="2:11" x14ac:dyDescent="0.25">
      <c r="C360" s="267">
        <v>45357</v>
      </c>
      <c r="D360" s="256" t="s">
        <v>477</v>
      </c>
      <c r="E360" s="256" t="s">
        <v>591</v>
      </c>
      <c r="F360" s="256">
        <v>1</v>
      </c>
      <c r="G360" s="268">
        <v>71.010000000000005</v>
      </c>
      <c r="H360" s="268">
        <f t="shared" si="128"/>
        <v>71.010000000000005</v>
      </c>
      <c r="I360" s="268">
        <f t="shared" si="129"/>
        <v>5.6808000000000005</v>
      </c>
      <c r="J360" s="268"/>
      <c r="K360" s="268">
        <f t="shared" si="130"/>
        <v>76.69080000000001</v>
      </c>
    </row>
    <row r="361" spans="2:11" x14ac:dyDescent="0.25">
      <c r="C361" s="267">
        <v>45357</v>
      </c>
      <c r="D361" s="256" t="s">
        <v>477</v>
      </c>
      <c r="E361" s="256" t="s">
        <v>592</v>
      </c>
      <c r="F361" s="256">
        <v>1</v>
      </c>
      <c r="G361" s="268">
        <v>80.77</v>
      </c>
      <c r="H361" s="268">
        <f t="shared" si="128"/>
        <v>80.77</v>
      </c>
      <c r="I361" s="268">
        <f t="shared" si="129"/>
        <v>6.4615999999999998</v>
      </c>
      <c r="J361" s="268"/>
      <c r="K361" s="268">
        <f t="shared" si="130"/>
        <v>87.2316</v>
      </c>
    </row>
    <row r="362" spans="2:11" x14ac:dyDescent="0.25">
      <c r="C362" s="267">
        <v>45357</v>
      </c>
      <c r="D362" s="256" t="s">
        <v>477</v>
      </c>
      <c r="E362" s="256" t="s">
        <v>584</v>
      </c>
      <c r="F362" s="256">
        <v>12</v>
      </c>
      <c r="G362" s="268">
        <v>188.21</v>
      </c>
      <c r="H362" s="268">
        <f t="shared" si="128"/>
        <v>2258.52</v>
      </c>
      <c r="I362" s="268">
        <f t="shared" si="129"/>
        <v>180.6816</v>
      </c>
      <c r="J362" s="268"/>
      <c r="K362" s="268">
        <f t="shared" si="130"/>
        <v>2439.2015999999999</v>
      </c>
    </row>
    <row r="363" spans="2:11" x14ac:dyDescent="0.25">
      <c r="C363" s="267">
        <v>45357</v>
      </c>
      <c r="D363" s="256" t="s">
        <v>477</v>
      </c>
      <c r="E363" s="256" t="s">
        <v>593</v>
      </c>
      <c r="F363" s="256">
        <v>3</v>
      </c>
      <c r="G363" s="268">
        <v>773</v>
      </c>
      <c r="H363" s="268">
        <f t="shared" si="128"/>
        <v>2319</v>
      </c>
      <c r="I363" s="268">
        <f t="shared" si="129"/>
        <v>185.52</v>
      </c>
      <c r="J363" s="268"/>
      <c r="K363" s="268">
        <f t="shared" si="130"/>
        <v>2504.52</v>
      </c>
    </row>
    <row r="364" spans="2:11" x14ac:dyDescent="0.25">
      <c r="C364" s="267">
        <v>45357</v>
      </c>
      <c r="D364" s="256" t="s">
        <v>477</v>
      </c>
      <c r="E364" s="256" t="s">
        <v>149</v>
      </c>
      <c r="F364" s="256">
        <v>2</v>
      </c>
      <c r="G364" s="268">
        <v>281.23</v>
      </c>
      <c r="H364" s="268">
        <f t="shared" si="128"/>
        <v>562.46</v>
      </c>
      <c r="I364" s="268">
        <f t="shared" si="129"/>
        <v>44.9968</v>
      </c>
      <c r="J364" s="268"/>
      <c r="K364" s="268">
        <f t="shared" si="130"/>
        <v>607.45680000000004</v>
      </c>
    </row>
    <row r="365" spans="2:11" x14ac:dyDescent="0.25">
      <c r="C365" s="267">
        <v>45357</v>
      </c>
      <c r="D365" s="256" t="s">
        <v>477</v>
      </c>
      <c r="E365" s="256" t="s">
        <v>594</v>
      </c>
      <c r="F365" s="256">
        <v>3</v>
      </c>
      <c r="G365" s="268">
        <v>520.65</v>
      </c>
      <c r="H365" s="268">
        <f t="shared" si="128"/>
        <v>1561.9499999999998</v>
      </c>
      <c r="I365" s="268">
        <f t="shared" si="129"/>
        <v>124.95599999999999</v>
      </c>
      <c r="J365" s="268"/>
      <c r="K365" s="268">
        <f t="shared" si="130"/>
        <v>1686.9059999999997</v>
      </c>
    </row>
    <row r="366" spans="2:11" x14ac:dyDescent="0.25">
      <c r="C366" s="267">
        <v>45357</v>
      </c>
      <c r="D366" s="256" t="s">
        <v>477</v>
      </c>
      <c r="E366" s="256" t="s">
        <v>595</v>
      </c>
      <c r="F366" s="256">
        <v>5</v>
      </c>
      <c r="G366" s="268">
        <v>169.33</v>
      </c>
      <c r="H366" s="268">
        <f t="shared" si="128"/>
        <v>846.65000000000009</v>
      </c>
      <c r="I366" s="268">
        <f t="shared" si="129"/>
        <v>67.732000000000014</v>
      </c>
      <c r="J366" s="268"/>
      <c r="K366" s="268">
        <f t="shared" si="130"/>
        <v>914.38200000000006</v>
      </c>
    </row>
    <row r="367" spans="2:11" x14ac:dyDescent="0.25">
      <c r="C367" s="296">
        <v>45357</v>
      </c>
      <c r="D367" s="24" t="s">
        <v>13</v>
      </c>
      <c r="E367" s="24" t="s">
        <v>283</v>
      </c>
      <c r="F367" s="24">
        <v>1</v>
      </c>
      <c r="G367" s="297">
        <f>875/1.08</f>
        <v>810.18518518518511</v>
      </c>
      <c r="H367" s="297">
        <f t="shared" si="128"/>
        <v>810.18518518518511</v>
      </c>
      <c r="I367" s="297">
        <f t="shared" si="129"/>
        <v>64.81481481481481</v>
      </c>
      <c r="J367" s="297"/>
      <c r="K367" s="297">
        <f t="shared" si="130"/>
        <v>874.99999999999989</v>
      </c>
    </row>
    <row r="368" spans="2:11" x14ac:dyDescent="0.25">
      <c r="C368" s="42">
        <v>45357</v>
      </c>
      <c r="D368" s="1" t="s">
        <v>13</v>
      </c>
      <c r="E368" s="1" t="s">
        <v>70</v>
      </c>
      <c r="F368" s="1">
        <v>12</v>
      </c>
      <c r="G368" s="43">
        <v>282.41000000000003</v>
      </c>
      <c r="H368" s="43">
        <f t="shared" si="128"/>
        <v>3388.92</v>
      </c>
      <c r="I368" s="43">
        <f t="shared" si="129"/>
        <v>271.11360000000002</v>
      </c>
      <c r="J368" s="43"/>
      <c r="K368" s="43">
        <f t="shared" si="130"/>
        <v>3660.0336000000002</v>
      </c>
    </row>
    <row r="369" spans="3:11" x14ac:dyDescent="0.25">
      <c r="C369" s="42">
        <v>45357</v>
      </c>
      <c r="D369" s="1" t="s">
        <v>13</v>
      </c>
      <c r="E369" s="1" t="s">
        <v>149</v>
      </c>
      <c r="F369" s="1">
        <v>3</v>
      </c>
      <c r="G369" s="43">
        <v>254.63</v>
      </c>
      <c r="H369" s="43">
        <f t="shared" si="122"/>
        <v>763.89</v>
      </c>
      <c r="I369" s="43">
        <f t="shared" si="123"/>
        <v>61.111199999999997</v>
      </c>
      <c r="J369" s="43"/>
      <c r="K369" s="43">
        <f t="shared" si="124"/>
        <v>825.00119999999993</v>
      </c>
    </row>
    <row r="370" spans="3:11" x14ac:dyDescent="0.25">
      <c r="C370" s="42">
        <v>45357</v>
      </c>
      <c r="D370" s="1" t="s">
        <v>13</v>
      </c>
      <c r="E370" s="1" t="s">
        <v>596</v>
      </c>
      <c r="F370" s="1">
        <v>2</v>
      </c>
      <c r="G370" s="43">
        <v>323.14999999999998</v>
      </c>
      <c r="H370" s="43">
        <f t="shared" si="122"/>
        <v>646.29999999999995</v>
      </c>
      <c r="I370" s="43">
        <f t="shared" si="123"/>
        <v>51.704000000000001</v>
      </c>
      <c r="J370" s="43"/>
      <c r="K370" s="43">
        <f t="shared" si="124"/>
        <v>698.00399999999991</v>
      </c>
    </row>
    <row r="371" spans="3:11" x14ac:dyDescent="0.25">
      <c r="C371" s="42">
        <v>45357</v>
      </c>
      <c r="D371" s="1" t="s">
        <v>13</v>
      </c>
      <c r="E371" s="1" t="s">
        <v>573</v>
      </c>
      <c r="F371" s="1">
        <v>1</v>
      </c>
      <c r="G371" s="43">
        <f>573.15-185.19</f>
        <v>387.96</v>
      </c>
      <c r="H371" s="43">
        <f t="shared" si="122"/>
        <v>387.96</v>
      </c>
      <c r="I371" s="43">
        <f t="shared" si="123"/>
        <v>31.036799999999999</v>
      </c>
      <c r="J371" s="43"/>
      <c r="K371" s="43">
        <f t="shared" si="124"/>
        <v>418.99680000000001</v>
      </c>
    </row>
    <row r="372" spans="3:11" x14ac:dyDescent="0.25">
      <c r="C372" s="42">
        <v>45357</v>
      </c>
      <c r="D372" s="1" t="s">
        <v>13</v>
      </c>
      <c r="E372" s="1" t="s">
        <v>597</v>
      </c>
      <c r="F372" s="1">
        <v>2</v>
      </c>
      <c r="G372" s="44">
        <v>226.85</v>
      </c>
      <c r="H372" s="43">
        <f t="shared" si="119"/>
        <v>453.7</v>
      </c>
      <c r="I372" s="43">
        <f t="shared" si="120"/>
        <v>36.295999999999999</v>
      </c>
      <c r="J372" s="43"/>
      <c r="K372" s="43">
        <f t="shared" si="121"/>
        <v>489.99599999999998</v>
      </c>
    </row>
    <row r="373" spans="3:11" x14ac:dyDescent="0.25">
      <c r="C373" s="42">
        <v>45357</v>
      </c>
      <c r="D373" s="1" t="s">
        <v>13</v>
      </c>
      <c r="E373" s="1" t="s">
        <v>598</v>
      </c>
      <c r="F373" s="1">
        <v>2</v>
      </c>
      <c r="G373" s="44">
        <v>214.82</v>
      </c>
      <c r="H373" s="43">
        <f t="shared" ref="H373:H397" si="131">F373*G373</f>
        <v>429.64</v>
      </c>
      <c r="I373" s="43">
        <f t="shared" ref="I373:I397" si="132">H373*0.08</f>
        <v>34.371200000000002</v>
      </c>
      <c r="J373" s="43"/>
      <c r="K373" s="43">
        <f t="shared" ref="K373:K397" si="133">SUM(H373:I373)-J373</f>
        <v>464.01119999999997</v>
      </c>
    </row>
    <row r="374" spans="3:11" x14ac:dyDescent="0.25">
      <c r="C374" s="42">
        <v>45357</v>
      </c>
      <c r="D374" s="1" t="s">
        <v>13</v>
      </c>
      <c r="E374" s="1" t="s">
        <v>599</v>
      </c>
      <c r="F374" s="1">
        <v>1</v>
      </c>
      <c r="G374" s="44">
        <v>252.22</v>
      </c>
      <c r="H374" s="43">
        <f t="shared" si="131"/>
        <v>252.22</v>
      </c>
      <c r="I374" s="43">
        <f t="shared" si="132"/>
        <v>20.177600000000002</v>
      </c>
      <c r="J374" s="43"/>
      <c r="K374" s="43">
        <f t="shared" si="133"/>
        <v>272.39760000000001</v>
      </c>
    </row>
    <row r="375" spans="3:11" x14ac:dyDescent="0.25">
      <c r="C375" s="42">
        <v>45357</v>
      </c>
      <c r="D375" s="1" t="s">
        <v>13</v>
      </c>
      <c r="E375" s="1" t="s">
        <v>570</v>
      </c>
      <c r="F375" s="1">
        <v>2</v>
      </c>
      <c r="G375" s="44">
        <v>97.22</v>
      </c>
      <c r="H375" s="43">
        <f t="shared" si="131"/>
        <v>194.44</v>
      </c>
      <c r="I375" s="43">
        <f t="shared" si="132"/>
        <v>15.555200000000001</v>
      </c>
      <c r="J375" s="43"/>
      <c r="K375" s="43">
        <f t="shared" si="133"/>
        <v>209.99520000000001</v>
      </c>
    </row>
    <row r="376" spans="3:11" x14ac:dyDescent="0.25">
      <c r="C376" s="42">
        <v>45357</v>
      </c>
      <c r="D376" s="1" t="s">
        <v>13</v>
      </c>
      <c r="E376" s="1" t="s">
        <v>112</v>
      </c>
      <c r="F376" s="1">
        <v>1</v>
      </c>
      <c r="G376" s="44">
        <v>75</v>
      </c>
      <c r="H376" s="43">
        <f t="shared" si="131"/>
        <v>75</v>
      </c>
      <c r="I376" s="43">
        <f t="shared" si="132"/>
        <v>6</v>
      </c>
      <c r="J376" s="43"/>
      <c r="K376" s="43">
        <f t="shared" si="133"/>
        <v>81</v>
      </c>
    </row>
    <row r="377" spans="3:11" x14ac:dyDescent="0.25">
      <c r="C377" s="42">
        <v>45357</v>
      </c>
      <c r="D377" s="1" t="s">
        <v>13</v>
      </c>
      <c r="E377" s="1" t="s">
        <v>600</v>
      </c>
      <c r="F377" s="1">
        <v>2</v>
      </c>
      <c r="G377" s="44">
        <v>59.91</v>
      </c>
      <c r="H377" s="43">
        <f t="shared" si="131"/>
        <v>119.82</v>
      </c>
      <c r="I377" s="43">
        <f t="shared" si="132"/>
        <v>9.5855999999999995</v>
      </c>
      <c r="J377" s="43"/>
      <c r="K377" s="43">
        <f t="shared" si="133"/>
        <v>129.40559999999999</v>
      </c>
    </row>
    <row r="378" spans="3:11" x14ac:dyDescent="0.25">
      <c r="C378" s="42">
        <v>45357</v>
      </c>
      <c r="D378" s="1" t="s">
        <v>227</v>
      </c>
      <c r="E378" s="1" t="s">
        <v>601</v>
      </c>
      <c r="F378" s="1">
        <v>10</v>
      </c>
      <c r="G378" s="44">
        <v>13.06</v>
      </c>
      <c r="H378" s="43">
        <f t="shared" si="131"/>
        <v>130.6</v>
      </c>
      <c r="I378" s="43">
        <f t="shared" si="132"/>
        <v>10.448</v>
      </c>
      <c r="J378" s="43"/>
      <c r="K378" s="43">
        <f t="shared" si="133"/>
        <v>141.048</v>
      </c>
    </row>
    <row r="379" spans="3:11" x14ac:dyDescent="0.25">
      <c r="C379" s="42">
        <v>45357</v>
      </c>
      <c r="D379" s="1" t="s">
        <v>227</v>
      </c>
      <c r="E379" s="1" t="s">
        <v>602</v>
      </c>
      <c r="F379" s="1">
        <v>10</v>
      </c>
      <c r="G379" s="44">
        <v>1.99</v>
      </c>
      <c r="H379" s="43">
        <f t="shared" si="131"/>
        <v>19.899999999999999</v>
      </c>
      <c r="I379" s="43">
        <f t="shared" si="132"/>
        <v>1.5919999999999999</v>
      </c>
      <c r="J379" s="43"/>
      <c r="K379" s="43">
        <f t="shared" si="133"/>
        <v>21.491999999999997</v>
      </c>
    </row>
    <row r="380" spans="3:11" x14ac:dyDescent="0.25">
      <c r="H380" s="43">
        <f t="shared" si="131"/>
        <v>0</v>
      </c>
      <c r="I380" s="43">
        <f t="shared" si="132"/>
        <v>0</v>
      </c>
      <c r="J380" s="43"/>
      <c r="K380" s="43">
        <f t="shared" si="133"/>
        <v>0</v>
      </c>
    </row>
    <row r="381" spans="3:11" x14ac:dyDescent="0.25">
      <c r="H381" s="43">
        <f t="shared" si="131"/>
        <v>0</v>
      </c>
      <c r="I381" s="43">
        <f t="shared" si="132"/>
        <v>0</v>
      </c>
      <c r="J381" s="43"/>
      <c r="K381" s="43">
        <f t="shared" si="133"/>
        <v>0</v>
      </c>
    </row>
    <row r="382" spans="3:11" x14ac:dyDescent="0.25">
      <c r="H382" s="43">
        <f t="shared" si="131"/>
        <v>0</v>
      </c>
      <c r="I382" s="43">
        <f t="shared" si="132"/>
        <v>0</v>
      </c>
      <c r="J382" s="43"/>
      <c r="K382" s="43">
        <f t="shared" si="133"/>
        <v>0</v>
      </c>
    </row>
    <row r="383" spans="3:11" x14ac:dyDescent="0.25">
      <c r="H383" s="43">
        <f t="shared" si="131"/>
        <v>0</v>
      </c>
      <c r="I383" s="43">
        <f t="shared" si="132"/>
        <v>0</v>
      </c>
      <c r="J383" s="43"/>
      <c r="K383" s="43">
        <f t="shared" si="133"/>
        <v>0</v>
      </c>
    </row>
    <row r="384" spans="3:11" x14ac:dyDescent="0.25">
      <c r="H384" s="43">
        <f t="shared" si="131"/>
        <v>0</v>
      </c>
      <c r="I384" s="43">
        <f t="shared" si="132"/>
        <v>0</v>
      </c>
      <c r="J384" s="43"/>
      <c r="K384" s="43">
        <f t="shared" si="133"/>
        <v>0</v>
      </c>
    </row>
    <row r="385" spans="8:11" x14ac:dyDescent="0.25">
      <c r="H385" s="43">
        <f t="shared" si="131"/>
        <v>0</v>
      </c>
      <c r="I385" s="43">
        <f t="shared" si="132"/>
        <v>0</v>
      </c>
      <c r="J385" s="43"/>
      <c r="K385" s="43">
        <f t="shared" si="133"/>
        <v>0</v>
      </c>
    </row>
    <row r="386" spans="8:11" x14ac:dyDescent="0.25">
      <c r="H386" s="43">
        <f t="shared" si="131"/>
        <v>0</v>
      </c>
      <c r="I386" s="43">
        <f t="shared" si="132"/>
        <v>0</v>
      </c>
      <c r="J386" s="43"/>
      <c r="K386" s="43">
        <f t="shared" si="133"/>
        <v>0</v>
      </c>
    </row>
    <row r="387" spans="8:11" x14ac:dyDescent="0.25">
      <c r="H387" s="43">
        <f t="shared" si="131"/>
        <v>0</v>
      </c>
      <c r="I387" s="43">
        <f t="shared" si="132"/>
        <v>0</v>
      </c>
      <c r="J387" s="43"/>
      <c r="K387" s="43">
        <f t="shared" si="133"/>
        <v>0</v>
      </c>
    </row>
    <row r="388" spans="8:11" x14ac:dyDescent="0.25">
      <c r="H388" s="43">
        <f t="shared" si="131"/>
        <v>0</v>
      </c>
      <c r="I388" s="43">
        <f t="shared" si="132"/>
        <v>0</v>
      </c>
      <c r="J388" s="43"/>
      <c r="K388" s="43">
        <f t="shared" si="133"/>
        <v>0</v>
      </c>
    </row>
    <row r="389" spans="8:11" x14ac:dyDescent="0.25">
      <c r="H389" s="43">
        <f t="shared" si="131"/>
        <v>0</v>
      </c>
      <c r="I389" s="43">
        <f t="shared" si="132"/>
        <v>0</v>
      </c>
      <c r="J389" s="43"/>
      <c r="K389" s="43">
        <f t="shared" si="133"/>
        <v>0</v>
      </c>
    </row>
    <row r="390" spans="8:11" x14ac:dyDescent="0.25">
      <c r="H390" s="43">
        <f t="shared" si="131"/>
        <v>0</v>
      </c>
      <c r="I390" s="43">
        <f t="shared" si="132"/>
        <v>0</v>
      </c>
      <c r="J390" s="43"/>
      <c r="K390" s="43">
        <f t="shared" si="133"/>
        <v>0</v>
      </c>
    </row>
    <row r="391" spans="8:11" x14ac:dyDescent="0.25">
      <c r="H391" s="43">
        <f t="shared" si="131"/>
        <v>0</v>
      </c>
      <c r="I391" s="43">
        <f t="shared" si="132"/>
        <v>0</v>
      </c>
      <c r="J391" s="43"/>
      <c r="K391" s="43">
        <f t="shared" si="133"/>
        <v>0</v>
      </c>
    </row>
    <row r="392" spans="8:11" x14ac:dyDescent="0.25">
      <c r="H392" s="43">
        <f t="shared" si="131"/>
        <v>0</v>
      </c>
      <c r="I392" s="43">
        <f t="shared" si="132"/>
        <v>0</v>
      </c>
      <c r="J392" s="43"/>
      <c r="K392" s="43">
        <f t="shared" si="133"/>
        <v>0</v>
      </c>
    </row>
    <row r="393" spans="8:11" x14ac:dyDescent="0.25">
      <c r="H393" s="43">
        <f t="shared" si="131"/>
        <v>0</v>
      </c>
      <c r="I393" s="43">
        <f t="shared" si="132"/>
        <v>0</v>
      </c>
      <c r="J393" s="43"/>
      <c r="K393" s="43">
        <f t="shared" si="133"/>
        <v>0</v>
      </c>
    </row>
    <row r="394" spans="8:11" x14ac:dyDescent="0.25">
      <c r="H394" s="43">
        <f t="shared" si="131"/>
        <v>0</v>
      </c>
      <c r="I394" s="43">
        <f t="shared" si="132"/>
        <v>0</v>
      </c>
      <c r="J394" s="43"/>
      <c r="K394" s="43">
        <f t="shared" si="133"/>
        <v>0</v>
      </c>
    </row>
    <row r="395" spans="8:11" x14ac:dyDescent="0.25">
      <c r="H395" s="43">
        <f t="shared" si="131"/>
        <v>0</v>
      </c>
      <c r="I395" s="43">
        <f t="shared" si="132"/>
        <v>0</v>
      </c>
      <c r="J395" s="43"/>
      <c r="K395" s="43">
        <f t="shared" si="133"/>
        <v>0</v>
      </c>
    </row>
    <row r="396" spans="8:11" x14ac:dyDescent="0.25">
      <c r="H396" s="43">
        <f t="shared" si="131"/>
        <v>0</v>
      </c>
      <c r="I396" s="43">
        <f t="shared" si="132"/>
        <v>0</v>
      </c>
      <c r="J396" s="43"/>
      <c r="K396" s="43">
        <f t="shared" si="133"/>
        <v>0</v>
      </c>
    </row>
    <row r="397" spans="8:11" x14ac:dyDescent="0.25">
      <c r="H397" s="43">
        <f t="shared" si="131"/>
        <v>0</v>
      </c>
      <c r="I397" s="43">
        <f t="shared" si="132"/>
        <v>0</v>
      </c>
      <c r="J397" s="43"/>
      <c r="K397" s="43">
        <f t="shared" si="133"/>
        <v>0</v>
      </c>
    </row>
    <row r="398" spans="8:11" x14ac:dyDescent="0.25">
      <c r="K398" s="44">
        <f>SUM(K4:K372)</f>
        <v>1200195.8973640008</v>
      </c>
    </row>
    <row r="399" spans="8:11" x14ac:dyDescent="0.25">
      <c r="K399" s="44">
        <f>'COMPRAS SD'!M35</f>
        <v>39474.658079999994</v>
      </c>
    </row>
    <row r="400" spans="8:11" x14ac:dyDescent="0.25">
      <c r="K400" s="44">
        <f>SUM(K398:K399)</f>
        <v>1239670.5554440008</v>
      </c>
    </row>
  </sheetData>
  <autoFilter ref="C3:K375" xr:uid="{00000000-0001-0000-0000-000000000000}"/>
  <mergeCells count="3">
    <mergeCell ref="C2:K2"/>
    <mergeCell ref="M2:U2"/>
    <mergeCell ref="W2:A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8DC1-8F66-4EFB-B58E-F03F1EB1AAC0}">
  <sheetPr>
    <tabColor rgb="FF00B050"/>
  </sheetPr>
  <dimension ref="B2:AK39"/>
  <sheetViews>
    <sheetView workbookViewId="0">
      <selection activeCell="B27" sqref="B27:J33"/>
    </sheetView>
  </sheetViews>
  <sheetFormatPr baseColWidth="10" defaultRowHeight="21" x14ac:dyDescent="0.35"/>
  <cols>
    <col min="2" max="2" width="6.85546875" bestFit="1" customWidth="1"/>
    <col min="3" max="3" width="17.7109375" bestFit="1" customWidth="1"/>
    <col min="4" max="4" width="23.140625" bestFit="1" customWidth="1"/>
    <col min="5" max="5" width="9.7109375" bestFit="1" customWidth="1"/>
    <col min="6" max="6" width="17.28515625" bestFit="1" customWidth="1"/>
    <col min="7" max="7" width="11" bestFit="1" customWidth="1"/>
    <col min="8" max="8" width="8.85546875" bestFit="1" customWidth="1"/>
    <col min="9" max="9" width="4.85546875" bestFit="1" customWidth="1"/>
    <col min="10" max="10" width="11.28515625" bestFit="1" customWidth="1"/>
    <col min="12" max="12" width="7.140625" bestFit="1" customWidth="1"/>
    <col min="13" max="13" width="8.5703125" bestFit="1" customWidth="1"/>
    <col min="14" max="14" width="11.7109375" bestFit="1" customWidth="1"/>
    <col min="15" max="15" width="9.7109375" bestFit="1" customWidth="1"/>
    <col min="16" max="16" width="17.28515625" bestFit="1" customWidth="1"/>
    <col min="17" max="17" width="11" bestFit="1" customWidth="1"/>
    <col min="18" max="18" width="8.85546875" bestFit="1" customWidth="1"/>
    <col min="19" max="19" width="7.85546875" bestFit="1" customWidth="1"/>
    <col min="20" max="20" width="11" bestFit="1" customWidth="1"/>
    <col min="21" max="21" width="11.7109375" bestFit="1" customWidth="1"/>
    <col min="25" max="25" width="14.5703125" bestFit="1" customWidth="1"/>
    <col min="26" max="26" width="11.5703125" style="6"/>
    <col min="27" max="27" width="2" style="270" bestFit="1" customWidth="1"/>
  </cols>
  <sheetData>
    <row r="2" spans="2:37" x14ac:dyDescent="0.35">
      <c r="B2" s="377" t="s">
        <v>487</v>
      </c>
      <c r="C2" s="377"/>
      <c r="D2" s="377"/>
      <c r="E2" s="377"/>
      <c r="F2" s="377"/>
      <c r="G2" s="377"/>
      <c r="H2" s="377"/>
      <c r="I2" s="377"/>
      <c r="J2" s="377"/>
      <c r="L2" s="377" t="s">
        <v>321</v>
      </c>
      <c r="M2" s="377"/>
      <c r="N2" s="377"/>
      <c r="O2" s="377"/>
      <c r="P2" s="377"/>
      <c r="Q2" s="377"/>
      <c r="R2" s="377"/>
      <c r="S2" s="377"/>
      <c r="T2" s="377"/>
      <c r="AC2" s="378" t="s">
        <v>380</v>
      </c>
      <c r="AD2" s="378"/>
      <c r="AE2" s="378"/>
      <c r="AF2" s="378"/>
      <c r="AG2" s="378"/>
      <c r="AH2" s="378"/>
      <c r="AI2" s="378"/>
      <c r="AJ2" s="378"/>
      <c r="AK2" s="378"/>
    </row>
    <row r="3" spans="2:37" x14ac:dyDescent="0.35">
      <c r="B3" s="2" t="s">
        <v>0</v>
      </c>
      <c r="C3" s="2" t="s">
        <v>1</v>
      </c>
      <c r="D3" s="2" t="s">
        <v>2</v>
      </c>
      <c r="E3" s="2" t="s">
        <v>3</v>
      </c>
      <c r="F3" s="4" t="s">
        <v>4</v>
      </c>
      <c r="G3" s="4" t="s">
        <v>8</v>
      </c>
      <c r="H3" s="5" t="s">
        <v>9</v>
      </c>
      <c r="I3" s="5" t="s">
        <v>10</v>
      </c>
      <c r="J3" s="5" t="s">
        <v>5</v>
      </c>
      <c r="L3" s="2" t="s">
        <v>0</v>
      </c>
      <c r="M3" s="2" t="s">
        <v>1</v>
      </c>
      <c r="N3" s="2" t="s">
        <v>316</v>
      </c>
      <c r="O3" s="2" t="s">
        <v>3</v>
      </c>
      <c r="P3" s="4" t="s">
        <v>4</v>
      </c>
      <c r="Q3" s="4" t="s">
        <v>8</v>
      </c>
      <c r="R3" s="5" t="s">
        <v>9</v>
      </c>
      <c r="S3" s="5" t="s">
        <v>10</v>
      </c>
      <c r="T3" s="5" t="s">
        <v>5</v>
      </c>
      <c r="AC3" s="2" t="s">
        <v>0</v>
      </c>
      <c r="AD3" s="2" t="s">
        <v>1</v>
      </c>
      <c r="AE3" s="2" t="s">
        <v>2</v>
      </c>
      <c r="AF3" s="2" t="s">
        <v>3</v>
      </c>
      <c r="AG3" s="4" t="s">
        <v>4</v>
      </c>
      <c r="AH3" s="4" t="s">
        <v>8</v>
      </c>
      <c r="AI3" s="5" t="s">
        <v>9</v>
      </c>
      <c r="AJ3" s="5" t="s">
        <v>10</v>
      </c>
      <c r="AK3" s="5" t="s">
        <v>5</v>
      </c>
    </row>
    <row r="4" spans="2:37" x14ac:dyDescent="0.35">
      <c r="B4" s="170">
        <v>45343</v>
      </c>
      <c r="C4" s="171" t="s">
        <v>477</v>
      </c>
      <c r="D4" s="171" t="s">
        <v>479</v>
      </c>
      <c r="E4" s="171">
        <v>15</v>
      </c>
      <c r="F4" s="174">
        <v>127.23</v>
      </c>
      <c r="G4" s="174">
        <f t="shared" ref="G4:G18" si="0">E4*F4</f>
        <v>1908.45</v>
      </c>
      <c r="H4" s="174">
        <f t="shared" ref="H4:H18" si="1">G4*0.08</f>
        <v>152.67600000000002</v>
      </c>
      <c r="I4" s="174"/>
      <c r="J4" s="174">
        <f t="shared" ref="J4:J14" si="2">SUM(G4:H4)-I4</f>
        <v>2061.1260000000002</v>
      </c>
      <c r="L4" s="3">
        <v>45343</v>
      </c>
      <c r="M4" t="s">
        <v>489</v>
      </c>
      <c r="N4" t="s">
        <v>490</v>
      </c>
      <c r="O4">
        <v>1</v>
      </c>
      <c r="P4" s="6">
        <v>4156.1000000000004</v>
      </c>
      <c r="Q4" s="6">
        <f>P4*O4</f>
        <v>4156.1000000000004</v>
      </c>
      <c r="R4" s="6">
        <f>Q4*0.08</f>
        <v>332.48800000000006</v>
      </c>
      <c r="S4" s="6">
        <f>Q4*1.25%</f>
        <v>51.951250000000009</v>
      </c>
      <c r="T4" s="6">
        <f>Q4+R4-S4</f>
        <v>4436.6367500000006</v>
      </c>
      <c r="U4" s="6">
        <f>P4-2000</f>
        <v>2156.1000000000004</v>
      </c>
      <c r="V4" s="9">
        <f>1500+U4</f>
        <v>3656.1000000000004</v>
      </c>
      <c r="X4" s="273">
        <v>45343</v>
      </c>
      <c r="Y4" s="269" t="s">
        <v>495</v>
      </c>
      <c r="Z4" s="271">
        <v>2000</v>
      </c>
      <c r="AC4" s="59">
        <v>45345</v>
      </c>
      <c r="AD4" s="2" t="s">
        <v>489</v>
      </c>
      <c r="AE4" s="10"/>
      <c r="AF4" s="2">
        <v>1</v>
      </c>
      <c r="AG4" s="11">
        <v>6000</v>
      </c>
      <c r="AH4" s="11">
        <f t="shared" ref="AH4:AH5" si="3">AF4*AG4</f>
        <v>6000</v>
      </c>
      <c r="AI4" s="11">
        <f t="shared" ref="AI4:AI5" si="4">AH4*0.08</f>
        <v>480</v>
      </c>
      <c r="AJ4" s="11"/>
      <c r="AK4" s="11">
        <f t="shared" ref="AK4" si="5">SUM(AH4:AI4)-AJ4</f>
        <v>6480</v>
      </c>
    </row>
    <row r="5" spans="2:37" ht="21.75" thickBot="1" x14ac:dyDescent="0.4">
      <c r="B5" s="170">
        <v>45343</v>
      </c>
      <c r="C5" s="171" t="s">
        <v>477</v>
      </c>
      <c r="D5" s="1" t="s">
        <v>478</v>
      </c>
      <c r="E5" s="1">
        <v>5</v>
      </c>
      <c r="F5" s="6">
        <v>104.65</v>
      </c>
      <c r="G5" s="6">
        <f t="shared" si="0"/>
        <v>523.25</v>
      </c>
      <c r="H5" s="6">
        <f t="shared" si="1"/>
        <v>41.86</v>
      </c>
      <c r="I5" s="6"/>
      <c r="J5" s="6">
        <f t="shared" si="2"/>
        <v>565.11</v>
      </c>
      <c r="L5" s="3">
        <v>45433</v>
      </c>
      <c r="M5" t="s">
        <v>489</v>
      </c>
      <c r="N5" t="s">
        <v>491</v>
      </c>
      <c r="O5">
        <v>1</v>
      </c>
      <c r="P5" s="6">
        <v>1500</v>
      </c>
      <c r="Q5" s="6">
        <f>P5*O5</f>
        <v>1500</v>
      </c>
      <c r="R5" s="6">
        <f>Q5*0.08</f>
        <v>120</v>
      </c>
      <c r="S5" s="6">
        <f>Q5*1.25%</f>
        <v>18.75</v>
      </c>
      <c r="T5" s="6">
        <f>Q5+R5-S5</f>
        <v>1601.25</v>
      </c>
      <c r="U5" s="6"/>
      <c r="X5" s="273">
        <v>45343</v>
      </c>
      <c r="Y5" s="269" t="s">
        <v>321</v>
      </c>
      <c r="Z5" s="272">
        <v>3656.1</v>
      </c>
      <c r="AA5" s="270" t="s">
        <v>496</v>
      </c>
      <c r="AC5" s="42">
        <v>45352</v>
      </c>
      <c r="AD5" s="1" t="s">
        <v>489</v>
      </c>
      <c r="AE5" s="1"/>
      <c r="AF5" s="1">
        <v>1</v>
      </c>
      <c r="AG5" s="44">
        <v>6000</v>
      </c>
      <c r="AH5" s="44">
        <f t="shared" si="3"/>
        <v>6000</v>
      </c>
      <c r="AI5" s="44">
        <f t="shared" si="4"/>
        <v>480</v>
      </c>
      <c r="AJ5" s="44"/>
      <c r="AK5" s="44">
        <f t="shared" ref="AK5" si="6">SUM(AH5:AI5)-AJ5</f>
        <v>6480</v>
      </c>
    </row>
    <row r="6" spans="2:37" x14ac:dyDescent="0.35">
      <c r="B6" s="170">
        <v>45343</v>
      </c>
      <c r="C6" s="171" t="s">
        <v>477</v>
      </c>
      <c r="D6" s="1" t="s">
        <v>480</v>
      </c>
      <c r="E6" s="1">
        <v>4</v>
      </c>
      <c r="F6" s="6">
        <v>174.64</v>
      </c>
      <c r="G6" s="6">
        <f t="shared" si="0"/>
        <v>698.56</v>
      </c>
      <c r="H6" s="6">
        <f t="shared" si="1"/>
        <v>55.884799999999998</v>
      </c>
      <c r="I6" s="6"/>
      <c r="J6" s="6">
        <f t="shared" si="2"/>
        <v>754.44479999999999</v>
      </c>
      <c r="P6" s="6"/>
      <c r="Q6" s="6"/>
      <c r="R6" s="6"/>
      <c r="S6" s="6"/>
      <c r="T6" s="6"/>
      <c r="U6" s="6"/>
      <c r="X6" s="269"/>
      <c r="Y6" s="269"/>
      <c r="Z6" s="271">
        <f>Z4+Z5</f>
        <v>5656.1</v>
      </c>
      <c r="AC6" s="2"/>
      <c r="AD6" s="10"/>
      <c r="AE6" s="10"/>
      <c r="AF6" s="2"/>
      <c r="AG6" s="10"/>
      <c r="AH6" s="10"/>
      <c r="AI6" s="10"/>
      <c r="AJ6" s="10"/>
      <c r="AK6" s="10"/>
    </row>
    <row r="7" spans="2:37" ht="21.75" thickBot="1" x14ac:dyDescent="0.4">
      <c r="B7" s="170">
        <v>45343</v>
      </c>
      <c r="C7" s="171" t="s">
        <v>477</v>
      </c>
      <c r="D7" s="1" t="s">
        <v>481</v>
      </c>
      <c r="E7" s="1">
        <v>1</v>
      </c>
      <c r="F7" s="6">
        <v>159.63999999999999</v>
      </c>
      <c r="G7" s="6">
        <f t="shared" si="0"/>
        <v>159.63999999999999</v>
      </c>
      <c r="H7" s="6">
        <f t="shared" si="1"/>
        <v>12.771199999999999</v>
      </c>
      <c r="I7" s="6"/>
      <c r="J7" s="6">
        <f t="shared" si="2"/>
        <v>172.41119999999998</v>
      </c>
      <c r="P7" s="6"/>
      <c r="Q7" s="6"/>
      <c r="R7" s="6"/>
      <c r="S7" s="6"/>
      <c r="T7" s="6"/>
      <c r="U7" s="6"/>
      <c r="X7" s="269"/>
      <c r="Y7" s="269" t="s">
        <v>477</v>
      </c>
      <c r="Z7" s="272">
        <v>4156.1000000000004</v>
      </c>
      <c r="AA7" s="270" t="s">
        <v>497</v>
      </c>
      <c r="AC7" s="2"/>
      <c r="AD7" s="10"/>
      <c r="AE7" s="10"/>
      <c r="AF7" s="2"/>
      <c r="AG7" s="10"/>
      <c r="AH7" s="10"/>
      <c r="AI7" s="10"/>
      <c r="AJ7" s="10"/>
      <c r="AK7" s="10"/>
    </row>
    <row r="8" spans="2:37" x14ac:dyDescent="0.35">
      <c r="B8" s="170">
        <v>45343</v>
      </c>
      <c r="C8" s="171" t="s">
        <v>477</v>
      </c>
      <c r="D8" s="1" t="s">
        <v>482</v>
      </c>
      <c r="E8" s="1">
        <v>1</v>
      </c>
      <c r="F8" s="6">
        <v>198.88</v>
      </c>
      <c r="G8" s="6">
        <f t="shared" si="0"/>
        <v>198.88</v>
      </c>
      <c r="H8" s="6">
        <f t="shared" si="1"/>
        <v>15.910399999999999</v>
      </c>
      <c r="I8" s="6"/>
      <c r="J8" s="6">
        <f t="shared" si="2"/>
        <v>214.79040000000001</v>
      </c>
      <c r="P8" s="6"/>
      <c r="Q8" s="6"/>
      <c r="R8" s="6"/>
      <c r="S8" s="6"/>
      <c r="T8" s="6"/>
      <c r="U8" s="6"/>
      <c r="X8" s="269"/>
      <c r="Y8" s="269"/>
      <c r="Z8" s="271">
        <f>Z6-Z7</f>
        <v>1500</v>
      </c>
      <c r="AC8" s="2"/>
      <c r="AD8" s="10"/>
      <c r="AE8" s="10"/>
      <c r="AF8" s="2"/>
      <c r="AG8" s="10"/>
      <c r="AH8" s="10"/>
      <c r="AI8" s="10"/>
      <c r="AJ8" s="10"/>
      <c r="AK8" s="10"/>
    </row>
    <row r="9" spans="2:37" x14ac:dyDescent="0.35">
      <c r="B9" s="170">
        <v>45343</v>
      </c>
      <c r="C9" s="171" t="s">
        <v>477</v>
      </c>
      <c r="D9" s="1" t="s">
        <v>483</v>
      </c>
      <c r="E9" s="1">
        <v>1</v>
      </c>
      <c r="F9" s="6">
        <v>196.02</v>
      </c>
      <c r="G9" s="6">
        <f t="shared" si="0"/>
        <v>196.02</v>
      </c>
      <c r="H9" s="6">
        <f t="shared" si="1"/>
        <v>15.681600000000001</v>
      </c>
      <c r="I9" s="6"/>
      <c r="J9" s="6">
        <f t="shared" si="2"/>
        <v>211.70160000000001</v>
      </c>
      <c r="P9" s="6"/>
      <c r="Q9" s="6"/>
      <c r="R9" s="6"/>
      <c r="S9" s="6"/>
      <c r="T9" s="6"/>
      <c r="U9" s="6"/>
      <c r="AC9" s="2"/>
      <c r="AD9" s="10"/>
      <c r="AE9" s="10"/>
      <c r="AF9" s="2"/>
      <c r="AG9" s="10"/>
      <c r="AH9" s="10"/>
      <c r="AI9" s="10"/>
      <c r="AJ9" s="10"/>
      <c r="AK9" s="10"/>
    </row>
    <row r="10" spans="2:37" x14ac:dyDescent="0.35">
      <c r="B10" s="170">
        <v>45343</v>
      </c>
      <c r="C10" s="171" t="s">
        <v>477</v>
      </c>
      <c r="D10" s="1" t="s">
        <v>484</v>
      </c>
      <c r="E10" s="1">
        <v>1</v>
      </c>
      <c r="F10" s="6">
        <v>163.44</v>
      </c>
      <c r="G10" s="6">
        <f t="shared" si="0"/>
        <v>163.44</v>
      </c>
      <c r="H10" s="6">
        <f t="shared" si="1"/>
        <v>13.075200000000001</v>
      </c>
      <c r="I10" s="6"/>
      <c r="J10" s="6">
        <f t="shared" si="2"/>
        <v>176.51519999999999</v>
      </c>
      <c r="P10" s="6"/>
      <c r="Q10" s="6"/>
      <c r="R10" s="6"/>
      <c r="S10" s="6"/>
      <c r="T10" s="6"/>
      <c r="U10" s="6"/>
      <c r="AC10" s="2"/>
      <c r="AD10" s="10"/>
      <c r="AE10" s="10"/>
      <c r="AF10" s="2"/>
      <c r="AG10" s="10"/>
      <c r="AH10" s="10"/>
      <c r="AI10" s="10"/>
      <c r="AJ10" s="10"/>
      <c r="AK10" s="10"/>
    </row>
    <row r="11" spans="2:37" x14ac:dyDescent="0.35">
      <c r="B11" s="170">
        <v>45343</v>
      </c>
      <c r="C11" s="171" t="s">
        <v>477</v>
      </c>
      <c r="D11" s="1" t="s">
        <v>478</v>
      </c>
      <c r="E11" s="1">
        <v>2</v>
      </c>
      <c r="F11" s="6">
        <v>104.65</v>
      </c>
      <c r="G11" s="6">
        <f t="shared" si="0"/>
        <v>209.3</v>
      </c>
      <c r="H11" s="6">
        <f t="shared" si="1"/>
        <v>16.744</v>
      </c>
      <c r="I11" s="6"/>
      <c r="J11" s="6">
        <f t="shared" si="2"/>
        <v>226.04400000000001</v>
      </c>
      <c r="P11" s="6"/>
      <c r="Q11" s="6"/>
      <c r="R11" s="6"/>
      <c r="S11" s="6"/>
      <c r="T11" s="6"/>
      <c r="U11" s="6"/>
      <c r="AC11" s="2"/>
      <c r="AD11" s="10"/>
      <c r="AE11" s="10"/>
      <c r="AF11" s="2"/>
      <c r="AG11" s="10"/>
      <c r="AH11" s="10"/>
      <c r="AI11" s="10"/>
      <c r="AJ11" s="10"/>
      <c r="AK11" s="10"/>
    </row>
    <row r="12" spans="2:37" x14ac:dyDescent="0.35">
      <c r="B12" s="170">
        <v>45343</v>
      </c>
      <c r="C12" s="171" t="s">
        <v>477</v>
      </c>
      <c r="D12" s="1" t="s">
        <v>479</v>
      </c>
      <c r="E12" s="1">
        <v>10</v>
      </c>
      <c r="F12" s="6">
        <v>127.23</v>
      </c>
      <c r="G12" s="6">
        <f t="shared" si="0"/>
        <v>1272.3</v>
      </c>
      <c r="H12" s="6">
        <f t="shared" si="1"/>
        <v>101.78399999999999</v>
      </c>
      <c r="I12" s="6"/>
      <c r="J12" s="6">
        <f t="shared" si="2"/>
        <v>1374.0839999999998</v>
      </c>
      <c r="P12" s="6"/>
      <c r="Q12" s="6"/>
      <c r="R12" s="6"/>
      <c r="S12" s="6"/>
      <c r="T12" s="6"/>
      <c r="U12" s="6"/>
      <c r="AC12" s="2"/>
      <c r="AD12" s="10"/>
      <c r="AE12" s="10"/>
      <c r="AF12" s="2"/>
      <c r="AG12" s="10"/>
      <c r="AH12" s="10"/>
      <c r="AI12" s="10"/>
      <c r="AJ12" s="10"/>
      <c r="AK12" s="10"/>
    </row>
    <row r="13" spans="2:37" x14ac:dyDescent="0.35">
      <c r="B13" s="170">
        <v>45343</v>
      </c>
      <c r="C13" s="171" t="s">
        <v>477</v>
      </c>
      <c r="D13" s="1" t="s">
        <v>485</v>
      </c>
      <c r="E13" s="1">
        <v>1.5</v>
      </c>
      <c r="F13" s="6">
        <v>164.12</v>
      </c>
      <c r="G13" s="6">
        <f t="shared" si="0"/>
        <v>246.18</v>
      </c>
      <c r="H13" s="6">
        <f t="shared" si="1"/>
        <v>19.694400000000002</v>
      </c>
      <c r="I13" s="6"/>
      <c r="J13" s="6">
        <f t="shared" si="2"/>
        <v>265.87440000000004</v>
      </c>
      <c r="P13" s="6"/>
      <c r="Q13" s="6"/>
      <c r="R13" s="6"/>
      <c r="S13" s="6"/>
      <c r="T13" s="6"/>
      <c r="U13" s="6"/>
      <c r="AC13" s="2"/>
      <c r="AD13" s="10"/>
      <c r="AE13" s="10"/>
      <c r="AF13" s="2"/>
      <c r="AG13" s="10"/>
      <c r="AH13" s="10"/>
      <c r="AI13" s="10"/>
      <c r="AJ13" s="10"/>
      <c r="AK13" s="10"/>
    </row>
    <row r="14" spans="2:37" x14ac:dyDescent="0.35">
      <c r="B14" s="170">
        <v>45343</v>
      </c>
      <c r="C14" s="171" t="s">
        <v>477</v>
      </c>
      <c r="D14" s="1" t="s">
        <v>486</v>
      </c>
      <c r="E14" s="1">
        <v>1</v>
      </c>
      <c r="F14" s="6">
        <v>360.41</v>
      </c>
      <c r="G14" s="6">
        <f t="shared" si="0"/>
        <v>360.41</v>
      </c>
      <c r="H14" s="6">
        <f t="shared" si="1"/>
        <v>28.832800000000002</v>
      </c>
      <c r="I14" s="6"/>
      <c r="J14" s="6">
        <f t="shared" si="2"/>
        <v>389.24280000000005</v>
      </c>
      <c r="P14" s="6"/>
      <c r="Q14" s="6"/>
      <c r="R14" s="6"/>
      <c r="S14" s="6"/>
      <c r="T14" s="6"/>
      <c r="U14" s="6"/>
      <c r="AC14" s="2"/>
      <c r="AD14" s="10"/>
      <c r="AE14" s="10"/>
      <c r="AF14" s="2"/>
      <c r="AG14" s="10"/>
      <c r="AH14" s="10"/>
      <c r="AI14" s="10"/>
      <c r="AJ14" s="10"/>
      <c r="AK14" s="10"/>
    </row>
    <row r="15" spans="2:37" x14ac:dyDescent="0.35">
      <c r="B15" s="3">
        <v>45344</v>
      </c>
      <c r="C15" s="1" t="s">
        <v>477</v>
      </c>
      <c r="D15" s="1" t="s">
        <v>479</v>
      </c>
      <c r="E15" s="1">
        <v>7</v>
      </c>
      <c r="F15" s="6">
        <v>104.65</v>
      </c>
      <c r="G15" s="6">
        <f t="shared" si="0"/>
        <v>732.55000000000007</v>
      </c>
      <c r="H15" s="6">
        <f t="shared" si="1"/>
        <v>58.604000000000006</v>
      </c>
      <c r="I15" s="6"/>
      <c r="J15" s="6">
        <f t="shared" ref="J15:J18" si="7">SUM(G15:H15)-I15</f>
        <v>791.15400000000011</v>
      </c>
      <c r="P15" s="6"/>
      <c r="Q15" s="6"/>
      <c r="R15" s="6"/>
      <c r="S15" s="6"/>
      <c r="T15" s="6"/>
      <c r="U15" s="6"/>
      <c r="AC15" s="2"/>
      <c r="AD15" s="10"/>
      <c r="AE15" s="10"/>
      <c r="AF15" s="2"/>
      <c r="AG15" s="10"/>
      <c r="AH15" s="10"/>
      <c r="AI15" s="10"/>
      <c r="AJ15" s="10"/>
      <c r="AK15" s="10"/>
    </row>
    <row r="16" spans="2:37" x14ac:dyDescent="0.35">
      <c r="B16" s="3">
        <v>45344</v>
      </c>
      <c r="C16" s="1" t="s">
        <v>477</v>
      </c>
      <c r="D16" s="1" t="s">
        <v>503</v>
      </c>
      <c r="E16" s="1">
        <v>5</v>
      </c>
      <c r="F16" s="6">
        <v>28.79</v>
      </c>
      <c r="G16" s="6">
        <f t="shared" si="0"/>
        <v>143.94999999999999</v>
      </c>
      <c r="H16" s="6">
        <f t="shared" si="1"/>
        <v>11.516</v>
      </c>
      <c r="I16" s="6"/>
      <c r="J16" s="6">
        <f t="shared" si="7"/>
        <v>155.46599999999998</v>
      </c>
      <c r="P16" s="6"/>
      <c r="Q16" s="6"/>
      <c r="R16" s="6"/>
      <c r="S16" s="6"/>
      <c r="T16" s="6"/>
      <c r="U16" s="6"/>
      <c r="AC16" s="2"/>
      <c r="AD16" s="10"/>
      <c r="AE16" s="10"/>
      <c r="AF16" s="2"/>
      <c r="AG16" s="10"/>
      <c r="AH16" s="10"/>
      <c r="AI16" s="10"/>
      <c r="AJ16" s="10"/>
      <c r="AK16" s="10"/>
    </row>
    <row r="17" spans="2:37" x14ac:dyDescent="0.35">
      <c r="B17" s="3">
        <v>45344</v>
      </c>
      <c r="C17" s="1" t="s">
        <v>477</v>
      </c>
      <c r="D17" s="1" t="s">
        <v>504</v>
      </c>
      <c r="E17" s="1">
        <v>5</v>
      </c>
      <c r="F17" s="6">
        <v>46.03</v>
      </c>
      <c r="G17" s="6">
        <f t="shared" si="0"/>
        <v>230.15</v>
      </c>
      <c r="H17" s="6">
        <f t="shared" si="1"/>
        <v>18.412000000000003</v>
      </c>
      <c r="I17" s="6"/>
      <c r="J17" s="6">
        <f t="shared" si="7"/>
        <v>248.56200000000001</v>
      </c>
      <c r="P17" s="6"/>
      <c r="Q17" s="6"/>
      <c r="R17" s="6"/>
      <c r="S17" s="6"/>
      <c r="T17" s="6"/>
      <c r="U17" s="6"/>
      <c r="AC17" s="2"/>
      <c r="AD17" s="10"/>
      <c r="AE17" s="10"/>
      <c r="AF17" s="2"/>
      <c r="AG17" s="10"/>
      <c r="AH17" s="10"/>
      <c r="AI17" s="10"/>
      <c r="AJ17" s="10"/>
      <c r="AK17" s="10"/>
    </row>
    <row r="18" spans="2:37" x14ac:dyDescent="0.35">
      <c r="B18" s="3">
        <v>45344</v>
      </c>
      <c r="C18" s="1" t="s">
        <v>477</v>
      </c>
      <c r="D18" s="1" t="s">
        <v>505</v>
      </c>
      <c r="E18" s="1">
        <v>1</v>
      </c>
      <c r="F18" s="6">
        <v>55.29</v>
      </c>
      <c r="G18" s="6">
        <f t="shared" si="0"/>
        <v>55.29</v>
      </c>
      <c r="H18" s="6">
        <f t="shared" si="1"/>
        <v>4.4232000000000005</v>
      </c>
      <c r="I18" s="6"/>
      <c r="J18" s="6">
        <f t="shared" si="7"/>
        <v>59.713200000000001</v>
      </c>
      <c r="P18" s="6"/>
      <c r="Q18" s="6"/>
      <c r="R18" s="6"/>
      <c r="S18" s="6"/>
      <c r="T18" s="6"/>
      <c r="U18" s="6"/>
      <c r="AC18" s="2"/>
      <c r="AD18" s="10"/>
      <c r="AE18" s="10"/>
      <c r="AF18" s="2"/>
      <c r="AG18" s="10"/>
      <c r="AH18" s="10"/>
      <c r="AI18" s="10"/>
      <c r="AJ18" s="10"/>
      <c r="AK18" s="10"/>
    </row>
    <row r="19" spans="2:37" x14ac:dyDescent="0.35">
      <c r="B19" s="244">
        <v>45343</v>
      </c>
      <c r="C19" s="245" t="s">
        <v>476</v>
      </c>
      <c r="D19" s="245" t="s">
        <v>475</v>
      </c>
      <c r="E19" s="245">
        <v>5</v>
      </c>
      <c r="F19" s="246">
        <v>391.3</v>
      </c>
      <c r="G19" s="246">
        <f>E19*F19</f>
        <v>1956.5</v>
      </c>
      <c r="H19" s="246">
        <f>G19*0.08</f>
        <v>156.52000000000001</v>
      </c>
      <c r="I19" s="246"/>
      <c r="J19" s="246">
        <f>SUM(G19:H19)-I19</f>
        <v>2113.02</v>
      </c>
      <c r="P19" s="6"/>
      <c r="Q19" s="6"/>
      <c r="R19" s="6"/>
      <c r="S19" s="6"/>
      <c r="T19" s="6"/>
      <c r="U19" s="6"/>
      <c r="AC19" s="2"/>
      <c r="AD19" s="10"/>
      <c r="AE19" s="10"/>
      <c r="AF19" s="2"/>
      <c r="AG19" s="10"/>
      <c r="AH19" s="10"/>
      <c r="AI19" s="10"/>
      <c r="AJ19" s="10"/>
      <c r="AK19" s="10"/>
    </row>
    <row r="20" spans="2:37" x14ac:dyDescent="0.35">
      <c r="B20" s="244">
        <v>45343</v>
      </c>
      <c r="C20" s="245" t="s">
        <v>476</v>
      </c>
      <c r="D20" s="245" t="s">
        <v>474</v>
      </c>
      <c r="E20" s="245">
        <v>2</v>
      </c>
      <c r="F20" s="246">
        <v>514.20000000000005</v>
      </c>
      <c r="G20" s="246">
        <f>E20*F20</f>
        <v>1028.4000000000001</v>
      </c>
      <c r="H20" s="246">
        <f>G20*0.08</f>
        <v>82.272000000000006</v>
      </c>
      <c r="I20" s="246"/>
      <c r="J20" s="246">
        <f>SUM(G20:H20)-I20</f>
        <v>1110.672</v>
      </c>
      <c r="P20" s="6"/>
      <c r="Q20" s="6"/>
      <c r="R20" s="6"/>
      <c r="S20" s="6"/>
      <c r="T20" s="6"/>
      <c r="U20" s="6"/>
      <c r="AC20" s="2"/>
      <c r="AD20" s="10"/>
      <c r="AE20" s="10"/>
      <c r="AF20" s="2"/>
      <c r="AG20" s="10"/>
      <c r="AH20" s="10"/>
      <c r="AI20" s="10"/>
      <c r="AJ20" s="10"/>
      <c r="AK20" s="10"/>
    </row>
    <row r="21" spans="2:37" x14ac:dyDescent="0.35">
      <c r="B21" s="42">
        <v>45352</v>
      </c>
      <c r="C21" s="1" t="s">
        <v>476</v>
      </c>
      <c r="D21" s="1" t="s">
        <v>568</v>
      </c>
      <c r="E21" s="1">
        <v>2</v>
      </c>
      <c r="F21" s="43">
        <v>416.66</v>
      </c>
      <c r="G21" s="43">
        <f t="shared" ref="G21:G33" si="8">E21*F21</f>
        <v>833.32</v>
      </c>
      <c r="H21" s="43">
        <f t="shared" ref="H21:H33" si="9">G21*0.08</f>
        <v>66.665600000000012</v>
      </c>
      <c r="I21" s="43"/>
      <c r="J21" s="43">
        <f t="shared" ref="J21:J26" si="10">SUM(G21:H21)-I21</f>
        <v>899.98560000000009</v>
      </c>
      <c r="P21" s="6"/>
      <c r="Q21" s="6"/>
      <c r="R21" s="6"/>
      <c r="S21" s="6"/>
      <c r="T21" s="6"/>
      <c r="U21" s="6"/>
      <c r="AC21" s="2"/>
      <c r="AD21" s="10"/>
      <c r="AE21" s="10"/>
      <c r="AF21" s="2"/>
      <c r="AG21" s="10"/>
      <c r="AH21" s="10"/>
      <c r="AI21" s="10"/>
      <c r="AJ21" s="10"/>
      <c r="AK21" s="10"/>
    </row>
    <row r="22" spans="2:37" x14ac:dyDescent="0.35">
      <c r="B22" s="342">
        <v>45352</v>
      </c>
      <c r="C22" s="1" t="s">
        <v>477</v>
      </c>
      <c r="D22" s="1" t="s">
        <v>479</v>
      </c>
      <c r="E22" s="1">
        <v>30</v>
      </c>
      <c r="F22" s="43">
        <v>118.51</v>
      </c>
      <c r="G22" s="43">
        <f t="shared" si="8"/>
        <v>3555.3</v>
      </c>
      <c r="H22" s="43">
        <f t="shared" si="9"/>
        <v>284.42400000000004</v>
      </c>
      <c r="I22" s="43"/>
      <c r="J22" s="43">
        <f t="shared" si="10"/>
        <v>3839.7240000000002</v>
      </c>
      <c r="P22" s="6"/>
      <c r="Q22" s="6"/>
      <c r="R22" s="6"/>
      <c r="S22" s="6"/>
      <c r="T22" s="6"/>
      <c r="U22" s="6"/>
      <c r="AC22" s="2"/>
      <c r="AD22" s="10"/>
      <c r="AE22" s="10"/>
      <c r="AF22" s="2"/>
      <c r="AG22" s="10"/>
      <c r="AH22" s="10"/>
      <c r="AI22" s="10"/>
      <c r="AJ22" s="10"/>
      <c r="AK22" s="10"/>
    </row>
    <row r="23" spans="2:37" x14ac:dyDescent="0.35">
      <c r="B23" s="342">
        <v>45352</v>
      </c>
      <c r="C23" s="1" t="s">
        <v>477</v>
      </c>
      <c r="D23" s="1" t="s">
        <v>478</v>
      </c>
      <c r="E23" s="1">
        <v>15</v>
      </c>
      <c r="F23" s="43">
        <v>88.84</v>
      </c>
      <c r="G23" s="43">
        <f t="shared" si="8"/>
        <v>1332.6000000000001</v>
      </c>
      <c r="H23" s="43">
        <f t="shared" si="9"/>
        <v>106.60800000000002</v>
      </c>
      <c r="I23" s="43"/>
      <c r="J23" s="43">
        <f t="shared" si="10"/>
        <v>1439.2080000000001</v>
      </c>
      <c r="P23" s="6"/>
      <c r="Q23" s="6"/>
      <c r="R23" s="6"/>
      <c r="S23" s="6"/>
      <c r="T23" s="6"/>
      <c r="U23" s="6"/>
      <c r="AC23" s="1"/>
      <c r="AF23" s="1"/>
      <c r="AK23" s="14">
        <f>SUM(AK4:AK22)</f>
        <v>12960</v>
      </c>
    </row>
    <row r="24" spans="2:37" x14ac:dyDescent="0.35">
      <c r="B24" s="342">
        <v>45352</v>
      </c>
      <c r="C24" s="1" t="s">
        <v>477</v>
      </c>
      <c r="D24" s="1" t="s">
        <v>569</v>
      </c>
      <c r="E24" s="1">
        <v>1</v>
      </c>
      <c r="F24" s="43">
        <v>534.91999999999996</v>
      </c>
      <c r="G24" s="43">
        <f t="shared" si="8"/>
        <v>534.91999999999996</v>
      </c>
      <c r="H24" s="43">
        <f t="shared" si="9"/>
        <v>42.793599999999998</v>
      </c>
      <c r="I24" s="43"/>
      <c r="J24" s="43">
        <f t="shared" si="10"/>
        <v>577.71359999999993</v>
      </c>
      <c r="T24">
        <f>SUM(T4:T23)</f>
        <v>6037.8867500000006</v>
      </c>
    </row>
    <row r="25" spans="2:37" x14ac:dyDescent="0.35">
      <c r="B25" s="342">
        <v>45352</v>
      </c>
      <c r="C25" s="1" t="s">
        <v>477</v>
      </c>
      <c r="D25" s="1" t="s">
        <v>570</v>
      </c>
      <c r="E25" s="1">
        <v>0.5</v>
      </c>
      <c r="F25" s="43">
        <v>192.51</v>
      </c>
      <c r="G25" s="43">
        <f t="shared" si="8"/>
        <v>96.254999999999995</v>
      </c>
      <c r="H25" s="43">
        <f t="shared" si="9"/>
        <v>7.7004000000000001</v>
      </c>
      <c r="I25" s="43"/>
      <c r="J25" s="43">
        <f t="shared" si="10"/>
        <v>103.9554</v>
      </c>
    </row>
    <row r="26" spans="2:37" x14ac:dyDescent="0.35">
      <c r="B26" s="342">
        <v>45352</v>
      </c>
      <c r="C26" s="171" t="s">
        <v>477</v>
      </c>
      <c r="D26" s="171" t="s">
        <v>571</v>
      </c>
      <c r="E26" s="171">
        <v>1</v>
      </c>
      <c r="F26" s="341">
        <v>37</v>
      </c>
      <c r="G26" s="341">
        <f t="shared" si="8"/>
        <v>37</v>
      </c>
      <c r="H26" s="341">
        <f t="shared" si="9"/>
        <v>2.96</v>
      </c>
      <c r="I26" s="341"/>
      <c r="J26" s="341">
        <f t="shared" si="10"/>
        <v>39.96</v>
      </c>
    </row>
    <row r="27" spans="2:37" x14ac:dyDescent="0.35">
      <c r="B27" s="42">
        <v>45357</v>
      </c>
      <c r="C27" s="1" t="s">
        <v>477</v>
      </c>
      <c r="D27" s="1" t="s">
        <v>591</v>
      </c>
      <c r="E27" s="1">
        <v>1</v>
      </c>
      <c r="F27" s="43">
        <v>71.010000000000005</v>
      </c>
      <c r="G27" s="43">
        <f t="shared" si="8"/>
        <v>71.010000000000005</v>
      </c>
      <c r="H27" s="43">
        <f t="shared" si="9"/>
        <v>5.6808000000000005</v>
      </c>
      <c r="I27" s="43"/>
      <c r="J27" s="43">
        <f t="shared" ref="J27:J33" si="11">SUM(G27:H27)-I27</f>
        <v>76.69080000000001</v>
      </c>
    </row>
    <row r="28" spans="2:37" x14ac:dyDescent="0.35">
      <c r="B28" s="42">
        <v>45357</v>
      </c>
      <c r="C28" s="1" t="s">
        <v>477</v>
      </c>
      <c r="D28" s="1" t="s">
        <v>592</v>
      </c>
      <c r="E28" s="1">
        <v>1</v>
      </c>
      <c r="F28" s="43">
        <v>80.77</v>
      </c>
      <c r="G28" s="43">
        <f t="shared" si="8"/>
        <v>80.77</v>
      </c>
      <c r="H28" s="43">
        <f t="shared" si="9"/>
        <v>6.4615999999999998</v>
      </c>
      <c r="I28" s="43"/>
      <c r="J28" s="43">
        <f t="shared" si="11"/>
        <v>87.2316</v>
      </c>
    </row>
    <row r="29" spans="2:37" x14ac:dyDescent="0.35">
      <c r="B29" s="42">
        <v>45357</v>
      </c>
      <c r="C29" s="1" t="s">
        <v>477</v>
      </c>
      <c r="D29" s="1" t="s">
        <v>584</v>
      </c>
      <c r="E29" s="1">
        <v>12</v>
      </c>
      <c r="F29" s="43">
        <v>188.21</v>
      </c>
      <c r="G29" s="43">
        <f t="shared" si="8"/>
        <v>2258.52</v>
      </c>
      <c r="H29" s="43">
        <f t="shared" si="9"/>
        <v>180.6816</v>
      </c>
      <c r="I29" s="43"/>
      <c r="J29" s="43">
        <f t="shared" si="11"/>
        <v>2439.2015999999999</v>
      </c>
    </row>
    <row r="30" spans="2:37" x14ac:dyDescent="0.35">
      <c r="B30" s="42">
        <v>45357</v>
      </c>
      <c r="C30" s="1" t="s">
        <v>477</v>
      </c>
      <c r="D30" s="1" t="s">
        <v>593</v>
      </c>
      <c r="E30" s="1">
        <v>3</v>
      </c>
      <c r="F30" s="43">
        <v>773</v>
      </c>
      <c r="G30" s="43">
        <f t="shared" si="8"/>
        <v>2319</v>
      </c>
      <c r="H30" s="43">
        <f t="shared" si="9"/>
        <v>185.52</v>
      </c>
      <c r="I30" s="43"/>
      <c r="J30" s="43">
        <f t="shared" si="11"/>
        <v>2504.52</v>
      </c>
    </row>
    <row r="31" spans="2:37" x14ac:dyDescent="0.35">
      <c r="B31" s="42">
        <v>45357</v>
      </c>
      <c r="C31" s="1" t="s">
        <v>477</v>
      </c>
      <c r="D31" s="1" t="s">
        <v>149</v>
      </c>
      <c r="E31" s="1">
        <v>2</v>
      </c>
      <c r="F31" s="43">
        <v>281.23</v>
      </c>
      <c r="G31" s="43">
        <f t="shared" si="8"/>
        <v>562.46</v>
      </c>
      <c r="H31" s="43">
        <f t="shared" si="9"/>
        <v>44.9968</v>
      </c>
      <c r="I31" s="43"/>
      <c r="J31" s="43">
        <f t="shared" si="11"/>
        <v>607.45680000000004</v>
      </c>
    </row>
    <row r="32" spans="2:37" x14ac:dyDescent="0.35">
      <c r="B32" s="42">
        <v>45357</v>
      </c>
      <c r="C32" s="1" t="s">
        <v>477</v>
      </c>
      <c r="D32" s="1" t="s">
        <v>594</v>
      </c>
      <c r="E32" s="1">
        <v>3</v>
      </c>
      <c r="F32" s="43">
        <v>520.65</v>
      </c>
      <c r="G32" s="43">
        <f t="shared" si="8"/>
        <v>1561.9499999999998</v>
      </c>
      <c r="H32" s="43">
        <f t="shared" si="9"/>
        <v>124.95599999999999</v>
      </c>
      <c r="I32" s="43"/>
      <c r="J32" s="43">
        <f t="shared" si="11"/>
        <v>1686.9059999999997</v>
      </c>
    </row>
    <row r="33" spans="2:10" x14ac:dyDescent="0.35">
      <c r="B33" s="42">
        <v>45357</v>
      </c>
      <c r="C33" s="1" t="s">
        <v>477</v>
      </c>
      <c r="D33" s="1" t="s">
        <v>595</v>
      </c>
      <c r="E33" s="1">
        <v>5</v>
      </c>
      <c r="F33" s="43">
        <v>169.33</v>
      </c>
      <c r="G33" s="43">
        <f t="shared" si="8"/>
        <v>846.65000000000009</v>
      </c>
      <c r="H33" s="43">
        <f t="shared" si="9"/>
        <v>67.732000000000014</v>
      </c>
      <c r="I33" s="43"/>
      <c r="J33" s="43">
        <f t="shared" si="11"/>
        <v>914.38200000000006</v>
      </c>
    </row>
    <row r="39" spans="2:10" x14ac:dyDescent="0.35">
      <c r="J39" s="9">
        <f>SUM(J4:J32)</f>
        <v>25192.484999999997</v>
      </c>
    </row>
  </sheetData>
  <mergeCells count="3">
    <mergeCell ref="B2:J2"/>
    <mergeCell ref="L2:T2"/>
    <mergeCell ref="AC2:A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C7CC-0CE1-4479-8F4F-C56838FE6E0B}">
  <sheetPr>
    <tabColor theme="7"/>
  </sheetPr>
  <dimension ref="B3:J111"/>
  <sheetViews>
    <sheetView topLeftCell="A92" workbookViewId="0">
      <selection activeCell="I111" sqref="I111"/>
    </sheetView>
  </sheetViews>
  <sheetFormatPr baseColWidth="10" defaultRowHeight="15" x14ac:dyDescent="0.25"/>
  <cols>
    <col min="2" max="2" width="6.7109375" bestFit="1" customWidth="1"/>
    <col min="3" max="3" width="7.7109375" bestFit="1" customWidth="1"/>
    <col min="4" max="4" width="30" bestFit="1" customWidth="1"/>
    <col min="5" max="5" width="9.7109375" bestFit="1" customWidth="1"/>
    <col min="6" max="6" width="17.28515625" bestFit="1" customWidth="1"/>
    <col min="7" max="7" width="11" bestFit="1" customWidth="1"/>
    <col min="8" max="8" width="8.85546875" bestFit="1" customWidth="1"/>
    <col min="9" max="9" width="4.85546875" bestFit="1" customWidth="1"/>
    <col min="10" max="10" width="11.28515625" bestFit="1" customWidth="1"/>
  </cols>
  <sheetData>
    <row r="3" spans="2:10" x14ac:dyDescent="0.25">
      <c r="B3" s="379" t="s">
        <v>245</v>
      </c>
      <c r="C3" s="379"/>
      <c r="D3" s="379"/>
      <c r="E3" s="379"/>
      <c r="F3" s="379"/>
      <c r="G3" s="379"/>
      <c r="H3" s="379"/>
      <c r="I3" s="379"/>
      <c r="J3" s="379"/>
    </row>
    <row r="4" spans="2:10" x14ac:dyDescent="0.25">
      <c r="B4" s="2" t="s">
        <v>0</v>
      </c>
      <c r="C4" s="2" t="s">
        <v>1</v>
      </c>
      <c r="D4" s="2" t="s">
        <v>2</v>
      </c>
      <c r="E4" s="2" t="s">
        <v>3</v>
      </c>
      <c r="F4" s="4" t="s">
        <v>4</v>
      </c>
      <c r="G4" s="4" t="s">
        <v>8</v>
      </c>
      <c r="H4" s="5" t="s">
        <v>9</v>
      </c>
      <c r="I4" s="5" t="s">
        <v>10</v>
      </c>
      <c r="J4" s="5" t="s">
        <v>5</v>
      </c>
    </row>
    <row r="5" spans="2:10" x14ac:dyDescent="0.25">
      <c r="B5" s="3">
        <v>45307</v>
      </c>
      <c r="C5" s="1" t="s">
        <v>15</v>
      </c>
      <c r="D5" t="s">
        <v>122</v>
      </c>
      <c r="E5">
        <v>3</v>
      </c>
      <c r="F5" s="6">
        <f>258.86/1.08</f>
        <v>239.68518518518519</v>
      </c>
      <c r="G5" s="6">
        <f t="shared" ref="G5" si="0">E5*F5</f>
        <v>719.05555555555554</v>
      </c>
      <c r="H5" s="6">
        <f t="shared" ref="H5" si="1">G5*0.08</f>
        <v>57.524444444444441</v>
      </c>
      <c r="I5" s="6"/>
      <c r="J5" s="6">
        <f>SUM(G5:H5)</f>
        <v>776.57999999999993</v>
      </c>
    </row>
    <row r="6" spans="2:10" x14ac:dyDescent="0.25">
      <c r="B6" s="3">
        <v>45307</v>
      </c>
      <c r="C6" s="1" t="s">
        <v>15</v>
      </c>
      <c r="D6" t="s">
        <v>124</v>
      </c>
      <c r="E6">
        <v>4</v>
      </c>
      <c r="F6" s="6">
        <f>24.17/1.08</f>
        <v>22.37962962962963</v>
      </c>
      <c r="G6" s="6">
        <f t="shared" ref="G6:G37" si="2">E6*F6</f>
        <v>89.518518518518519</v>
      </c>
      <c r="H6" s="6">
        <f t="shared" ref="H6:H37" si="3">G6*0.08</f>
        <v>7.1614814814814816</v>
      </c>
      <c r="I6" s="6"/>
      <c r="J6" s="6">
        <f t="shared" ref="J6:J13" si="4">SUM(G6:H6)</f>
        <v>96.68</v>
      </c>
    </row>
    <row r="7" spans="2:10" x14ac:dyDescent="0.25">
      <c r="B7" s="3">
        <v>45307</v>
      </c>
      <c r="C7" s="1" t="s">
        <v>15</v>
      </c>
      <c r="D7" t="s">
        <v>43</v>
      </c>
      <c r="E7">
        <v>2</v>
      </c>
      <c r="F7" s="6">
        <f>11.98/1.08</f>
        <v>11.092592592592592</v>
      </c>
      <c r="G7" s="6">
        <f t="shared" si="2"/>
        <v>22.185185185185183</v>
      </c>
      <c r="H7" s="6">
        <f t="shared" si="3"/>
        <v>1.7748148148148146</v>
      </c>
      <c r="I7" s="6"/>
      <c r="J7" s="6">
        <f t="shared" si="4"/>
        <v>23.959999999999997</v>
      </c>
    </row>
    <row r="8" spans="2:10" x14ac:dyDescent="0.25">
      <c r="B8" s="3">
        <v>45307</v>
      </c>
      <c r="C8" s="1" t="s">
        <v>15</v>
      </c>
      <c r="D8" t="s">
        <v>125</v>
      </c>
      <c r="E8">
        <v>1</v>
      </c>
      <c r="F8" s="6">
        <f>98.05/1.08</f>
        <v>90.787037037037024</v>
      </c>
      <c r="G8" s="6">
        <f t="shared" si="2"/>
        <v>90.787037037037024</v>
      </c>
      <c r="H8" s="6">
        <f t="shared" si="3"/>
        <v>7.2629629629629617</v>
      </c>
      <c r="I8" s="6"/>
      <c r="J8" s="6">
        <f t="shared" si="4"/>
        <v>98.049999999999983</v>
      </c>
    </row>
    <row r="9" spans="2:10" x14ac:dyDescent="0.25">
      <c r="B9" s="3">
        <v>45307</v>
      </c>
      <c r="C9" s="1" t="s">
        <v>15</v>
      </c>
      <c r="D9" t="s">
        <v>126</v>
      </c>
      <c r="E9">
        <v>3</v>
      </c>
      <c r="F9" s="6">
        <f>2.3/1.08</f>
        <v>2.1296296296296293</v>
      </c>
      <c r="G9" s="6">
        <f t="shared" si="2"/>
        <v>6.3888888888888875</v>
      </c>
      <c r="H9" s="6">
        <f t="shared" si="3"/>
        <v>0.51111111111111096</v>
      </c>
      <c r="I9" s="6"/>
      <c r="J9" s="6">
        <f t="shared" si="4"/>
        <v>6.8999999999999986</v>
      </c>
    </row>
    <row r="10" spans="2:10" x14ac:dyDescent="0.25">
      <c r="B10" s="3">
        <v>45307</v>
      </c>
      <c r="C10" s="1" t="s">
        <v>15</v>
      </c>
      <c r="D10" t="s">
        <v>127</v>
      </c>
      <c r="E10">
        <v>1</v>
      </c>
      <c r="F10" s="6">
        <f>11.3/1.08</f>
        <v>10.462962962962964</v>
      </c>
      <c r="G10" s="6">
        <f t="shared" si="2"/>
        <v>10.462962962962964</v>
      </c>
      <c r="H10" s="6">
        <f t="shared" si="3"/>
        <v>0.83703703703703713</v>
      </c>
      <c r="I10" s="6"/>
      <c r="J10" s="6">
        <f t="shared" si="4"/>
        <v>11.3</v>
      </c>
    </row>
    <row r="11" spans="2:10" x14ac:dyDescent="0.25">
      <c r="B11" s="3">
        <v>45307</v>
      </c>
      <c r="C11" s="1" t="s">
        <v>15</v>
      </c>
      <c r="D11" t="s">
        <v>128</v>
      </c>
      <c r="E11">
        <v>1</v>
      </c>
      <c r="F11" s="6">
        <f>2.5/1.08</f>
        <v>2.3148148148148149</v>
      </c>
      <c r="G11" s="6">
        <f t="shared" si="2"/>
        <v>2.3148148148148149</v>
      </c>
      <c r="H11" s="6">
        <f t="shared" si="3"/>
        <v>0.1851851851851852</v>
      </c>
      <c r="I11" s="6"/>
      <c r="J11" s="6">
        <f t="shared" si="4"/>
        <v>2.5</v>
      </c>
    </row>
    <row r="12" spans="2:10" x14ac:dyDescent="0.25">
      <c r="B12" s="3">
        <v>45307</v>
      </c>
      <c r="C12" s="1" t="s">
        <v>15</v>
      </c>
      <c r="D12" t="s">
        <v>129</v>
      </c>
      <c r="E12">
        <v>1</v>
      </c>
      <c r="F12" s="6">
        <f>1.28/1.08</f>
        <v>1.1851851851851851</v>
      </c>
      <c r="G12" s="6">
        <f t="shared" si="2"/>
        <v>1.1851851851851851</v>
      </c>
      <c r="H12" s="6">
        <f t="shared" si="3"/>
        <v>9.481481481481481E-2</v>
      </c>
      <c r="I12" s="6"/>
      <c r="J12" s="6">
        <f t="shared" si="4"/>
        <v>1.28</v>
      </c>
    </row>
    <row r="13" spans="2:10" x14ac:dyDescent="0.25">
      <c r="B13" s="3">
        <v>45307</v>
      </c>
      <c r="C13" s="1" t="s">
        <v>15</v>
      </c>
      <c r="D13" t="s">
        <v>32</v>
      </c>
      <c r="E13">
        <v>1</v>
      </c>
      <c r="F13" s="6">
        <f>45.99/1.08</f>
        <v>42.583333333333336</v>
      </c>
      <c r="G13" s="6">
        <f t="shared" si="2"/>
        <v>42.583333333333336</v>
      </c>
      <c r="H13" s="6">
        <f t="shared" si="3"/>
        <v>3.4066666666666667</v>
      </c>
      <c r="I13" s="6"/>
      <c r="J13" s="6">
        <f t="shared" si="4"/>
        <v>45.99</v>
      </c>
    </row>
    <row r="14" spans="2:10" x14ac:dyDescent="0.25">
      <c r="B14" s="3">
        <v>45321</v>
      </c>
      <c r="C14" s="1" t="s">
        <v>15</v>
      </c>
      <c r="D14" s="6" t="s">
        <v>156</v>
      </c>
      <c r="E14">
        <v>5</v>
      </c>
      <c r="F14" s="6">
        <v>25.74</v>
      </c>
      <c r="G14" s="6">
        <f t="shared" si="2"/>
        <v>128.69999999999999</v>
      </c>
      <c r="H14" s="6">
        <f t="shared" si="3"/>
        <v>10.295999999999999</v>
      </c>
      <c r="I14" s="6"/>
      <c r="J14" s="6">
        <f t="shared" ref="J14:J57" si="5">SUM(G14:H14)-I14</f>
        <v>138.99599999999998</v>
      </c>
    </row>
    <row r="15" spans="2:10" x14ac:dyDescent="0.25">
      <c r="B15" s="3">
        <v>45321</v>
      </c>
      <c r="C15" s="1" t="s">
        <v>15</v>
      </c>
      <c r="D15" s="6" t="s">
        <v>157</v>
      </c>
      <c r="E15">
        <v>1</v>
      </c>
      <c r="F15" s="6">
        <v>98.05</v>
      </c>
      <c r="G15" s="6">
        <f t="shared" si="2"/>
        <v>98.05</v>
      </c>
      <c r="H15" s="6">
        <f t="shared" si="3"/>
        <v>7.8440000000000003</v>
      </c>
      <c r="I15" s="6"/>
      <c r="J15" s="6">
        <f t="shared" si="5"/>
        <v>105.89399999999999</v>
      </c>
    </row>
    <row r="16" spans="2:10" x14ac:dyDescent="0.25">
      <c r="B16" s="3">
        <v>30.01</v>
      </c>
      <c r="C16" s="1" t="s">
        <v>15</v>
      </c>
      <c r="D16" s="6" t="s">
        <v>158</v>
      </c>
      <c r="E16">
        <v>10</v>
      </c>
      <c r="F16" s="6">
        <v>7.41</v>
      </c>
      <c r="G16" s="6">
        <f t="shared" si="2"/>
        <v>74.099999999999994</v>
      </c>
      <c r="H16" s="6">
        <f t="shared" si="3"/>
        <v>5.9279999999999999</v>
      </c>
      <c r="I16" s="6"/>
      <c r="J16" s="6">
        <f t="shared" si="5"/>
        <v>80.027999999999992</v>
      </c>
    </row>
    <row r="17" spans="2:10" x14ac:dyDescent="0.25">
      <c r="B17" s="3">
        <v>45321</v>
      </c>
      <c r="C17" s="1" t="s">
        <v>15</v>
      </c>
      <c r="D17" s="6" t="s">
        <v>159</v>
      </c>
      <c r="E17">
        <v>5</v>
      </c>
      <c r="F17" s="6">
        <v>13.83</v>
      </c>
      <c r="G17" s="6">
        <f t="shared" si="2"/>
        <v>69.150000000000006</v>
      </c>
      <c r="H17" s="6">
        <f t="shared" si="3"/>
        <v>5.5320000000000009</v>
      </c>
      <c r="I17" s="6"/>
      <c r="J17" s="6">
        <f t="shared" si="5"/>
        <v>74.682000000000002</v>
      </c>
    </row>
    <row r="18" spans="2:10" x14ac:dyDescent="0.25">
      <c r="B18" s="3">
        <v>45321</v>
      </c>
      <c r="C18" s="1" t="s">
        <v>15</v>
      </c>
      <c r="D18" s="6" t="s">
        <v>160</v>
      </c>
      <c r="E18">
        <v>1</v>
      </c>
      <c r="F18" s="6">
        <v>127.86</v>
      </c>
      <c r="G18" s="6">
        <f t="shared" si="2"/>
        <v>127.86</v>
      </c>
      <c r="H18" s="6">
        <f t="shared" si="3"/>
        <v>10.2288</v>
      </c>
      <c r="I18" s="6"/>
      <c r="J18" s="6">
        <f t="shared" si="5"/>
        <v>138.08879999999999</v>
      </c>
    </row>
    <row r="19" spans="2:10" x14ac:dyDescent="0.25">
      <c r="B19" s="3">
        <v>45321</v>
      </c>
      <c r="C19" s="1" t="s">
        <v>15</v>
      </c>
      <c r="D19" s="6" t="s">
        <v>161</v>
      </c>
      <c r="E19">
        <v>2</v>
      </c>
      <c r="F19" s="6">
        <v>13.26</v>
      </c>
      <c r="G19" s="6">
        <f t="shared" si="2"/>
        <v>26.52</v>
      </c>
      <c r="H19" s="6">
        <f t="shared" si="3"/>
        <v>2.1215999999999999</v>
      </c>
      <c r="I19" s="6"/>
      <c r="J19" s="6">
        <f t="shared" si="5"/>
        <v>28.6416</v>
      </c>
    </row>
    <row r="20" spans="2:10" x14ac:dyDescent="0.25">
      <c r="B20" s="3">
        <v>45321</v>
      </c>
      <c r="C20" s="1" t="s">
        <v>15</v>
      </c>
      <c r="D20" s="6" t="s">
        <v>162</v>
      </c>
      <c r="E20">
        <v>2</v>
      </c>
      <c r="F20" s="6">
        <v>35.1</v>
      </c>
      <c r="G20" s="6">
        <f t="shared" si="2"/>
        <v>70.2</v>
      </c>
      <c r="H20" s="6">
        <f t="shared" si="3"/>
        <v>5.6160000000000005</v>
      </c>
      <c r="I20" s="6"/>
      <c r="J20" s="6">
        <f t="shared" si="5"/>
        <v>75.816000000000003</v>
      </c>
    </row>
    <row r="21" spans="2:10" x14ac:dyDescent="0.25">
      <c r="B21" s="3">
        <v>30.01</v>
      </c>
      <c r="C21" s="1" t="s">
        <v>15</v>
      </c>
      <c r="D21" s="6" t="s">
        <v>23</v>
      </c>
      <c r="E21">
        <v>2</v>
      </c>
      <c r="F21" s="6">
        <v>32.659999999999997</v>
      </c>
      <c r="G21" s="6">
        <f t="shared" si="2"/>
        <v>65.319999999999993</v>
      </c>
      <c r="H21" s="6">
        <f t="shared" si="3"/>
        <v>5.2255999999999991</v>
      </c>
      <c r="I21" s="6"/>
      <c r="J21" s="6">
        <f t="shared" si="5"/>
        <v>70.545599999999993</v>
      </c>
    </row>
    <row r="22" spans="2:10" x14ac:dyDescent="0.25">
      <c r="B22" s="3">
        <v>30.01</v>
      </c>
      <c r="C22" s="1" t="s">
        <v>15</v>
      </c>
      <c r="D22" s="6" t="s">
        <v>163</v>
      </c>
      <c r="E22">
        <v>1</v>
      </c>
      <c r="F22" s="6">
        <v>42.9</v>
      </c>
      <c r="G22" s="6">
        <f t="shared" si="2"/>
        <v>42.9</v>
      </c>
      <c r="H22" s="6">
        <f t="shared" si="3"/>
        <v>3.4319999999999999</v>
      </c>
      <c r="I22" s="6"/>
      <c r="J22" s="6">
        <f t="shared" si="5"/>
        <v>46.332000000000001</v>
      </c>
    </row>
    <row r="23" spans="2:10" x14ac:dyDescent="0.25">
      <c r="B23" s="3">
        <v>45321</v>
      </c>
      <c r="C23" s="1" t="s">
        <v>15</v>
      </c>
      <c r="D23" s="6" t="s">
        <v>164</v>
      </c>
      <c r="E23">
        <v>1</v>
      </c>
      <c r="F23" s="6">
        <v>55.33</v>
      </c>
      <c r="G23" s="6">
        <f t="shared" si="2"/>
        <v>55.33</v>
      </c>
      <c r="H23" s="6">
        <f t="shared" si="3"/>
        <v>4.4264000000000001</v>
      </c>
      <c r="I23" s="6"/>
      <c r="J23" s="6">
        <f t="shared" si="5"/>
        <v>59.756399999999999</v>
      </c>
    </row>
    <row r="24" spans="2:10" x14ac:dyDescent="0.25">
      <c r="B24" s="3">
        <v>45321</v>
      </c>
      <c r="C24" s="1" t="s">
        <v>15</v>
      </c>
      <c r="D24" s="6" t="s">
        <v>43</v>
      </c>
      <c r="E24">
        <v>1</v>
      </c>
      <c r="F24" s="6">
        <v>20.45</v>
      </c>
      <c r="G24" s="6">
        <f t="shared" si="2"/>
        <v>20.45</v>
      </c>
      <c r="H24" s="6">
        <f t="shared" si="3"/>
        <v>1.6359999999999999</v>
      </c>
      <c r="I24" s="6"/>
      <c r="J24" s="6">
        <f t="shared" si="5"/>
        <v>22.085999999999999</v>
      </c>
    </row>
    <row r="25" spans="2:10" x14ac:dyDescent="0.25">
      <c r="B25" s="3">
        <v>45321</v>
      </c>
      <c r="C25" s="1" t="s">
        <v>15</v>
      </c>
      <c r="D25" s="6" t="s">
        <v>165</v>
      </c>
      <c r="E25">
        <v>1</v>
      </c>
      <c r="F25" s="6">
        <v>24.57</v>
      </c>
      <c r="G25" s="6">
        <f t="shared" si="2"/>
        <v>24.57</v>
      </c>
      <c r="H25" s="6">
        <f t="shared" si="3"/>
        <v>1.9656</v>
      </c>
      <c r="I25" s="6"/>
      <c r="J25" s="6">
        <f t="shared" si="5"/>
        <v>26.535599999999999</v>
      </c>
    </row>
    <row r="26" spans="2:10" x14ac:dyDescent="0.25">
      <c r="B26" s="3">
        <v>30.01</v>
      </c>
      <c r="C26" s="1" t="s">
        <v>15</v>
      </c>
      <c r="D26" s="6" t="s">
        <v>166</v>
      </c>
      <c r="E26">
        <v>1</v>
      </c>
      <c r="F26" s="6">
        <v>49.43</v>
      </c>
      <c r="G26" s="6">
        <f t="shared" si="2"/>
        <v>49.43</v>
      </c>
      <c r="H26" s="6">
        <f t="shared" si="3"/>
        <v>3.9544000000000001</v>
      </c>
      <c r="I26" s="6"/>
      <c r="J26" s="6">
        <f t="shared" si="5"/>
        <v>53.384399999999999</v>
      </c>
    </row>
    <row r="27" spans="2:10" x14ac:dyDescent="0.25">
      <c r="B27" s="3">
        <v>45321</v>
      </c>
      <c r="C27" s="1" t="s">
        <v>15</v>
      </c>
      <c r="D27" s="6" t="s">
        <v>167</v>
      </c>
      <c r="E27">
        <v>1</v>
      </c>
      <c r="F27" s="6">
        <v>45.99</v>
      </c>
      <c r="G27" s="6">
        <f t="shared" si="2"/>
        <v>45.99</v>
      </c>
      <c r="H27" s="6">
        <f t="shared" si="3"/>
        <v>3.6792000000000002</v>
      </c>
      <c r="I27" s="6"/>
      <c r="J27" s="6">
        <f t="shared" si="5"/>
        <v>49.669200000000004</v>
      </c>
    </row>
    <row r="28" spans="2:10" x14ac:dyDescent="0.25">
      <c r="B28" s="3">
        <v>30.01</v>
      </c>
      <c r="C28" s="1" t="s">
        <v>15</v>
      </c>
      <c r="D28" s="6" t="s">
        <v>171</v>
      </c>
      <c r="E28">
        <v>1</v>
      </c>
      <c r="F28" s="6">
        <v>28.12</v>
      </c>
      <c r="G28" s="6">
        <f t="shared" si="2"/>
        <v>28.12</v>
      </c>
      <c r="H28" s="6">
        <f t="shared" si="3"/>
        <v>2.2496</v>
      </c>
      <c r="I28" s="6"/>
      <c r="J28" s="6">
        <f t="shared" si="5"/>
        <v>30.369600000000002</v>
      </c>
    </row>
    <row r="29" spans="2:10" x14ac:dyDescent="0.25">
      <c r="B29" s="3">
        <v>45321</v>
      </c>
      <c r="C29" s="1" t="s">
        <v>15</v>
      </c>
      <c r="D29" s="6" t="s">
        <v>172</v>
      </c>
      <c r="E29">
        <v>16</v>
      </c>
      <c r="F29" s="6">
        <v>1.21</v>
      </c>
      <c r="G29" s="6">
        <f t="shared" si="2"/>
        <v>19.36</v>
      </c>
      <c r="H29" s="6">
        <f t="shared" si="3"/>
        <v>1.5488</v>
      </c>
      <c r="I29" s="6"/>
      <c r="J29" s="6">
        <f t="shared" si="5"/>
        <v>20.908799999999999</v>
      </c>
    </row>
    <row r="30" spans="2:10" x14ac:dyDescent="0.25">
      <c r="B30" s="3">
        <v>30.01</v>
      </c>
      <c r="C30" s="1" t="s">
        <v>15</v>
      </c>
      <c r="D30" s="6" t="s">
        <v>175</v>
      </c>
      <c r="E30">
        <v>6</v>
      </c>
      <c r="F30" s="6">
        <v>3.57</v>
      </c>
      <c r="G30" s="6">
        <f t="shared" si="2"/>
        <v>21.419999999999998</v>
      </c>
      <c r="H30" s="6">
        <f t="shared" si="3"/>
        <v>1.7135999999999998</v>
      </c>
      <c r="I30" s="6"/>
      <c r="J30" s="6">
        <f t="shared" si="5"/>
        <v>23.133599999999998</v>
      </c>
    </row>
    <row r="31" spans="2:10" x14ac:dyDescent="0.25">
      <c r="B31" s="3">
        <v>45321</v>
      </c>
      <c r="C31" s="1" t="s">
        <v>15</v>
      </c>
      <c r="D31" s="6" t="s">
        <v>176</v>
      </c>
      <c r="E31">
        <v>4</v>
      </c>
      <c r="F31" s="6">
        <v>3.46</v>
      </c>
      <c r="G31" s="6">
        <f t="shared" si="2"/>
        <v>13.84</v>
      </c>
      <c r="H31" s="6">
        <f t="shared" si="3"/>
        <v>1.1072</v>
      </c>
      <c r="I31" s="6"/>
      <c r="J31" s="6">
        <f t="shared" si="5"/>
        <v>14.9472</v>
      </c>
    </row>
    <row r="32" spans="2:10" x14ac:dyDescent="0.25">
      <c r="B32" s="3">
        <v>30.01</v>
      </c>
      <c r="C32" s="1" t="s">
        <v>15</v>
      </c>
      <c r="D32" s="6" t="s">
        <v>177</v>
      </c>
      <c r="E32">
        <v>8</v>
      </c>
      <c r="F32" s="6">
        <v>1.28</v>
      </c>
      <c r="G32" s="6">
        <f t="shared" si="2"/>
        <v>10.24</v>
      </c>
      <c r="H32" s="6">
        <f t="shared" si="3"/>
        <v>0.81920000000000004</v>
      </c>
      <c r="I32" s="6"/>
      <c r="J32" s="6">
        <f t="shared" si="5"/>
        <v>11.059200000000001</v>
      </c>
    </row>
    <row r="33" spans="2:10" x14ac:dyDescent="0.25">
      <c r="B33" s="3">
        <v>45321</v>
      </c>
      <c r="C33" s="1" t="s">
        <v>15</v>
      </c>
      <c r="D33" s="6" t="s">
        <v>178</v>
      </c>
      <c r="E33">
        <v>8</v>
      </c>
      <c r="F33" s="6">
        <v>2.1800000000000002</v>
      </c>
      <c r="G33" s="6">
        <f t="shared" si="2"/>
        <v>17.440000000000001</v>
      </c>
      <c r="H33" s="6">
        <f t="shared" si="3"/>
        <v>1.3952000000000002</v>
      </c>
      <c r="I33" s="6"/>
      <c r="J33" s="6">
        <f t="shared" si="5"/>
        <v>18.8352</v>
      </c>
    </row>
    <row r="34" spans="2:10" x14ac:dyDescent="0.25">
      <c r="B34" s="3">
        <v>45321</v>
      </c>
      <c r="C34" s="1" t="s">
        <v>15</v>
      </c>
      <c r="D34" s="6" t="s">
        <v>179</v>
      </c>
      <c r="E34">
        <v>8</v>
      </c>
      <c r="F34" s="6">
        <v>1.27</v>
      </c>
      <c r="G34" s="6">
        <f t="shared" si="2"/>
        <v>10.16</v>
      </c>
      <c r="H34" s="6">
        <f t="shared" si="3"/>
        <v>0.81280000000000008</v>
      </c>
      <c r="I34" s="6"/>
      <c r="J34" s="6">
        <f t="shared" si="5"/>
        <v>10.972799999999999</v>
      </c>
    </row>
    <row r="35" spans="2:10" x14ac:dyDescent="0.25">
      <c r="B35" s="3">
        <v>30.01</v>
      </c>
      <c r="C35" s="1" t="s">
        <v>15</v>
      </c>
      <c r="D35" s="6" t="s">
        <v>126</v>
      </c>
      <c r="E35">
        <v>15</v>
      </c>
      <c r="F35" s="6">
        <v>2.2999999999999998</v>
      </c>
      <c r="G35" s="6">
        <f t="shared" si="2"/>
        <v>34.5</v>
      </c>
      <c r="H35" s="6">
        <f t="shared" si="3"/>
        <v>2.7600000000000002</v>
      </c>
      <c r="I35" s="6"/>
      <c r="J35" s="6">
        <f t="shared" si="5"/>
        <v>37.26</v>
      </c>
    </row>
    <row r="36" spans="2:10" x14ac:dyDescent="0.25">
      <c r="B36" s="3">
        <v>45321</v>
      </c>
      <c r="C36" s="1" t="s">
        <v>15</v>
      </c>
      <c r="D36" s="6" t="s">
        <v>180</v>
      </c>
      <c r="E36">
        <v>4</v>
      </c>
      <c r="F36" s="6">
        <v>1.0900000000000001</v>
      </c>
      <c r="G36" s="6">
        <f t="shared" si="2"/>
        <v>4.3600000000000003</v>
      </c>
      <c r="H36" s="6">
        <f t="shared" si="3"/>
        <v>0.34880000000000005</v>
      </c>
      <c r="I36" s="6"/>
      <c r="J36" s="6">
        <f t="shared" si="5"/>
        <v>4.7088000000000001</v>
      </c>
    </row>
    <row r="37" spans="2:10" x14ac:dyDescent="0.25">
      <c r="B37" s="3">
        <v>30.01</v>
      </c>
      <c r="C37" s="1" t="s">
        <v>15</v>
      </c>
      <c r="D37" s="6" t="s">
        <v>181</v>
      </c>
      <c r="E37">
        <v>1</v>
      </c>
      <c r="F37" s="6">
        <v>13.27</v>
      </c>
      <c r="G37" s="6">
        <f t="shared" si="2"/>
        <v>13.27</v>
      </c>
      <c r="H37" s="6">
        <f t="shared" si="3"/>
        <v>1.0615999999999999</v>
      </c>
      <c r="I37" s="6"/>
      <c r="J37" s="6">
        <f t="shared" si="5"/>
        <v>14.3316</v>
      </c>
    </row>
    <row r="38" spans="2:10" x14ac:dyDescent="0.25">
      <c r="B38" s="3">
        <v>45321</v>
      </c>
      <c r="C38" s="1" t="s">
        <v>15</v>
      </c>
      <c r="D38" s="6" t="s">
        <v>182</v>
      </c>
      <c r="E38">
        <v>3</v>
      </c>
      <c r="F38" s="6">
        <v>1.35</v>
      </c>
      <c r="G38" s="6">
        <f t="shared" ref="G38:G57" si="6">E38*F38</f>
        <v>4.0500000000000007</v>
      </c>
      <c r="H38" s="6">
        <f t="shared" ref="H38:H57" si="7">G38*0.08</f>
        <v>0.32400000000000007</v>
      </c>
      <c r="I38" s="6"/>
      <c r="J38" s="6">
        <f t="shared" si="5"/>
        <v>4.3740000000000006</v>
      </c>
    </row>
    <row r="39" spans="2:10" x14ac:dyDescent="0.25">
      <c r="B39" s="3">
        <v>45321</v>
      </c>
      <c r="C39" s="1" t="s">
        <v>15</v>
      </c>
      <c r="D39" s="6" t="s">
        <v>183</v>
      </c>
      <c r="E39">
        <v>5</v>
      </c>
      <c r="F39" s="6">
        <v>0.86</v>
      </c>
      <c r="G39" s="6">
        <f t="shared" si="6"/>
        <v>4.3</v>
      </c>
      <c r="H39" s="6">
        <f t="shared" si="7"/>
        <v>0.34399999999999997</v>
      </c>
      <c r="I39" s="6"/>
      <c r="J39" s="6">
        <f t="shared" si="5"/>
        <v>4.6440000000000001</v>
      </c>
    </row>
    <row r="40" spans="2:10" x14ac:dyDescent="0.25">
      <c r="B40" s="3">
        <v>30.01</v>
      </c>
      <c r="C40" s="1" t="s">
        <v>15</v>
      </c>
      <c r="D40" s="6" t="s">
        <v>184</v>
      </c>
      <c r="E40">
        <v>18</v>
      </c>
      <c r="F40" s="6">
        <v>50.24</v>
      </c>
      <c r="G40" s="6">
        <f t="shared" si="6"/>
        <v>904.32</v>
      </c>
      <c r="H40" s="6">
        <f t="shared" si="7"/>
        <v>72.345600000000005</v>
      </c>
      <c r="I40" s="6"/>
      <c r="J40" s="6">
        <f t="shared" si="5"/>
        <v>976.66560000000004</v>
      </c>
    </row>
    <row r="41" spans="2:10" x14ac:dyDescent="0.25">
      <c r="B41" s="3">
        <v>45321</v>
      </c>
      <c r="C41" s="1" t="s">
        <v>15</v>
      </c>
      <c r="D41" s="6" t="s">
        <v>17</v>
      </c>
      <c r="E41">
        <v>5</v>
      </c>
      <c r="F41" s="6">
        <v>175.26</v>
      </c>
      <c r="G41" s="6">
        <f t="shared" si="6"/>
        <v>876.3</v>
      </c>
      <c r="H41" s="6">
        <f t="shared" si="7"/>
        <v>70.103999999999999</v>
      </c>
      <c r="I41" s="6"/>
      <c r="J41" s="6">
        <f t="shared" si="5"/>
        <v>946.404</v>
      </c>
    </row>
    <row r="42" spans="2:10" x14ac:dyDescent="0.25">
      <c r="B42" s="3">
        <v>30.01</v>
      </c>
      <c r="C42" s="1" t="s">
        <v>15</v>
      </c>
      <c r="D42" s="6" t="s">
        <v>188</v>
      </c>
      <c r="E42">
        <v>9</v>
      </c>
      <c r="F42" s="6">
        <v>32.4</v>
      </c>
      <c r="G42" s="6">
        <f t="shared" si="6"/>
        <v>291.59999999999997</v>
      </c>
      <c r="H42" s="6">
        <f t="shared" si="7"/>
        <v>23.327999999999999</v>
      </c>
      <c r="I42" s="6"/>
      <c r="J42" s="6">
        <f t="shared" si="5"/>
        <v>314.92799999999994</v>
      </c>
    </row>
    <row r="43" spans="2:10" x14ac:dyDescent="0.25">
      <c r="B43" s="3">
        <v>30.01</v>
      </c>
      <c r="C43" s="1" t="s">
        <v>15</v>
      </c>
      <c r="D43" s="6" t="s">
        <v>161</v>
      </c>
      <c r="E43">
        <v>4</v>
      </c>
      <c r="F43" s="6">
        <v>13.26</v>
      </c>
      <c r="G43" s="6">
        <f t="shared" si="6"/>
        <v>53.04</v>
      </c>
      <c r="H43" s="6">
        <f t="shared" si="7"/>
        <v>4.2431999999999999</v>
      </c>
      <c r="I43" s="6"/>
      <c r="J43" s="6">
        <f t="shared" si="5"/>
        <v>57.283200000000001</v>
      </c>
    </row>
    <row r="44" spans="2:10" x14ac:dyDescent="0.25">
      <c r="B44" s="3">
        <v>45321</v>
      </c>
      <c r="C44" s="1" t="s">
        <v>15</v>
      </c>
      <c r="D44" s="6" t="s">
        <v>29</v>
      </c>
      <c r="E44">
        <v>1</v>
      </c>
      <c r="F44" s="6">
        <v>27.3</v>
      </c>
      <c r="G44" s="6">
        <f t="shared" si="6"/>
        <v>27.3</v>
      </c>
      <c r="H44" s="6">
        <f t="shared" si="7"/>
        <v>2.1840000000000002</v>
      </c>
      <c r="I44" s="6"/>
      <c r="J44" s="6">
        <f t="shared" si="5"/>
        <v>29.484000000000002</v>
      </c>
    </row>
    <row r="45" spans="2:10" x14ac:dyDescent="0.25">
      <c r="B45" s="3">
        <v>30.01</v>
      </c>
      <c r="C45" s="1" t="s">
        <v>15</v>
      </c>
      <c r="D45" s="6" t="s">
        <v>192</v>
      </c>
      <c r="E45">
        <v>1</v>
      </c>
      <c r="F45" s="6">
        <v>31.2</v>
      </c>
      <c r="G45" s="6">
        <f t="shared" si="6"/>
        <v>31.2</v>
      </c>
      <c r="H45" s="6">
        <f t="shared" si="7"/>
        <v>2.496</v>
      </c>
      <c r="I45" s="6"/>
      <c r="J45" s="6">
        <f t="shared" si="5"/>
        <v>33.695999999999998</v>
      </c>
    </row>
    <row r="46" spans="2:10" x14ac:dyDescent="0.25">
      <c r="B46" s="3">
        <v>45321</v>
      </c>
      <c r="C46" s="1" t="s">
        <v>15</v>
      </c>
      <c r="D46" s="6" t="s">
        <v>160</v>
      </c>
      <c r="E46">
        <v>1</v>
      </c>
      <c r="F46" s="6">
        <v>127.86</v>
      </c>
      <c r="G46" s="6">
        <f t="shared" si="6"/>
        <v>127.86</v>
      </c>
      <c r="H46" s="6">
        <f t="shared" si="7"/>
        <v>10.2288</v>
      </c>
      <c r="I46" s="6"/>
      <c r="J46" s="6">
        <f t="shared" si="5"/>
        <v>138.08879999999999</v>
      </c>
    </row>
    <row r="47" spans="2:10" x14ac:dyDescent="0.25">
      <c r="B47" s="3">
        <v>45321</v>
      </c>
      <c r="C47" s="1" t="s">
        <v>15</v>
      </c>
      <c r="D47" s="6" t="s">
        <v>193</v>
      </c>
      <c r="E47">
        <v>1</v>
      </c>
      <c r="F47" s="6">
        <v>50.7</v>
      </c>
      <c r="G47" s="6">
        <f t="shared" si="6"/>
        <v>50.7</v>
      </c>
      <c r="H47" s="6">
        <f t="shared" si="7"/>
        <v>4.056</v>
      </c>
      <c r="I47" s="6"/>
      <c r="J47" s="6">
        <f t="shared" si="5"/>
        <v>54.756</v>
      </c>
    </row>
    <row r="48" spans="2:10" x14ac:dyDescent="0.25">
      <c r="B48" s="3">
        <v>30.01</v>
      </c>
      <c r="C48" s="1" t="s">
        <v>15</v>
      </c>
      <c r="D48" s="6" t="s">
        <v>166</v>
      </c>
      <c r="E48">
        <v>1</v>
      </c>
      <c r="F48" s="6">
        <v>49.43</v>
      </c>
      <c r="G48" s="6">
        <f t="shared" si="6"/>
        <v>49.43</v>
      </c>
      <c r="H48" s="6">
        <f t="shared" si="7"/>
        <v>3.9544000000000001</v>
      </c>
      <c r="I48" s="6"/>
      <c r="J48" s="6">
        <f t="shared" si="5"/>
        <v>53.384399999999999</v>
      </c>
    </row>
    <row r="49" spans="2:10" x14ac:dyDescent="0.25">
      <c r="B49" s="3">
        <v>45321</v>
      </c>
      <c r="C49" s="1" t="s">
        <v>15</v>
      </c>
      <c r="D49" s="6" t="s">
        <v>24</v>
      </c>
      <c r="E49">
        <v>1</v>
      </c>
      <c r="F49" s="6">
        <v>55.33</v>
      </c>
      <c r="G49" s="6">
        <f t="shared" si="6"/>
        <v>55.33</v>
      </c>
      <c r="H49" s="6">
        <f t="shared" si="7"/>
        <v>4.4264000000000001</v>
      </c>
      <c r="I49" s="6"/>
      <c r="J49" s="6">
        <f t="shared" si="5"/>
        <v>59.756399999999999</v>
      </c>
    </row>
    <row r="50" spans="2:10" x14ac:dyDescent="0.25">
      <c r="B50" s="3">
        <v>30.01</v>
      </c>
      <c r="C50" s="1" t="s">
        <v>15</v>
      </c>
      <c r="D50" s="6" t="s">
        <v>17</v>
      </c>
      <c r="E50">
        <v>4</v>
      </c>
      <c r="F50" s="6">
        <v>175.26</v>
      </c>
      <c r="G50" s="6">
        <f t="shared" si="6"/>
        <v>701.04</v>
      </c>
      <c r="H50" s="6">
        <f t="shared" si="7"/>
        <v>56.083199999999998</v>
      </c>
      <c r="I50" s="6"/>
      <c r="J50" s="6">
        <f t="shared" si="5"/>
        <v>757.1232</v>
      </c>
    </row>
    <row r="51" spans="2:10" x14ac:dyDescent="0.25">
      <c r="B51" s="3">
        <v>45321</v>
      </c>
      <c r="C51" s="1" t="s">
        <v>15</v>
      </c>
      <c r="D51" s="6" t="s">
        <v>18</v>
      </c>
      <c r="E51">
        <v>4</v>
      </c>
      <c r="F51" s="6">
        <v>88.73</v>
      </c>
      <c r="G51" s="6">
        <f t="shared" si="6"/>
        <v>354.92</v>
      </c>
      <c r="H51" s="6">
        <f t="shared" si="7"/>
        <v>28.393600000000003</v>
      </c>
      <c r="I51" s="6"/>
      <c r="J51" s="6">
        <f t="shared" si="5"/>
        <v>383.31360000000001</v>
      </c>
    </row>
    <row r="52" spans="2:10" x14ac:dyDescent="0.25">
      <c r="B52" s="3">
        <v>45321</v>
      </c>
      <c r="C52" s="1" t="s">
        <v>15</v>
      </c>
      <c r="D52" s="6" t="s">
        <v>193</v>
      </c>
      <c r="E52">
        <v>1</v>
      </c>
      <c r="F52" s="6">
        <v>50.7</v>
      </c>
      <c r="G52" s="6">
        <f t="shared" si="6"/>
        <v>50.7</v>
      </c>
      <c r="H52" s="6">
        <f t="shared" si="7"/>
        <v>4.056</v>
      </c>
      <c r="I52" s="6"/>
      <c r="J52" s="6">
        <f t="shared" si="5"/>
        <v>54.756</v>
      </c>
    </row>
    <row r="53" spans="2:10" x14ac:dyDescent="0.25">
      <c r="B53" s="3">
        <v>30.01</v>
      </c>
      <c r="C53" s="1" t="s">
        <v>15</v>
      </c>
      <c r="D53" s="6" t="s">
        <v>156</v>
      </c>
      <c r="E53">
        <v>3</v>
      </c>
      <c r="F53" s="6">
        <v>25.74</v>
      </c>
      <c r="G53" s="6">
        <f t="shared" si="6"/>
        <v>77.22</v>
      </c>
      <c r="H53" s="6">
        <f t="shared" si="7"/>
        <v>6.1776</v>
      </c>
      <c r="I53" s="6"/>
      <c r="J53" s="6">
        <f t="shared" si="5"/>
        <v>83.397599999999997</v>
      </c>
    </row>
    <row r="54" spans="2:10" x14ac:dyDescent="0.25">
      <c r="B54" s="3">
        <v>45321</v>
      </c>
      <c r="C54" s="1" t="s">
        <v>15</v>
      </c>
      <c r="D54" s="6" t="s">
        <v>23</v>
      </c>
      <c r="E54">
        <v>2</v>
      </c>
      <c r="F54" s="6">
        <v>32.659999999999997</v>
      </c>
      <c r="G54" s="6">
        <f t="shared" si="6"/>
        <v>65.319999999999993</v>
      </c>
      <c r="H54" s="6">
        <f t="shared" si="7"/>
        <v>5.2255999999999991</v>
      </c>
      <c r="I54" s="6"/>
      <c r="J54" s="6">
        <f t="shared" si="5"/>
        <v>70.545599999999993</v>
      </c>
    </row>
    <row r="55" spans="2:10" x14ac:dyDescent="0.25">
      <c r="B55" s="3">
        <v>30.01</v>
      </c>
      <c r="C55" s="1" t="s">
        <v>15</v>
      </c>
      <c r="D55" s="6" t="s">
        <v>163</v>
      </c>
      <c r="E55">
        <v>1</v>
      </c>
      <c r="F55" s="6">
        <v>42.9</v>
      </c>
      <c r="G55" s="6">
        <f t="shared" si="6"/>
        <v>42.9</v>
      </c>
      <c r="H55" s="6">
        <f t="shared" si="7"/>
        <v>3.4319999999999999</v>
      </c>
      <c r="I55" s="6"/>
      <c r="J55" s="6">
        <f t="shared" si="5"/>
        <v>46.332000000000001</v>
      </c>
    </row>
    <row r="56" spans="2:10" x14ac:dyDescent="0.25">
      <c r="B56" s="3">
        <v>45321</v>
      </c>
      <c r="C56" s="1" t="s">
        <v>15</v>
      </c>
      <c r="D56" s="6" t="s">
        <v>43</v>
      </c>
      <c r="E56">
        <v>2</v>
      </c>
      <c r="F56" s="6">
        <v>20.45</v>
      </c>
      <c r="G56" s="6">
        <f t="shared" si="6"/>
        <v>40.9</v>
      </c>
      <c r="H56" s="6">
        <f t="shared" si="7"/>
        <v>3.2719999999999998</v>
      </c>
      <c r="I56" s="6"/>
      <c r="J56" s="6">
        <f t="shared" si="5"/>
        <v>44.171999999999997</v>
      </c>
    </row>
    <row r="57" spans="2:10" x14ac:dyDescent="0.25">
      <c r="B57" s="3">
        <v>45321</v>
      </c>
      <c r="C57" s="1" t="s">
        <v>15</v>
      </c>
      <c r="D57" s="6" t="s">
        <v>194</v>
      </c>
      <c r="E57">
        <v>1</v>
      </c>
      <c r="F57" s="6">
        <v>16.71</v>
      </c>
      <c r="G57" s="6">
        <f t="shared" si="6"/>
        <v>16.71</v>
      </c>
      <c r="H57" s="6">
        <f t="shared" si="7"/>
        <v>1.3368</v>
      </c>
      <c r="I57" s="6"/>
      <c r="J57" s="6">
        <f t="shared" si="5"/>
        <v>18.046800000000001</v>
      </c>
    </row>
    <row r="58" spans="2:10" x14ac:dyDescent="0.25">
      <c r="B58" s="3">
        <v>45328</v>
      </c>
      <c r="C58" s="1" t="s">
        <v>15</v>
      </c>
      <c r="D58" s="6" t="s">
        <v>205</v>
      </c>
      <c r="E58">
        <v>2</v>
      </c>
      <c r="F58" s="6">
        <v>98.05</v>
      </c>
      <c r="G58" s="6">
        <f t="shared" ref="G58:G74" si="8">E58*F58</f>
        <v>196.1</v>
      </c>
      <c r="H58" s="6">
        <f t="shared" ref="H58:H74" si="9">G58*0.08</f>
        <v>15.688000000000001</v>
      </c>
      <c r="I58" s="6"/>
      <c r="J58" s="6">
        <f t="shared" ref="J58:J74" si="10">SUM(G58:H58)-I58</f>
        <v>211.78799999999998</v>
      </c>
    </row>
    <row r="59" spans="2:10" x14ac:dyDescent="0.25">
      <c r="B59" s="3">
        <v>45328</v>
      </c>
      <c r="C59" s="1" t="s">
        <v>15</v>
      </c>
      <c r="D59" s="6" t="s">
        <v>125</v>
      </c>
      <c r="E59">
        <v>2</v>
      </c>
      <c r="F59" s="6">
        <v>45.99</v>
      </c>
      <c r="G59" s="6">
        <f t="shared" si="8"/>
        <v>91.98</v>
      </c>
      <c r="H59" s="6">
        <f t="shared" si="9"/>
        <v>7.3584000000000005</v>
      </c>
      <c r="I59" s="6"/>
      <c r="J59" s="6">
        <f t="shared" si="10"/>
        <v>99.338400000000007</v>
      </c>
    </row>
    <row r="60" spans="2:10" x14ac:dyDescent="0.25">
      <c r="B60" s="3">
        <v>45328</v>
      </c>
      <c r="C60" s="1" t="s">
        <v>15</v>
      </c>
      <c r="D60" s="6" t="s">
        <v>211</v>
      </c>
      <c r="E60">
        <v>1</v>
      </c>
      <c r="F60" s="6">
        <v>64.430000000000007</v>
      </c>
      <c r="G60" s="6">
        <f t="shared" si="8"/>
        <v>64.430000000000007</v>
      </c>
      <c r="H60" s="6">
        <f t="shared" si="9"/>
        <v>5.1544000000000008</v>
      </c>
      <c r="I60" s="6"/>
      <c r="J60" s="6">
        <f t="shared" si="10"/>
        <v>69.584400000000002</v>
      </c>
    </row>
    <row r="61" spans="2:10" x14ac:dyDescent="0.25">
      <c r="B61" s="3">
        <v>45328</v>
      </c>
      <c r="C61" s="1" t="s">
        <v>15</v>
      </c>
      <c r="D61" s="6" t="s">
        <v>23</v>
      </c>
      <c r="E61">
        <v>4</v>
      </c>
      <c r="F61" s="6">
        <v>32.659999999999997</v>
      </c>
      <c r="G61" s="6">
        <f t="shared" si="8"/>
        <v>130.63999999999999</v>
      </c>
      <c r="H61" s="6">
        <f t="shared" si="9"/>
        <v>10.451199999999998</v>
      </c>
      <c r="I61" s="6"/>
      <c r="J61" s="6">
        <f t="shared" si="10"/>
        <v>141.09119999999999</v>
      </c>
    </row>
    <row r="62" spans="2:10" x14ac:dyDescent="0.25">
      <c r="B62" s="3">
        <v>45328</v>
      </c>
      <c r="C62" s="1" t="s">
        <v>15</v>
      </c>
      <c r="D62" s="6" t="s">
        <v>159</v>
      </c>
      <c r="E62">
        <v>4</v>
      </c>
      <c r="F62" s="6">
        <v>13.83</v>
      </c>
      <c r="G62" s="6">
        <f t="shared" si="8"/>
        <v>55.32</v>
      </c>
      <c r="H62" s="6">
        <f t="shared" si="9"/>
        <v>4.4256000000000002</v>
      </c>
      <c r="I62" s="6"/>
      <c r="J62" s="6">
        <f t="shared" si="10"/>
        <v>59.745600000000003</v>
      </c>
    </row>
    <row r="63" spans="2:10" x14ac:dyDescent="0.25">
      <c r="B63" s="3">
        <v>45328</v>
      </c>
      <c r="C63" s="1" t="s">
        <v>15</v>
      </c>
      <c r="D63" s="6" t="s">
        <v>166</v>
      </c>
      <c r="E63">
        <v>1</v>
      </c>
      <c r="F63" s="6">
        <v>49.43</v>
      </c>
      <c r="G63" s="6">
        <f t="shared" si="8"/>
        <v>49.43</v>
      </c>
      <c r="H63" s="6">
        <f t="shared" si="9"/>
        <v>3.9544000000000001</v>
      </c>
      <c r="I63" s="6"/>
      <c r="J63" s="6">
        <f t="shared" si="10"/>
        <v>53.384399999999999</v>
      </c>
    </row>
    <row r="64" spans="2:10" x14ac:dyDescent="0.25">
      <c r="B64" s="3">
        <v>45328</v>
      </c>
      <c r="C64" s="1" t="s">
        <v>15</v>
      </c>
      <c r="D64" s="6" t="s">
        <v>193</v>
      </c>
      <c r="E64">
        <v>1</v>
      </c>
      <c r="F64" s="6">
        <v>50.7</v>
      </c>
      <c r="G64" s="6">
        <f t="shared" si="8"/>
        <v>50.7</v>
      </c>
      <c r="H64" s="6">
        <f t="shared" si="9"/>
        <v>4.056</v>
      </c>
      <c r="I64" s="6"/>
      <c r="J64" s="6">
        <f t="shared" si="10"/>
        <v>54.756</v>
      </c>
    </row>
    <row r="65" spans="2:10" x14ac:dyDescent="0.25">
      <c r="B65" s="3">
        <v>45328</v>
      </c>
      <c r="C65" s="1" t="s">
        <v>15</v>
      </c>
      <c r="D65" s="6" t="s">
        <v>213</v>
      </c>
      <c r="E65">
        <v>2</v>
      </c>
      <c r="F65" s="6">
        <v>30.87</v>
      </c>
      <c r="G65" s="6">
        <f t="shared" si="8"/>
        <v>61.74</v>
      </c>
      <c r="H65" s="6">
        <f t="shared" si="9"/>
        <v>4.9392000000000005</v>
      </c>
      <c r="I65" s="6"/>
      <c r="J65" s="6">
        <f t="shared" si="10"/>
        <v>66.679200000000009</v>
      </c>
    </row>
    <row r="66" spans="2:10" x14ac:dyDescent="0.25">
      <c r="B66" s="3">
        <v>45328</v>
      </c>
      <c r="C66" s="1" t="s">
        <v>15</v>
      </c>
      <c r="D66" s="6" t="s">
        <v>214</v>
      </c>
      <c r="E66">
        <v>3</v>
      </c>
      <c r="F66" s="6">
        <v>25.74</v>
      </c>
      <c r="G66" s="6">
        <f t="shared" si="8"/>
        <v>77.22</v>
      </c>
      <c r="H66" s="6">
        <f t="shared" si="9"/>
        <v>6.1776</v>
      </c>
      <c r="I66" s="6"/>
      <c r="J66" s="6">
        <f t="shared" si="10"/>
        <v>83.397599999999997</v>
      </c>
    </row>
    <row r="67" spans="2:10" x14ac:dyDescent="0.25">
      <c r="B67" s="3">
        <v>45328</v>
      </c>
      <c r="C67" s="1" t="s">
        <v>15</v>
      </c>
      <c r="D67" s="6" t="s">
        <v>215</v>
      </c>
      <c r="E67">
        <v>25</v>
      </c>
      <c r="F67" s="6">
        <v>2.2999999999999998</v>
      </c>
      <c r="G67" s="6">
        <f t="shared" si="8"/>
        <v>57.499999999999993</v>
      </c>
      <c r="H67" s="6">
        <f t="shared" si="9"/>
        <v>4.5999999999999996</v>
      </c>
      <c r="I67" s="6"/>
      <c r="J67" s="6">
        <f t="shared" si="10"/>
        <v>62.099999999999994</v>
      </c>
    </row>
    <row r="68" spans="2:10" x14ac:dyDescent="0.25">
      <c r="B68" s="3">
        <v>45328</v>
      </c>
      <c r="C68" s="1" t="s">
        <v>15</v>
      </c>
      <c r="D68" s="6" t="s">
        <v>175</v>
      </c>
      <c r="E68">
        <v>15</v>
      </c>
      <c r="F68" s="6">
        <v>3.57</v>
      </c>
      <c r="G68" s="6">
        <f t="shared" si="8"/>
        <v>53.55</v>
      </c>
      <c r="H68" s="6">
        <f t="shared" si="9"/>
        <v>4.2839999999999998</v>
      </c>
      <c r="I68" s="6"/>
      <c r="J68" s="6">
        <f t="shared" si="10"/>
        <v>57.833999999999996</v>
      </c>
    </row>
    <row r="69" spans="2:10" x14ac:dyDescent="0.25">
      <c r="B69" s="3">
        <v>45328</v>
      </c>
      <c r="C69" s="1" t="s">
        <v>15</v>
      </c>
      <c r="D69" s="6" t="s">
        <v>216</v>
      </c>
      <c r="E69">
        <v>10</v>
      </c>
      <c r="F69" s="6">
        <v>2.1800000000000002</v>
      </c>
      <c r="G69" s="6">
        <f t="shared" si="8"/>
        <v>21.8</v>
      </c>
      <c r="H69" s="6">
        <f t="shared" si="9"/>
        <v>1.744</v>
      </c>
      <c r="I69" s="6"/>
      <c r="J69" s="6">
        <f t="shared" si="10"/>
        <v>23.544</v>
      </c>
    </row>
    <row r="70" spans="2:10" x14ac:dyDescent="0.25">
      <c r="B70" s="3">
        <v>45328</v>
      </c>
      <c r="C70" s="1" t="s">
        <v>15</v>
      </c>
      <c r="D70" s="6" t="s">
        <v>179</v>
      </c>
      <c r="E70">
        <v>5</v>
      </c>
      <c r="F70" s="6">
        <v>1.27</v>
      </c>
      <c r="G70" s="6">
        <f t="shared" si="8"/>
        <v>6.35</v>
      </c>
      <c r="H70" s="6">
        <f t="shared" si="9"/>
        <v>0.50800000000000001</v>
      </c>
      <c r="I70" s="6"/>
      <c r="J70" s="6">
        <f t="shared" si="10"/>
        <v>6.8579999999999997</v>
      </c>
    </row>
    <row r="71" spans="2:10" x14ac:dyDescent="0.25">
      <c r="B71" s="3">
        <v>45328</v>
      </c>
      <c r="C71" s="1" t="s">
        <v>15</v>
      </c>
      <c r="D71" s="6" t="s">
        <v>217</v>
      </c>
      <c r="E71">
        <v>3</v>
      </c>
      <c r="F71" s="6">
        <v>2.14</v>
      </c>
      <c r="G71" s="6">
        <f t="shared" si="8"/>
        <v>6.42</v>
      </c>
      <c r="H71" s="6">
        <f t="shared" si="9"/>
        <v>0.51360000000000006</v>
      </c>
      <c r="I71" s="6"/>
      <c r="J71" s="6">
        <f t="shared" si="10"/>
        <v>6.9336000000000002</v>
      </c>
    </row>
    <row r="72" spans="2:10" x14ac:dyDescent="0.25">
      <c r="B72" s="3">
        <v>45328</v>
      </c>
      <c r="C72" s="1" t="s">
        <v>15</v>
      </c>
      <c r="D72" s="6" t="s">
        <v>218</v>
      </c>
      <c r="E72" s="8">
        <v>15</v>
      </c>
      <c r="F72" s="6">
        <v>1.28</v>
      </c>
      <c r="G72" s="6">
        <f t="shared" si="8"/>
        <v>19.2</v>
      </c>
      <c r="H72" s="6">
        <f t="shared" si="9"/>
        <v>1.536</v>
      </c>
      <c r="I72" s="6"/>
      <c r="J72" s="6">
        <f t="shared" si="10"/>
        <v>20.736000000000001</v>
      </c>
    </row>
    <row r="73" spans="2:10" x14ac:dyDescent="0.25">
      <c r="B73" s="3">
        <v>45328</v>
      </c>
      <c r="C73" s="1" t="s">
        <v>15</v>
      </c>
      <c r="D73" s="6" t="s">
        <v>219</v>
      </c>
      <c r="E73">
        <v>3</v>
      </c>
      <c r="F73" s="6">
        <v>2.14</v>
      </c>
      <c r="G73" s="6">
        <f t="shared" si="8"/>
        <v>6.42</v>
      </c>
      <c r="H73" s="6">
        <f t="shared" si="9"/>
        <v>0.51360000000000006</v>
      </c>
      <c r="I73" s="6"/>
      <c r="J73" s="6">
        <f t="shared" si="10"/>
        <v>6.9336000000000002</v>
      </c>
    </row>
    <row r="74" spans="2:10" x14ac:dyDescent="0.25">
      <c r="B74" s="3">
        <v>45328</v>
      </c>
      <c r="C74" s="1" t="s">
        <v>15</v>
      </c>
      <c r="D74" s="6" t="s">
        <v>220</v>
      </c>
      <c r="E74">
        <v>12</v>
      </c>
      <c r="F74" s="6">
        <v>1.21</v>
      </c>
      <c r="G74" s="6">
        <f t="shared" si="8"/>
        <v>14.52</v>
      </c>
      <c r="H74" s="6">
        <f t="shared" si="9"/>
        <v>1.1616</v>
      </c>
      <c r="I74" s="6"/>
      <c r="J74" s="6">
        <f t="shared" si="10"/>
        <v>15.6816</v>
      </c>
    </row>
    <row r="75" spans="2:10" x14ac:dyDescent="0.25">
      <c r="B75" s="3">
        <v>45331</v>
      </c>
      <c r="C75" s="1" t="s">
        <v>13</v>
      </c>
      <c r="D75" s="6" t="s">
        <v>262</v>
      </c>
      <c r="E75">
        <v>2</v>
      </c>
      <c r="F75" s="6">
        <f>191.81/1.08</f>
        <v>177.60185185185185</v>
      </c>
      <c r="G75" s="6">
        <f>E75*F75</f>
        <v>355.2037037037037</v>
      </c>
      <c r="H75" s="6">
        <f>G75*0.08</f>
        <v>28.416296296296295</v>
      </c>
      <c r="I75" s="6"/>
      <c r="J75" s="6">
        <f>SUM(G75:H75)-I75</f>
        <v>383.62</v>
      </c>
    </row>
    <row r="76" spans="2:10" x14ac:dyDescent="0.25">
      <c r="B76" s="42">
        <v>45348</v>
      </c>
      <c r="C76" s="1" t="s">
        <v>15</v>
      </c>
      <c r="D76" s="1" t="s">
        <v>514</v>
      </c>
      <c r="E76" s="1">
        <v>13</v>
      </c>
      <c r="F76" s="43">
        <v>50.67</v>
      </c>
      <c r="G76" s="43">
        <f t="shared" ref="G76:G105" si="11">E76*F76</f>
        <v>658.71</v>
      </c>
      <c r="H76" s="43">
        <f t="shared" ref="H76:H105" si="12">G76*0.08</f>
        <v>52.696800000000003</v>
      </c>
      <c r="I76" s="43"/>
      <c r="J76" s="43">
        <f t="shared" ref="J76:J77" si="13">SUM(G76:H76)-I76</f>
        <v>711.40680000000009</v>
      </c>
    </row>
    <row r="77" spans="2:10" x14ac:dyDescent="0.25">
      <c r="B77" s="42">
        <v>45348</v>
      </c>
      <c r="C77" s="1" t="s">
        <v>15</v>
      </c>
      <c r="D77" s="1" t="s">
        <v>515</v>
      </c>
      <c r="E77" s="1">
        <v>1</v>
      </c>
      <c r="F77" s="43">
        <v>45.71</v>
      </c>
      <c r="G77" s="43">
        <f t="shared" si="11"/>
        <v>45.71</v>
      </c>
      <c r="H77" s="43">
        <f t="shared" si="12"/>
        <v>3.6568000000000001</v>
      </c>
      <c r="I77" s="43"/>
      <c r="J77" s="43">
        <f t="shared" si="13"/>
        <v>49.366799999999998</v>
      </c>
    </row>
    <row r="78" spans="2:10" x14ac:dyDescent="0.25">
      <c r="B78" s="42">
        <v>45350</v>
      </c>
      <c r="C78" s="1" t="s">
        <v>15</v>
      </c>
      <c r="D78" s="1" t="s">
        <v>538</v>
      </c>
      <c r="E78" s="1">
        <v>1</v>
      </c>
      <c r="F78" s="44">
        <v>129.88999999999999</v>
      </c>
      <c r="G78" s="43">
        <f t="shared" si="11"/>
        <v>129.88999999999999</v>
      </c>
      <c r="H78" s="43">
        <f t="shared" si="12"/>
        <v>10.3912</v>
      </c>
      <c r="I78" s="43"/>
      <c r="J78" s="43">
        <f t="shared" ref="J78:J88" si="14">SUM(G78:H78)-I78</f>
        <v>140.28119999999998</v>
      </c>
    </row>
    <row r="79" spans="2:10" x14ac:dyDescent="0.25">
      <c r="B79" s="42">
        <v>45350</v>
      </c>
      <c r="C79" s="1" t="s">
        <v>15</v>
      </c>
      <c r="D79" s="1" t="s">
        <v>540</v>
      </c>
      <c r="E79" s="1">
        <v>4</v>
      </c>
      <c r="F79" s="44">
        <v>6.34</v>
      </c>
      <c r="G79" s="43">
        <f t="shared" si="11"/>
        <v>25.36</v>
      </c>
      <c r="H79" s="43">
        <f t="shared" si="12"/>
        <v>2.0287999999999999</v>
      </c>
      <c r="I79" s="43"/>
      <c r="J79" s="43">
        <f t="shared" si="14"/>
        <v>27.3888</v>
      </c>
    </row>
    <row r="80" spans="2:10" x14ac:dyDescent="0.25">
      <c r="B80" s="42">
        <v>45350</v>
      </c>
      <c r="C80" s="1" t="s">
        <v>15</v>
      </c>
      <c r="D80" s="1" t="s">
        <v>541</v>
      </c>
      <c r="E80" s="1">
        <v>1</v>
      </c>
      <c r="F80" s="44">
        <v>5.85</v>
      </c>
      <c r="G80" s="43">
        <f t="shared" si="11"/>
        <v>5.85</v>
      </c>
      <c r="H80" s="43">
        <f t="shared" si="12"/>
        <v>0.46799999999999997</v>
      </c>
      <c r="I80" s="43"/>
      <c r="J80" s="43">
        <f t="shared" si="14"/>
        <v>6.3179999999999996</v>
      </c>
    </row>
    <row r="81" spans="2:10" x14ac:dyDescent="0.25">
      <c r="B81" s="42">
        <v>45350</v>
      </c>
      <c r="C81" s="1" t="s">
        <v>15</v>
      </c>
      <c r="D81" s="1" t="s">
        <v>539</v>
      </c>
      <c r="E81" s="1">
        <v>1</v>
      </c>
      <c r="F81" s="44">
        <v>5.2</v>
      </c>
      <c r="G81" s="43">
        <f t="shared" si="11"/>
        <v>5.2</v>
      </c>
      <c r="H81" s="43">
        <f t="shared" si="12"/>
        <v>0.41600000000000004</v>
      </c>
      <c r="I81" s="43"/>
      <c r="J81" s="43">
        <f t="shared" si="14"/>
        <v>5.6160000000000005</v>
      </c>
    </row>
    <row r="82" spans="2:10" x14ac:dyDescent="0.25">
      <c r="B82" s="42">
        <v>45350</v>
      </c>
      <c r="C82" s="1" t="s">
        <v>15</v>
      </c>
      <c r="D82" s="1" t="s">
        <v>542</v>
      </c>
      <c r="E82" s="1">
        <v>2</v>
      </c>
      <c r="F82" s="44">
        <v>9.58</v>
      </c>
      <c r="G82" s="43">
        <f t="shared" si="11"/>
        <v>19.16</v>
      </c>
      <c r="H82" s="43">
        <f t="shared" si="12"/>
        <v>1.5327999999999999</v>
      </c>
      <c r="I82" s="43"/>
      <c r="J82" s="43">
        <f t="shared" si="14"/>
        <v>20.692799999999998</v>
      </c>
    </row>
    <row r="83" spans="2:10" x14ac:dyDescent="0.25">
      <c r="B83" s="42">
        <v>45350</v>
      </c>
      <c r="C83" s="1" t="s">
        <v>15</v>
      </c>
      <c r="D83" s="1" t="s">
        <v>543</v>
      </c>
      <c r="E83" s="1">
        <v>1</v>
      </c>
      <c r="F83" s="44">
        <v>27.6</v>
      </c>
      <c r="G83" s="43">
        <f t="shared" si="11"/>
        <v>27.6</v>
      </c>
      <c r="H83" s="43">
        <f t="shared" si="12"/>
        <v>2.2080000000000002</v>
      </c>
      <c r="I83" s="43"/>
      <c r="J83" s="43">
        <f t="shared" si="14"/>
        <v>29.808</v>
      </c>
    </row>
    <row r="84" spans="2:10" x14ac:dyDescent="0.25">
      <c r="B84" s="42">
        <v>45350</v>
      </c>
      <c r="C84" s="1" t="s">
        <v>15</v>
      </c>
      <c r="D84" s="1" t="s">
        <v>544</v>
      </c>
      <c r="E84" s="1">
        <v>3</v>
      </c>
      <c r="F84" s="44">
        <v>11.05</v>
      </c>
      <c r="G84" s="43">
        <f t="shared" si="11"/>
        <v>33.150000000000006</v>
      </c>
      <c r="H84" s="43">
        <f t="shared" si="12"/>
        <v>2.6520000000000006</v>
      </c>
      <c r="I84" s="43"/>
      <c r="J84" s="43">
        <f t="shared" si="14"/>
        <v>35.802000000000007</v>
      </c>
    </row>
    <row r="85" spans="2:10" x14ac:dyDescent="0.25">
      <c r="B85" s="42">
        <v>45350</v>
      </c>
      <c r="C85" s="1" t="s">
        <v>15</v>
      </c>
      <c r="D85" s="1" t="s">
        <v>545</v>
      </c>
      <c r="E85" s="1">
        <v>1</v>
      </c>
      <c r="F85" s="44">
        <v>16.96</v>
      </c>
      <c r="G85" s="43">
        <f t="shared" si="11"/>
        <v>16.96</v>
      </c>
      <c r="H85" s="43">
        <f t="shared" si="12"/>
        <v>1.3568</v>
      </c>
      <c r="I85" s="43"/>
      <c r="J85" s="43">
        <f t="shared" si="14"/>
        <v>18.316800000000001</v>
      </c>
    </row>
    <row r="86" spans="2:10" x14ac:dyDescent="0.25">
      <c r="B86" s="42">
        <v>45350</v>
      </c>
      <c r="C86" s="1" t="s">
        <v>15</v>
      </c>
      <c r="D86" s="1" t="s">
        <v>546</v>
      </c>
      <c r="E86" s="1">
        <v>1</v>
      </c>
      <c r="F86" s="44">
        <v>3.9</v>
      </c>
      <c r="G86" s="43">
        <f t="shared" si="11"/>
        <v>3.9</v>
      </c>
      <c r="H86" s="43">
        <f t="shared" si="12"/>
        <v>0.312</v>
      </c>
      <c r="I86" s="43"/>
      <c r="J86" s="43">
        <f t="shared" si="14"/>
        <v>4.2119999999999997</v>
      </c>
    </row>
    <row r="87" spans="2:10" x14ac:dyDescent="0.25">
      <c r="B87" s="42">
        <v>45350</v>
      </c>
      <c r="C87" s="1" t="s">
        <v>15</v>
      </c>
      <c r="D87" s="1" t="s">
        <v>547</v>
      </c>
      <c r="E87" s="1">
        <v>1</v>
      </c>
      <c r="F87" s="44">
        <v>70.2</v>
      </c>
      <c r="G87" s="43">
        <f t="shared" si="11"/>
        <v>70.2</v>
      </c>
      <c r="H87" s="43">
        <f t="shared" si="12"/>
        <v>5.6160000000000005</v>
      </c>
      <c r="I87" s="43"/>
      <c r="J87" s="43">
        <f t="shared" si="14"/>
        <v>75.816000000000003</v>
      </c>
    </row>
    <row r="88" spans="2:10" x14ac:dyDescent="0.25">
      <c r="B88" s="42">
        <v>45350</v>
      </c>
      <c r="C88" s="1" t="s">
        <v>15</v>
      </c>
      <c r="D88" s="1" t="s">
        <v>22</v>
      </c>
      <c r="E88" s="1">
        <v>1</v>
      </c>
      <c r="F88" s="44">
        <v>350</v>
      </c>
      <c r="G88" s="43">
        <f t="shared" si="11"/>
        <v>350</v>
      </c>
      <c r="H88" s="43">
        <f t="shared" si="12"/>
        <v>28</v>
      </c>
      <c r="I88" s="43"/>
      <c r="J88" s="43">
        <f t="shared" si="14"/>
        <v>378</v>
      </c>
    </row>
    <row r="89" spans="2:10" x14ac:dyDescent="0.25">
      <c r="B89" s="42">
        <v>45352</v>
      </c>
      <c r="C89" s="1" t="s">
        <v>15</v>
      </c>
      <c r="D89" s="1" t="s">
        <v>520</v>
      </c>
      <c r="E89" s="1">
        <v>16</v>
      </c>
      <c r="F89" s="43">
        <v>27.77</v>
      </c>
      <c r="G89" s="43">
        <f t="shared" si="11"/>
        <v>444.32</v>
      </c>
      <c r="H89" s="43">
        <f t="shared" si="12"/>
        <v>35.5456</v>
      </c>
      <c r="I89" s="43"/>
      <c r="J89" s="43">
        <f t="shared" ref="J89:J95" si="15">SUM(G89:H89)-I89</f>
        <v>479.86559999999997</v>
      </c>
    </row>
    <row r="90" spans="2:10" x14ac:dyDescent="0.25">
      <c r="B90" s="42">
        <v>45352</v>
      </c>
      <c r="C90" s="1" t="s">
        <v>15</v>
      </c>
      <c r="D90" s="1" t="s">
        <v>563</v>
      </c>
      <c r="E90" s="1">
        <v>1</v>
      </c>
      <c r="F90" s="43">
        <v>54.7</v>
      </c>
      <c r="G90" s="43">
        <f t="shared" si="11"/>
        <v>54.7</v>
      </c>
      <c r="H90" s="43">
        <f t="shared" si="12"/>
        <v>4.3760000000000003</v>
      </c>
      <c r="I90" s="43"/>
      <c r="J90" s="43">
        <f t="shared" si="15"/>
        <v>59.076000000000001</v>
      </c>
    </row>
    <row r="91" spans="2:10" x14ac:dyDescent="0.25">
      <c r="B91" s="42">
        <v>45352</v>
      </c>
      <c r="C91" s="1" t="s">
        <v>15</v>
      </c>
      <c r="D91" s="1" t="s">
        <v>23</v>
      </c>
      <c r="E91" s="1">
        <v>2</v>
      </c>
      <c r="F91" s="43">
        <v>32.659999999999997</v>
      </c>
      <c r="G91" s="43">
        <f t="shared" si="11"/>
        <v>65.319999999999993</v>
      </c>
      <c r="H91" s="43">
        <f t="shared" si="12"/>
        <v>5.2255999999999991</v>
      </c>
      <c r="I91" s="43"/>
      <c r="J91" s="43">
        <f t="shared" si="15"/>
        <v>70.545599999999993</v>
      </c>
    </row>
    <row r="92" spans="2:10" x14ac:dyDescent="0.25">
      <c r="B92" s="42">
        <v>45352</v>
      </c>
      <c r="C92" s="1" t="s">
        <v>15</v>
      </c>
      <c r="D92" s="1" t="s">
        <v>564</v>
      </c>
      <c r="E92" s="1">
        <v>1</v>
      </c>
      <c r="F92" s="43">
        <v>6.06</v>
      </c>
      <c r="G92" s="43">
        <f t="shared" si="11"/>
        <v>6.06</v>
      </c>
      <c r="H92" s="43">
        <f t="shared" si="12"/>
        <v>0.48479999999999995</v>
      </c>
      <c r="I92" s="43"/>
      <c r="J92" s="43">
        <f t="shared" si="15"/>
        <v>6.5447999999999995</v>
      </c>
    </row>
    <row r="93" spans="2:10" x14ac:dyDescent="0.25">
      <c r="B93" s="42">
        <v>45352</v>
      </c>
      <c r="C93" s="1" t="s">
        <v>15</v>
      </c>
      <c r="D93" s="1" t="s">
        <v>565</v>
      </c>
      <c r="E93" s="1">
        <v>1</v>
      </c>
      <c r="F93" s="43">
        <v>20.09</v>
      </c>
      <c r="G93" s="43">
        <f t="shared" si="11"/>
        <v>20.09</v>
      </c>
      <c r="H93" s="43">
        <f t="shared" si="12"/>
        <v>1.6072</v>
      </c>
      <c r="I93" s="43"/>
      <c r="J93" s="43">
        <f t="shared" si="15"/>
        <v>21.697199999999999</v>
      </c>
    </row>
    <row r="94" spans="2:10" x14ac:dyDescent="0.25">
      <c r="B94" s="42">
        <v>45352</v>
      </c>
      <c r="C94" s="1" t="s">
        <v>15</v>
      </c>
      <c r="D94" s="1" t="s">
        <v>566</v>
      </c>
      <c r="E94" s="1">
        <v>2</v>
      </c>
      <c r="F94" s="43">
        <v>10.039999999999999</v>
      </c>
      <c r="G94" s="43">
        <f t="shared" si="11"/>
        <v>20.079999999999998</v>
      </c>
      <c r="H94" s="43">
        <f t="shared" si="12"/>
        <v>1.6063999999999998</v>
      </c>
      <c r="I94" s="43"/>
      <c r="J94" s="43">
        <f t="shared" si="15"/>
        <v>21.686399999999999</v>
      </c>
    </row>
    <row r="95" spans="2:10" x14ac:dyDescent="0.25">
      <c r="B95" s="42">
        <v>45352</v>
      </c>
      <c r="C95" s="1" t="s">
        <v>15</v>
      </c>
      <c r="D95" s="1" t="s">
        <v>567</v>
      </c>
      <c r="E95" s="1">
        <v>1</v>
      </c>
      <c r="F95" s="43">
        <v>22.2</v>
      </c>
      <c r="G95" s="43">
        <f t="shared" si="11"/>
        <v>22.2</v>
      </c>
      <c r="H95" s="43">
        <f t="shared" si="12"/>
        <v>1.776</v>
      </c>
      <c r="I95" s="43"/>
      <c r="J95" s="43">
        <f t="shared" si="15"/>
        <v>23.975999999999999</v>
      </c>
    </row>
    <row r="96" spans="2:10" x14ac:dyDescent="0.25">
      <c r="B96" s="42">
        <v>45325</v>
      </c>
      <c r="C96" s="1" t="s">
        <v>15</v>
      </c>
      <c r="D96" s="1" t="s">
        <v>576</v>
      </c>
      <c r="E96" s="1">
        <v>2</v>
      </c>
      <c r="F96" s="43">
        <v>109.7</v>
      </c>
      <c r="G96" s="43">
        <f t="shared" si="11"/>
        <v>219.4</v>
      </c>
      <c r="H96" s="43">
        <f t="shared" si="12"/>
        <v>17.552</v>
      </c>
      <c r="I96" s="43"/>
      <c r="J96" s="43">
        <f t="shared" ref="J96:J105" si="16">SUM(G96:H96)-I96</f>
        <v>236.952</v>
      </c>
    </row>
    <row r="97" spans="2:10" x14ac:dyDescent="0.25">
      <c r="B97" s="42">
        <v>45325</v>
      </c>
      <c r="C97" s="1" t="s">
        <v>15</v>
      </c>
      <c r="D97" s="1" t="s">
        <v>577</v>
      </c>
      <c r="E97" s="1">
        <v>1</v>
      </c>
      <c r="F97" s="43">
        <v>45.02</v>
      </c>
      <c r="G97" s="43">
        <f t="shared" si="11"/>
        <v>45.02</v>
      </c>
      <c r="H97" s="43">
        <f t="shared" si="12"/>
        <v>3.6016000000000004</v>
      </c>
      <c r="I97" s="43"/>
      <c r="J97" s="43">
        <f t="shared" si="16"/>
        <v>48.621600000000001</v>
      </c>
    </row>
    <row r="98" spans="2:10" x14ac:dyDescent="0.25">
      <c r="B98" s="42">
        <v>45325</v>
      </c>
      <c r="C98" s="1" t="s">
        <v>15</v>
      </c>
      <c r="D98" s="1" t="s">
        <v>579</v>
      </c>
      <c r="E98" s="1">
        <v>1</v>
      </c>
      <c r="F98" s="43">
        <v>5.15</v>
      </c>
      <c r="G98" s="43">
        <f t="shared" si="11"/>
        <v>5.15</v>
      </c>
      <c r="H98" s="43">
        <f t="shared" si="12"/>
        <v>0.41200000000000003</v>
      </c>
      <c r="I98" s="43"/>
      <c r="J98" s="43">
        <f t="shared" si="16"/>
        <v>5.5620000000000003</v>
      </c>
    </row>
    <row r="99" spans="2:10" x14ac:dyDescent="0.25">
      <c r="B99" s="42">
        <v>45325</v>
      </c>
      <c r="C99" s="1" t="s">
        <v>15</v>
      </c>
      <c r="D99" s="1" t="s">
        <v>580</v>
      </c>
      <c r="E99" s="1">
        <v>10</v>
      </c>
      <c r="F99" s="43">
        <v>2.2999999999999998</v>
      </c>
      <c r="G99" s="43">
        <f t="shared" si="11"/>
        <v>23</v>
      </c>
      <c r="H99" s="43">
        <f t="shared" si="12"/>
        <v>1.84</v>
      </c>
      <c r="I99" s="43"/>
      <c r="J99" s="43">
        <f t="shared" si="16"/>
        <v>24.84</v>
      </c>
    </row>
    <row r="100" spans="2:10" x14ac:dyDescent="0.25">
      <c r="B100" s="42">
        <v>45325</v>
      </c>
      <c r="C100" s="1" t="s">
        <v>15</v>
      </c>
      <c r="D100" s="1" t="s">
        <v>581</v>
      </c>
      <c r="E100" s="1">
        <v>6</v>
      </c>
      <c r="F100" s="43">
        <v>2.14</v>
      </c>
      <c r="G100" s="43">
        <f t="shared" si="11"/>
        <v>12.84</v>
      </c>
      <c r="H100" s="43">
        <f t="shared" si="12"/>
        <v>1.0272000000000001</v>
      </c>
      <c r="I100" s="43"/>
      <c r="J100" s="43">
        <f t="shared" si="16"/>
        <v>13.8672</v>
      </c>
    </row>
    <row r="101" spans="2:10" x14ac:dyDescent="0.25">
      <c r="B101" s="42">
        <v>45325</v>
      </c>
      <c r="C101" s="1" t="s">
        <v>15</v>
      </c>
      <c r="D101" s="1" t="s">
        <v>582</v>
      </c>
      <c r="E101" s="1">
        <v>2</v>
      </c>
      <c r="F101" s="43">
        <v>532.96</v>
      </c>
      <c r="G101" s="43">
        <f t="shared" si="11"/>
        <v>1065.92</v>
      </c>
      <c r="H101" s="43">
        <f t="shared" si="12"/>
        <v>85.273600000000002</v>
      </c>
      <c r="I101" s="43"/>
      <c r="J101" s="43">
        <f t="shared" si="16"/>
        <v>1151.1936000000001</v>
      </c>
    </row>
    <row r="102" spans="2:10" x14ac:dyDescent="0.25">
      <c r="B102" s="42">
        <v>45325</v>
      </c>
      <c r="C102" s="1" t="s">
        <v>15</v>
      </c>
      <c r="D102" s="1" t="s">
        <v>583</v>
      </c>
      <c r="E102" s="1">
        <v>2</v>
      </c>
      <c r="F102" s="43">
        <v>31.32</v>
      </c>
      <c r="G102" s="43">
        <f t="shared" si="11"/>
        <v>62.64</v>
      </c>
      <c r="H102" s="43">
        <f t="shared" si="12"/>
        <v>5.0112000000000005</v>
      </c>
      <c r="I102" s="43"/>
      <c r="J102" s="43">
        <f t="shared" si="16"/>
        <v>67.651200000000003</v>
      </c>
    </row>
    <row r="103" spans="2:10" x14ac:dyDescent="0.25">
      <c r="B103" s="42">
        <v>45325</v>
      </c>
      <c r="C103" s="1" t="s">
        <v>477</v>
      </c>
      <c r="D103" s="1" t="s">
        <v>584</v>
      </c>
      <c r="E103" s="1">
        <v>10</v>
      </c>
      <c r="F103" s="43">
        <v>192.48</v>
      </c>
      <c r="G103" s="43">
        <f t="shared" si="11"/>
        <v>1924.8</v>
      </c>
      <c r="H103" s="43">
        <f t="shared" si="12"/>
        <v>153.98400000000001</v>
      </c>
      <c r="I103" s="43"/>
      <c r="J103" s="43">
        <f t="shared" si="16"/>
        <v>2078.7840000000001</v>
      </c>
    </row>
    <row r="104" spans="2:10" x14ac:dyDescent="0.25">
      <c r="B104" s="42">
        <v>45325</v>
      </c>
      <c r="C104" s="1" t="s">
        <v>15</v>
      </c>
      <c r="D104" s="1" t="s">
        <v>576</v>
      </c>
      <c r="E104" s="1">
        <v>2</v>
      </c>
      <c r="F104" s="43">
        <v>109.7</v>
      </c>
      <c r="G104" s="43">
        <f t="shared" si="11"/>
        <v>219.4</v>
      </c>
      <c r="H104" s="43">
        <f t="shared" si="12"/>
        <v>17.552</v>
      </c>
      <c r="I104" s="43"/>
      <c r="J104" s="43">
        <f t="shared" si="16"/>
        <v>236.952</v>
      </c>
    </row>
    <row r="105" spans="2:10" x14ac:dyDescent="0.25">
      <c r="B105" s="42">
        <v>45325</v>
      </c>
      <c r="C105" s="1" t="s">
        <v>15</v>
      </c>
      <c r="D105" s="1" t="s">
        <v>577</v>
      </c>
      <c r="E105" s="1">
        <v>1</v>
      </c>
      <c r="F105" s="43">
        <v>45.02</v>
      </c>
      <c r="G105" s="43">
        <f t="shared" si="11"/>
        <v>45.02</v>
      </c>
      <c r="H105" s="43">
        <f t="shared" si="12"/>
        <v>3.6016000000000004</v>
      </c>
      <c r="I105" s="43"/>
      <c r="J105" s="43">
        <f t="shared" si="16"/>
        <v>48.621600000000001</v>
      </c>
    </row>
    <row r="111" spans="2:10" x14ac:dyDescent="0.25">
      <c r="J111" s="9">
        <f>SUM(J14:J110)</f>
        <v>12811.601199999999</v>
      </c>
    </row>
  </sheetData>
  <mergeCells count="1">
    <mergeCell ref="B3:J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5826-3634-427D-9CFF-7CFA35CD2356}">
  <sheetPr>
    <tabColor rgb="FFFFADAD"/>
  </sheetPr>
  <dimension ref="B2:AD23"/>
  <sheetViews>
    <sheetView workbookViewId="0">
      <selection activeCell="F19" sqref="F19"/>
    </sheetView>
  </sheetViews>
  <sheetFormatPr baseColWidth="10" defaultRowHeight="15" x14ac:dyDescent="0.25"/>
  <cols>
    <col min="2" max="2" width="9" customWidth="1"/>
    <col min="3" max="3" width="7.7109375" bestFit="1" customWidth="1"/>
    <col min="4" max="4" width="9.42578125" bestFit="1" customWidth="1"/>
    <col min="5" max="5" width="9.7109375" style="1" bestFit="1" customWidth="1"/>
    <col min="6" max="6" width="17.28515625" bestFit="1" customWidth="1"/>
    <col min="7" max="7" width="11" bestFit="1" customWidth="1"/>
    <col min="8" max="8" width="8.85546875" bestFit="1" customWidth="1"/>
    <col min="9" max="9" width="4.85546875" bestFit="1" customWidth="1"/>
    <col min="10" max="10" width="11.28515625" bestFit="1" customWidth="1"/>
    <col min="12" max="12" width="6.7109375" style="1" bestFit="1" customWidth="1"/>
    <col min="13" max="13" width="7.7109375" bestFit="1" customWidth="1"/>
    <col min="14" max="14" width="9.42578125" bestFit="1" customWidth="1"/>
    <col min="15" max="15" width="9.7109375" style="1" bestFit="1" customWidth="1"/>
    <col min="16" max="16" width="17.28515625" bestFit="1" customWidth="1"/>
    <col min="17" max="17" width="11.28515625" bestFit="1" customWidth="1"/>
    <col min="18" max="18" width="10.28515625" bestFit="1" customWidth="1"/>
    <col min="19" max="19" width="4.85546875" bestFit="1" customWidth="1"/>
    <col min="20" max="20" width="11.28515625" bestFit="1" customWidth="1"/>
    <col min="22" max="22" width="6.85546875" style="1" bestFit="1" customWidth="1"/>
    <col min="23" max="23" width="9" bestFit="1" customWidth="1"/>
    <col min="24" max="24" width="9.42578125" bestFit="1" customWidth="1"/>
    <col min="25" max="25" width="9.7109375" bestFit="1" customWidth="1"/>
    <col min="26" max="26" width="17.28515625" bestFit="1" customWidth="1"/>
    <col min="27" max="27" width="11" bestFit="1" customWidth="1"/>
    <col min="28" max="28" width="8.85546875" bestFit="1" customWidth="1"/>
    <col min="29" max="29" width="4.85546875" bestFit="1" customWidth="1"/>
    <col min="30" max="30" width="10.28515625" bestFit="1" customWidth="1"/>
  </cols>
  <sheetData>
    <row r="2" spans="2:30" x14ac:dyDescent="0.25">
      <c r="B2" s="380" t="s">
        <v>105</v>
      </c>
      <c r="C2" s="380"/>
      <c r="D2" s="380"/>
      <c r="E2" s="380"/>
      <c r="F2" s="380"/>
      <c r="G2" s="380"/>
      <c r="H2" s="380"/>
      <c r="I2" s="380"/>
      <c r="J2" s="380"/>
      <c r="L2" s="380" t="s">
        <v>303</v>
      </c>
      <c r="M2" s="380"/>
      <c r="N2" s="380"/>
      <c r="O2" s="380"/>
      <c r="P2" s="380"/>
      <c r="Q2" s="380"/>
      <c r="R2" s="380"/>
      <c r="S2" s="380"/>
      <c r="T2" s="380"/>
      <c r="V2" s="380" t="s">
        <v>255</v>
      </c>
      <c r="W2" s="380"/>
      <c r="X2" s="380"/>
      <c r="Y2" s="380"/>
      <c r="Z2" s="380"/>
      <c r="AA2" s="380"/>
      <c r="AB2" s="380"/>
      <c r="AC2" s="380"/>
      <c r="AD2" s="380"/>
    </row>
    <row r="3" spans="2:30" x14ac:dyDescent="0.25">
      <c r="B3" s="2" t="s">
        <v>0</v>
      </c>
      <c r="C3" s="2" t="s">
        <v>1</v>
      </c>
      <c r="D3" s="2" t="s">
        <v>2</v>
      </c>
      <c r="E3" s="2" t="s">
        <v>3</v>
      </c>
      <c r="F3" s="4" t="s">
        <v>4</v>
      </c>
      <c r="G3" s="4" t="s">
        <v>8</v>
      </c>
      <c r="H3" s="5" t="s">
        <v>9</v>
      </c>
      <c r="I3" s="5" t="s">
        <v>10</v>
      </c>
      <c r="J3" s="5" t="s">
        <v>5</v>
      </c>
      <c r="L3" s="2" t="s">
        <v>0</v>
      </c>
      <c r="M3" s="2" t="s">
        <v>1</v>
      </c>
      <c r="N3" s="2" t="s">
        <v>2</v>
      </c>
      <c r="O3" s="2" t="s">
        <v>3</v>
      </c>
      <c r="P3" s="4" t="s">
        <v>4</v>
      </c>
      <c r="Q3" s="4" t="s">
        <v>8</v>
      </c>
      <c r="R3" s="5" t="s">
        <v>9</v>
      </c>
      <c r="S3" s="5" t="s">
        <v>10</v>
      </c>
      <c r="T3" s="5" t="s">
        <v>5</v>
      </c>
      <c r="V3" s="2" t="s">
        <v>0</v>
      </c>
      <c r="W3" s="2" t="s">
        <v>1</v>
      </c>
      <c r="X3" s="2" t="s">
        <v>2</v>
      </c>
      <c r="Y3" s="2" t="s">
        <v>3</v>
      </c>
      <c r="Z3" s="4" t="s">
        <v>4</v>
      </c>
      <c r="AA3" s="4" t="s">
        <v>8</v>
      </c>
      <c r="AB3" s="5" t="s">
        <v>9</v>
      </c>
      <c r="AC3" s="5" t="s">
        <v>10</v>
      </c>
      <c r="AD3" s="5" t="s">
        <v>5</v>
      </c>
    </row>
    <row r="4" spans="2:30" x14ac:dyDescent="0.25">
      <c r="B4" s="12">
        <v>45646</v>
      </c>
      <c r="C4" s="2" t="s">
        <v>105</v>
      </c>
      <c r="D4" s="10"/>
      <c r="E4" s="2">
        <v>1</v>
      </c>
      <c r="F4" s="11">
        <v>2500</v>
      </c>
      <c r="G4" s="11">
        <f t="shared" ref="G4:G5" si="0">E4*F4</f>
        <v>2500</v>
      </c>
      <c r="H4" s="11">
        <f t="shared" ref="H4:H8" si="1">G4*0.08</f>
        <v>200</v>
      </c>
      <c r="I4" s="11"/>
      <c r="J4" s="11">
        <f t="shared" ref="J4:J6" si="2">SUM(G4:H4)-I4</f>
        <v>2700</v>
      </c>
      <c r="L4" s="59">
        <v>45292</v>
      </c>
      <c r="M4" s="2" t="s">
        <v>303</v>
      </c>
      <c r="N4" s="10"/>
      <c r="O4" s="2">
        <v>1</v>
      </c>
      <c r="P4" s="11">
        <v>16000</v>
      </c>
      <c r="Q4" s="11">
        <f t="shared" ref="Q4:Q6" si="3">O4*P4</f>
        <v>16000</v>
      </c>
      <c r="R4" s="11">
        <f t="shared" ref="R4:R6" si="4">Q4*0.08</f>
        <v>1280</v>
      </c>
      <c r="S4" s="11"/>
      <c r="T4" s="11">
        <f t="shared" ref="T4" si="5">SUM(Q4:R4)-S4</f>
        <v>17280</v>
      </c>
      <c r="V4" s="59">
        <v>45325</v>
      </c>
      <c r="W4" s="2" t="s">
        <v>105</v>
      </c>
      <c r="X4" s="4"/>
      <c r="Y4" s="2">
        <v>1</v>
      </c>
      <c r="Z4" s="4">
        <v>2000</v>
      </c>
      <c r="AA4" s="5">
        <f t="shared" ref="AA4:AA8" si="6">Y4*Z4</f>
        <v>2000</v>
      </c>
      <c r="AB4" s="5">
        <f t="shared" ref="AB4:AB8" si="7">AA4*0.08</f>
        <v>160</v>
      </c>
      <c r="AC4" s="53"/>
      <c r="AD4" s="53">
        <f>SUM(AA4:AB4)-AC4</f>
        <v>2160</v>
      </c>
    </row>
    <row r="5" spans="2:30" x14ac:dyDescent="0.25">
      <c r="B5" s="12">
        <v>45297</v>
      </c>
      <c r="C5" s="2" t="s">
        <v>105</v>
      </c>
      <c r="D5" s="10"/>
      <c r="E5" s="2">
        <v>1</v>
      </c>
      <c r="F5" s="53">
        <v>600</v>
      </c>
      <c r="G5" s="53">
        <f t="shared" si="0"/>
        <v>600</v>
      </c>
      <c r="H5" s="53">
        <f t="shared" si="1"/>
        <v>48</v>
      </c>
      <c r="I5" s="53"/>
      <c r="J5" s="53">
        <f t="shared" si="2"/>
        <v>648</v>
      </c>
      <c r="L5" s="59">
        <v>45325</v>
      </c>
      <c r="M5" s="2" t="s">
        <v>303</v>
      </c>
      <c r="N5" s="10"/>
      <c r="O5" s="2">
        <v>1</v>
      </c>
      <c r="P5" s="53">
        <v>16000</v>
      </c>
      <c r="Q5" s="53">
        <f t="shared" si="3"/>
        <v>16000</v>
      </c>
      <c r="R5" s="53">
        <f t="shared" si="4"/>
        <v>1280</v>
      </c>
      <c r="S5" s="53"/>
      <c r="T5" s="53">
        <f t="shared" ref="T5" si="8">SUM(Q5:R5)-S5</f>
        <v>17280</v>
      </c>
      <c r="V5" s="59">
        <v>45331</v>
      </c>
      <c r="W5" s="2" t="s">
        <v>105</v>
      </c>
      <c r="X5" s="4"/>
      <c r="Y5" s="2">
        <v>1</v>
      </c>
      <c r="Z5" s="4">
        <v>2000</v>
      </c>
      <c r="AA5" s="4">
        <f t="shared" si="6"/>
        <v>2000</v>
      </c>
      <c r="AB5" s="4">
        <f t="shared" si="7"/>
        <v>160</v>
      </c>
      <c r="AC5" s="11"/>
      <c r="AD5" s="11">
        <f t="shared" ref="AD5" si="9">SUM(AA5:AB5)-AC5</f>
        <v>2160</v>
      </c>
    </row>
    <row r="6" spans="2:30" x14ac:dyDescent="0.25">
      <c r="B6" s="12">
        <v>45303</v>
      </c>
      <c r="C6" s="2" t="s">
        <v>105</v>
      </c>
      <c r="D6" s="10"/>
      <c r="E6" s="2">
        <v>1</v>
      </c>
      <c r="F6" s="53">
        <v>2500</v>
      </c>
      <c r="G6" s="53">
        <f>E6*F6</f>
        <v>2500</v>
      </c>
      <c r="H6" s="53">
        <f t="shared" si="1"/>
        <v>200</v>
      </c>
      <c r="I6" s="53"/>
      <c r="J6" s="53">
        <f t="shared" si="2"/>
        <v>2700</v>
      </c>
      <c r="L6" s="42">
        <v>45352</v>
      </c>
      <c r="M6" s="1" t="s">
        <v>303</v>
      </c>
      <c r="N6" s="1"/>
      <c r="O6" s="1">
        <v>1</v>
      </c>
      <c r="P6" s="44">
        <v>16000</v>
      </c>
      <c r="Q6" s="44">
        <f t="shared" si="3"/>
        <v>16000</v>
      </c>
      <c r="R6" s="44">
        <f t="shared" si="4"/>
        <v>1280</v>
      </c>
      <c r="S6" s="44"/>
      <c r="T6" s="44">
        <f t="shared" ref="T6" si="10">SUM(Q6:R6)-S6</f>
        <v>17280</v>
      </c>
      <c r="V6" s="59">
        <v>45338</v>
      </c>
      <c r="W6" s="2" t="s">
        <v>431</v>
      </c>
      <c r="X6" s="2"/>
      <c r="Y6" s="54">
        <v>1</v>
      </c>
      <c r="Z6" s="5">
        <v>2000</v>
      </c>
      <c r="AA6" s="5">
        <f t="shared" si="6"/>
        <v>2000</v>
      </c>
      <c r="AB6" s="5">
        <f t="shared" si="7"/>
        <v>160</v>
      </c>
      <c r="AC6" s="53"/>
      <c r="AD6" s="53">
        <f t="shared" ref="AD6" si="11">SUM(AA6:AB6)-AC6</f>
        <v>2160</v>
      </c>
    </row>
    <row r="7" spans="2:30" x14ac:dyDescent="0.25">
      <c r="B7" s="12">
        <v>45311</v>
      </c>
      <c r="C7" s="2" t="s">
        <v>105</v>
      </c>
      <c r="D7" s="10"/>
      <c r="E7" s="54">
        <v>1</v>
      </c>
      <c r="F7" s="53">
        <v>2300</v>
      </c>
      <c r="G7" s="53">
        <f t="shared" ref="G7:G8" si="12">E7*F7</f>
        <v>2300</v>
      </c>
      <c r="H7" s="53">
        <f t="shared" si="1"/>
        <v>184</v>
      </c>
      <c r="I7" s="53"/>
      <c r="J7" s="53">
        <f>SUM(G7:H7)-I7</f>
        <v>2484</v>
      </c>
      <c r="L7" s="2"/>
      <c r="M7" s="10"/>
      <c r="N7" s="10"/>
      <c r="O7" s="2"/>
      <c r="P7" s="10"/>
      <c r="Q7" s="53">
        <f t="shared" ref="Q7:Q22" si="13">O7*P7</f>
        <v>0</v>
      </c>
      <c r="R7" s="53">
        <f t="shared" ref="R7:R22" si="14">Q7*0.08</f>
        <v>0</v>
      </c>
      <c r="S7" s="53"/>
      <c r="T7" s="53">
        <f t="shared" ref="T7:T22" si="15">SUM(Q7:R7)-S7</f>
        <v>0</v>
      </c>
      <c r="V7" s="12">
        <v>45345</v>
      </c>
      <c r="W7" s="2" t="s">
        <v>255</v>
      </c>
      <c r="X7" s="2"/>
      <c r="Y7" s="2">
        <v>1</v>
      </c>
      <c r="Z7" s="11">
        <v>2000</v>
      </c>
      <c r="AA7" s="11">
        <f t="shared" si="6"/>
        <v>2000</v>
      </c>
      <c r="AB7" s="11">
        <f t="shared" si="7"/>
        <v>160</v>
      </c>
      <c r="AC7" s="11"/>
      <c r="AD7" s="11">
        <f t="shared" ref="AD7" si="16">SUM(AA7:AB7)-AC7</f>
        <v>2160</v>
      </c>
    </row>
    <row r="8" spans="2:30" x14ac:dyDescent="0.25">
      <c r="B8" s="59">
        <v>45318</v>
      </c>
      <c r="C8" s="2" t="s">
        <v>105</v>
      </c>
      <c r="D8" s="2"/>
      <c r="E8" s="54">
        <v>1</v>
      </c>
      <c r="F8" s="5">
        <v>800</v>
      </c>
      <c r="G8" s="53">
        <f t="shared" si="12"/>
        <v>800</v>
      </c>
      <c r="H8" s="53">
        <f t="shared" si="1"/>
        <v>64</v>
      </c>
      <c r="I8" s="53"/>
      <c r="J8" s="53">
        <f>SUM(G8:H8)-I8</f>
        <v>864</v>
      </c>
      <c r="L8" s="2"/>
      <c r="M8" s="10"/>
      <c r="N8" s="10"/>
      <c r="O8" s="2"/>
      <c r="P8" s="10"/>
      <c r="Q8" s="53">
        <f t="shared" si="13"/>
        <v>0</v>
      </c>
      <c r="R8" s="53">
        <f t="shared" si="14"/>
        <v>0</v>
      </c>
      <c r="S8" s="53"/>
      <c r="T8" s="53">
        <f t="shared" si="15"/>
        <v>0</v>
      </c>
      <c r="V8" s="42">
        <v>45352</v>
      </c>
      <c r="W8" s="1" t="s">
        <v>255</v>
      </c>
      <c r="X8" s="1"/>
      <c r="Y8" s="1">
        <v>1</v>
      </c>
      <c r="Z8" s="44">
        <v>2000</v>
      </c>
      <c r="AA8" s="44">
        <f t="shared" si="6"/>
        <v>2000</v>
      </c>
      <c r="AB8" s="44">
        <f t="shared" si="7"/>
        <v>160</v>
      </c>
      <c r="AC8" s="44"/>
      <c r="AD8" s="44">
        <f t="shared" ref="AD8" si="17">SUM(AA8:AB8)-AC8</f>
        <v>2160</v>
      </c>
    </row>
    <row r="9" spans="2:30" x14ac:dyDescent="0.25">
      <c r="B9" s="59">
        <v>45325</v>
      </c>
      <c r="C9" s="2" t="s">
        <v>105</v>
      </c>
      <c r="D9" s="4"/>
      <c r="E9" s="2">
        <v>1</v>
      </c>
      <c r="F9" s="4">
        <v>2500</v>
      </c>
      <c r="G9" s="53">
        <f t="shared" ref="G9" si="18">E9*F9</f>
        <v>2500</v>
      </c>
      <c r="H9" s="175">
        <f t="shared" ref="H9" si="19">G9*0.08</f>
        <v>200</v>
      </c>
      <c r="I9" s="53"/>
      <c r="J9" s="53">
        <f>SUM(G9:H9)-I9</f>
        <v>2700</v>
      </c>
      <c r="L9" s="2"/>
      <c r="M9" s="10"/>
      <c r="N9" s="10"/>
      <c r="O9" s="2"/>
      <c r="P9" s="10"/>
      <c r="Q9" s="53">
        <f t="shared" si="13"/>
        <v>0</v>
      </c>
      <c r="R9" s="53">
        <f t="shared" si="14"/>
        <v>0</v>
      </c>
      <c r="S9" s="53"/>
      <c r="T9" s="53">
        <f t="shared" si="15"/>
        <v>0</v>
      </c>
      <c r="V9" s="2"/>
      <c r="W9" s="2"/>
      <c r="X9" s="2"/>
      <c r="Y9" s="2"/>
      <c r="Z9" s="2"/>
      <c r="AA9" s="2"/>
      <c r="AB9" s="2"/>
      <c r="AC9" s="10"/>
      <c r="AD9" s="10"/>
    </row>
    <row r="10" spans="2:30" x14ac:dyDescent="0.25">
      <c r="B10" s="59">
        <v>45331</v>
      </c>
      <c r="C10" s="2" t="s">
        <v>105</v>
      </c>
      <c r="D10" s="4"/>
      <c r="E10" s="2">
        <v>1</v>
      </c>
      <c r="F10" s="4">
        <v>2000</v>
      </c>
      <c r="G10" s="11">
        <f t="shared" ref="G10:G12" si="20">E10*F10</f>
        <v>2000</v>
      </c>
      <c r="H10" s="11">
        <f t="shared" ref="H10:H12" si="21">G10*0.08</f>
        <v>160</v>
      </c>
      <c r="I10" s="11"/>
      <c r="J10" s="11">
        <f t="shared" ref="J10" si="22">SUM(G10:H10)-I10</f>
        <v>2160</v>
      </c>
      <c r="L10" s="2"/>
      <c r="M10" s="10"/>
      <c r="N10" s="10"/>
      <c r="O10" s="2"/>
      <c r="P10" s="10"/>
      <c r="Q10" s="53">
        <f t="shared" si="13"/>
        <v>0</v>
      </c>
      <c r="R10" s="53">
        <f t="shared" si="14"/>
        <v>0</v>
      </c>
      <c r="S10" s="53"/>
      <c r="T10" s="53">
        <f t="shared" si="15"/>
        <v>0</v>
      </c>
      <c r="V10" s="2"/>
      <c r="W10" s="10"/>
      <c r="X10" s="10"/>
      <c r="Y10" s="2"/>
      <c r="Z10" s="10"/>
      <c r="AA10" s="10"/>
      <c r="AB10" s="10"/>
      <c r="AC10" s="10"/>
      <c r="AD10" s="10"/>
    </row>
    <row r="11" spans="2:30" x14ac:dyDescent="0.25">
      <c r="B11" s="59">
        <v>45338</v>
      </c>
      <c r="C11" s="2" t="s">
        <v>431</v>
      </c>
      <c r="D11" s="2"/>
      <c r="E11" s="54">
        <v>1</v>
      </c>
      <c r="F11" s="5">
        <v>1500</v>
      </c>
      <c r="G11" s="53">
        <f t="shared" si="20"/>
        <v>1500</v>
      </c>
      <c r="H11" s="53">
        <f t="shared" si="21"/>
        <v>120</v>
      </c>
      <c r="I11" s="53"/>
      <c r="J11" s="53">
        <f t="shared" ref="J11:J12" si="23">SUM(G11:H11)-I11</f>
        <v>1620</v>
      </c>
      <c r="L11" s="2"/>
      <c r="M11" s="10"/>
      <c r="N11" s="10"/>
      <c r="O11" s="2"/>
      <c r="P11" s="10"/>
      <c r="Q11" s="53">
        <f t="shared" si="13"/>
        <v>0</v>
      </c>
      <c r="R11" s="53">
        <f t="shared" si="14"/>
        <v>0</v>
      </c>
      <c r="S11" s="53"/>
      <c r="T11" s="53">
        <f t="shared" si="15"/>
        <v>0</v>
      </c>
      <c r="V11" s="2"/>
      <c r="W11" s="10"/>
      <c r="X11" s="10"/>
      <c r="Y11" s="2"/>
      <c r="Z11" s="10"/>
      <c r="AA11" s="10"/>
      <c r="AB11" s="10"/>
      <c r="AC11" s="10"/>
      <c r="AD11" s="10"/>
    </row>
    <row r="12" spans="2:30" x14ac:dyDescent="0.25">
      <c r="B12" s="59">
        <v>45345</v>
      </c>
      <c r="C12" s="2" t="s">
        <v>105</v>
      </c>
      <c r="D12" s="2"/>
      <c r="E12" s="2">
        <v>1</v>
      </c>
      <c r="F12" s="4">
        <v>5000</v>
      </c>
      <c r="G12" s="11">
        <f t="shared" si="20"/>
        <v>5000</v>
      </c>
      <c r="H12" s="11">
        <f t="shared" si="21"/>
        <v>400</v>
      </c>
      <c r="I12" s="11"/>
      <c r="J12" s="11">
        <f t="shared" si="23"/>
        <v>5400</v>
      </c>
      <c r="L12" s="2"/>
      <c r="M12" s="10"/>
      <c r="N12" s="10"/>
      <c r="O12" s="2"/>
      <c r="P12" s="10"/>
      <c r="Q12" s="53">
        <f t="shared" si="13"/>
        <v>0</v>
      </c>
      <c r="R12" s="53">
        <f t="shared" si="14"/>
        <v>0</v>
      </c>
      <c r="S12" s="53"/>
      <c r="T12" s="53">
        <f t="shared" si="15"/>
        <v>0</v>
      </c>
      <c r="V12" s="2"/>
      <c r="W12" s="10"/>
      <c r="X12" s="10"/>
      <c r="Y12" s="2"/>
      <c r="Z12" s="10"/>
      <c r="AA12" s="10"/>
      <c r="AB12" s="10"/>
      <c r="AC12" s="10"/>
      <c r="AD12" s="10"/>
    </row>
    <row r="13" spans="2:30" x14ac:dyDescent="0.25">
      <c r="B13" s="59">
        <v>45352</v>
      </c>
      <c r="C13" s="2" t="s">
        <v>105</v>
      </c>
      <c r="D13" s="2"/>
      <c r="E13" s="2">
        <v>1</v>
      </c>
      <c r="F13" s="4">
        <v>4500</v>
      </c>
      <c r="G13" s="4">
        <f>E13*F13</f>
        <v>4500</v>
      </c>
      <c r="H13" s="4">
        <f>G13*0.08</f>
        <v>360</v>
      </c>
      <c r="I13" s="4"/>
      <c r="J13" s="4">
        <f>SUM(G13:H13)-I13</f>
        <v>4860</v>
      </c>
      <c r="L13" s="2"/>
      <c r="M13" s="10"/>
      <c r="N13" s="10"/>
      <c r="O13" s="2"/>
      <c r="P13" s="10"/>
      <c r="Q13" s="53">
        <f t="shared" si="13"/>
        <v>0</v>
      </c>
      <c r="R13" s="53">
        <f t="shared" si="14"/>
        <v>0</v>
      </c>
      <c r="S13" s="53"/>
      <c r="T13" s="53">
        <f t="shared" si="15"/>
        <v>0</v>
      </c>
      <c r="V13" s="2"/>
      <c r="W13" s="10"/>
      <c r="X13" s="10"/>
      <c r="Y13" s="2"/>
      <c r="Z13" s="10"/>
      <c r="AA13" s="10"/>
      <c r="AB13" s="10"/>
      <c r="AC13" s="10"/>
      <c r="AD13" s="10"/>
    </row>
    <row r="14" spans="2:30" x14ac:dyDescent="0.25">
      <c r="B14" s="10"/>
      <c r="C14" s="10"/>
      <c r="D14" s="10"/>
      <c r="E14" s="2"/>
      <c r="F14" s="10"/>
      <c r="G14" s="10"/>
      <c r="H14" s="10"/>
      <c r="I14" s="10"/>
      <c r="J14" s="10"/>
      <c r="L14" s="2"/>
      <c r="M14" s="10"/>
      <c r="N14" s="10"/>
      <c r="O14" s="2"/>
      <c r="P14" s="10"/>
      <c r="Q14" s="53">
        <f t="shared" si="13"/>
        <v>0</v>
      </c>
      <c r="R14" s="53">
        <f t="shared" si="14"/>
        <v>0</v>
      </c>
      <c r="S14" s="53"/>
      <c r="T14" s="53">
        <f t="shared" si="15"/>
        <v>0</v>
      </c>
      <c r="V14" s="2"/>
      <c r="W14" s="10"/>
      <c r="X14" s="10"/>
      <c r="Y14" s="2"/>
      <c r="Z14" s="10"/>
      <c r="AA14" s="10"/>
      <c r="AB14" s="10"/>
      <c r="AC14" s="10"/>
      <c r="AD14" s="10"/>
    </row>
    <row r="15" spans="2:30" x14ac:dyDescent="0.25">
      <c r="B15" s="59"/>
      <c r="C15" s="2"/>
      <c r="D15" s="2"/>
      <c r="E15" s="2"/>
      <c r="F15" s="4"/>
      <c r="G15" s="4"/>
      <c r="H15" s="4"/>
      <c r="I15" s="4"/>
      <c r="J15" s="4"/>
      <c r="L15" s="2"/>
      <c r="M15" s="10"/>
      <c r="N15" s="10"/>
      <c r="O15" s="2"/>
      <c r="P15" s="10"/>
      <c r="Q15" s="53">
        <f t="shared" si="13"/>
        <v>0</v>
      </c>
      <c r="R15" s="53">
        <f t="shared" si="14"/>
        <v>0</v>
      </c>
      <c r="S15" s="53"/>
      <c r="T15" s="53">
        <f t="shared" si="15"/>
        <v>0</v>
      </c>
      <c r="V15" s="2"/>
      <c r="W15" s="10"/>
      <c r="X15" s="10"/>
      <c r="Y15" s="2"/>
      <c r="Z15" s="10"/>
      <c r="AA15" s="10"/>
      <c r="AB15" s="10"/>
      <c r="AC15" s="10"/>
      <c r="AD15" s="10"/>
    </row>
    <row r="16" spans="2:30" x14ac:dyDescent="0.25">
      <c r="B16" s="10"/>
      <c r="C16" s="10"/>
      <c r="D16" s="10"/>
      <c r="E16" s="2"/>
      <c r="F16" s="10"/>
      <c r="G16" s="10"/>
      <c r="H16" s="10"/>
      <c r="I16" s="10"/>
      <c r="J16" s="10"/>
      <c r="L16" s="2"/>
      <c r="M16" s="10"/>
      <c r="N16" s="10"/>
      <c r="O16" s="2"/>
      <c r="P16" s="10"/>
      <c r="Q16" s="53">
        <f t="shared" si="13"/>
        <v>0</v>
      </c>
      <c r="R16" s="53">
        <f t="shared" si="14"/>
        <v>0</v>
      </c>
      <c r="S16" s="53"/>
      <c r="T16" s="53">
        <f t="shared" si="15"/>
        <v>0</v>
      </c>
      <c r="V16" s="2"/>
      <c r="W16" s="10"/>
      <c r="X16" s="10"/>
      <c r="Y16" s="2"/>
      <c r="Z16" s="10"/>
      <c r="AA16" s="10"/>
      <c r="AB16" s="10"/>
      <c r="AC16" s="10"/>
      <c r="AD16" s="10"/>
    </row>
    <row r="17" spans="2:30" x14ac:dyDescent="0.25">
      <c r="B17" s="10"/>
      <c r="C17" s="10"/>
      <c r="D17" s="10"/>
      <c r="E17" s="2"/>
      <c r="F17" s="10"/>
      <c r="G17" s="10"/>
      <c r="H17" s="10"/>
      <c r="I17" s="10"/>
      <c r="J17" s="10"/>
      <c r="L17" s="2"/>
      <c r="M17" s="10"/>
      <c r="N17" s="10"/>
      <c r="O17" s="2"/>
      <c r="P17" s="10"/>
      <c r="Q17" s="53">
        <f t="shared" si="13"/>
        <v>0</v>
      </c>
      <c r="R17" s="53">
        <f t="shared" si="14"/>
        <v>0</v>
      </c>
      <c r="S17" s="53"/>
      <c r="T17" s="53">
        <f t="shared" si="15"/>
        <v>0</v>
      </c>
      <c r="V17" s="2"/>
      <c r="W17" s="10"/>
      <c r="X17" s="10"/>
      <c r="Y17" s="2"/>
      <c r="Z17" s="10"/>
      <c r="AA17" s="10"/>
      <c r="AB17" s="10"/>
      <c r="AC17" s="10"/>
      <c r="AD17" s="10"/>
    </row>
    <row r="18" spans="2:30" x14ac:dyDescent="0.25">
      <c r="B18" s="10"/>
      <c r="C18" s="10"/>
      <c r="D18" s="10"/>
      <c r="E18" s="2"/>
      <c r="F18" s="10"/>
      <c r="G18" s="10"/>
      <c r="H18" s="10"/>
      <c r="I18" s="10"/>
      <c r="J18" s="10"/>
      <c r="L18" s="2"/>
      <c r="M18" s="10"/>
      <c r="N18" s="10"/>
      <c r="O18" s="2"/>
      <c r="P18" s="10"/>
      <c r="Q18" s="53">
        <f t="shared" si="13"/>
        <v>0</v>
      </c>
      <c r="R18" s="53">
        <f t="shared" si="14"/>
        <v>0</v>
      </c>
      <c r="S18" s="53"/>
      <c r="T18" s="53">
        <f t="shared" si="15"/>
        <v>0</v>
      </c>
      <c r="V18" s="2"/>
      <c r="W18" s="10"/>
      <c r="X18" s="10"/>
      <c r="Y18" s="2"/>
      <c r="Z18" s="10"/>
      <c r="AA18" s="10"/>
      <c r="AB18" s="10"/>
      <c r="AC18" s="10"/>
      <c r="AD18" s="10"/>
    </row>
    <row r="19" spans="2:30" x14ac:dyDescent="0.25">
      <c r="B19" s="10"/>
      <c r="C19" s="10"/>
      <c r="D19" s="10"/>
      <c r="E19" s="2"/>
      <c r="F19" s="10"/>
      <c r="G19" s="10"/>
      <c r="H19" s="10"/>
      <c r="I19" s="10"/>
      <c r="J19" s="10"/>
      <c r="L19" s="2"/>
      <c r="M19" s="10"/>
      <c r="N19" s="10"/>
      <c r="O19" s="2"/>
      <c r="P19" s="10"/>
      <c r="Q19" s="53">
        <f t="shared" si="13"/>
        <v>0</v>
      </c>
      <c r="R19" s="53">
        <f t="shared" si="14"/>
        <v>0</v>
      </c>
      <c r="S19" s="53"/>
      <c r="T19" s="53">
        <f t="shared" si="15"/>
        <v>0</v>
      </c>
      <c r="V19" s="2"/>
      <c r="W19" s="10"/>
      <c r="X19" s="10"/>
      <c r="Y19" s="10"/>
      <c r="Z19" s="10"/>
      <c r="AA19" s="10"/>
      <c r="AB19" s="10"/>
      <c r="AC19" s="10"/>
      <c r="AD19" s="10"/>
    </row>
    <row r="20" spans="2:30" x14ac:dyDescent="0.25">
      <c r="B20" s="10"/>
      <c r="C20" s="10"/>
      <c r="D20" s="10"/>
      <c r="E20" s="2"/>
      <c r="F20" s="10"/>
      <c r="G20" s="10"/>
      <c r="H20" s="10"/>
      <c r="I20" s="10"/>
      <c r="J20" s="10"/>
      <c r="L20" s="2"/>
      <c r="M20" s="10"/>
      <c r="N20" s="10"/>
      <c r="O20" s="2"/>
      <c r="P20" s="10"/>
      <c r="Q20" s="53">
        <f t="shared" si="13"/>
        <v>0</v>
      </c>
      <c r="R20" s="53">
        <f t="shared" si="14"/>
        <v>0</v>
      </c>
      <c r="S20" s="53"/>
      <c r="T20" s="53">
        <f t="shared" si="15"/>
        <v>0</v>
      </c>
      <c r="V20" s="2"/>
      <c r="W20" s="10"/>
      <c r="X20" s="10"/>
      <c r="Y20" s="10"/>
      <c r="Z20" s="10"/>
      <c r="AA20" s="10"/>
      <c r="AB20" s="10"/>
      <c r="AC20" s="10"/>
      <c r="AD20" s="10"/>
    </row>
    <row r="21" spans="2:30" x14ac:dyDescent="0.25">
      <c r="B21" s="10"/>
      <c r="C21" s="10"/>
      <c r="D21" s="10"/>
      <c r="E21" s="2"/>
      <c r="F21" s="10"/>
      <c r="G21" s="10"/>
      <c r="H21" s="10"/>
      <c r="I21" s="10"/>
      <c r="J21" s="10"/>
      <c r="L21" s="2"/>
      <c r="M21" s="10"/>
      <c r="N21" s="10"/>
      <c r="O21" s="2"/>
      <c r="P21" s="10"/>
      <c r="Q21" s="53">
        <f t="shared" si="13"/>
        <v>0</v>
      </c>
      <c r="R21" s="53">
        <f t="shared" si="14"/>
        <v>0</v>
      </c>
      <c r="S21" s="53"/>
      <c r="T21" s="53">
        <f t="shared" si="15"/>
        <v>0</v>
      </c>
      <c r="V21" s="2"/>
      <c r="W21" s="10"/>
      <c r="X21" s="10"/>
      <c r="Y21" s="10"/>
      <c r="Z21" s="10"/>
      <c r="AA21" s="10"/>
      <c r="AB21" s="10"/>
      <c r="AC21" s="10"/>
      <c r="AD21" s="10"/>
    </row>
    <row r="22" spans="2:30" x14ac:dyDescent="0.25">
      <c r="B22" s="10"/>
      <c r="C22" s="10"/>
      <c r="D22" s="10"/>
      <c r="E22" s="2"/>
      <c r="F22" s="10"/>
      <c r="G22" s="10"/>
      <c r="H22" s="10"/>
      <c r="I22" s="10"/>
      <c r="J22" s="10"/>
      <c r="L22" s="2"/>
      <c r="M22" s="10"/>
      <c r="N22" s="10"/>
      <c r="O22" s="2"/>
      <c r="P22" s="10"/>
      <c r="Q22" s="53">
        <f t="shared" si="13"/>
        <v>0</v>
      </c>
      <c r="R22" s="53">
        <f t="shared" si="14"/>
        <v>0</v>
      </c>
      <c r="S22" s="53"/>
      <c r="T22" s="53">
        <f t="shared" si="15"/>
        <v>0</v>
      </c>
      <c r="V22" s="2"/>
      <c r="W22" s="10"/>
      <c r="X22" s="10"/>
      <c r="Y22" s="10"/>
      <c r="Z22" s="10"/>
      <c r="AA22" s="10"/>
      <c r="AB22" s="10"/>
      <c r="AC22" s="10"/>
      <c r="AD22" s="10"/>
    </row>
    <row r="23" spans="2:30" x14ac:dyDescent="0.25">
      <c r="J23" s="14">
        <f>SUM(J4:J22)</f>
        <v>26136</v>
      </c>
      <c r="T23" s="14">
        <f>SUM(T4:T22)</f>
        <v>51840</v>
      </c>
      <c r="AD23" s="177">
        <f>SUM(AD4:AD17)</f>
        <v>10800</v>
      </c>
    </row>
  </sheetData>
  <mergeCells count="3">
    <mergeCell ref="B2:J2"/>
    <mergeCell ref="L2:T2"/>
    <mergeCell ref="V2:A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72A4-A5F2-42A5-9D94-26D9A652F281}">
  <sheetPr>
    <tabColor theme="5" tint="0.39997558519241921"/>
  </sheetPr>
  <dimension ref="C3:O22"/>
  <sheetViews>
    <sheetView workbookViewId="0">
      <selection activeCell="E24" sqref="E24"/>
    </sheetView>
  </sheetViews>
  <sheetFormatPr baseColWidth="10" defaultRowHeight="15" x14ac:dyDescent="0.25"/>
  <cols>
    <col min="3" max="3" width="7.85546875" style="1" customWidth="1"/>
    <col min="4" max="4" width="12.28515625" style="1" bestFit="1" customWidth="1"/>
    <col min="5" max="5" width="35" style="1" bestFit="1" customWidth="1"/>
    <col min="6" max="6" width="9.7109375" style="1" bestFit="1" customWidth="1"/>
    <col min="7" max="7" width="17.28515625" style="44" bestFit="1" customWidth="1"/>
    <col min="8" max="8" width="11.28515625" style="44" bestFit="1" customWidth="1"/>
    <col min="9" max="9" width="10.28515625" style="44" bestFit="1" customWidth="1"/>
    <col min="10" max="10" width="4.85546875" style="44" bestFit="1" customWidth="1"/>
    <col min="11" max="11" width="12.28515625" style="44" bestFit="1" customWidth="1"/>
    <col min="12" max="12" width="11.5703125" style="6"/>
    <col min="14" max="14" width="12.28515625" bestFit="1" customWidth="1"/>
  </cols>
  <sheetData>
    <row r="3" spans="3:15" x14ac:dyDescent="0.25">
      <c r="C3" s="381" t="s">
        <v>117</v>
      </c>
      <c r="D3" s="381"/>
      <c r="E3" s="381"/>
      <c r="F3" s="381"/>
      <c r="G3" s="381"/>
      <c r="H3" s="381"/>
      <c r="I3" s="381"/>
      <c r="J3" s="381"/>
      <c r="K3" s="381"/>
      <c r="M3" s="10" t="s">
        <v>304</v>
      </c>
      <c r="N3" s="11"/>
      <c r="O3" t="s">
        <v>562</v>
      </c>
    </row>
    <row r="4" spans="3:15" x14ac:dyDescent="0.25">
      <c r="C4" s="2" t="s">
        <v>0</v>
      </c>
      <c r="D4" s="2" t="s">
        <v>1</v>
      </c>
      <c r="E4" s="2" t="s">
        <v>2</v>
      </c>
      <c r="F4" s="2" t="s">
        <v>3</v>
      </c>
      <c r="G4" s="4" t="s">
        <v>4</v>
      </c>
      <c r="H4" s="4" t="s">
        <v>8</v>
      </c>
      <c r="I4" s="5" t="s">
        <v>9</v>
      </c>
      <c r="J4" s="5" t="s">
        <v>10</v>
      </c>
      <c r="K4" s="5" t="s">
        <v>5</v>
      </c>
      <c r="M4" s="5" t="s">
        <v>305</v>
      </c>
      <c r="N4" s="14">
        <f>K21</f>
        <v>236796.02000000002</v>
      </c>
    </row>
    <row r="5" spans="3:15" x14ac:dyDescent="0.25">
      <c r="C5" s="324">
        <v>45296</v>
      </c>
      <c r="D5" s="46" t="s">
        <v>106</v>
      </c>
      <c r="E5" s="46" t="s">
        <v>152</v>
      </c>
      <c r="F5" s="46">
        <v>1</v>
      </c>
      <c r="G5" s="325">
        <f>22090/1.08</f>
        <v>20453.703703703701</v>
      </c>
      <c r="H5" s="325">
        <f t="shared" ref="H5" si="0">F5*G5</f>
        <v>20453.703703703701</v>
      </c>
      <c r="I5" s="325">
        <f t="shared" ref="I5:I10" si="1">H5*0.08</f>
        <v>1636.2962962962961</v>
      </c>
      <c r="J5" s="325"/>
      <c r="K5" s="325">
        <f t="shared" ref="K5:K6" si="2">SUM(H5:I5)-J5</f>
        <v>22089.999999999996</v>
      </c>
      <c r="N5" s="9">
        <f>N3-N4</f>
        <v>-236796.02000000002</v>
      </c>
    </row>
    <row r="6" spans="3:15" x14ac:dyDescent="0.25">
      <c r="C6" s="332">
        <v>45303</v>
      </c>
      <c r="D6" s="205" t="s">
        <v>117</v>
      </c>
      <c r="E6" s="205" t="s">
        <v>118</v>
      </c>
      <c r="F6" s="205">
        <v>1</v>
      </c>
      <c r="G6" s="207">
        <v>8300</v>
      </c>
      <c r="H6" s="207">
        <f>F6*G6</f>
        <v>8300</v>
      </c>
      <c r="I6" s="207">
        <f t="shared" si="1"/>
        <v>664</v>
      </c>
      <c r="J6" s="207"/>
      <c r="K6" s="207">
        <f t="shared" si="2"/>
        <v>8964</v>
      </c>
      <c r="L6" s="6">
        <v>3000</v>
      </c>
    </row>
    <row r="7" spans="3:15" x14ac:dyDescent="0.25">
      <c r="C7" s="332">
        <v>45311</v>
      </c>
      <c r="D7" s="205" t="s">
        <v>117</v>
      </c>
      <c r="E7" s="205" t="s">
        <v>119</v>
      </c>
      <c r="F7" s="205">
        <v>1</v>
      </c>
      <c r="G7" s="207">
        <v>30600</v>
      </c>
      <c r="H7" s="207">
        <f t="shared" ref="H7:H10" si="3">F7*G7</f>
        <v>30600</v>
      </c>
      <c r="I7" s="207">
        <f t="shared" si="1"/>
        <v>2448</v>
      </c>
      <c r="J7" s="207"/>
      <c r="K7" s="207">
        <f>SUM(H7:I7)-J7</f>
        <v>33048</v>
      </c>
      <c r="L7" s="6">
        <v>3000</v>
      </c>
    </row>
    <row r="8" spans="3:15" x14ac:dyDescent="0.25">
      <c r="C8" s="332">
        <v>45318</v>
      </c>
      <c r="D8" s="205" t="s">
        <v>117</v>
      </c>
      <c r="E8" s="205" t="s">
        <v>120</v>
      </c>
      <c r="F8" s="333">
        <v>1</v>
      </c>
      <c r="G8" s="207">
        <v>27100</v>
      </c>
      <c r="H8" s="207">
        <f t="shared" si="3"/>
        <v>27100</v>
      </c>
      <c r="I8" s="207">
        <f t="shared" si="1"/>
        <v>2168</v>
      </c>
      <c r="J8" s="207"/>
      <c r="K8" s="207">
        <f>SUM(H8:I8)-J8</f>
        <v>29268</v>
      </c>
      <c r="L8" s="6">
        <v>3000</v>
      </c>
    </row>
    <row r="9" spans="3:15" x14ac:dyDescent="0.25">
      <c r="C9" s="332">
        <v>45325</v>
      </c>
      <c r="D9" s="205" t="s">
        <v>117</v>
      </c>
      <c r="E9" s="205" t="s">
        <v>121</v>
      </c>
      <c r="F9" s="205">
        <v>1</v>
      </c>
      <c r="G9" s="207">
        <f>25100+1500</f>
        <v>26600</v>
      </c>
      <c r="H9" s="207">
        <f t="shared" si="3"/>
        <v>26600</v>
      </c>
      <c r="I9" s="207">
        <f t="shared" si="1"/>
        <v>2128</v>
      </c>
      <c r="J9" s="207"/>
      <c r="K9" s="207">
        <f t="shared" ref="K9" si="4">SUM(H9:I9)-J9</f>
        <v>28728</v>
      </c>
      <c r="L9" s="6">
        <v>3000</v>
      </c>
    </row>
    <row r="10" spans="3:15" x14ac:dyDescent="0.25">
      <c r="C10" s="324">
        <v>45307</v>
      </c>
      <c r="D10" s="46" t="s">
        <v>15</v>
      </c>
      <c r="E10" s="46" t="s">
        <v>130</v>
      </c>
      <c r="F10" s="46">
        <v>1</v>
      </c>
      <c r="G10" s="325">
        <f>3147.02/1.08</f>
        <v>2913.9074074074074</v>
      </c>
      <c r="H10" s="325">
        <f t="shared" si="3"/>
        <v>2913.9074074074074</v>
      </c>
      <c r="I10" s="325">
        <f t="shared" si="1"/>
        <v>233.11259259259259</v>
      </c>
      <c r="J10" s="325"/>
      <c r="K10" s="325">
        <f t="shared" ref="K10" si="5">SUM(H10:I10)</f>
        <v>3147.02</v>
      </c>
    </row>
    <row r="11" spans="3:15" x14ac:dyDescent="0.25">
      <c r="C11" s="324">
        <v>45315</v>
      </c>
      <c r="D11" s="46" t="s">
        <v>13</v>
      </c>
      <c r="E11" s="326" t="s">
        <v>282</v>
      </c>
      <c r="F11" s="46">
        <v>1</v>
      </c>
      <c r="G11" s="326">
        <f>(1665-166)/1.08</f>
        <v>1387.9629629629628</v>
      </c>
      <c r="H11" s="326">
        <f>F11*G11</f>
        <v>1387.9629629629628</v>
      </c>
      <c r="I11" s="327">
        <f>H11*0.08</f>
        <v>111.03703703703702</v>
      </c>
      <c r="J11" s="326"/>
      <c r="K11" s="326">
        <f t="shared" ref="K11" si="6">SUM(H11:I11)-J11</f>
        <v>1498.9999999999998</v>
      </c>
    </row>
    <row r="12" spans="3:15" x14ac:dyDescent="0.25">
      <c r="C12" s="332">
        <v>45331</v>
      </c>
      <c r="D12" s="205" t="s">
        <v>117</v>
      </c>
      <c r="E12" s="207" t="s">
        <v>422</v>
      </c>
      <c r="F12" s="334">
        <v>1</v>
      </c>
      <c r="G12" s="335">
        <v>24100</v>
      </c>
      <c r="H12" s="335">
        <f t="shared" ref="H12:H16" si="7">F12*G12</f>
        <v>24100</v>
      </c>
      <c r="I12" s="335">
        <f t="shared" ref="I12:I16" si="8">H12*0.08</f>
        <v>1928</v>
      </c>
      <c r="J12" s="207"/>
      <c r="K12" s="207">
        <f t="shared" ref="K12:K20" si="9">SUM(H12:I12)-J12</f>
        <v>26028</v>
      </c>
      <c r="L12" s="6">
        <v>4000</v>
      </c>
    </row>
    <row r="13" spans="3:15" x14ac:dyDescent="0.25">
      <c r="C13" s="332">
        <v>45339</v>
      </c>
      <c r="D13" s="205" t="s">
        <v>117</v>
      </c>
      <c r="E13" s="205" t="s">
        <v>423</v>
      </c>
      <c r="F13" s="336">
        <v>1</v>
      </c>
      <c r="G13" s="207">
        <v>25100</v>
      </c>
      <c r="H13" s="207">
        <f t="shared" si="7"/>
        <v>25100</v>
      </c>
      <c r="I13" s="337">
        <f t="shared" si="8"/>
        <v>2008</v>
      </c>
      <c r="J13" s="207"/>
      <c r="K13" s="207">
        <f t="shared" si="9"/>
        <v>27108</v>
      </c>
      <c r="L13" s="6">
        <v>3000</v>
      </c>
    </row>
    <row r="14" spans="3:15" x14ac:dyDescent="0.25">
      <c r="C14" s="332">
        <v>45345</v>
      </c>
      <c r="D14" s="205" t="s">
        <v>117</v>
      </c>
      <c r="E14" s="205" t="s">
        <v>506</v>
      </c>
      <c r="F14" s="205">
        <v>1</v>
      </c>
      <c r="G14" s="207">
        <v>25100</v>
      </c>
      <c r="H14" s="207">
        <f t="shared" si="7"/>
        <v>25100</v>
      </c>
      <c r="I14" s="207">
        <f t="shared" si="8"/>
        <v>2008</v>
      </c>
      <c r="J14" s="207"/>
      <c r="K14" s="207">
        <f t="shared" si="9"/>
        <v>27108</v>
      </c>
      <c r="L14" s="6">
        <v>4000</v>
      </c>
    </row>
    <row r="15" spans="3:15" x14ac:dyDescent="0.25">
      <c r="C15" s="59">
        <v>45350</v>
      </c>
      <c r="D15" s="2" t="s">
        <v>117</v>
      </c>
      <c r="E15" s="2" t="s">
        <v>560</v>
      </c>
      <c r="F15" s="2">
        <v>1</v>
      </c>
      <c r="G15" s="5">
        <v>4000</v>
      </c>
      <c r="H15" s="5">
        <f t="shared" si="7"/>
        <v>4000</v>
      </c>
      <c r="I15" s="5">
        <f t="shared" si="8"/>
        <v>320</v>
      </c>
      <c r="J15" s="5"/>
      <c r="K15" s="5">
        <f t="shared" si="9"/>
        <v>4320</v>
      </c>
      <c r="L15" s="6">
        <v>4000</v>
      </c>
    </row>
    <row r="16" spans="3:15" x14ac:dyDescent="0.25">
      <c r="C16" s="59">
        <v>45352</v>
      </c>
      <c r="D16" s="2" t="s">
        <v>117</v>
      </c>
      <c r="E16" s="2"/>
      <c r="F16" s="2">
        <v>1</v>
      </c>
      <c r="G16" s="4">
        <v>23600</v>
      </c>
      <c r="H16" s="4">
        <f t="shared" si="7"/>
        <v>23600</v>
      </c>
      <c r="I16" s="4">
        <f t="shared" si="8"/>
        <v>1888</v>
      </c>
      <c r="J16" s="4"/>
      <c r="K16" s="4">
        <f t="shared" si="9"/>
        <v>25488</v>
      </c>
    </row>
    <row r="17" spans="3:12" x14ac:dyDescent="0.25">
      <c r="C17" s="2"/>
      <c r="D17" s="2"/>
      <c r="E17" s="2"/>
      <c r="F17" s="2"/>
      <c r="G17" s="4"/>
      <c r="H17" s="4"/>
      <c r="I17" s="328"/>
      <c r="J17" s="4"/>
      <c r="K17" s="4">
        <f t="shared" si="9"/>
        <v>0</v>
      </c>
    </row>
    <row r="18" spans="3:12" x14ac:dyDescent="0.25">
      <c r="C18" s="2"/>
      <c r="D18" s="2"/>
      <c r="E18" s="2"/>
      <c r="F18" s="2"/>
      <c r="G18" s="4"/>
      <c r="H18" s="4"/>
      <c r="I18" s="328"/>
      <c r="J18" s="4"/>
      <c r="K18" s="4">
        <f t="shared" si="9"/>
        <v>0</v>
      </c>
    </row>
    <row r="19" spans="3:12" x14ac:dyDescent="0.25">
      <c r="C19" s="2"/>
      <c r="D19" s="2"/>
      <c r="E19" s="2"/>
      <c r="F19" s="2"/>
      <c r="G19" s="4"/>
      <c r="H19" s="4"/>
      <c r="I19" s="328"/>
      <c r="J19" s="4"/>
      <c r="K19" s="4">
        <f t="shared" si="9"/>
        <v>0</v>
      </c>
    </row>
    <row r="20" spans="3:12" x14ac:dyDescent="0.25">
      <c r="C20" s="2"/>
      <c r="D20" s="2"/>
      <c r="E20" s="2"/>
      <c r="F20" s="2"/>
      <c r="G20" s="4"/>
      <c r="H20" s="4"/>
      <c r="I20" s="328"/>
      <c r="J20" s="4"/>
      <c r="K20" s="4">
        <f t="shared" si="9"/>
        <v>0</v>
      </c>
    </row>
    <row r="21" spans="3:12" x14ac:dyDescent="0.25">
      <c r="K21" s="4">
        <f>SUM(K5:K20)</f>
        <v>236796.02000000002</v>
      </c>
      <c r="L21" s="6">
        <f>SUM(L5:L20)</f>
        <v>27000</v>
      </c>
    </row>
    <row r="22" spans="3:12" x14ac:dyDescent="0.25">
      <c r="L22" s="6">
        <f>60000-L21</f>
        <v>33000</v>
      </c>
    </row>
  </sheetData>
  <mergeCells count="1">
    <mergeCell ref="C3:K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DAA9-FDF0-45BB-856A-A448323C2E44}">
  <sheetPr>
    <tabColor rgb="FFFF66FF"/>
  </sheetPr>
  <dimension ref="B2:M14"/>
  <sheetViews>
    <sheetView workbookViewId="0">
      <selection activeCell="F8" sqref="F8"/>
    </sheetView>
  </sheetViews>
  <sheetFormatPr baseColWidth="10" defaultRowHeight="15" x14ac:dyDescent="0.25"/>
  <cols>
    <col min="2" max="2" width="8.28515625" style="1" customWidth="1"/>
    <col min="3" max="3" width="11.42578125" style="1" bestFit="1" customWidth="1"/>
    <col min="4" max="4" width="10" style="1" bestFit="1" customWidth="1"/>
    <col min="5" max="5" width="9.7109375" style="1" bestFit="1" customWidth="1"/>
    <col min="6" max="6" width="17.28515625" style="44" bestFit="1" customWidth="1"/>
    <col min="7" max="7" width="11.28515625" style="44" bestFit="1" customWidth="1"/>
    <col min="8" max="8" width="10.28515625" style="44" bestFit="1" customWidth="1"/>
    <col min="9" max="9" width="4.85546875" style="44" bestFit="1" customWidth="1"/>
    <col min="10" max="10" width="11.28515625" style="44" bestFit="1" customWidth="1"/>
    <col min="13" max="13" width="12.28515625" style="6" bestFit="1" customWidth="1"/>
  </cols>
  <sheetData>
    <row r="2" spans="2:13" x14ac:dyDescent="0.25">
      <c r="B2" s="382" t="s">
        <v>229</v>
      </c>
      <c r="C2" s="382"/>
      <c r="D2" s="382"/>
      <c r="E2" s="382"/>
      <c r="F2" s="382"/>
      <c r="G2" s="382"/>
      <c r="H2" s="382"/>
      <c r="I2" s="382"/>
      <c r="J2" s="382"/>
      <c r="L2" s="10" t="s">
        <v>304</v>
      </c>
      <c r="M2" s="11">
        <v>100000</v>
      </c>
    </row>
    <row r="3" spans="2:13" x14ac:dyDescent="0.25">
      <c r="B3" s="2" t="s">
        <v>0</v>
      </c>
      <c r="C3" s="2" t="s">
        <v>1</v>
      </c>
      <c r="D3" s="2" t="s">
        <v>2</v>
      </c>
      <c r="E3" s="2" t="s">
        <v>3</v>
      </c>
      <c r="F3" s="4" t="s">
        <v>4</v>
      </c>
      <c r="G3" s="4" t="s">
        <v>8</v>
      </c>
      <c r="H3" s="5" t="s">
        <v>9</v>
      </c>
      <c r="I3" s="5" t="s">
        <v>10</v>
      </c>
      <c r="J3" s="5" t="s">
        <v>5</v>
      </c>
      <c r="L3" s="5" t="s">
        <v>305</v>
      </c>
      <c r="M3" s="11">
        <f>J14</f>
        <v>54000</v>
      </c>
    </row>
    <row r="4" spans="2:13" x14ac:dyDescent="0.25">
      <c r="B4" s="59">
        <v>45325</v>
      </c>
      <c r="C4" s="2" t="s">
        <v>229</v>
      </c>
      <c r="D4" s="4" t="s">
        <v>230</v>
      </c>
      <c r="E4" s="2">
        <v>1</v>
      </c>
      <c r="F4" s="4">
        <v>3000</v>
      </c>
      <c r="G4" s="4">
        <f t="shared" ref="G4" si="0">E4*F4</f>
        <v>3000</v>
      </c>
      <c r="H4" s="4">
        <f t="shared" ref="H4" si="1">G4*0.08</f>
        <v>240</v>
      </c>
      <c r="I4" s="4"/>
      <c r="J4" s="4">
        <f t="shared" ref="J4" si="2">SUM(G4:H4)-I4</f>
        <v>3240</v>
      </c>
      <c r="M4" s="6">
        <f>M2-M3</f>
        <v>46000</v>
      </c>
    </row>
    <row r="5" spans="2:13" x14ac:dyDescent="0.25">
      <c r="B5" s="59">
        <v>45331</v>
      </c>
      <c r="C5" s="2" t="s">
        <v>229</v>
      </c>
      <c r="D5" s="4" t="s">
        <v>230</v>
      </c>
      <c r="E5" s="2">
        <v>1</v>
      </c>
      <c r="F5" s="4">
        <v>7000</v>
      </c>
      <c r="G5" s="4">
        <f t="shared" ref="G5:G6" si="3">E5*F5</f>
        <v>7000</v>
      </c>
      <c r="H5" s="4">
        <f t="shared" ref="H5:H6" si="4">G5*0.08</f>
        <v>560</v>
      </c>
      <c r="I5" s="4"/>
      <c r="J5" s="4">
        <f t="shared" ref="J5:J6" si="5">SUM(G5:H5)-I5</f>
        <v>7560</v>
      </c>
    </row>
    <row r="6" spans="2:13" x14ac:dyDescent="0.25">
      <c r="B6" s="59">
        <v>45338</v>
      </c>
      <c r="C6" s="2" t="s">
        <v>229</v>
      </c>
      <c r="D6" s="4" t="s">
        <v>230</v>
      </c>
      <c r="E6" s="54">
        <v>1</v>
      </c>
      <c r="F6" s="5">
        <v>3000</v>
      </c>
      <c r="G6" s="4">
        <f t="shared" si="3"/>
        <v>3000</v>
      </c>
      <c r="H6" s="4">
        <f t="shared" si="4"/>
        <v>240</v>
      </c>
      <c r="I6" s="4"/>
      <c r="J6" s="4">
        <f t="shared" si="5"/>
        <v>3240</v>
      </c>
    </row>
    <row r="7" spans="2:13" x14ac:dyDescent="0.25">
      <c r="B7" s="59">
        <v>45345</v>
      </c>
      <c r="C7" s="2" t="s">
        <v>229</v>
      </c>
      <c r="D7" s="4" t="s">
        <v>230</v>
      </c>
      <c r="E7" s="2">
        <v>1</v>
      </c>
      <c r="F7" s="4">
        <v>7000</v>
      </c>
      <c r="G7" s="4">
        <f t="shared" ref="G7:G13" si="6">E7*F7</f>
        <v>7000</v>
      </c>
      <c r="H7" s="4">
        <f t="shared" ref="H7:H13" si="7">G7*0.08</f>
        <v>560</v>
      </c>
      <c r="I7" s="4"/>
      <c r="J7" s="4">
        <f t="shared" ref="J7:J13" si="8">SUM(G7:H7)-I7</f>
        <v>7560</v>
      </c>
    </row>
    <row r="8" spans="2:13" x14ac:dyDescent="0.25">
      <c r="B8" s="59">
        <v>45350</v>
      </c>
      <c r="C8" s="2" t="s">
        <v>229</v>
      </c>
      <c r="D8" s="2" t="s">
        <v>561</v>
      </c>
      <c r="E8" s="2">
        <v>1</v>
      </c>
      <c r="F8" s="5">
        <v>30000</v>
      </c>
      <c r="G8" s="5">
        <f t="shared" si="6"/>
        <v>30000</v>
      </c>
      <c r="H8" s="5">
        <f t="shared" si="7"/>
        <v>2400</v>
      </c>
      <c r="I8" s="5"/>
      <c r="J8" s="5">
        <f t="shared" si="8"/>
        <v>32400</v>
      </c>
    </row>
    <row r="9" spans="2:13" x14ac:dyDescent="0.25">
      <c r="B9" s="2"/>
      <c r="C9" s="2"/>
      <c r="D9" s="2"/>
      <c r="E9" s="2"/>
      <c r="F9" s="4"/>
      <c r="G9" s="4">
        <f t="shared" si="6"/>
        <v>0</v>
      </c>
      <c r="H9" s="4">
        <f t="shared" si="7"/>
        <v>0</v>
      </c>
      <c r="I9" s="4"/>
      <c r="J9" s="4">
        <f t="shared" si="8"/>
        <v>0</v>
      </c>
    </row>
    <row r="10" spans="2:13" x14ac:dyDescent="0.25">
      <c r="B10" s="2"/>
      <c r="C10" s="2"/>
      <c r="D10" s="2"/>
      <c r="E10" s="2"/>
      <c r="F10" s="4"/>
      <c r="G10" s="4">
        <f t="shared" si="6"/>
        <v>0</v>
      </c>
      <c r="H10" s="4">
        <f t="shared" si="7"/>
        <v>0</v>
      </c>
      <c r="I10" s="4"/>
      <c r="J10" s="4">
        <f t="shared" si="8"/>
        <v>0</v>
      </c>
    </row>
    <row r="11" spans="2:13" x14ac:dyDescent="0.25">
      <c r="B11" s="2"/>
      <c r="C11" s="2"/>
      <c r="D11" s="2"/>
      <c r="E11" s="2"/>
      <c r="F11" s="4"/>
      <c r="G11" s="4">
        <f t="shared" si="6"/>
        <v>0</v>
      </c>
      <c r="H11" s="4">
        <f t="shared" si="7"/>
        <v>0</v>
      </c>
      <c r="I11" s="4"/>
      <c r="J11" s="4">
        <f t="shared" si="8"/>
        <v>0</v>
      </c>
    </row>
    <row r="12" spans="2:13" x14ac:dyDescent="0.25">
      <c r="B12" s="2"/>
      <c r="C12" s="2"/>
      <c r="D12" s="2"/>
      <c r="E12" s="2"/>
      <c r="F12" s="4"/>
      <c r="G12" s="4">
        <f t="shared" si="6"/>
        <v>0</v>
      </c>
      <c r="H12" s="4">
        <f t="shared" si="7"/>
        <v>0</v>
      </c>
      <c r="I12" s="4"/>
      <c r="J12" s="4">
        <f t="shared" si="8"/>
        <v>0</v>
      </c>
    </row>
    <row r="13" spans="2:13" x14ac:dyDescent="0.25">
      <c r="B13" s="2"/>
      <c r="C13" s="2"/>
      <c r="D13" s="2"/>
      <c r="E13" s="2"/>
      <c r="F13" s="4"/>
      <c r="G13" s="4">
        <f t="shared" si="6"/>
        <v>0</v>
      </c>
      <c r="H13" s="4">
        <f t="shared" si="7"/>
        <v>0</v>
      </c>
      <c r="I13" s="4"/>
      <c r="J13" s="4">
        <f t="shared" si="8"/>
        <v>0</v>
      </c>
    </row>
    <row r="14" spans="2:13" x14ac:dyDescent="0.25">
      <c r="F14" s="44">
        <f>SUM(F4:F13)</f>
        <v>50000</v>
      </c>
      <c r="J14" s="4">
        <f>SUM(J4:J13)</f>
        <v>54000</v>
      </c>
    </row>
  </sheetData>
  <mergeCells count="1">
    <mergeCell ref="B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B179-29A0-452C-8208-E225A83E7044}">
  <sheetPr>
    <tabColor rgb="FF66FFFF"/>
  </sheetPr>
  <dimension ref="B2:Z24"/>
  <sheetViews>
    <sheetView tabSelected="1" workbookViewId="0">
      <selection activeCell="K16" sqref="K16"/>
    </sheetView>
  </sheetViews>
  <sheetFormatPr baseColWidth="10" defaultRowHeight="15" x14ac:dyDescent="0.25"/>
  <cols>
    <col min="1" max="1" width="11.5703125" customWidth="1"/>
    <col min="2" max="2" width="6.7109375" style="1" bestFit="1" customWidth="1"/>
    <col min="3" max="3" width="8.85546875" style="1" bestFit="1" customWidth="1"/>
    <col min="4" max="4" width="22.28515625" style="1" bestFit="1" customWidth="1"/>
    <col min="5" max="5" width="9.7109375" style="1" bestFit="1" customWidth="1"/>
    <col min="6" max="6" width="17.28515625" style="1" bestFit="1" customWidth="1"/>
    <col min="7" max="7" width="11.28515625" style="1" bestFit="1" customWidth="1"/>
    <col min="8" max="8" width="10.28515625" style="1" bestFit="1" customWidth="1"/>
    <col min="9" max="9" width="8.85546875" style="1" bestFit="1" customWidth="1"/>
    <col min="10" max="10" width="11.28515625" style="1" bestFit="1" customWidth="1"/>
    <col min="12" max="12" width="6.7109375" style="1" bestFit="1" customWidth="1"/>
    <col min="13" max="13" width="11.28515625" style="44" bestFit="1" customWidth="1"/>
    <col min="14" max="14" width="18.85546875" bestFit="1" customWidth="1"/>
    <col min="15" max="15" width="9.7109375" bestFit="1" customWidth="1"/>
    <col min="16" max="16" width="18.5703125" bestFit="1" customWidth="1"/>
    <col min="17" max="17" width="19.85546875" bestFit="1" customWidth="1"/>
    <col min="18" max="19" width="8.85546875" bestFit="1" customWidth="1"/>
    <col min="20" max="20" width="11.28515625" bestFit="1" customWidth="1"/>
    <col min="21" max="21" width="8.85546875" bestFit="1" customWidth="1"/>
    <col min="22" max="22" width="11.28515625" customWidth="1"/>
    <col min="23" max="23" width="10.28515625" bestFit="1" customWidth="1"/>
  </cols>
  <sheetData>
    <row r="2" spans="2:26" x14ac:dyDescent="0.25">
      <c r="B2" s="383" t="s">
        <v>377</v>
      </c>
      <c r="C2" s="383"/>
      <c r="D2" s="383"/>
      <c r="E2" s="383"/>
      <c r="F2" s="383"/>
      <c r="G2" s="383"/>
      <c r="H2" s="383"/>
      <c r="I2" s="383"/>
      <c r="J2" s="383"/>
      <c r="L2" s="368" t="s">
        <v>380</v>
      </c>
      <c r="M2" s="368"/>
    </row>
    <row r="3" spans="2:26" x14ac:dyDescent="0.25">
      <c r="B3" s="2" t="s">
        <v>0</v>
      </c>
      <c r="C3" s="2" t="s">
        <v>1</v>
      </c>
      <c r="D3" s="2" t="s">
        <v>2</v>
      </c>
      <c r="E3" s="2" t="s">
        <v>3</v>
      </c>
      <c r="F3" s="4" t="s">
        <v>4</v>
      </c>
      <c r="G3" s="4" t="s">
        <v>8</v>
      </c>
      <c r="H3" s="5" t="s">
        <v>9</v>
      </c>
      <c r="I3" s="5" t="s">
        <v>10</v>
      </c>
      <c r="J3" s="5" t="s">
        <v>5</v>
      </c>
      <c r="L3" s="2" t="s">
        <v>0</v>
      </c>
      <c r="M3" s="4" t="s">
        <v>360</v>
      </c>
      <c r="O3" s="25">
        <v>45331</v>
      </c>
      <c r="P3" s="26" t="s">
        <v>288</v>
      </c>
      <c r="Q3" s="225" t="s">
        <v>289</v>
      </c>
      <c r="R3" s="26">
        <v>1</v>
      </c>
      <c r="S3" s="28">
        <v>538.70000000000005</v>
      </c>
      <c r="T3" s="28">
        <f t="shared" ref="T3:T11" si="0">R3*S3</f>
        <v>538.70000000000005</v>
      </c>
      <c r="U3" s="28">
        <f>T3*0.16</f>
        <v>86.192000000000007</v>
      </c>
      <c r="V3" s="28"/>
      <c r="W3" s="28">
        <f t="shared" ref="W3:W10" si="1">SUM(T3:U3)-V3</f>
        <v>624.89200000000005</v>
      </c>
      <c r="Z3">
        <v>3814.5</v>
      </c>
    </row>
    <row r="4" spans="2:26" x14ac:dyDescent="0.25">
      <c r="B4" s="59">
        <v>45331</v>
      </c>
      <c r="C4" s="2" t="s">
        <v>377</v>
      </c>
      <c r="D4" s="5" t="s">
        <v>468</v>
      </c>
      <c r="E4" s="2">
        <v>1</v>
      </c>
      <c r="F4" s="5">
        <v>13814.5</v>
      </c>
      <c r="G4" s="5">
        <f t="shared" ref="G4:G5" si="2">E4*F4</f>
        <v>13814.5</v>
      </c>
      <c r="H4" s="5">
        <f t="shared" ref="H4:H5" si="3">G4*0.08</f>
        <v>1105.1600000000001</v>
      </c>
      <c r="I4" s="5">
        <f>1.25%*G4</f>
        <v>172.68125000000001</v>
      </c>
      <c r="J4" s="5">
        <f t="shared" ref="J4:J5" si="4">SUM(G4:H4)-I4</f>
        <v>14746.97875</v>
      </c>
      <c r="L4" s="59">
        <v>45331</v>
      </c>
      <c r="M4" s="4">
        <v>10000</v>
      </c>
      <c r="O4" s="25">
        <v>45331</v>
      </c>
      <c r="P4" s="26" t="s">
        <v>288</v>
      </c>
      <c r="Q4" s="225" t="s">
        <v>290</v>
      </c>
      <c r="R4" s="26">
        <v>36</v>
      </c>
      <c r="S4" s="28">
        <v>12.7</v>
      </c>
      <c r="T4" s="28">
        <f t="shared" si="0"/>
        <v>457.2</v>
      </c>
      <c r="U4" s="28">
        <f>T4*0.16</f>
        <v>73.152000000000001</v>
      </c>
      <c r="V4" s="28"/>
      <c r="W4" s="28">
        <f t="shared" si="1"/>
        <v>530.35199999999998</v>
      </c>
    </row>
    <row r="5" spans="2:26" x14ac:dyDescent="0.25">
      <c r="B5" s="59">
        <v>45338</v>
      </c>
      <c r="C5" s="2" t="s">
        <v>377</v>
      </c>
      <c r="D5" s="2" t="s">
        <v>467</v>
      </c>
      <c r="E5" s="54">
        <v>1</v>
      </c>
      <c r="F5" s="5">
        <v>16325</v>
      </c>
      <c r="G5" s="5">
        <f t="shared" si="2"/>
        <v>16325</v>
      </c>
      <c r="H5" s="5">
        <f t="shared" si="3"/>
        <v>1306</v>
      </c>
      <c r="I5" s="5">
        <f>1.25%*F5</f>
        <v>204.0625</v>
      </c>
      <c r="J5" s="5">
        <f t="shared" si="4"/>
        <v>17426.9375</v>
      </c>
      <c r="L5" s="59">
        <v>45338</v>
      </c>
      <c r="M5" s="4">
        <v>15000</v>
      </c>
      <c r="O5" s="29">
        <v>45331</v>
      </c>
      <c r="P5" s="30" t="s">
        <v>291</v>
      </c>
      <c r="Q5" s="239" t="s">
        <v>292</v>
      </c>
      <c r="R5" s="30">
        <v>2</v>
      </c>
      <c r="S5" s="31">
        <v>610</v>
      </c>
      <c r="T5" s="31">
        <f t="shared" si="0"/>
        <v>1220</v>
      </c>
      <c r="U5" s="31">
        <f t="shared" ref="U5:U11" si="5">T5*0.08</f>
        <v>97.600000000000009</v>
      </c>
      <c r="V5" s="31"/>
      <c r="W5" s="31">
        <f t="shared" si="1"/>
        <v>1317.6</v>
      </c>
    </row>
    <row r="6" spans="2:26" x14ac:dyDescent="0.25">
      <c r="B6" s="59">
        <v>45346</v>
      </c>
      <c r="C6" s="2" t="s">
        <v>377</v>
      </c>
      <c r="D6" s="2" t="s">
        <v>509</v>
      </c>
      <c r="E6" s="2">
        <v>1</v>
      </c>
      <c r="F6" s="4">
        <f>11000+1440</f>
        <v>12440</v>
      </c>
      <c r="G6" s="4">
        <f t="shared" ref="G6" si="6">E6*F6</f>
        <v>12440</v>
      </c>
      <c r="H6" s="4">
        <f t="shared" ref="H6" si="7">G6*0.08</f>
        <v>995.2</v>
      </c>
      <c r="I6" s="5">
        <f>1.25%*F6</f>
        <v>155.5</v>
      </c>
      <c r="J6" s="4">
        <f>SUM(G6:H6)-I6</f>
        <v>13279.7</v>
      </c>
      <c r="L6" s="59">
        <v>45346</v>
      </c>
      <c r="M6" s="4">
        <v>11000</v>
      </c>
      <c r="O6" s="29">
        <v>45331</v>
      </c>
      <c r="P6" s="30" t="s">
        <v>291</v>
      </c>
      <c r="Q6" s="239" t="s">
        <v>293</v>
      </c>
      <c r="R6" s="30">
        <v>2</v>
      </c>
      <c r="S6" s="31">
        <v>22.76</v>
      </c>
      <c r="T6" s="31">
        <f t="shared" si="0"/>
        <v>45.52</v>
      </c>
      <c r="U6" s="31">
        <f t="shared" si="5"/>
        <v>3.6416000000000004</v>
      </c>
      <c r="V6" s="31"/>
      <c r="W6" s="31">
        <f t="shared" si="1"/>
        <v>49.161600000000007</v>
      </c>
    </row>
    <row r="7" spans="2:26" x14ac:dyDescent="0.25">
      <c r="B7" s="2"/>
      <c r="C7" s="2"/>
      <c r="D7" s="2"/>
      <c r="E7" s="2"/>
      <c r="F7" s="2"/>
      <c r="G7" s="2"/>
      <c r="H7" s="2"/>
      <c r="I7" s="2"/>
      <c r="J7" s="2"/>
      <c r="L7" s="2"/>
      <c r="M7" s="4"/>
      <c r="O7" s="29">
        <v>45331</v>
      </c>
      <c r="P7" s="30" t="s">
        <v>291</v>
      </c>
      <c r="Q7" s="239" t="s">
        <v>294</v>
      </c>
      <c r="R7" s="30">
        <v>2</v>
      </c>
      <c r="S7" s="31">
        <v>42.75</v>
      </c>
      <c r="T7" s="31">
        <f t="shared" si="0"/>
        <v>85.5</v>
      </c>
      <c r="U7" s="31">
        <f t="shared" si="5"/>
        <v>6.84</v>
      </c>
      <c r="V7" s="31"/>
      <c r="W7" s="31">
        <f t="shared" si="1"/>
        <v>92.34</v>
      </c>
      <c r="Z7" s="11">
        <f>SUM(U7:V7)-W7</f>
        <v>-85.5</v>
      </c>
    </row>
    <row r="8" spans="2:26" x14ac:dyDescent="0.25">
      <c r="B8" s="2"/>
      <c r="C8" s="2"/>
      <c r="D8" s="2"/>
      <c r="E8" s="2"/>
      <c r="F8" s="2"/>
      <c r="G8" s="2"/>
      <c r="H8" s="2"/>
      <c r="I8" s="2"/>
      <c r="J8" s="2"/>
      <c r="L8" s="2"/>
      <c r="M8" s="4"/>
      <c r="O8" s="25">
        <v>45331</v>
      </c>
      <c r="P8" s="26" t="s">
        <v>295</v>
      </c>
      <c r="Q8" s="225" t="s">
        <v>301</v>
      </c>
      <c r="R8" s="26">
        <v>70.5</v>
      </c>
      <c r="S8" s="28">
        <f>17/1.08</f>
        <v>15.74074074074074</v>
      </c>
      <c r="T8" s="28">
        <f t="shared" si="0"/>
        <v>1109.7222222222222</v>
      </c>
      <c r="U8" s="28">
        <f t="shared" si="5"/>
        <v>88.777777777777771</v>
      </c>
      <c r="V8" s="28"/>
      <c r="W8" s="28">
        <f t="shared" si="1"/>
        <v>1198.5</v>
      </c>
    </row>
    <row r="9" spans="2:26" x14ac:dyDescent="0.25">
      <c r="B9" s="2"/>
      <c r="C9" s="2"/>
      <c r="D9" s="2"/>
      <c r="E9" s="2"/>
      <c r="F9" s="2"/>
      <c r="G9" s="2"/>
      <c r="H9" s="2"/>
      <c r="I9" s="2"/>
      <c r="J9" s="2"/>
      <c r="L9" s="2"/>
      <c r="M9" s="4"/>
      <c r="O9" s="25">
        <v>45334</v>
      </c>
      <c r="P9" s="26" t="s">
        <v>307</v>
      </c>
      <c r="Q9" s="225" t="s">
        <v>308</v>
      </c>
      <c r="R9" s="26">
        <v>10</v>
      </c>
      <c r="S9" s="28">
        <v>71.63</v>
      </c>
      <c r="T9" s="28">
        <f t="shared" si="0"/>
        <v>716.3</v>
      </c>
      <c r="U9" s="28">
        <f t="shared" si="5"/>
        <v>57.303999999999995</v>
      </c>
      <c r="V9" s="28"/>
      <c r="W9" s="28">
        <f t="shared" si="1"/>
        <v>773.60399999999993</v>
      </c>
    </row>
    <row r="10" spans="2:26" x14ac:dyDescent="0.25">
      <c r="B10" s="2"/>
      <c r="C10" s="2"/>
      <c r="D10" s="2"/>
      <c r="E10" s="2"/>
      <c r="F10" s="2"/>
      <c r="G10" s="2"/>
      <c r="H10" s="2"/>
      <c r="I10" s="2"/>
      <c r="J10" s="2"/>
      <c r="L10" s="2"/>
      <c r="M10" s="4"/>
      <c r="O10" s="260">
        <v>45334</v>
      </c>
      <c r="P10" s="261" t="s">
        <v>307</v>
      </c>
      <c r="Q10" s="262" t="s">
        <v>46</v>
      </c>
      <c r="R10" s="261">
        <v>1</v>
      </c>
      <c r="S10" s="263">
        <v>550</v>
      </c>
      <c r="T10" s="263">
        <v>510</v>
      </c>
      <c r="U10" s="263">
        <f t="shared" si="5"/>
        <v>40.800000000000004</v>
      </c>
      <c r="V10" s="264"/>
      <c r="W10" s="263">
        <f t="shared" si="1"/>
        <v>550.79999999999995</v>
      </c>
    </row>
    <row r="11" spans="2:26" x14ac:dyDescent="0.25">
      <c r="F11" s="186">
        <f>SUM(F4:F10)</f>
        <v>42579.5</v>
      </c>
      <c r="J11" s="186">
        <f>SUM(J4:J10)</f>
        <v>45453.616250000006</v>
      </c>
      <c r="M11" s="4">
        <f>SUM(M4:M10)</f>
        <v>36000</v>
      </c>
      <c r="O11" s="3">
        <v>45345</v>
      </c>
      <c r="Q11" t="s">
        <v>510</v>
      </c>
      <c r="R11">
        <v>1</v>
      </c>
      <c r="S11">
        <v>1440</v>
      </c>
      <c r="T11" s="28">
        <f t="shared" si="0"/>
        <v>1440</v>
      </c>
      <c r="U11" s="263">
        <f t="shared" si="5"/>
        <v>115.2</v>
      </c>
      <c r="V11" s="264"/>
      <c r="W11" s="263">
        <f t="shared" ref="W11" si="8">SUM(T11:U11)-V11</f>
        <v>1555.2</v>
      </c>
    </row>
    <row r="12" spans="2:26" x14ac:dyDescent="0.25">
      <c r="F12" s="259"/>
      <c r="T12" s="9"/>
      <c r="W12" s="9">
        <f>SUM(W3:W11)</f>
        <v>6692.4495999999999</v>
      </c>
    </row>
    <row r="16" spans="2:26" x14ac:dyDescent="0.25">
      <c r="F16" s="368" t="s">
        <v>377</v>
      </c>
      <c r="G16" s="368"/>
      <c r="M16"/>
    </row>
    <row r="17" spans="6:20" x14ac:dyDescent="0.25">
      <c r="F17" s="216" t="s">
        <v>380</v>
      </c>
      <c r="G17" s="217">
        <f>M11</f>
        <v>36000</v>
      </c>
      <c r="M17"/>
    </row>
    <row r="18" spans="6:20" x14ac:dyDescent="0.25">
      <c r="F18" s="265" t="s">
        <v>319</v>
      </c>
      <c r="G18" s="266">
        <f>W12</f>
        <v>6692.4495999999999</v>
      </c>
      <c r="M18"/>
    </row>
    <row r="19" spans="6:20" x14ac:dyDescent="0.25">
      <c r="F19" s="2" t="s">
        <v>8</v>
      </c>
      <c r="G19" s="186">
        <f>SUM(G17:G18)</f>
        <v>42692.4496</v>
      </c>
      <c r="M19"/>
    </row>
    <row r="20" spans="6:20" x14ac:dyDescent="0.25">
      <c r="F20" s="2" t="s">
        <v>9</v>
      </c>
      <c r="G20" s="186">
        <f>G19*0.08</f>
        <v>3415.3959680000003</v>
      </c>
    </row>
    <row r="21" spans="6:20" x14ac:dyDescent="0.25">
      <c r="F21" s="2" t="s">
        <v>10</v>
      </c>
      <c r="G21" s="186">
        <f>G19*1.25%</f>
        <v>533.65562</v>
      </c>
    </row>
    <row r="22" spans="6:20" x14ac:dyDescent="0.25">
      <c r="F22" s="2" t="s">
        <v>305</v>
      </c>
      <c r="G22" s="186">
        <f>G19+G20-G21</f>
        <v>45574.189947999999</v>
      </c>
      <c r="L22" s="383" t="s">
        <v>377</v>
      </c>
      <c r="M22" s="383"/>
      <c r="N22" s="383"/>
      <c r="O22" s="383"/>
      <c r="P22" s="383"/>
      <c r="Q22" s="383"/>
      <c r="R22" s="383"/>
      <c r="S22" s="383"/>
      <c r="T22" s="383"/>
    </row>
    <row r="23" spans="6:20" x14ac:dyDescent="0.25">
      <c r="L23" s="2" t="s">
        <v>0</v>
      </c>
      <c r="M23" s="2" t="s">
        <v>1</v>
      </c>
      <c r="N23" s="2" t="s">
        <v>2</v>
      </c>
      <c r="O23" s="2" t="s">
        <v>3</v>
      </c>
      <c r="P23" s="4" t="s">
        <v>4</v>
      </c>
      <c r="Q23" s="4" t="s">
        <v>8</v>
      </c>
      <c r="R23" s="5" t="s">
        <v>9</v>
      </c>
      <c r="S23" s="5" t="s">
        <v>10</v>
      </c>
      <c r="T23" s="5" t="s">
        <v>5</v>
      </c>
    </row>
    <row r="24" spans="6:20" x14ac:dyDescent="0.25">
      <c r="L24" s="59">
        <v>45346</v>
      </c>
      <c r="M24" s="2" t="s">
        <v>377</v>
      </c>
      <c r="N24" s="2" t="s">
        <v>509</v>
      </c>
      <c r="O24" s="2">
        <v>1</v>
      </c>
      <c r="P24" s="4">
        <f>11000+1440</f>
        <v>12440</v>
      </c>
      <c r="Q24" s="4">
        <f t="shared" ref="Q24" si="9">O24*P24</f>
        <v>12440</v>
      </c>
      <c r="R24" s="4">
        <f t="shared" ref="R24" si="10">Q24*0.08</f>
        <v>995.2</v>
      </c>
      <c r="S24" s="5">
        <f>1.25%*P24</f>
        <v>155.5</v>
      </c>
      <c r="T24" s="4">
        <f>SUM(Q24:R24)-S24</f>
        <v>13279.7</v>
      </c>
    </row>
  </sheetData>
  <mergeCells count="4">
    <mergeCell ref="B2:J2"/>
    <mergeCell ref="L2:M2"/>
    <mergeCell ref="F16:G16"/>
    <mergeCell ref="L22:T22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77A9-6955-48D9-B1DD-A000F277694C}">
  <sheetPr>
    <tabColor rgb="FFFF0000"/>
  </sheetPr>
  <dimension ref="A3:CB37"/>
  <sheetViews>
    <sheetView topLeftCell="K1" workbookViewId="0">
      <selection activeCell="K41" sqref="K41"/>
    </sheetView>
  </sheetViews>
  <sheetFormatPr baseColWidth="10" defaultRowHeight="15" x14ac:dyDescent="0.25"/>
  <cols>
    <col min="1" max="1" width="11.5703125" style="1"/>
    <col min="2" max="2" width="6.28515625" style="1" bestFit="1" customWidth="1"/>
    <col min="3" max="3" width="8" style="1" bestFit="1" customWidth="1"/>
    <col min="4" max="4" width="23" style="1" bestFit="1" customWidth="1"/>
    <col min="5" max="5" width="9.7109375" style="1" bestFit="1" customWidth="1"/>
    <col min="6" max="6" width="17.28515625" style="1" bestFit="1" customWidth="1"/>
    <col min="7" max="7" width="11.28515625" style="1" bestFit="1" customWidth="1"/>
    <col min="8" max="8" width="10.28515625" style="1" bestFit="1" customWidth="1"/>
    <col min="9" max="9" width="4.85546875" style="1" bestFit="1" customWidth="1"/>
    <col min="10" max="10" width="11.28515625" style="1" bestFit="1" customWidth="1"/>
    <col min="11" max="11" width="11.5703125" style="1"/>
    <col min="12" max="12" width="6.28515625" style="1" bestFit="1" customWidth="1"/>
    <col min="13" max="13" width="12.42578125" style="1" bestFit="1" customWidth="1"/>
    <col min="14" max="14" width="20" style="1" bestFit="1" customWidth="1"/>
    <col min="15" max="15" width="9.7109375" style="1" bestFit="1" customWidth="1"/>
    <col min="16" max="16" width="17.28515625" style="1" bestFit="1" customWidth="1"/>
    <col min="17" max="17" width="11.28515625" style="1" bestFit="1" customWidth="1"/>
    <col min="18" max="18" width="10.28515625" style="1" bestFit="1" customWidth="1"/>
    <col min="19" max="19" width="4.85546875" style="1" bestFit="1" customWidth="1"/>
    <col min="20" max="20" width="11.28515625" style="1" bestFit="1" customWidth="1"/>
    <col min="21" max="21" width="11.5703125" style="1"/>
    <col min="22" max="22" width="6.28515625" style="1" bestFit="1" customWidth="1"/>
    <col min="23" max="23" width="8" style="1" bestFit="1" customWidth="1"/>
    <col min="24" max="24" width="23" style="1" bestFit="1" customWidth="1"/>
    <col min="25" max="25" width="9.7109375" style="1" bestFit="1" customWidth="1"/>
    <col min="26" max="26" width="17.28515625" style="1" bestFit="1" customWidth="1"/>
    <col min="27" max="27" width="11" style="1" bestFit="1" customWidth="1"/>
    <col min="28" max="28" width="8.85546875" style="1" bestFit="1" customWidth="1"/>
    <col min="29" max="29" width="4.85546875" style="1" bestFit="1" customWidth="1"/>
    <col min="30" max="30" width="10.28515625" style="1" bestFit="1" customWidth="1"/>
    <col min="31" max="31" width="11.5703125" style="1"/>
    <col min="32" max="32" width="6.28515625" style="1" bestFit="1" customWidth="1"/>
    <col min="33" max="33" width="12.140625" style="1" bestFit="1" customWidth="1"/>
    <col min="34" max="34" width="19.7109375" style="1" bestFit="1" customWidth="1"/>
    <col min="35" max="35" width="9.7109375" style="1" bestFit="1" customWidth="1"/>
    <col min="36" max="36" width="17.28515625" style="1" bestFit="1" customWidth="1"/>
    <col min="37" max="37" width="11" style="1" bestFit="1" customWidth="1"/>
    <col min="38" max="38" width="8.85546875" style="1" bestFit="1" customWidth="1"/>
    <col min="39" max="39" width="4.85546875" style="1" bestFit="1" customWidth="1"/>
    <col min="40" max="40" width="10.28515625" style="1" bestFit="1" customWidth="1"/>
    <col min="41" max="41" width="11.5703125" style="1"/>
    <col min="42" max="42" width="6.28515625" style="1" bestFit="1" customWidth="1"/>
    <col min="43" max="43" width="8" style="1" bestFit="1" customWidth="1"/>
    <col min="44" max="44" width="13.85546875" style="1" bestFit="1" customWidth="1"/>
    <col min="45" max="45" width="9.7109375" style="1" bestFit="1" customWidth="1"/>
    <col min="46" max="46" width="17.28515625" style="1" bestFit="1" customWidth="1"/>
    <col min="47" max="47" width="11" style="1" bestFit="1" customWidth="1"/>
    <col min="48" max="48" width="8.85546875" style="1" bestFit="1" customWidth="1"/>
    <col min="49" max="49" width="4.85546875" style="1" bestFit="1" customWidth="1"/>
    <col min="50" max="50" width="10.28515625" style="1" bestFit="1" customWidth="1"/>
    <col min="51" max="51" width="11.5703125" style="1"/>
    <col min="52" max="52" width="6.28515625" style="1" bestFit="1" customWidth="1"/>
    <col min="53" max="53" width="8" style="1" bestFit="1" customWidth="1"/>
    <col min="54" max="54" width="23" style="1" bestFit="1" customWidth="1"/>
    <col min="55" max="55" width="9.7109375" style="1" bestFit="1" customWidth="1"/>
    <col min="56" max="56" width="17.28515625" style="1" bestFit="1" customWidth="1"/>
    <col min="57" max="57" width="11" style="1" bestFit="1" customWidth="1"/>
    <col min="58" max="58" width="8.85546875" style="1" bestFit="1" customWidth="1"/>
    <col min="59" max="59" width="4.85546875" style="1" bestFit="1" customWidth="1"/>
    <col min="60" max="60" width="10.28515625" style="1" bestFit="1" customWidth="1"/>
    <col min="61" max="61" width="11.5703125" style="1"/>
    <col min="62" max="62" width="6.7109375" style="1" bestFit="1" customWidth="1"/>
    <col min="63" max="63" width="18.5703125" style="1" bestFit="1" customWidth="1"/>
    <col min="64" max="64" width="24.28515625" style="1" bestFit="1" customWidth="1"/>
    <col min="65" max="65" width="9.7109375" style="1" bestFit="1" customWidth="1"/>
    <col min="66" max="66" width="17.28515625" style="1" bestFit="1" customWidth="1"/>
    <col min="67" max="67" width="11" style="1" bestFit="1" customWidth="1"/>
    <col min="68" max="68" width="8.85546875" style="1" bestFit="1" customWidth="1"/>
    <col min="69" max="69" width="4.85546875" style="1" bestFit="1" customWidth="1"/>
    <col min="70" max="70" width="11.28515625" style="1" bestFit="1" customWidth="1"/>
    <col min="71" max="71" width="11.5703125" style="1"/>
    <col min="72" max="72" width="6.7109375" style="1" bestFit="1" customWidth="1"/>
    <col min="73" max="73" width="12.28515625" style="1" bestFit="1" customWidth="1"/>
    <col min="74" max="74" width="29.140625" style="1" bestFit="1" customWidth="1"/>
    <col min="75" max="75" width="9.7109375" style="1" bestFit="1" customWidth="1"/>
    <col min="76" max="76" width="17.28515625" style="1" bestFit="1" customWidth="1"/>
    <col min="77" max="77" width="11" style="1" bestFit="1" customWidth="1"/>
    <col min="78" max="78" width="8.85546875" style="1" bestFit="1" customWidth="1"/>
    <col min="79" max="79" width="4.85546875" style="1" bestFit="1" customWidth="1"/>
    <col min="80" max="80" width="10.28515625" style="1" bestFit="1" customWidth="1"/>
  </cols>
  <sheetData>
    <row r="3" spans="2:80" x14ac:dyDescent="0.25">
      <c r="B3" s="385" t="s">
        <v>273</v>
      </c>
      <c r="C3" s="385"/>
      <c r="D3" s="385"/>
      <c r="E3" s="385"/>
      <c r="F3" s="385"/>
      <c r="G3" s="385"/>
      <c r="H3" s="385"/>
      <c r="I3" s="385"/>
      <c r="J3" s="385"/>
      <c r="L3" s="384" t="s">
        <v>436</v>
      </c>
      <c r="M3" s="384"/>
      <c r="N3" s="384"/>
      <c r="O3" s="384"/>
      <c r="P3" s="384"/>
      <c r="Q3" s="384"/>
      <c r="R3" s="384"/>
      <c r="S3" s="384"/>
      <c r="T3" s="384"/>
      <c r="V3" s="385" t="s">
        <v>275</v>
      </c>
      <c r="W3" s="385"/>
      <c r="X3" s="385"/>
      <c r="Y3" s="385"/>
      <c r="Z3" s="385"/>
      <c r="AA3" s="385"/>
      <c r="AB3" s="385"/>
      <c r="AC3" s="385"/>
      <c r="AD3" s="385"/>
      <c r="AF3" s="384" t="s">
        <v>276</v>
      </c>
      <c r="AG3" s="384"/>
      <c r="AH3" s="384"/>
      <c r="AI3" s="384"/>
      <c r="AJ3" s="384"/>
      <c r="AK3" s="384"/>
      <c r="AL3" s="384"/>
      <c r="AM3" s="384"/>
      <c r="AN3" s="384"/>
      <c r="AP3" s="384" t="s">
        <v>277</v>
      </c>
      <c r="AQ3" s="384"/>
      <c r="AR3" s="384"/>
      <c r="AS3" s="384"/>
      <c r="AT3" s="384"/>
      <c r="AU3" s="384"/>
      <c r="AV3" s="384"/>
      <c r="AW3" s="384"/>
      <c r="AX3" s="384"/>
      <c r="AZ3" s="384" t="s">
        <v>278</v>
      </c>
      <c r="BA3" s="384"/>
      <c r="BB3" s="384"/>
      <c r="BC3" s="384"/>
      <c r="BD3" s="384"/>
      <c r="BE3" s="384"/>
      <c r="BF3" s="384"/>
      <c r="BG3" s="384"/>
      <c r="BH3" s="384"/>
      <c r="BJ3" s="384" t="s">
        <v>281</v>
      </c>
      <c r="BK3" s="384"/>
      <c r="BL3" s="384"/>
      <c r="BM3" s="384"/>
      <c r="BN3" s="384"/>
      <c r="BO3" s="384"/>
      <c r="BP3" s="384"/>
      <c r="BQ3" s="384"/>
      <c r="BR3" s="384"/>
      <c r="BT3" s="384" t="s">
        <v>297</v>
      </c>
      <c r="BU3" s="384"/>
      <c r="BV3" s="384"/>
      <c r="BW3" s="384"/>
      <c r="BX3" s="384"/>
      <c r="BY3" s="384"/>
      <c r="BZ3" s="384"/>
      <c r="CA3" s="384"/>
      <c r="CB3" s="384"/>
    </row>
    <row r="4" spans="2:80" x14ac:dyDescent="0.25">
      <c r="B4" s="2" t="s">
        <v>0</v>
      </c>
      <c r="C4" s="2" t="s">
        <v>1</v>
      </c>
      <c r="D4" s="2" t="s">
        <v>2</v>
      </c>
      <c r="E4" s="2" t="s">
        <v>3</v>
      </c>
      <c r="F4" s="4" t="s">
        <v>4</v>
      </c>
      <c r="G4" s="4" t="s">
        <v>8</v>
      </c>
      <c r="H4" s="5" t="s">
        <v>9</v>
      </c>
      <c r="I4" s="5" t="s">
        <v>10</v>
      </c>
      <c r="J4" s="5" t="s">
        <v>5</v>
      </c>
      <c r="L4" s="2" t="s">
        <v>0</v>
      </c>
      <c r="M4" s="2" t="s">
        <v>1</v>
      </c>
      <c r="N4" s="2" t="s">
        <v>2</v>
      </c>
      <c r="O4" s="2" t="s">
        <v>3</v>
      </c>
      <c r="P4" s="4" t="s">
        <v>4</v>
      </c>
      <c r="Q4" s="4" t="s">
        <v>8</v>
      </c>
      <c r="R4" s="5" t="s">
        <v>9</v>
      </c>
      <c r="S4" s="5" t="s">
        <v>10</v>
      </c>
      <c r="T4" s="5" t="s">
        <v>5</v>
      </c>
      <c r="V4" s="2" t="s">
        <v>0</v>
      </c>
      <c r="W4" s="2" t="s">
        <v>1</v>
      </c>
      <c r="X4" s="2" t="s">
        <v>2</v>
      </c>
      <c r="Y4" s="2" t="s">
        <v>3</v>
      </c>
      <c r="Z4" s="4" t="s">
        <v>4</v>
      </c>
      <c r="AA4" s="4" t="s">
        <v>8</v>
      </c>
      <c r="AB4" s="5" t="s">
        <v>9</v>
      </c>
      <c r="AC4" s="5" t="s">
        <v>10</v>
      </c>
      <c r="AD4" s="5" t="s">
        <v>5</v>
      </c>
      <c r="AF4" s="56" t="s">
        <v>0</v>
      </c>
      <c r="AG4" s="56" t="s">
        <v>1</v>
      </c>
      <c r="AH4" s="56" t="s">
        <v>2</v>
      </c>
      <c r="AI4" s="56" t="s">
        <v>3</v>
      </c>
      <c r="AJ4" s="57" t="s">
        <v>4</v>
      </c>
      <c r="AK4" s="57" t="s">
        <v>8</v>
      </c>
      <c r="AL4" s="58" t="s">
        <v>9</v>
      </c>
      <c r="AM4" s="58" t="s">
        <v>10</v>
      </c>
      <c r="AN4" s="58" t="s">
        <v>5</v>
      </c>
      <c r="AP4" s="56" t="s">
        <v>0</v>
      </c>
      <c r="AQ4" s="56" t="s">
        <v>1</v>
      </c>
      <c r="AR4" s="56" t="s">
        <v>2</v>
      </c>
      <c r="AS4" s="56" t="s">
        <v>3</v>
      </c>
      <c r="AT4" s="57" t="s">
        <v>4</v>
      </c>
      <c r="AU4" s="57" t="s">
        <v>8</v>
      </c>
      <c r="AV4" s="58" t="s">
        <v>9</v>
      </c>
      <c r="AW4" s="58" t="s">
        <v>10</v>
      </c>
      <c r="AX4" s="58" t="s">
        <v>5</v>
      </c>
      <c r="AZ4" s="56" t="s">
        <v>0</v>
      </c>
      <c r="BA4" s="56" t="s">
        <v>1</v>
      </c>
      <c r="BB4" s="56" t="s">
        <v>2</v>
      </c>
      <c r="BC4" s="56" t="s">
        <v>3</v>
      </c>
      <c r="BD4" s="57" t="s">
        <v>4</v>
      </c>
      <c r="BE4" s="57" t="s">
        <v>8</v>
      </c>
      <c r="BF4" s="58" t="s">
        <v>9</v>
      </c>
      <c r="BG4" s="58" t="s">
        <v>10</v>
      </c>
      <c r="BH4" s="58" t="s">
        <v>5</v>
      </c>
      <c r="BJ4" s="56" t="s">
        <v>0</v>
      </c>
      <c r="BK4" s="56" t="s">
        <v>1</v>
      </c>
      <c r="BL4" s="56" t="s">
        <v>2</v>
      </c>
      <c r="BM4" s="56" t="s">
        <v>3</v>
      </c>
      <c r="BN4" s="57" t="s">
        <v>4</v>
      </c>
      <c r="BO4" s="57" t="s">
        <v>8</v>
      </c>
      <c r="BP4" s="58" t="s">
        <v>9</v>
      </c>
      <c r="BQ4" s="58" t="s">
        <v>10</v>
      </c>
      <c r="BR4" s="58" t="s">
        <v>5</v>
      </c>
      <c r="BT4" s="56" t="s">
        <v>0</v>
      </c>
      <c r="BU4" s="56" t="s">
        <v>1</v>
      </c>
      <c r="BV4" s="56" t="s">
        <v>2</v>
      </c>
      <c r="BW4" s="56" t="s">
        <v>3</v>
      </c>
      <c r="BX4" s="57" t="s">
        <v>4</v>
      </c>
      <c r="BY4" s="57" t="s">
        <v>8</v>
      </c>
      <c r="BZ4" s="58" t="s">
        <v>9</v>
      </c>
      <c r="CA4" s="58" t="s">
        <v>10</v>
      </c>
      <c r="CB4" s="58" t="s">
        <v>5</v>
      </c>
    </row>
    <row r="5" spans="2:80" x14ac:dyDescent="0.25">
      <c r="B5" s="59">
        <v>45634</v>
      </c>
      <c r="C5" s="2" t="s">
        <v>57</v>
      </c>
      <c r="D5" s="2" t="s">
        <v>58</v>
      </c>
      <c r="E5" s="2">
        <v>272.72000000000003</v>
      </c>
      <c r="F5" s="4">
        <v>35.450000000000003</v>
      </c>
      <c r="G5" s="4">
        <f t="shared" ref="G5:G6" si="0">E5*F5</f>
        <v>9667.9240000000009</v>
      </c>
      <c r="H5" s="4">
        <f t="shared" ref="H5:H6" si="1">G5*0.08</f>
        <v>773.43392000000006</v>
      </c>
      <c r="I5" s="4"/>
      <c r="J5" s="4">
        <f t="shared" ref="J5:J6" si="2">SUM(G5:H5)-I5</f>
        <v>10441.35792</v>
      </c>
      <c r="L5" s="59">
        <v>45634</v>
      </c>
      <c r="M5" s="2" t="s">
        <v>57</v>
      </c>
      <c r="N5" s="2" t="s">
        <v>62</v>
      </c>
      <c r="O5" s="2">
        <v>2000</v>
      </c>
      <c r="P5" s="4">
        <v>22.54</v>
      </c>
      <c r="Q5" s="4">
        <f t="shared" ref="Q5:Q6" si="3">O5*P5</f>
        <v>45080</v>
      </c>
      <c r="R5" s="4">
        <f t="shared" ref="R5:R6" si="4">Q5*0.08</f>
        <v>3606.4</v>
      </c>
      <c r="S5" s="4"/>
      <c r="T5" s="4">
        <f t="shared" ref="T5" si="5">SUM(Q5:R5)-S5</f>
        <v>48686.400000000001</v>
      </c>
      <c r="V5" s="59">
        <v>45634</v>
      </c>
      <c r="W5" s="2" t="s">
        <v>57</v>
      </c>
      <c r="X5" s="2" t="s">
        <v>68</v>
      </c>
      <c r="Y5" s="2">
        <v>142.56</v>
      </c>
      <c r="Z5" s="4">
        <v>34.090000000000003</v>
      </c>
      <c r="AA5" s="4">
        <f>Y5*Z5</f>
        <v>4859.8704000000007</v>
      </c>
      <c r="AB5" s="4">
        <f>AA5*0.08</f>
        <v>388.78963200000004</v>
      </c>
      <c r="AC5" s="4"/>
      <c r="AD5" s="4">
        <f>SUM(AA5:AB5)-AC5</f>
        <v>5248.6600320000007</v>
      </c>
      <c r="AF5" s="59">
        <v>45634</v>
      </c>
      <c r="AG5" s="2" t="s">
        <v>57</v>
      </c>
      <c r="AH5" s="2" t="s">
        <v>66</v>
      </c>
      <c r="AI5" s="2">
        <v>100</v>
      </c>
      <c r="AJ5" s="4">
        <v>25.6</v>
      </c>
      <c r="AK5" s="4">
        <f>AI5*AJ5</f>
        <v>2560</v>
      </c>
      <c r="AL5" s="4">
        <f>AK5*0.08</f>
        <v>204.8</v>
      </c>
      <c r="AM5" s="4"/>
      <c r="AN5" s="4">
        <f>SUM(AK5:AL5)-AM5</f>
        <v>2764.8</v>
      </c>
      <c r="AP5" s="59">
        <v>45634</v>
      </c>
      <c r="AQ5" s="2" t="s">
        <v>57</v>
      </c>
      <c r="AR5" s="2" t="s">
        <v>65</v>
      </c>
      <c r="AS5" s="2">
        <v>100</v>
      </c>
      <c r="AT5" s="4">
        <v>24.67</v>
      </c>
      <c r="AU5" s="4">
        <f>AS5*AT5</f>
        <v>2467</v>
      </c>
      <c r="AV5" s="4">
        <f>AU5*0.08</f>
        <v>197.36</v>
      </c>
      <c r="AW5" s="4"/>
      <c r="AX5" s="4">
        <f>SUM(AU5:AV5)-AW5</f>
        <v>2664.36</v>
      </c>
      <c r="AZ5" s="59">
        <v>45634</v>
      </c>
      <c r="BA5" s="2" t="s">
        <v>57</v>
      </c>
      <c r="BB5" s="2" t="s">
        <v>60</v>
      </c>
      <c r="BC5" s="2">
        <v>20</v>
      </c>
      <c r="BD5" s="5">
        <v>60.68</v>
      </c>
      <c r="BE5" s="5">
        <f t="shared" ref="BE5:BE7" si="6">BC5*BD5</f>
        <v>1213.5999999999999</v>
      </c>
      <c r="BF5" s="5">
        <f t="shared" ref="BF5:BF7" si="7">BE5*0.08</f>
        <v>97.087999999999994</v>
      </c>
      <c r="BG5" s="5"/>
      <c r="BH5" s="5">
        <f t="shared" ref="BH5:BH6" si="8">SUM(BE5:BF5)-BG5</f>
        <v>1310.6879999999999</v>
      </c>
      <c r="BJ5" s="71">
        <v>45310</v>
      </c>
      <c r="BK5" s="258" t="s">
        <v>134</v>
      </c>
      <c r="BL5" s="72" t="s">
        <v>135</v>
      </c>
      <c r="BM5" s="258">
        <v>37</v>
      </c>
      <c r="BN5" s="72">
        <v>83.33</v>
      </c>
      <c r="BO5" s="72">
        <f t="shared" ref="BO5:BO20" si="9">BM5*BN5</f>
        <v>3083.21</v>
      </c>
      <c r="BP5" s="72">
        <f t="shared" ref="BP5:BP8" si="10">BO5*0.08</f>
        <v>246.6568</v>
      </c>
      <c r="BQ5" s="72"/>
      <c r="BR5" s="72">
        <f t="shared" ref="BR5:BR7" si="11">SUM(BO5:BP5)</f>
        <v>3329.8668000000002</v>
      </c>
      <c r="BT5" s="59">
        <v>45321</v>
      </c>
      <c r="BU5" s="2" t="s">
        <v>13</v>
      </c>
      <c r="BV5" s="4" t="s">
        <v>148</v>
      </c>
      <c r="BW5" s="2">
        <v>1</v>
      </c>
      <c r="BX5" s="4">
        <v>1816.67</v>
      </c>
      <c r="BY5" s="4">
        <f t="shared" ref="BY5:BY6" si="12">BW5*BX5</f>
        <v>1816.67</v>
      </c>
      <c r="BZ5" s="4">
        <f t="shared" ref="BZ5:BZ6" si="13">BY5*0.08</f>
        <v>145.33360000000002</v>
      </c>
      <c r="CA5" s="4"/>
      <c r="CB5" s="4">
        <f t="shared" ref="CB5:CB6" si="14">SUM(BY5:BZ5)-CA5</f>
        <v>1962.0036</v>
      </c>
    </row>
    <row r="6" spans="2:80" x14ac:dyDescent="0.25">
      <c r="B6" s="59">
        <v>45634</v>
      </c>
      <c r="C6" s="2" t="s">
        <v>57</v>
      </c>
      <c r="D6" s="2" t="s">
        <v>59</v>
      </c>
      <c r="E6" s="2">
        <v>436.36</v>
      </c>
      <c r="F6" s="4">
        <v>35.07</v>
      </c>
      <c r="G6" s="4">
        <f t="shared" si="0"/>
        <v>15303.145200000001</v>
      </c>
      <c r="H6" s="4">
        <f t="shared" si="1"/>
        <v>1224.251616</v>
      </c>
      <c r="I6" s="4"/>
      <c r="J6" s="4">
        <f t="shared" si="2"/>
        <v>16527.396816</v>
      </c>
      <c r="L6" s="59">
        <v>45327</v>
      </c>
      <c r="M6" s="2" t="s">
        <v>235</v>
      </c>
      <c r="N6" s="4" t="s">
        <v>62</v>
      </c>
      <c r="O6" s="56">
        <v>25</v>
      </c>
      <c r="P6" s="4">
        <v>125</v>
      </c>
      <c r="Q6" s="4">
        <f t="shared" si="3"/>
        <v>3125</v>
      </c>
      <c r="R6" s="4">
        <f t="shared" si="4"/>
        <v>250</v>
      </c>
      <c r="S6" s="4"/>
      <c r="T6" s="4">
        <f t="shared" ref="T6" si="15">SUM(Q6:R6)-S6</f>
        <v>3375</v>
      </c>
      <c r="V6" s="59">
        <v>45331</v>
      </c>
      <c r="W6" s="2" t="s">
        <v>295</v>
      </c>
      <c r="X6" s="4" t="s">
        <v>302</v>
      </c>
      <c r="Y6" s="2">
        <v>70.5</v>
      </c>
      <c r="Z6" s="4">
        <f>17/1.08</f>
        <v>15.74074074074074</v>
      </c>
      <c r="AA6" s="4">
        <f t="shared" ref="AA6" si="16">Y6*Z6</f>
        <v>1109.7222222222222</v>
      </c>
      <c r="AB6" s="4">
        <f t="shared" ref="AB6" si="17">AA6*0.08</f>
        <v>88.777777777777771</v>
      </c>
      <c r="AC6" s="4"/>
      <c r="AD6" s="4">
        <f t="shared" ref="AD6" si="18">SUM(AA6:AB6)-AC6</f>
        <v>1198.5</v>
      </c>
      <c r="AF6" s="59">
        <v>45324</v>
      </c>
      <c r="AG6" s="2" t="s">
        <v>197</v>
      </c>
      <c r="AH6" s="4" t="s">
        <v>66</v>
      </c>
      <c r="AI6" s="2">
        <v>40</v>
      </c>
      <c r="AJ6" s="4">
        <v>23</v>
      </c>
      <c r="AK6" s="4">
        <f t="shared" ref="AK6:AK7" si="19">AI6*AJ6</f>
        <v>920</v>
      </c>
      <c r="AL6" s="4">
        <f t="shared" ref="AL6:AL7" si="20">AK6*0.08</f>
        <v>73.600000000000009</v>
      </c>
      <c r="AM6" s="4"/>
      <c r="AN6" s="4">
        <f t="shared" ref="AN6:AN7" si="21">SUM(AK6:AL6)-AM6</f>
        <v>993.6</v>
      </c>
      <c r="AP6" s="59">
        <v>45336</v>
      </c>
      <c r="AQ6" s="2" t="s">
        <v>134</v>
      </c>
      <c r="AR6" s="2" t="s">
        <v>65</v>
      </c>
      <c r="AS6" s="169">
        <v>20</v>
      </c>
      <c r="AT6" s="4">
        <v>25.925000000000001</v>
      </c>
      <c r="AU6" s="4">
        <f>AS6*AT6</f>
        <v>518.5</v>
      </c>
      <c r="AV6" s="4">
        <f>AU6*0.08</f>
        <v>41.480000000000004</v>
      </c>
      <c r="AW6" s="4"/>
      <c r="AX6" s="4">
        <f>SUM(AU6:AV6)-AW6</f>
        <v>559.98</v>
      </c>
      <c r="AZ6" s="59">
        <v>45634</v>
      </c>
      <c r="BA6" s="2" t="s">
        <v>57</v>
      </c>
      <c r="BB6" s="2" t="s">
        <v>67</v>
      </c>
      <c r="BC6" s="2">
        <v>22.72</v>
      </c>
      <c r="BD6" s="5">
        <v>44.63</v>
      </c>
      <c r="BE6" s="5">
        <f t="shared" si="6"/>
        <v>1013.9936</v>
      </c>
      <c r="BF6" s="5">
        <f t="shared" si="7"/>
        <v>81.119488000000004</v>
      </c>
      <c r="BG6" s="5"/>
      <c r="BH6" s="5">
        <f t="shared" si="8"/>
        <v>1095.1130880000001</v>
      </c>
      <c r="BJ6" s="71">
        <v>45310</v>
      </c>
      <c r="BK6" s="258" t="s">
        <v>134</v>
      </c>
      <c r="BL6" s="72" t="s">
        <v>136</v>
      </c>
      <c r="BM6" s="258">
        <v>74</v>
      </c>
      <c r="BN6" s="72">
        <v>4.72</v>
      </c>
      <c r="BO6" s="72">
        <f t="shared" si="9"/>
        <v>349.28</v>
      </c>
      <c r="BP6" s="72">
        <f t="shared" si="10"/>
        <v>27.942399999999999</v>
      </c>
      <c r="BQ6" s="72"/>
      <c r="BR6" s="72">
        <f t="shared" si="11"/>
        <v>377.22239999999999</v>
      </c>
      <c r="BS6" s="288"/>
      <c r="BT6" s="59">
        <v>45341</v>
      </c>
      <c r="BU6" s="2" t="s">
        <v>134</v>
      </c>
      <c r="BV6" s="2" t="s">
        <v>148</v>
      </c>
      <c r="BW6" s="2">
        <v>1</v>
      </c>
      <c r="BX6" s="4">
        <v>2222.2220000000002</v>
      </c>
      <c r="BY6" s="4">
        <f t="shared" si="12"/>
        <v>2222.2220000000002</v>
      </c>
      <c r="BZ6" s="4">
        <f t="shared" si="13"/>
        <v>177.77776000000003</v>
      </c>
      <c r="CA6" s="4"/>
      <c r="CB6" s="4">
        <f t="shared" si="14"/>
        <v>2399.9997600000002</v>
      </c>
    </row>
    <row r="7" spans="2:80" x14ac:dyDescent="0.25">
      <c r="B7" s="59">
        <v>45634</v>
      </c>
      <c r="C7" s="2" t="s">
        <v>57</v>
      </c>
      <c r="D7" s="2" t="s">
        <v>61</v>
      </c>
      <c r="E7" s="2">
        <v>454.54</v>
      </c>
      <c r="F7" s="4">
        <v>31.99</v>
      </c>
      <c r="G7" s="4">
        <f>E7*F7</f>
        <v>14540.7346</v>
      </c>
      <c r="H7" s="4">
        <f>G7*0.08</f>
        <v>1163.2587679999999</v>
      </c>
      <c r="I7" s="4"/>
      <c r="J7" s="4">
        <f>SUM(G7:H7)-I7</f>
        <v>15703.993367999999</v>
      </c>
      <c r="O7" s="2">
        <f>SUM(O5:O6)</f>
        <v>2025</v>
      </c>
      <c r="T7" s="186">
        <f>SUM(T5:T6)</f>
        <v>52061.4</v>
      </c>
      <c r="V7" s="2"/>
      <c r="W7" s="2"/>
      <c r="X7" s="2"/>
      <c r="Y7" s="2"/>
      <c r="Z7" s="2"/>
      <c r="AA7" s="2"/>
      <c r="AB7" s="2"/>
      <c r="AC7" s="2"/>
      <c r="AD7" s="2"/>
      <c r="AF7" s="59">
        <v>45331</v>
      </c>
      <c r="AG7" s="2" t="s">
        <v>13</v>
      </c>
      <c r="AH7" s="4" t="s">
        <v>66</v>
      </c>
      <c r="AI7" s="2">
        <v>50</v>
      </c>
      <c r="AJ7" s="4">
        <f>26.9/1.08</f>
        <v>24.907407407407405</v>
      </c>
      <c r="AK7" s="4">
        <f t="shared" si="19"/>
        <v>1245.3703703703702</v>
      </c>
      <c r="AL7" s="4">
        <f t="shared" si="20"/>
        <v>99.629629629629619</v>
      </c>
      <c r="AM7" s="4"/>
      <c r="AN7" s="4">
        <f t="shared" si="21"/>
        <v>1344.9999999999998</v>
      </c>
      <c r="AP7" s="2"/>
      <c r="AQ7" s="2"/>
      <c r="AR7" s="2"/>
      <c r="AS7" s="2"/>
      <c r="AT7" s="2"/>
      <c r="AU7" s="2"/>
      <c r="AV7" s="2"/>
      <c r="AW7" s="2"/>
      <c r="AX7" s="2"/>
      <c r="AZ7" s="59">
        <v>45336</v>
      </c>
      <c r="BA7" s="2" t="s">
        <v>134</v>
      </c>
      <c r="BB7" s="2" t="s">
        <v>341</v>
      </c>
      <c r="BC7" s="169">
        <v>25</v>
      </c>
      <c r="BD7" s="4">
        <v>55.555549999999997</v>
      </c>
      <c r="BE7" s="4">
        <f t="shared" si="6"/>
        <v>1388.8887499999998</v>
      </c>
      <c r="BF7" s="4">
        <f t="shared" si="7"/>
        <v>111.11109999999999</v>
      </c>
      <c r="BG7" s="4"/>
      <c r="BH7" s="4">
        <f t="shared" ref="BH7" si="22">SUM(BE7:BF7)-BG7</f>
        <v>1499.9998499999999</v>
      </c>
      <c r="BJ7" s="71">
        <v>45310</v>
      </c>
      <c r="BK7" s="258" t="s">
        <v>134</v>
      </c>
      <c r="BL7" s="72" t="s">
        <v>137</v>
      </c>
      <c r="BM7" s="283">
        <v>74</v>
      </c>
      <c r="BN7" s="72">
        <v>4.63</v>
      </c>
      <c r="BO7" s="72">
        <f t="shared" si="9"/>
        <v>342.62</v>
      </c>
      <c r="BP7" s="72">
        <f t="shared" si="10"/>
        <v>27.409600000000001</v>
      </c>
      <c r="BQ7" s="72"/>
      <c r="BR7" s="72">
        <f t="shared" si="11"/>
        <v>370.02960000000002</v>
      </c>
      <c r="BT7" s="2"/>
      <c r="BU7" s="2"/>
      <c r="BV7" s="2"/>
      <c r="BW7" s="2"/>
      <c r="BX7" s="2"/>
      <c r="BY7" s="2"/>
      <c r="BZ7" s="2"/>
      <c r="CA7" s="2"/>
      <c r="CB7" s="2"/>
    </row>
    <row r="8" spans="2:80" x14ac:dyDescent="0.25">
      <c r="B8" s="2"/>
      <c r="C8" s="2"/>
      <c r="D8" s="2"/>
      <c r="E8" s="2"/>
      <c r="F8" s="2"/>
      <c r="G8" s="2"/>
      <c r="H8" s="2"/>
      <c r="I8" s="2"/>
      <c r="J8" s="2"/>
      <c r="V8" s="2"/>
      <c r="W8" s="2"/>
      <c r="X8" s="2"/>
      <c r="Y8" s="2"/>
      <c r="Z8" s="2"/>
      <c r="AA8" s="2"/>
      <c r="AB8" s="2"/>
      <c r="AC8" s="2"/>
      <c r="AD8" s="2"/>
      <c r="AF8" s="2"/>
      <c r="AG8" s="2"/>
      <c r="AH8" s="2"/>
      <c r="AI8" s="2"/>
      <c r="AJ8" s="2"/>
      <c r="AK8" s="2"/>
      <c r="AL8" s="2"/>
      <c r="AM8" s="2"/>
      <c r="AN8" s="2"/>
      <c r="AP8" s="2"/>
      <c r="AQ8" s="2"/>
      <c r="AR8" s="2"/>
      <c r="AS8" s="2"/>
      <c r="AT8" s="2"/>
      <c r="AU8" s="2"/>
      <c r="AV8" s="2"/>
      <c r="AW8" s="2"/>
      <c r="AX8" s="2"/>
      <c r="AZ8" s="2"/>
      <c r="BA8" s="2"/>
      <c r="BB8" s="2"/>
      <c r="BC8" s="2"/>
      <c r="BD8" s="2"/>
      <c r="BE8" s="2"/>
      <c r="BF8" s="2"/>
      <c r="BG8" s="2"/>
      <c r="BH8" s="2"/>
      <c r="BJ8" s="71">
        <v>45324</v>
      </c>
      <c r="BK8" s="258" t="s">
        <v>197</v>
      </c>
      <c r="BL8" s="72" t="s">
        <v>195</v>
      </c>
      <c r="BM8" s="258">
        <v>3</v>
      </c>
      <c r="BN8" s="72">
        <v>144</v>
      </c>
      <c r="BO8" s="72">
        <f t="shared" si="9"/>
        <v>432</v>
      </c>
      <c r="BP8" s="72">
        <f t="shared" si="10"/>
        <v>34.56</v>
      </c>
      <c r="BQ8" s="72"/>
      <c r="BR8" s="72">
        <f t="shared" ref="BR8:BR10" si="23">SUM(BO8:BP8)-BQ8</f>
        <v>466.56</v>
      </c>
      <c r="BT8" s="2"/>
      <c r="BU8" s="2"/>
      <c r="BV8" s="2"/>
      <c r="BW8" s="2"/>
      <c r="BX8" s="2"/>
      <c r="BY8" s="2"/>
      <c r="BZ8" s="2"/>
      <c r="CA8" s="2"/>
      <c r="CB8" s="2"/>
    </row>
    <row r="9" spans="2:80" x14ac:dyDescent="0.25">
      <c r="B9" s="2"/>
      <c r="C9" s="2"/>
      <c r="D9" s="2"/>
      <c r="E9" s="2"/>
      <c r="F9" s="2"/>
      <c r="G9" s="2"/>
      <c r="H9" s="2"/>
      <c r="I9" s="2"/>
      <c r="J9" s="2"/>
      <c r="V9" s="2"/>
      <c r="W9" s="2"/>
      <c r="X9" s="2"/>
      <c r="Y9" s="2"/>
      <c r="Z9" s="2"/>
      <c r="AA9" s="2"/>
      <c r="AB9" s="2"/>
      <c r="AC9" s="2"/>
      <c r="AD9" s="2"/>
      <c r="AF9" s="2"/>
      <c r="AG9" s="2"/>
      <c r="AH9" s="2"/>
      <c r="AI9" s="2"/>
      <c r="AJ9" s="2"/>
      <c r="AK9" s="2"/>
      <c r="AL9" s="2"/>
      <c r="AM9" s="2"/>
      <c r="AN9" s="2"/>
      <c r="AP9" s="2"/>
      <c r="AQ9" s="2"/>
      <c r="AR9" s="2"/>
      <c r="AS9" s="2"/>
      <c r="AT9" s="2"/>
      <c r="AU9" s="2"/>
      <c r="AV9" s="2"/>
      <c r="AW9" s="2"/>
      <c r="AX9" s="2"/>
      <c r="AZ9" s="2"/>
      <c r="BA9" s="2"/>
      <c r="BB9" s="2"/>
      <c r="BC9" s="2"/>
      <c r="BD9" s="2"/>
      <c r="BE9" s="2"/>
      <c r="BF9" s="2"/>
      <c r="BG9" s="2"/>
      <c r="BH9" s="2"/>
      <c r="BJ9" s="59">
        <v>45331</v>
      </c>
      <c r="BK9" s="2" t="s">
        <v>288</v>
      </c>
      <c r="BL9" s="4" t="s">
        <v>289</v>
      </c>
      <c r="BM9" s="2">
        <v>1</v>
      </c>
      <c r="BN9" s="4">
        <v>538.70000000000005</v>
      </c>
      <c r="BO9" s="4">
        <f t="shared" si="9"/>
        <v>538.70000000000005</v>
      </c>
      <c r="BP9" s="4">
        <f>BO9*0.16</f>
        <v>86.192000000000007</v>
      </c>
      <c r="BQ9" s="4"/>
      <c r="BR9" s="4">
        <f t="shared" si="23"/>
        <v>624.89200000000005</v>
      </c>
      <c r="BT9" s="2"/>
      <c r="BU9" s="2"/>
      <c r="BV9" s="2"/>
      <c r="BW9" s="2"/>
      <c r="BX9" s="2"/>
      <c r="BY9" s="2"/>
      <c r="BZ9" s="2"/>
      <c r="CA9" s="2"/>
      <c r="CB9" s="2"/>
    </row>
    <row r="10" spans="2:80" x14ac:dyDescent="0.25">
      <c r="B10" s="2"/>
      <c r="C10" s="2"/>
      <c r="D10" s="2"/>
      <c r="E10" s="2"/>
      <c r="F10" s="2"/>
      <c r="G10" s="2"/>
      <c r="H10" s="2"/>
      <c r="I10" s="2"/>
      <c r="J10" s="2"/>
      <c r="V10" s="2"/>
      <c r="W10" s="2"/>
      <c r="X10" s="2"/>
      <c r="Y10" s="2"/>
      <c r="Z10" s="2"/>
      <c r="AA10" s="2"/>
      <c r="AB10" s="2"/>
      <c r="AC10" s="2"/>
      <c r="AD10" s="2"/>
      <c r="AF10" s="2"/>
      <c r="AG10" s="2"/>
      <c r="AH10" s="2"/>
      <c r="AI10" s="2"/>
      <c r="AJ10" s="2"/>
      <c r="AK10" s="2"/>
      <c r="AL10" s="2"/>
      <c r="AM10" s="2"/>
      <c r="AN10" s="2"/>
      <c r="AP10" s="2"/>
      <c r="AQ10" s="2"/>
      <c r="AR10" s="2"/>
      <c r="AS10" s="2"/>
      <c r="AT10" s="2"/>
      <c r="AU10" s="2"/>
      <c r="AV10" s="2"/>
      <c r="AW10" s="2"/>
      <c r="AX10" s="2"/>
      <c r="AZ10" s="2"/>
      <c r="BA10" s="2"/>
      <c r="BB10" s="2"/>
      <c r="BC10" s="2"/>
      <c r="BD10" s="2"/>
      <c r="BE10" s="2"/>
      <c r="BF10" s="2"/>
      <c r="BG10" s="2"/>
      <c r="BH10" s="2"/>
      <c r="BJ10" s="59">
        <v>45331</v>
      </c>
      <c r="BK10" s="2" t="s">
        <v>288</v>
      </c>
      <c r="BL10" s="4" t="s">
        <v>290</v>
      </c>
      <c r="BM10" s="2">
        <v>36</v>
      </c>
      <c r="BN10" s="4">
        <v>12.7</v>
      </c>
      <c r="BO10" s="4">
        <f t="shared" si="9"/>
        <v>457.2</v>
      </c>
      <c r="BP10" s="4">
        <f>BO10*0.16</f>
        <v>73.152000000000001</v>
      </c>
      <c r="BQ10" s="4"/>
      <c r="BR10" s="4">
        <f t="shared" si="23"/>
        <v>530.35199999999998</v>
      </c>
      <c r="BT10" s="2"/>
      <c r="BU10" s="2"/>
      <c r="BV10" s="2"/>
      <c r="BW10" s="2"/>
      <c r="BX10" s="2"/>
      <c r="BY10" s="2"/>
      <c r="BZ10" s="2"/>
      <c r="CA10" s="2"/>
      <c r="CB10" s="2"/>
    </row>
    <row r="11" spans="2:80" x14ac:dyDescent="0.25">
      <c r="B11" s="2"/>
      <c r="C11" s="2"/>
      <c r="D11" s="2"/>
      <c r="E11" s="2"/>
      <c r="F11" s="2"/>
      <c r="G11" s="2"/>
      <c r="H11" s="2"/>
      <c r="I11" s="2"/>
      <c r="J11" s="2"/>
      <c r="L11" s="384" t="s">
        <v>437</v>
      </c>
      <c r="M11" s="384"/>
      <c r="N11" s="384"/>
      <c r="O11" s="384"/>
      <c r="P11" s="384"/>
      <c r="Q11" s="384"/>
      <c r="R11" s="384"/>
      <c r="S11" s="384"/>
      <c r="T11" s="384"/>
      <c r="V11" s="2"/>
      <c r="W11" s="2"/>
      <c r="X11" s="2"/>
      <c r="Y11" s="2"/>
      <c r="Z11" s="2"/>
      <c r="AA11" s="2"/>
      <c r="AB11" s="2"/>
      <c r="AC11" s="2"/>
      <c r="AD11" s="2"/>
      <c r="AF11" s="2"/>
      <c r="AG11" s="2"/>
      <c r="AH11" s="2"/>
      <c r="AI11" s="2"/>
      <c r="AJ11" s="2"/>
      <c r="AK11" s="2"/>
      <c r="AL11" s="2"/>
      <c r="AM11" s="2"/>
      <c r="AN11" s="2"/>
      <c r="AP11" s="2"/>
      <c r="AQ11" s="2"/>
      <c r="AR11" s="2"/>
      <c r="AS11" s="2"/>
      <c r="AT11" s="2"/>
      <c r="AU11" s="2"/>
      <c r="AV11" s="2"/>
      <c r="AW11" s="2"/>
      <c r="AX11" s="2"/>
      <c r="AZ11" s="2"/>
      <c r="BA11" s="2"/>
      <c r="BB11" s="2"/>
      <c r="BC11" s="2"/>
      <c r="BD11" s="2"/>
      <c r="BE11" s="2"/>
      <c r="BF11" s="2"/>
      <c r="BG11" s="2"/>
      <c r="BH11" s="2"/>
      <c r="BJ11" s="59">
        <v>45334</v>
      </c>
      <c r="BK11" s="2" t="s">
        <v>307</v>
      </c>
      <c r="BL11" s="4" t="s">
        <v>308</v>
      </c>
      <c r="BM11" s="2">
        <v>10</v>
      </c>
      <c r="BN11" s="4">
        <v>71.63</v>
      </c>
      <c r="BO11" s="4">
        <f t="shared" si="9"/>
        <v>716.3</v>
      </c>
      <c r="BP11" s="4">
        <f t="shared" ref="BP11:BP20" si="24">BO11*0.08</f>
        <v>57.303999999999995</v>
      </c>
      <c r="BQ11" s="4"/>
      <c r="BR11" s="4">
        <f t="shared" ref="BR11:BR19" si="25">SUM(BO11:BP11)-BQ11</f>
        <v>773.60399999999993</v>
      </c>
      <c r="BT11" s="2"/>
      <c r="BU11" s="2"/>
      <c r="BV11" s="2"/>
      <c r="BW11" s="2"/>
      <c r="BX11" s="2"/>
      <c r="BY11" s="2"/>
      <c r="BZ11" s="2"/>
      <c r="CA11" s="2"/>
      <c r="CB11" s="2"/>
    </row>
    <row r="12" spans="2:80" x14ac:dyDescent="0.25">
      <c r="B12" s="2"/>
      <c r="C12" s="2"/>
      <c r="D12" s="2"/>
      <c r="E12" s="2"/>
      <c r="F12" s="2"/>
      <c r="G12" s="2"/>
      <c r="H12" s="2"/>
      <c r="I12" s="2"/>
      <c r="J12" s="2"/>
      <c r="L12" s="2" t="s">
        <v>0</v>
      </c>
      <c r="M12" s="2" t="s">
        <v>1</v>
      </c>
      <c r="N12" s="2" t="s">
        <v>2</v>
      </c>
      <c r="O12" s="2" t="s">
        <v>3</v>
      </c>
      <c r="P12" s="4" t="s">
        <v>4</v>
      </c>
      <c r="Q12" s="4" t="s">
        <v>8</v>
      </c>
      <c r="R12" s="5" t="s">
        <v>9</v>
      </c>
      <c r="S12" s="5" t="s">
        <v>10</v>
      </c>
      <c r="T12" s="5" t="s">
        <v>5</v>
      </c>
      <c r="V12" s="2"/>
      <c r="W12" s="2"/>
      <c r="X12" s="2"/>
      <c r="Y12" s="2"/>
      <c r="Z12" s="2"/>
      <c r="AA12" s="2"/>
      <c r="AB12" s="2"/>
      <c r="AC12" s="2"/>
      <c r="AD12" s="2"/>
      <c r="AF12" s="2"/>
      <c r="AG12" s="2"/>
      <c r="AH12" s="2"/>
      <c r="AI12" s="2"/>
      <c r="AJ12" s="2"/>
      <c r="AK12" s="2"/>
      <c r="AL12" s="2"/>
      <c r="AM12" s="2"/>
      <c r="AN12" s="2"/>
      <c r="AP12" s="2"/>
      <c r="AQ12" s="2"/>
      <c r="AR12" s="2"/>
      <c r="AS12" s="2"/>
      <c r="AT12" s="2"/>
      <c r="AU12" s="2"/>
      <c r="AV12" s="2"/>
      <c r="AW12" s="2"/>
      <c r="AX12" s="2"/>
      <c r="AZ12" s="2"/>
      <c r="BA12" s="2"/>
      <c r="BB12" s="2"/>
      <c r="BC12" s="2"/>
      <c r="BD12" s="2"/>
      <c r="BE12" s="2"/>
      <c r="BF12" s="2"/>
      <c r="BG12" s="2"/>
      <c r="BH12" s="2"/>
      <c r="BJ12" s="71">
        <v>45335</v>
      </c>
      <c r="BK12" s="71" t="s">
        <v>311</v>
      </c>
      <c r="BL12" s="258" t="s">
        <v>312</v>
      </c>
      <c r="BM12" s="258">
        <v>6</v>
      </c>
      <c r="BN12" s="72">
        <v>393.14</v>
      </c>
      <c r="BO12" s="72">
        <f t="shared" si="9"/>
        <v>2358.84</v>
      </c>
      <c r="BP12" s="72">
        <f t="shared" si="24"/>
        <v>188.70720000000003</v>
      </c>
      <c r="BQ12" s="72"/>
      <c r="BR12" s="72">
        <f t="shared" si="25"/>
        <v>2547.5472</v>
      </c>
      <c r="BT12" s="2"/>
      <c r="BU12" s="2"/>
      <c r="BV12" s="2"/>
      <c r="BW12" s="2"/>
      <c r="BX12" s="2"/>
      <c r="BY12" s="2"/>
      <c r="BZ12" s="2"/>
      <c r="CA12" s="2"/>
      <c r="CB12" s="2"/>
    </row>
    <row r="13" spans="2:80" x14ac:dyDescent="0.25">
      <c r="B13" s="2"/>
      <c r="C13" s="2"/>
      <c r="D13" s="2"/>
      <c r="E13" s="2"/>
      <c r="F13" s="2"/>
      <c r="G13" s="2"/>
      <c r="H13" s="2"/>
      <c r="I13" s="2"/>
      <c r="J13" s="2"/>
      <c r="L13" s="59">
        <v>45634</v>
      </c>
      <c r="M13" s="2" t="s">
        <v>57</v>
      </c>
      <c r="N13" s="2" t="s">
        <v>63</v>
      </c>
      <c r="O13" s="2">
        <v>1500</v>
      </c>
      <c r="P13" s="4">
        <v>22.54</v>
      </c>
      <c r="Q13" s="4">
        <f t="shared" ref="Q13" si="26">O13*P13</f>
        <v>33810</v>
      </c>
      <c r="R13" s="4">
        <f t="shared" ref="R13" si="27">Q13*0.08</f>
        <v>2704.8</v>
      </c>
      <c r="S13" s="4"/>
      <c r="T13" s="4">
        <f t="shared" ref="T13" si="28">SUM(Q13:R13)-S13</f>
        <v>36514.800000000003</v>
      </c>
      <c r="V13" s="2"/>
      <c r="W13" s="2"/>
      <c r="X13" s="2"/>
      <c r="Y13" s="2"/>
      <c r="Z13" s="2"/>
      <c r="AA13" s="2"/>
      <c r="AB13" s="2"/>
      <c r="AC13" s="2"/>
      <c r="AD13" s="2"/>
      <c r="AF13" s="2"/>
      <c r="AG13" s="2"/>
      <c r="AH13" s="2"/>
      <c r="AI13" s="2"/>
      <c r="AJ13" s="2"/>
      <c r="AK13" s="2"/>
      <c r="AL13" s="2"/>
      <c r="AM13" s="2"/>
      <c r="AN13" s="2"/>
      <c r="AP13" s="2"/>
      <c r="AQ13" s="2"/>
      <c r="AR13" s="2"/>
      <c r="AS13" s="2"/>
      <c r="AT13" s="2"/>
      <c r="AU13" s="2"/>
      <c r="AV13" s="2"/>
      <c r="AW13" s="2"/>
      <c r="AX13" s="2"/>
      <c r="AZ13" s="2"/>
      <c r="BA13" s="2"/>
      <c r="BB13" s="2"/>
      <c r="BC13" s="2"/>
      <c r="BD13" s="2"/>
      <c r="BE13" s="2"/>
      <c r="BF13" s="2"/>
      <c r="BG13" s="2"/>
      <c r="BH13" s="2"/>
      <c r="BJ13" s="71">
        <v>45335</v>
      </c>
      <c r="BK13" s="71" t="s">
        <v>311</v>
      </c>
      <c r="BL13" s="72" t="s">
        <v>313</v>
      </c>
      <c r="BM13" s="258">
        <v>1</v>
      </c>
      <c r="BN13" s="72">
        <v>171.3</v>
      </c>
      <c r="BO13" s="72">
        <f t="shared" si="9"/>
        <v>171.3</v>
      </c>
      <c r="BP13" s="72">
        <f t="shared" si="24"/>
        <v>13.704000000000001</v>
      </c>
      <c r="BQ13" s="72"/>
      <c r="BR13" s="72">
        <f t="shared" si="25"/>
        <v>185.00400000000002</v>
      </c>
      <c r="BT13" s="2"/>
      <c r="BU13" s="2"/>
      <c r="BV13" s="2"/>
      <c r="BW13" s="2"/>
      <c r="BX13" s="2"/>
      <c r="BY13" s="2"/>
      <c r="BZ13" s="2"/>
      <c r="CA13" s="2"/>
      <c r="CB13" s="2"/>
    </row>
    <row r="14" spans="2:80" x14ac:dyDescent="0.25">
      <c r="B14" s="2"/>
      <c r="C14" s="2"/>
      <c r="D14" s="2"/>
      <c r="E14" s="2"/>
      <c r="F14" s="2"/>
      <c r="G14" s="2"/>
      <c r="H14" s="2"/>
      <c r="I14" s="2"/>
      <c r="J14" s="2"/>
      <c r="L14" s="2"/>
      <c r="M14" s="2"/>
      <c r="N14" s="2"/>
      <c r="O14" s="2"/>
      <c r="P14" s="2"/>
      <c r="Q14" s="2"/>
      <c r="R14" s="2"/>
      <c r="S14" s="2"/>
      <c r="T14" s="2"/>
      <c r="V14" s="2"/>
      <c r="W14" s="2"/>
      <c r="X14" s="2"/>
      <c r="Y14" s="2"/>
      <c r="Z14" s="2"/>
      <c r="AA14" s="2"/>
      <c r="AB14" s="2"/>
      <c r="AC14" s="2"/>
      <c r="AD14" s="2"/>
      <c r="AF14" s="2"/>
      <c r="AG14" s="2"/>
      <c r="AH14" s="2"/>
      <c r="AI14" s="2"/>
      <c r="AJ14" s="2"/>
      <c r="AK14" s="2"/>
      <c r="AL14" s="2"/>
      <c r="AM14" s="2"/>
      <c r="AN14" s="2"/>
      <c r="AP14" s="2"/>
      <c r="AQ14" s="2"/>
      <c r="AR14" s="2"/>
      <c r="AS14" s="2"/>
      <c r="AT14" s="2"/>
      <c r="AU14" s="2"/>
      <c r="AV14" s="2"/>
      <c r="AW14" s="2"/>
      <c r="AX14" s="2"/>
      <c r="AZ14" s="2"/>
      <c r="BA14" s="2"/>
      <c r="BB14" s="2"/>
      <c r="BC14" s="2"/>
      <c r="BD14" s="2"/>
      <c r="BE14" s="2"/>
      <c r="BF14" s="2"/>
      <c r="BG14" s="2"/>
      <c r="BH14" s="2"/>
      <c r="BI14" s="288"/>
      <c r="BJ14" s="71">
        <v>45341</v>
      </c>
      <c r="BK14" s="258" t="s">
        <v>311</v>
      </c>
      <c r="BL14" s="258" t="s">
        <v>312</v>
      </c>
      <c r="BM14" s="258">
        <v>2</v>
      </c>
      <c r="BN14" s="72">
        <v>393.14</v>
      </c>
      <c r="BO14" s="72">
        <f t="shared" si="9"/>
        <v>786.28</v>
      </c>
      <c r="BP14" s="72">
        <f t="shared" si="24"/>
        <v>62.9024</v>
      </c>
      <c r="BQ14" s="72"/>
      <c r="BR14" s="72">
        <f t="shared" si="25"/>
        <v>849.18239999999992</v>
      </c>
      <c r="BT14" s="2"/>
      <c r="BU14" s="2"/>
      <c r="BV14" s="2"/>
      <c r="BW14" s="2"/>
      <c r="BX14" s="2"/>
      <c r="BY14" s="2"/>
      <c r="BZ14" s="2"/>
      <c r="CA14" s="2"/>
      <c r="CB14" s="2"/>
    </row>
    <row r="15" spans="2:80" x14ac:dyDescent="0.25">
      <c r="B15" s="2"/>
      <c r="C15" s="2"/>
      <c r="D15" s="2"/>
      <c r="E15" s="2"/>
      <c r="F15" s="2"/>
      <c r="G15" s="2"/>
      <c r="H15" s="2"/>
      <c r="I15" s="2"/>
      <c r="J15" s="2"/>
      <c r="L15" s="2"/>
      <c r="M15" s="2"/>
      <c r="N15" s="2"/>
      <c r="O15" s="2"/>
      <c r="P15" s="2"/>
      <c r="Q15" s="2"/>
      <c r="R15" s="2"/>
      <c r="S15" s="2"/>
      <c r="T15" s="2"/>
      <c r="V15" s="2"/>
      <c r="W15" s="2"/>
      <c r="X15" s="2"/>
      <c r="Y15" s="2"/>
      <c r="Z15" s="2"/>
      <c r="AA15" s="2"/>
      <c r="AB15" s="2"/>
      <c r="AC15" s="2"/>
      <c r="AD15" s="2"/>
      <c r="AF15" s="2"/>
      <c r="AG15" s="2"/>
      <c r="AH15" s="2"/>
      <c r="AI15" s="2"/>
      <c r="AJ15" s="2"/>
      <c r="AK15" s="2"/>
      <c r="AL15" s="2"/>
      <c r="AM15" s="2"/>
      <c r="AN15" s="2"/>
      <c r="AP15" s="2"/>
      <c r="AQ15" s="2"/>
      <c r="AR15" s="2"/>
      <c r="AS15" s="2"/>
      <c r="AT15" s="2"/>
      <c r="AU15" s="2"/>
      <c r="AV15" s="2"/>
      <c r="AW15" s="2"/>
      <c r="AX15" s="2"/>
      <c r="AZ15" s="2"/>
      <c r="BA15" s="2"/>
      <c r="BB15" s="2"/>
      <c r="BC15" s="2"/>
      <c r="BD15" s="2"/>
      <c r="BE15" s="2"/>
      <c r="BF15" s="2"/>
      <c r="BG15" s="2"/>
      <c r="BH15" s="2"/>
      <c r="BI15" s="288"/>
      <c r="BJ15" s="71">
        <v>45341</v>
      </c>
      <c r="BK15" s="258" t="s">
        <v>311</v>
      </c>
      <c r="BL15" s="258" t="s">
        <v>414</v>
      </c>
      <c r="BM15" s="258">
        <v>1</v>
      </c>
      <c r="BN15" s="72">
        <v>49.64</v>
      </c>
      <c r="BO15" s="72">
        <f t="shared" si="9"/>
        <v>49.64</v>
      </c>
      <c r="BP15" s="72">
        <f t="shared" si="24"/>
        <v>3.9712000000000001</v>
      </c>
      <c r="BQ15" s="72"/>
      <c r="BR15" s="72">
        <f t="shared" si="25"/>
        <v>53.611200000000004</v>
      </c>
      <c r="BT15" s="2"/>
      <c r="BU15" s="2"/>
      <c r="BV15" s="2"/>
      <c r="BW15" s="2"/>
      <c r="BX15" s="2"/>
      <c r="BY15" s="2"/>
      <c r="BZ15" s="2"/>
      <c r="CA15" s="2"/>
      <c r="CB15" s="2"/>
    </row>
    <row r="16" spans="2:80" x14ac:dyDescent="0.25">
      <c r="E16" s="2">
        <f>SUM(E5:E15)</f>
        <v>1163.6200000000001</v>
      </c>
      <c r="J16" s="186">
        <f>SUM(J5:J15)</f>
        <v>42672.748103999998</v>
      </c>
      <c r="L16" s="2"/>
      <c r="M16" s="2"/>
      <c r="N16" s="2"/>
      <c r="O16" s="56"/>
      <c r="P16" s="2"/>
      <c r="Q16" s="2"/>
      <c r="R16" s="2"/>
      <c r="S16" s="2"/>
      <c r="T16" s="2"/>
      <c r="Y16" s="2">
        <f>SUM(Y5:Y15)</f>
        <v>213.06</v>
      </c>
      <c r="AD16" s="186">
        <f t="shared" ref="AD16" si="29">SUM(AD5:AD15)</f>
        <v>6447.1600320000007</v>
      </c>
      <c r="AI16" s="2">
        <f>SUM(AI5:AI15)</f>
        <v>190</v>
      </c>
      <c r="AN16" s="186">
        <f t="shared" ref="AN16" si="30">SUM(AN5:AN15)</f>
        <v>5103.3999999999996</v>
      </c>
      <c r="AT16" s="186">
        <f>SUM(AT5:AT15)</f>
        <v>50.594999999999999</v>
      </c>
      <c r="AX16" s="186">
        <f t="shared" ref="AX16" si="31">SUM(AX5:AX15)</f>
        <v>3224.34</v>
      </c>
      <c r="BC16" s="2">
        <f>SUM(BC5:BC15)</f>
        <v>67.72</v>
      </c>
      <c r="BH16" s="186">
        <f t="shared" ref="BH16" si="32">SUM(BH5:BH15)</f>
        <v>3905.8009380000003</v>
      </c>
      <c r="BI16" s="288"/>
      <c r="BJ16" s="71">
        <v>45341</v>
      </c>
      <c r="BK16" s="258" t="s">
        <v>134</v>
      </c>
      <c r="BL16" s="258" t="s">
        <v>415</v>
      </c>
      <c r="BM16" s="258">
        <v>7</v>
      </c>
      <c r="BN16" s="72">
        <v>138.88900000000001</v>
      </c>
      <c r="BO16" s="72">
        <f t="shared" si="9"/>
        <v>972.22300000000007</v>
      </c>
      <c r="BP16" s="72">
        <f t="shared" si="24"/>
        <v>77.777840000000012</v>
      </c>
      <c r="BQ16" s="72"/>
      <c r="BR16" s="72">
        <f t="shared" si="25"/>
        <v>1050.0008400000002</v>
      </c>
      <c r="BT16" s="2"/>
      <c r="BU16" s="2"/>
      <c r="BV16" s="2"/>
      <c r="BW16" s="2"/>
      <c r="BX16" s="2"/>
      <c r="BY16" s="2"/>
      <c r="BZ16" s="2"/>
      <c r="CA16" s="2"/>
      <c r="CB16" s="2"/>
    </row>
    <row r="17" spans="11:80" x14ac:dyDescent="0.25">
      <c r="O17" s="2">
        <f>SUM(O13:O16)</f>
        <v>1500</v>
      </c>
      <c r="T17" s="186">
        <f>SUM(T13:T16)</f>
        <v>36514.800000000003</v>
      </c>
      <c r="BI17" s="288"/>
      <c r="BJ17" s="71">
        <v>45341</v>
      </c>
      <c r="BK17" s="258" t="s">
        <v>134</v>
      </c>
      <c r="BL17" s="258" t="s">
        <v>416</v>
      </c>
      <c r="BM17" s="258">
        <v>30</v>
      </c>
      <c r="BN17" s="72">
        <v>2.778</v>
      </c>
      <c r="BO17" s="72">
        <f t="shared" si="9"/>
        <v>83.34</v>
      </c>
      <c r="BP17" s="72">
        <f t="shared" si="24"/>
        <v>6.6672000000000002</v>
      </c>
      <c r="BQ17" s="72"/>
      <c r="BR17" s="72">
        <f t="shared" si="25"/>
        <v>90.007199999999997</v>
      </c>
      <c r="BT17" s="2"/>
      <c r="BU17" s="2"/>
      <c r="BV17" s="2"/>
      <c r="BW17" s="2"/>
      <c r="BX17" s="2"/>
      <c r="BY17" s="2"/>
      <c r="BZ17" s="2"/>
      <c r="CA17" s="2"/>
      <c r="CB17" s="2"/>
    </row>
    <row r="18" spans="11:80" x14ac:dyDescent="0.25">
      <c r="BI18" s="288"/>
      <c r="BJ18" s="71">
        <v>45341</v>
      </c>
      <c r="BK18" s="258" t="s">
        <v>134</v>
      </c>
      <c r="BL18" s="258" t="s">
        <v>417</v>
      </c>
      <c r="BM18" s="258">
        <v>30</v>
      </c>
      <c r="BN18" s="72">
        <v>3.2410000000000001</v>
      </c>
      <c r="BO18" s="72">
        <f t="shared" si="9"/>
        <v>97.23</v>
      </c>
      <c r="BP18" s="72">
        <f t="shared" si="24"/>
        <v>7.7784000000000004</v>
      </c>
      <c r="BQ18" s="72"/>
      <c r="BR18" s="72">
        <f t="shared" si="25"/>
        <v>105.00840000000001</v>
      </c>
      <c r="BT18" s="2"/>
      <c r="BU18" s="2"/>
      <c r="BV18" s="2"/>
      <c r="BW18" s="2"/>
      <c r="BX18" s="2"/>
      <c r="BY18" s="2"/>
      <c r="BZ18" s="2"/>
      <c r="CA18" s="2"/>
      <c r="CB18" s="2"/>
    </row>
    <row r="19" spans="11:80" x14ac:dyDescent="0.25">
      <c r="BJ19" s="42">
        <v>45349</v>
      </c>
      <c r="BK19" s="1" t="s">
        <v>197</v>
      </c>
      <c r="BL19" s="1" t="s">
        <v>537</v>
      </c>
      <c r="BM19" s="1">
        <v>1</v>
      </c>
      <c r="BN19" s="43">
        <v>169.58</v>
      </c>
      <c r="BO19" s="43">
        <f t="shared" si="9"/>
        <v>169.58</v>
      </c>
      <c r="BP19" s="43">
        <f t="shared" si="24"/>
        <v>13.566400000000002</v>
      </c>
      <c r="BQ19" s="43"/>
      <c r="BR19" s="43">
        <f t="shared" si="25"/>
        <v>183.14640000000003</v>
      </c>
      <c r="BT19" s="2"/>
      <c r="BU19" s="2"/>
      <c r="BV19" s="2"/>
      <c r="BW19" s="2"/>
      <c r="BX19" s="2"/>
      <c r="BY19" s="2"/>
      <c r="BZ19" s="2"/>
      <c r="CA19" s="2"/>
      <c r="CB19" s="2"/>
    </row>
    <row r="20" spans="11:80" x14ac:dyDescent="0.25">
      <c r="BJ20" s="42">
        <v>45356</v>
      </c>
      <c r="BK20" s="1" t="s">
        <v>197</v>
      </c>
      <c r="BL20" s="1" t="s">
        <v>587</v>
      </c>
      <c r="BM20" s="1">
        <v>2</v>
      </c>
      <c r="BN20" s="43">
        <v>144</v>
      </c>
      <c r="BO20" s="43">
        <f t="shared" si="9"/>
        <v>288</v>
      </c>
      <c r="BP20" s="43">
        <f t="shared" si="24"/>
        <v>23.04</v>
      </c>
      <c r="BQ20" s="43"/>
      <c r="BR20" s="43">
        <f t="shared" ref="BR20" si="33">SUM(BO20:BP20)-BQ20</f>
        <v>311.04000000000002</v>
      </c>
      <c r="BT20" s="2"/>
      <c r="BU20" s="2"/>
      <c r="BV20" s="2"/>
      <c r="BW20" s="2"/>
      <c r="BX20" s="2"/>
      <c r="BY20" s="2"/>
      <c r="BZ20" s="2"/>
      <c r="CA20" s="2"/>
      <c r="CB20" s="2"/>
    </row>
    <row r="21" spans="11:80" x14ac:dyDescent="0.25">
      <c r="L21" s="384" t="s">
        <v>439</v>
      </c>
      <c r="M21" s="384"/>
      <c r="N21" s="384"/>
      <c r="O21" s="384"/>
      <c r="P21" s="384"/>
      <c r="Q21" s="384"/>
      <c r="R21" s="384"/>
      <c r="S21" s="384"/>
      <c r="T21" s="384"/>
      <c r="BR21" s="186">
        <f>SUM(BR5:BR20)</f>
        <v>11847.074440000002</v>
      </c>
      <c r="CB21" s="186">
        <f>SUM(CB5:CB20)</f>
        <v>4362.0033600000006</v>
      </c>
    </row>
    <row r="22" spans="11:80" x14ac:dyDescent="0.25">
      <c r="L22" s="2" t="s">
        <v>0</v>
      </c>
      <c r="M22" s="2" t="s">
        <v>1</v>
      </c>
      <c r="N22" s="2" t="s">
        <v>2</v>
      </c>
      <c r="O22" s="2" t="s">
        <v>3</v>
      </c>
      <c r="P22" s="4" t="s">
        <v>4</v>
      </c>
      <c r="Q22" s="4" t="s">
        <v>8</v>
      </c>
      <c r="R22" s="5" t="s">
        <v>9</v>
      </c>
      <c r="S22" s="5" t="s">
        <v>10</v>
      </c>
      <c r="T22" s="5" t="s">
        <v>5</v>
      </c>
    </row>
    <row r="23" spans="11:80" x14ac:dyDescent="0.25">
      <c r="L23" s="59">
        <v>45324</v>
      </c>
      <c r="M23" s="2" t="s">
        <v>197</v>
      </c>
      <c r="N23" s="4" t="s">
        <v>198</v>
      </c>
      <c r="O23" s="2">
        <v>2.98</v>
      </c>
      <c r="P23" s="4">
        <v>25.8</v>
      </c>
      <c r="Q23" s="4">
        <f t="shared" ref="Q23:Q26" si="34">O23*P23</f>
        <v>76.884</v>
      </c>
      <c r="R23" s="4">
        <f t="shared" ref="R23:R26" si="35">Q23*0.08</f>
        <v>6.1507199999999997</v>
      </c>
      <c r="S23" s="4"/>
      <c r="T23" s="4">
        <f t="shared" ref="T23:T26" si="36">SUM(Q23:R23)-S23</f>
        <v>83.034719999999993</v>
      </c>
    </row>
    <row r="24" spans="11:80" x14ac:dyDescent="0.25">
      <c r="L24" s="59">
        <v>45328</v>
      </c>
      <c r="M24" s="2" t="s">
        <v>197</v>
      </c>
      <c r="N24" s="4" t="s">
        <v>222</v>
      </c>
      <c r="O24" s="2">
        <v>8.94</v>
      </c>
      <c r="P24" s="4">
        <v>25.8</v>
      </c>
      <c r="Q24" s="4">
        <f t="shared" si="34"/>
        <v>230.65199999999999</v>
      </c>
      <c r="R24" s="4">
        <f t="shared" si="35"/>
        <v>18.452159999999999</v>
      </c>
      <c r="S24" s="4"/>
      <c r="T24" s="4">
        <f t="shared" si="36"/>
        <v>249.10415999999998</v>
      </c>
    </row>
    <row r="25" spans="11:80" x14ac:dyDescent="0.25">
      <c r="L25" s="59">
        <v>45328</v>
      </c>
      <c r="M25" s="2" t="s">
        <v>57</v>
      </c>
      <c r="N25" s="4" t="s">
        <v>223</v>
      </c>
      <c r="O25" s="2">
        <v>9.6</v>
      </c>
      <c r="P25" s="4">
        <v>30.67</v>
      </c>
      <c r="Q25" s="4">
        <f t="shared" si="34"/>
        <v>294.43200000000002</v>
      </c>
      <c r="R25" s="4">
        <f t="shared" si="35"/>
        <v>23.554560000000002</v>
      </c>
      <c r="S25" s="4"/>
      <c r="T25" s="4">
        <f t="shared" si="36"/>
        <v>317.98656</v>
      </c>
    </row>
    <row r="26" spans="11:80" x14ac:dyDescent="0.25">
      <c r="K26" s="288"/>
      <c r="L26" s="284">
        <v>45342</v>
      </c>
      <c r="M26" s="245" t="s">
        <v>471</v>
      </c>
      <c r="N26" s="245" t="s">
        <v>472</v>
      </c>
      <c r="O26" s="245">
        <v>90</v>
      </c>
      <c r="P26" s="285">
        <f>27/1.08</f>
        <v>25</v>
      </c>
      <c r="Q26" s="285">
        <f t="shared" si="34"/>
        <v>2250</v>
      </c>
      <c r="R26" s="285">
        <f t="shared" si="35"/>
        <v>180</v>
      </c>
      <c r="S26" s="285"/>
      <c r="T26" s="285">
        <f t="shared" si="36"/>
        <v>2430</v>
      </c>
    </row>
    <row r="27" spans="11:80" x14ac:dyDescent="0.25">
      <c r="L27" s="2"/>
      <c r="M27" s="2"/>
      <c r="N27" s="2"/>
      <c r="O27" s="56"/>
      <c r="P27" s="2"/>
      <c r="Q27" s="2"/>
      <c r="R27" s="2"/>
      <c r="S27" s="2"/>
      <c r="T27" s="2"/>
    </row>
    <row r="28" spans="11:80" x14ac:dyDescent="0.25">
      <c r="O28" s="2">
        <f>SUM(O23:O27)</f>
        <v>111.52</v>
      </c>
      <c r="T28" s="186">
        <f>SUM(T23:T27)</f>
        <v>3080.1254399999998</v>
      </c>
    </row>
    <row r="30" spans="11:80" x14ac:dyDescent="0.25">
      <c r="L30" s="384" t="s">
        <v>507</v>
      </c>
      <c r="M30" s="384"/>
      <c r="N30" s="384"/>
      <c r="O30" s="384"/>
      <c r="P30" s="384"/>
      <c r="Q30" s="384"/>
      <c r="R30" s="384"/>
      <c r="S30" s="384"/>
      <c r="T30" s="384"/>
    </row>
    <row r="31" spans="11:80" x14ac:dyDescent="0.25">
      <c r="L31" s="56" t="s">
        <v>0</v>
      </c>
      <c r="M31" s="56" t="s">
        <v>1</v>
      </c>
      <c r="N31" s="56" t="s">
        <v>2</v>
      </c>
      <c r="O31" s="56" t="s">
        <v>3</v>
      </c>
      <c r="P31" s="57" t="s">
        <v>4</v>
      </c>
      <c r="Q31" s="57" t="s">
        <v>8</v>
      </c>
      <c r="R31" s="58" t="s">
        <v>9</v>
      </c>
      <c r="S31" s="58" t="s">
        <v>10</v>
      </c>
      <c r="T31" s="58" t="s">
        <v>5</v>
      </c>
    </row>
    <row r="32" spans="11:80" x14ac:dyDescent="0.25">
      <c r="L32" s="59">
        <v>45634</v>
      </c>
      <c r="M32" s="2" t="s">
        <v>57</v>
      </c>
      <c r="N32" s="2" t="s">
        <v>64</v>
      </c>
      <c r="O32" s="2">
        <v>500</v>
      </c>
      <c r="P32" s="4">
        <v>22.54</v>
      </c>
      <c r="Q32" s="4">
        <f t="shared" ref="Q32" si="37">O32*P32</f>
        <v>11270</v>
      </c>
      <c r="R32" s="4">
        <f t="shared" ref="R32" si="38">Q32*0.08</f>
        <v>901.6</v>
      </c>
      <c r="S32" s="4"/>
      <c r="T32" s="4">
        <f t="shared" ref="T32" si="39">SUM(Q32:R32)-S32</f>
        <v>12171.6</v>
      </c>
    </row>
    <row r="33" spans="12:20" x14ac:dyDescent="0.25">
      <c r="L33" s="2"/>
      <c r="M33" s="2"/>
      <c r="N33" s="2"/>
      <c r="O33" s="2"/>
      <c r="P33" s="2"/>
      <c r="Q33" s="2"/>
      <c r="R33" s="2"/>
      <c r="S33" s="2"/>
      <c r="T33" s="2"/>
    </row>
    <row r="34" spans="12:20" x14ac:dyDescent="0.25">
      <c r="L34" s="2"/>
      <c r="M34" s="2"/>
      <c r="N34" s="2"/>
      <c r="O34" s="2"/>
      <c r="P34" s="2"/>
      <c r="Q34" s="2"/>
      <c r="R34" s="2"/>
      <c r="S34" s="2"/>
      <c r="T34" s="2"/>
    </row>
    <row r="35" spans="12:20" x14ac:dyDescent="0.25">
      <c r="L35" s="2"/>
      <c r="M35" s="2"/>
      <c r="N35" s="2"/>
      <c r="O35" s="2"/>
      <c r="P35" s="2"/>
      <c r="Q35" s="2"/>
      <c r="R35" s="2"/>
      <c r="S35" s="2"/>
      <c r="T35" s="2"/>
    </row>
    <row r="36" spans="12:20" x14ac:dyDescent="0.25">
      <c r="L36" s="2"/>
      <c r="M36" s="2"/>
      <c r="N36" s="2"/>
      <c r="O36" s="56"/>
      <c r="P36" s="2"/>
      <c r="Q36" s="2"/>
      <c r="R36" s="2"/>
      <c r="S36" s="2"/>
      <c r="T36" s="2"/>
    </row>
    <row r="37" spans="12:20" x14ac:dyDescent="0.25">
      <c r="O37" s="2">
        <f>SUM(O32:O36)</f>
        <v>500</v>
      </c>
      <c r="T37" s="186">
        <f>SUM(T32:T36)</f>
        <v>12171.6</v>
      </c>
    </row>
  </sheetData>
  <mergeCells count="11">
    <mergeCell ref="B3:J3"/>
    <mergeCell ref="L3:T3"/>
    <mergeCell ref="V3:AD3"/>
    <mergeCell ref="AF3:AN3"/>
    <mergeCell ref="AP3:AX3"/>
    <mergeCell ref="L11:T11"/>
    <mergeCell ref="L21:T21"/>
    <mergeCell ref="L30:T30"/>
    <mergeCell ref="BJ3:BR3"/>
    <mergeCell ref="BT3:CB3"/>
    <mergeCell ref="AZ3:BH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4A98-072D-45B2-BEDF-D61A99141D53}">
  <sheetPr>
    <tabColor theme="0" tint="-0.499984740745262"/>
  </sheetPr>
  <dimension ref="C3:AY45"/>
  <sheetViews>
    <sheetView workbookViewId="0">
      <selection activeCell="L43" sqref="L43"/>
    </sheetView>
  </sheetViews>
  <sheetFormatPr baseColWidth="10" defaultRowHeight="15" x14ac:dyDescent="0.25"/>
  <cols>
    <col min="3" max="3" width="7.28515625" customWidth="1"/>
    <col min="4" max="4" width="12.28515625" bestFit="1" customWidth="1"/>
    <col min="5" max="5" width="26.7109375" bestFit="1" customWidth="1"/>
    <col min="6" max="6" width="9.7109375" bestFit="1" customWidth="1"/>
    <col min="7" max="7" width="17.28515625" bestFit="1" customWidth="1"/>
    <col min="8" max="8" width="11" bestFit="1" customWidth="1"/>
    <col min="9" max="9" width="8.85546875" bestFit="1" customWidth="1"/>
    <col min="10" max="10" width="4.85546875" bestFit="1" customWidth="1"/>
    <col min="11" max="11" width="11.28515625" bestFit="1" customWidth="1"/>
    <col min="12" max="12" width="10.28515625" customWidth="1"/>
    <col min="13" max="13" width="6.7109375" bestFit="1" customWidth="1"/>
    <col min="14" max="14" width="17" bestFit="1" customWidth="1"/>
    <col min="15" max="15" width="25.42578125" bestFit="1" customWidth="1"/>
    <col min="16" max="16" width="9.7109375" bestFit="1" customWidth="1"/>
    <col min="17" max="17" width="17.28515625" bestFit="1" customWidth="1"/>
    <col min="18" max="18" width="11" bestFit="1" customWidth="1"/>
    <col min="19" max="19" width="7.85546875" bestFit="1" customWidth="1"/>
    <col min="20" max="20" width="4.85546875" bestFit="1" customWidth="1"/>
    <col min="21" max="21" width="8.85546875" bestFit="1" customWidth="1"/>
    <col min="23" max="25" width="11.5703125" style="1"/>
    <col min="27" max="27" width="17.28515625" bestFit="1" customWidth="1"/>
    <col min="33" max="33" width="11.5703125" style="1"/>
    <col min="36" max="36" width="11.5703125" style="1"/>
    <col min="37" max="37" width="17.28515625" bestFit="1" customWidth="1"/>
    <col min="43" max="43" width="6.7109375" bestFit="1" customWidth="1"/>
    <col min="44" max="44" width="11" bestFit="1" customWidth="1"/>
    <col min="45" max="45" width="14.7109375" bestFit="1" customWidth="1"/>
    <col min="46" max="47" width="7.85546875" bestFit="1" customWidth="1"/>
    <col min="48" max="48" width="8.85546875" bestFit="1" customWidth="1"/>
    <col min="49" max="49" width="7.85546875" bestFit="1" customWidth="1"/>
    <col min="51" max="51" width="10.28515625" bestFit="1" customWidth="1"/>
  </cols>
  <sheetData>
    <row r="3" spans="3:51" x14ac:dyDescent="0.25">
      <c r="C3" s="386" t="s">
        <v>272</v>
      </c>
      <c r="D3" s="386"/>
      <c r="E3" s="386"/>
      <c r="F3" s="386"/>
      <c r="G3" s="386"/>
      <c r="H3" s="386"/>
      <c r="I3" s="386"/>
      <c r="J3" s="386"/>
      <c r="K3" s="386"/>
      <c r="L3" s="1"/>
      <c r="M3" s="386" t="s">
        <v>299</v>
      </c>
      <c r="N3" s="386"/>
      <c r="O3" s="386"/>
      <c r="P3" s="386"/>
      <c r="Q3" s="386"/>
      <c r="R3" s="386"/>
      <c r="S3" s="386"/>
      <c r="T3" s="386"/>
      <c r="U3" s="386"/>
      <c r="W3" s="386" t="s">
        <v>279</v>
      </c>
      <c r="X3" s="386"/>
      <c r="Y3" s="386"/>
      <c r="Z3" s="386"/>
      <c r="AA3" s="386"/>
      <c r="AB3" s="386"/>
      <c r="AC3" s="386"/>
      <c r="AD3" s="386"/>
      <c r="AE3" s="386"/>
      <c r="AG3" s="386" t="s">
        <v>280</v>
      </c>
      <c r="AH3" s="386"/>
      <c r="AI3" s="386"/>
      <c r="AJ3" s="386"/>
      <c r="AK3" s="386"/>
      <c r="AL3" s="386"/>
      <c r="AM3" s="386"/>
      <c r="AN3" s="386"/>
      <c r="AO3" s="386"/>
      <c r="AQ3" s="386" t="s">
        <v>287</v>
      </c>
      <c r="AR3" s="386"/>
      <c r="AS3" s="386"/>
      <c r="AT3" s="386"/>
      <c r="AU3" s="386"/>
      <c r="AV3" s="386"/>
      <c r="AW3" s="386"/>
      <c r="AX3" s="386"/>
      <c r="AY3" s="386"/>
    </row>
    <row r="4" spans="3:51" x14ac:dyDescent="0.25">
      <c r="C4" s="2" t="s">
        <v>0</v>
      </c>
      <c r="D4" s="2" t="s">
        <v>1</v>
      </c>
      <c r="E4" s="2" t="s">
        <v>2</v>
      </c>
      <c r="F4" s="2" t="s">
        <v>3</v>
      </c>
      <c r="G4" s="4" t="s">
        <v>4</v>
      </c>
      <c r="H4" s="4" t="s">
        <v>8</v>
      </c>
      <c r="I4" s="5" t="s">
        <v>9</v>
      </c>
      <c r="J4" s="5" t="s">
        <v>10</v>
      </c>
      <c r="K4" s="5" t="s">
        <v>5</v>
      </c>
      <c r="L4" s="40"/>
      <c r="M4" s="2" t="s">
        <v>0</v>
      </c>
      <c r="N4" s="2" t="s">
        <v>1</v>
      </c>
      <c r="O4" s="2" t="s">
        <v>2</v>
      </c>
      <c r="P4" s="2" t="s">
        <v>3</v>
      </c>
      <c r="Q4" s="4" t="s">
        <v>4</v>
      </c>
      <c r="R4" s="4" t="s">
        <v>8</v>
      </c>
      <c r="S4" s="5" t="s">
        <v>9</v>
      </c>
      <c r="T4" s="5" t="s">
        <v>10</v>
      </c>
      <c r="U4" s="5" t="s">
        <v>5</v>
      </c>
      <c r="W4" s="2" t="s">
        <v>0</v>
      </c>
      <c r="X4" s="2" t="s">
        <v>1</v>
      </c>
      <c r="Y4" s="2" t="s">
        <v>2</v>
      </c>
      <c r="Z4" s="2" t="s">
        <v>3</v>
      </c>
      <c r="AA4" s="4" t="s">
        <v>4</v>
      </c>
      <c r="AB4" s="4" t="s">
        <v>8</v>
      </c>
      <c r="AC4" s="5" t="s">
        <v>9</v>
      </c>
      <c r="AD4" s="5" t="s">
        <v>10</v>
      </c>
      <c r="AE4" s="5" t="s">
        <v>5</v>
      </c>
      <c r="AG4" s="2" t="s">
        <v>0</v>
      </c>
      <c r="AH4" s="2" t="s">
        <v>1</v>
      </c>
      <c r="AI4" s="2" t="s">
        <v>2</v>
      </c>
      <c r="AJ4" s="2" t="s">
        <v>3</v>
      </c>
      <c r="AK4" s="4" t="s">
        <v>4</v>
      </c>
      <c r="AL4" s="4" t="s">
        <v>8</v>
      </c>
      <c r="AM4" s="5" t="s">
        <v>9</v>
      </c>
      <c r="AN4" s="5" t="s">
        <v>10</v>
      </c>
      <c r="AO4" s="5" t="s">
        <v>5</v>
      </c>
      <c r="AQ4" s="12">
        <v>45310</v>
      </c>
      <c r="AR4" s="2" t="s">
        <v>134</v>
      </c>
      <c r="AS4" s="53" t="s">
        <v>138</v>
      </c>
      <c r="AT4" s="176">
        <v>15</v>
      </c>
      <c r="AU4" s="53">
        <v>41.66</v>
      </c>
      <c r="AV4" s="53">
        <f t="shared" ref="AV4:AV6" si="0">AT4*AU4</f>
        <v>624.9</v>
      </c>
      <c r="AW4" s="53">
        <f t="shared" ref="AW4:AW6" si="1">AV4*0.08</f>
        <v>49.991999999999997</v>
      </c>
      <c r="AX4" s="10"/>
      <c r="AY4" s="53">
        <f t="shared" ref="AY4" si="2">SUM(AV4:AW4)</f>
        <v>674.89199999999994</v>
      </c>
    </row>
    <row r="5" spans="3:51" x14ac:dyDescent="0.25">
      <c r="C5" s="3">
        <v>45309</v>
      </c>
      <c r="D5" s="1" t="s">
        <v>131</v>
      </c>
      <c r="E5" s="6" t="s">
        <v>132</v>
      </c>
      <c r="F5">
        <v>1</v>
      </c>
      <c r="G5" s="6">
        <f>1369.44</f>
        <v>1369.44</v>
      </c>
      <c r="H5" s="6">
        <f>F5*G5</f>
        <v>1369.44</v>
      </c>
      <c r="I5" s="6">
        <f>H5*0.08</f>
        <v>109.55520000000001</v>
      </c>
      <c r="J5" s="6"/>
      <c r="K5" s="6">
        <f>SUM(H5:I5)</f>
        <v>1478.9952000000001</v>
      </c>
      <c r="L5" s="6"/>
      <c r="M5" s="12">
        <v>45321</v>
      </c>
      <c r="N5" s="2" t="s">
        <v>190</v>
      </c>
      <c r="O5" s="11" t="s">
        <v>191</v>
      </c>
      <c r="P5" s="10">
        <v>1</v>
      </c>
      <c r="Q5" s="11">
        <v>572</v>
      </c>
      <c r="R5" s="11">
        <f>P5*Q5</f>
        <v>572</v>
      </c>
      <c r="S5" s="11">
        <f>R5*0.08</f>
        <v>45.76</v>
      </c>
      <c r="T5" s="11"/>
      <c r="U5" s="11">
        <f>SUM(R5:S5)-T5</f>
        <v>617.76</v>
      </c>
      <c r="W5" s="59">
        <v>45310</v>
      </c>
      <c r="X5" s="2" t="s">
        <v>231</v>
      </c>
      <c r="Y5" s="4" t="s">
        <v>232</v>
      </c>
      <c r="Z5" s="10">
        <v>72</v>
      </c>
      <c r="AA5" s="11">
        <v>217</v>
      </c>
      <c r="AB5" s="11">
        <f t="shared" ref="AB5" si="3">Z5*AA5</f>
        <v>15624</v>
      </c>
      <c r="AC5" s="11">
        <f t="shared" ref="AC5" si="4">AB5*0.08</f>
        <v>1249.92</v>
      </c>
      <c r="AD5" s="11"/>
      <c r="AE5" s="11">
        <f t="shared" ref="AE5" si="5">SUM(AB5:AC5)</f>
        <v>16873.919999999998</v>
      </c>
      <c r="AG5" s="59">
        <v>45310</v>
      </c>
      <c r="AH5" s="2" t="s">
        <v>231</v>
      </c>
      <c r="AI5" s="11" t="s">
        <v>233</v>
      </c>
      <c r="AJ5" s="2">
        <v>5</v>
      </c>
      <c r="AK5" s="11">
        <f>3200/5</f>
        <v>640</v>
      </c>
      <c r="AL5" s="11">
        <f t="shared" ref="AL5" si="6">AJ5*AK5</f>
        <v>3200</v>
      </c>
      <c r="AM5" s="11">
        <f t="shared" ref="AM5" si="7">AL5*0.08</f>
        <v>256</v>
      </c>
      <c r="AN5" s="11"/>
      <c r="AO5" s="11">
        <f t="shared" ref="AO5" si="8">SUM(AL5:AM5)</f>
        <v>3456</v>
      </c>
      <c r="AQ5" s="12">
        <v>45317</v>
      </c>
      <c r="AR5" s="2" t="s">
        <v>134</v>
      </c>
      <c r="AS5" s="11" t="s">
        <v>138</v>
      </c>
      <c r="AT5" s="47">
        <v>20</v>
      </c>
      <c r="AU5" s="11">
        <v>41.66</v>
      </c>
      <c r="AV5" s="11">
        <f t="shared" si="0"/>
        <v>833.19999999999993</v>
      </c>
      <c r="AW5" s="11">
        <f t="shared" si="1"/>
        <v>66.655999999999992</v>
      </c>
      <c r="AX5" s="10"/>
      <c r="AY5" s="11">
        <f>SUM(AV5:AW5)</f>
        <v>899.85599999999988</v>
      </c>
    </row>
    <row r="6" spans="3:51" x14ac:dyDescent="0.25">
      <c r="C6" s="3">
        <v>45309</v>
      </c>
      <c r="D6" s="1" t="s">
        <v>131</v>
      </c>
      <c r="E6" s="6" t="s">
        <v>133</v>
      </c>
      <c r="F6">
        <v>1</v>
      </c>
      <c r="G6" s="6">
        <f>542.59</f>
        <v>542.59</v>
      </c>
      <c r="H6" s="6">
        <f>F6*G6</f>
        <v>542.59</v>
      </c>
      <c r="I6" s="6">
        <f>H6*0.08</f>
        <v>43.407200000000003</v>
      </c>
      <c r="J6" s="6"/>
      <c r="K6" s="6">
        <f>SUM(H6:I6)</f>
        <v>585.99720000000002</v>
      </c>
      <c r="L6" s="6"/>
      <c r="M6" s="11"/>
      <c r="N6" s="11"/>
      <c r="O6" s="11"/>
      <c r="P6" s="11"/>
      <c r="Q6" s="11"/>
      <c r="R6" s="11"/>
      <c r="S6" s="11"/>
      <c r="T6" s="11"/>
      <c r="U6" s="11"/>
      <c r="W6" s="2"/>
      <c r="X6" s="2"/>
      <c r="Y6" s="2"/>
      <c r="Z6" s="10"/>
      <c r="AA6" s="10"/>
      <c r="AB6" s="10"/>
      <c r="AC6" s="10"/>
      <c r="AD6" s="10"/>
      <c r="AE6" s="10"/>
      <c r="AG6" s="59">
        <v>45331</v>
      </c>
      <c r="AH6" s="2" t="s">
        <v>231</v>
      </c>
      <c r="AI6" s="11" t="s">
        <v>233</v>
      </c>
      <c r="AJ6" s="2">
        <v>4</v>
      </c>
      <c r="AK6" s="11">
        <f>3200/5</f>
        <v>640</v>
      </c>
      <c r="AL6" s="11">
        <f t="shared" ref="AL6" si="9">AJ6*AK6</f>
        <v>2560</v>
      </c>
      <c r="AM6" s="11">
        <f t="shared" ref="AM6" si="10">AL6*0.08</f>
        <v>204.8</v>
      </c>
      <c r="AN6" s="11"/>
      <c r="AO6" s="11">
        <f t="shared" ref="AO6" si="11">SUM(AL6:AM6)</f>
        <v>2764.8</v>
      </c>
      <c r="AQ6" s="12">
        <v>45321</v>
      </c>
      <c r="AR6" s="2" t="s">
        <v>15</v>
      </c>
      <c r="AS6" s="11" t="s">
        <v>138</v>
      </c>
      <c r="AT6" s="10">
        <v>20</v>
      </c>
      <c r="AU6" s="11">
        <v>25.73</v>
      </c>
      <c r="AV6" s="11">
        <f t="shared" si="0"/>
        <v>514.6</v>
      </c>
      <c r="AW6" s="11">
        <f t="shared" si="1"/>
        <v>41.167999999999999</v>
      </c>
      <c r="AX6" s="11"/>
      <c r="AY6" s="11">
        <f t="shared" ref="AY6" si="12">SUM(AV6:AW6)-AX6</f>
        <v>555.76800000000003</v>
      </c>
    </row>
    <row r="7" spans="3:51" x14ac:dyDescent="0.25">
      <c r="C7" s="3">
        <v>45633</v>
      </c>
      <c r="D7" s="1" t="s">
        <v>227</v>
      </c>
      <c r="E7" t="s">
        <v>228</v>
      </c>
      <c r="F7">
        <v>10</v>
      </c>
      <c r="G7" s="6">
        <v>15</v>
      </c>
      <c r="H7" s="6">
        <f t="shared" ref="H7" si="13">F7*G7</f>
        <v>150</v>
      </c>
      <c r="I7" s="6">
        <f>H7*0.16</f>
        <v>24</v>
      </c>
      <c r="J7" s="6"/>
      <c r="K7" s="6">
        <f t="shared" ref="K7" si="14">SUM(H7:I7)-J7</f>
        <v>174</v>
      </c>
      <c r="L7" s="6"/>
      <c r="M7" s="11"/>
      <c r="N7" s="11"/>
      <c r="O7" s="11"/>
      <c r="P7" s="11"/>
      <c r="Q7" s="11"/>
      <c r="R7" s="11"/>
      <c r="S7" s="11"/>
      <c r="T7" s="11"/>
      <c r="U7" s="11"/>
      <c r="W7" s="2"/>
      <c r="X7" s="2"/>
      <c r="Y7" s="2"/>
      <c r="Z7" s="10"/>
      <c r="AA7" s="10"/>
      <c r="AB7" s="10"/>
      <c r="AC7" s="10"/>
      <c r="AD7" s="10"/>
      <c r="AE7" s="10"/>
      <c r="AG7" s="2"/>
      <c r="AH7" s="10"/>
      <c r="AI7" s="10"/>
      <c r="AJ7" s="2"/>
      <c r="AK7" s="10"/>
      <c r="AL7" s="10"/>
      <c r="AM7" s="10"/>
      <c r="AN7" s="10"/>
      <c r="AO7" s="10"/>
      <c r="AQ7" s="10"/>
      <c r="AR7" s="10"/>
      <c r="AS7" s="10"/>
      <c r="AT7" s="10"/>
      <c r="AU7" s="10"/>
      <c r="AV7" s="10"/>
      <c r="AW7" s="10"/>
      <c r="AX7" s="10"/>
      <c r="AY7" s="10"/>
    </row>
    <row r="8" spans="3:51" x14ac:dyDescent="0.25">
      <c r="C8" s="3">
        <v>45297</v>
      </c>
      <c r="D8" s="1" t="s">
        <v>13</v>
      </c>
      <c r="E8" t="s">
        <v>107</v>
      </c>
      <c r="F8">
        <v>8</v>
      </c>
      <c r="G8" s="7">
        <v>60.19</v>
      </c>
      <c r="H8" s="7">
        <f>F8*G8-192.59</f>
        <v>288.92999999999995</v>
      </c>
      <c r="I8" s="7">
        <f t="shared" ref="I8:I9" si="15">H8*0.08</f>
        <v>23.114399999999996</v>
      </c>
      <c r="J8" s="7"/>
      <c r="K8" s="7">
        <f t="shared" ref="K8" si="16">SUM(H8:I8)-J8</f>
        <v>312.04439999999994</v>
      </c>
      <c r="L8" s="7"/>
      <c r="M8" s="53"/>
      <c r="N8" s="53"/>
      <c r="O8" s="53"/>
      <c r="P8" s="53"/>
      <c r="Q8" s="53"/>
      <c r="R8" s="53"/>
      <c r="S8" s="53"/>
      <c r="T8" s="53"/>
      <c r="U8" s="53"/>
      <c r="W8" s="2"/>
      <c r="X8" s="2"/>
      <c r="Y8" s="2"/>
      <c r="Z8" s="10"/>
      <c r="AA8" s="10"/>
      <c r="AB8" s="10"/>
      <c r="AC8" s="10"/>
      <c r="AD8" s="10"/>
      <c r="AE8" s="10"/>
      <c r="AG8" s="2"/>
      <c r="AH8" s="10"/>
      <c r="AI8" s="10"/>
      <c r="AJ8" s="2"/>
      <c r="AK8" s="10"/>
      <c r="AL8" s="10"/>
      <c r="AM8" s="10"/>
      <c r="AN8" s="10"/>
      <c r="AO8" s="10"/>
      <c r="AQ8" s="10"/>
      <c r="AR8" s="10"/>
      <c r="AS8" s="10"/>
      <c r="AT8" s="10"/>
      <c r="AU8" s="10"/>
      <c r="AV8" s="10"/>
      <c r="AW8" s="10"/>
      <c r="AX8" s="10"/>
      <c r="AY8" s="10"/>
    </row>
    <row r="9" spans="3:51" x14ac:dyDescent="0.25">
      <c r="C9" s="3">
        <v>45307</v>
      </c>
      <c r="D9" s="1" t="s">
        <v>15</v>
      </c>
      <c r="E9" t="s">
        <v>130</v>
      </c>
      <c r="F9">
        <v>1</v>
      </c>
      <c r="G9" s="6">
        <f>3147.02/1.08</f>
        <v>2913.9074074074074</v>
      </c>
      <c r="H9" s="6">
        <f t="shared" ref="H9" si="17">F9*G9</f>
        <v>2913.9074074074074</v>
      </c>
      <c r="I9" s="6">
        <f t="shared" si="15"/>
        <v>233.11259259259259</v>
      </c>
      <c r="J9" s="6"/>
      <c r="K9" s="6">
        <f t="shared" ref="K9" si="18">SUM(H9:I9)</f>
        <v>3147.02</v>
      </c>
      <c r="L9" s="6"/>
      <c r="M9" s="11"/>
      <c r="N9" s="11"/>
      <c r="O9" s="11"/>
      <c r="P9" s="11"/>
      <c r="Q9" s="11"/>
      <c r="R9" s="11"/>
      <c r="S9" s="11"/>
      <c r="T9" s="11"/>
      <c r="U9" s="11"/>
      <c r="W9" s="2"/>
      <c r="X9" s="2"/>
      <c r="Y9" s="2"/>
      <c r="Z9" s="10"/>
      <c r="AA9" s="10"/>
      <c r="AB9" s="10"/>
      <c r="AC9" s="10"/>
      <c r="AD9" s="10"/>
      <c r="AE9" s="10"/>
      <c r="AG9" s="2"/>
      <c r="AH9" s="10"/>
      <c r="AI9" s="10"/>
      <c r="AJ9" s="2"/>
      <c r="AK9" s="10"/>
      <c r="AL9" s="10"/>
      <c r="AM9" s="10"/>
      <c r="AN9" s="10"/>
      <c r="AO9" s="10"/>
      <c r="AQ9" s="10"/>
      <c r="AR9" s="10"/>
      <c r="AS9" s="10"/>
      <c r="AT9" s="10"/>
      <c r="AU9" s="10"/>
      <c r="AV9" s="10"/>
      <c r="AW9" s="10"/>
      <c r="AX9" s="10"/>
      <c r="AY9" s="10"/>
    </row>
    <row r="10" spans="3:51" x14ac:dyDescent="0.25">
      <c r="C10" s="3">
        <v>45310</v>
      </c>
      <c r="D10" s="1" t="s">
        <v>131</v>
      </c>
      <c r="E10" s="6" t="s">
        <v>139</v>
      </c>
      <c r="F10" s="8">
        <v>1</v>
      </c>
      <c r="G10" s="6">
        <v>171.3</v>
      </c>
      <c r="H10" s="6">
        <f t="shared" ref="H10:H12" si="19">F10*G10</f>
        <v>171.3</v>
      </c>
      <c r="I10" s="6">
        <f t="shared" ref="I10:I23" si="20">H10*0.08</f>
        <v>13.704000000000001</v>
      </c>
      <c r="K10" s="6">
        <f t="shared" ref="K10:K12" si="21">SUM(H10:I10)</f>
        <v>185.00400000000002</v>
      </c>
      <c r="L10" s="6"/>
      <c r="M10" s="11"/>
      <c r="N10" s="11"/>
      <c r="O10" s="11"/>
      <c r="P10" s="11"/>
      <c r="Q10" s="11"/>
      <c r="R10" s="11"/>
      <c r="S10" s="11"/>
      <c r="T10" s="11"/>
      <c r="U10" s="11"/>
      <c r="W10" s="2"/>
      <c r="X10" s="2"/>
      <c r="Y10" s="2"/>
      <c r="Z10" s="10"/>
      <c r="AA10" s="10"/>
      <c r="AB10" s="10"/>
      <c r="AC10" s="10"/>
      <c r="AD10" s="10"/>
      <c r="AE10" s="10"/>
      <c r="AG10" s="2"/>
      <c r="AH10" s="10"/>
      <c r="AI10" s="10"/>
      <c r="AJ10" s="2"/>
      <c r="AK10" s="10"/>
      <c r="AL10" s="10"/>
      <c r="AM10" s="10"/>
      <c r="AN10" s="10"/>
      <c r="AO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 spans="3:51" x14ac:dyDescent="0.25">
      <c r="C11" s="3">
        <v>45310</v>
      </c>
      <c r="D11" s="1" t="s">
        <v>131</v>
      </c>
      <c r="E11" s="6" t="s">
        <v>140</v>
      </c>
      <c r="F11" s="8">
        <v>1</v>
      </c>
      <c r="G11" s="6">
        <v>97.22</v>
      </c>
      <c r="H11" s="6">
        <f t="shared" si="19"/>
        <v>97.22</v>
      </c>
      <c r="I11" s="6">
        <f t="shared" si="20"/>
        <v>7.7776000000000005</v>
      </c>
      <c r="K11" s="6">
        <f t="shared" si="21"/>
        <v>104.99760000000001</v>
      </c>
      <c r="L11" s="6"/>
      <c r="M11" s="11"/>
      <c r="N11" s="11"/>
      <c r="O11" s="11"/>
      <c r="P11" s="11"/>
      <c r="Q11" s="11"/>
      <c r="R11" s="11"/>
      <c r="S11" s="11"/>
      <c r="T11" s="11"/>
      <c r="U11" s="11"/>
      <c r="W11" s="2"/>
      <c r="X11" s="2"/>
      <c r="Y11" s="2"/>
      <c r="Z11" s="10"/>
      <c r="AA11" s="10"/>
      <c r="AB11" s="10"/>
      <c r="AC11" s="10"/>
      <c r="AD11" s="10"/>
      <c r="AE11" s="10"/>
      <c r="AG11" s="2"/>
      <c r="AH11" s="10"/>
      <c r="AI11" s="10"/>
      <c r="AJ11" s="2"/>
      <c r="AK11" s="10"/>
      <c r="AL11" s="10"/>
      <c r="AM11" s="10"/>
      <c r="AN11" s="10"/>
      <c r="AO11" s="10"/>
      <c r="AQ11" s="10"/>
      <c r="AR11" s="10"/>
      <c r="AS11" s="10"/>
      <c r="AT11" s="10"/>
      <c r="AU11" s="10"/>
      <c r="AV11" s="10"/>
      <c r="AW11" s="10"/>
      <c r="AX11" s="10"/>
      <c r="AY11" s="10"/>
    </row>
    <row r="12" spans="3:51" x14ac:dyDescent="0.25">
      <c r="C12" s="3">
        <v>45310</v>
      </c>
      <c r="D12" s="1" t="s">
        <v>131</v>
      </c>
      <c r="E12" s="6" t="s">
        <v>141</v>
      </c>
      <c r="F12" s="8">
        <v>2</v>
      </c>
      <c r="G12" s="6">
        <v>25.93</v>
      </c>
      <c r="H12" s="6">
        <f t="shared" si="19"/>
        <v>51.86</v>
      </c>
      <c r="I12" s="6">
        <f t="shared" si="20"/>
        <v>4.1487999999999996</v>
      </c>
      <c r="K12" s="6">
        <f t="shared" si="21"/>
        <v>56.008800000000001</v>
      </c>
      <c r="L12" s="7"/>
      <c r="M12" s="53"/>
      <c r="N12" s="53"/>
      <c r="O12" s="53"/>
      <c r="P12" s="53"/>
      <c r="Q12" s="53"/>
      <c r="R12" s="53"/>
      <c r="S12" s="53"/>
      <c r="T12" s="53"/>
      <c r="U12" s="53"/>
      <c r="W12" s="2"/>
      <c r="X12" s="2"/>
      <c r="Y12" s="2"/>
      <c r="Z12" s="10"/>
      <c r="AA12" s="10"/>
      <c r="AB12" s="10"/>
      <c r="AC12" s="10"/>
      <c r="AD12" s="10"/>
      <c r="AE12" s="10"/>
      <c r="AG12" s="2"/>
      <c r="AH12" s="10"/>
      <c r="AI12" s="10"/>
      <c r="AJ12" s="2"/>
      <c r="AK12" s="10"/>
      <c r="AL12" s="10"/>
      <c r="AM12" s="10"/>
      <c r="AN12" s="10"/>
      <c r="AO12" s="10"/>
      <c r="AQ12" s="10"/>
      <c r="AR12" s="10"/>
      <c r="AS12" s="10"/>
      <c r="AT12" s="10"/>
      <c r="AU12" s="10"/>
      <c r="AV12" s="10"/>
      <c r="AW12" s="10"/>
      <c r="AX12" s="10"/>
      <c r="AY12" s="10"/>
    </row>
    <row r="13" spans="3:51" x14ac:dyDescent="0.25">
      <c r="C13" s="3">
        <v>45315</v>
      </c>
      <c r="D13" s="1" t="s">
        <v>13</v>
      </c>
      <c r="E13" s="7" t="s">
        <v>282</v>
      </c>
      <c r="F13">
        <v>1</v>
      </c>
      <c r="G13" s="7">
        <f>(1665-166)/1.08</f>
        <v>1387.9629629629628</v>
      </c>
      <c r="H13" s="7">
        <f>F13*G13</f>
        <v>1387.9629629629628</v>
      </c>
      <c r="I13" s="7">
        <f t="shared" si="20"/>
        <v>111.03703703703702</v>
      </c>
      <c r="J13" s="7"/>
      <c r="K13" s="7">
        <f t="shared" ref="K13:K14" si="22">SUM(H13:I13)-J13</f>
        <v>1498.9999999999998</v>
      </c>
      <c r="L13" s="7"/>
      <c r="M13" s="53"/>
      <c r="N13" s="53"/>
      <c r="O13" s="53"/>
      <c r="P13" s="53"/>
      <c r="Q13" s="53"/>
      <c r="R13" s="53"/>
      <c r="S13" s="53"/>
      <c r="T13" s="53"/>
      <c r="U13" s="53"/>
      <c r="W13" s="2"/>
      <c r="X13" s="2"/>
      <c r="Y13" s="2"/>
      <c r="Z13" s="10"/>
      <c r="AA13" s="10"/>
      <c r="AB13" s="10"/>
      <c r="AC13" s="10"/>
      <c r="AD13" s="10"/>
      <c r="AE13" s="10"/>
      <c r="AG13" s="2"/>
      <c r="AH13" s="10"/>
      <c r="AI13" s="10"/>
      <c r="AJ13" s="2"/>
      <c r="AK13" s="10"/>
      <c r="AL13" s="10"/>
      <c r="AM13" s="10"/>
      <c r="AN13" s="10"/>
      <c r="AO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 spans="3:51" x14ac:dyDescent="0.25">
      <c r="C14" s="3">
        <v>45315</v>
      </c>
      <c r="D14" s="1" t="s">
        <v>13</v>
      </c>
      <c r="E14" s="7" t="s">
        <v>284</v>
      </c>
      <c r="F14">
        <v>7</v>
      </c>
      <c r="G14" s="7">
        <f>28/1.08</f>
        <v>25.925925925925924</v>
      </c>
      <c r="H14" s="7">
        <f>F14*G14-38.5</f>
        <v>142.98148148148147</v>
      </c>
      <c r="I14" s="7">
        <f t="shared" si="20"/>
        <v>11.438518518518517</v>
      </c>
      <c r="J14" s="7"/>
      <c r="K14" s="7">
        <f t="shared" si="22"/>
        <v>154.41999999999999</v>
      </c>
      <c r="L14" s="6"/>
      <c r="M14" s="11"/>
      <c r="N14" s="11"/>
      <c r="O14" s="11"/>
      <c r="P14" s="11"/>
      <c r="Q14" s="11"/>
      <c r="R14" s="11"/>
      <c r="S14" s="11"/>
      <c r="T14" s="11"/>
      <c r="U14" s="11"/>
      <c r="W14" s="6"/>
      <c r="X14" s="6"/>
      <c r="Y14" s="6"/>
      <c r="Z14" s="6"/>
      <c r="AA14" s="6"/>
      <c r="AB14" s="6"/>
      <c r="AC14" s="6"/>
      <c r="AD14" s="6"/>
      <c r="AE14" s="179">
        <f>SUM(AE5:AE13)</f>
        <v>16873.919999999998</v>
      </c>
      <c r="AG14" s="2"/>
      <c r="AH14" s="10"/>
      <c r="AI14" s="10"/>
      <c r="AJ14" s="2"/>
      <c r="AK14" s="10"/>
      <c r="AL14" s="10"/>
      <c r="AM14" s="10"/>
      <c r="AN14" s="10"/>
      <c r="AO14" s="10"/>
      <c r="AQ14" s="10"/>
      <c r="AR14" s="10"/>
      <c r="AS14" s="10"/>
      <c r="AT14" s="10"/>
      <c r="AU14" s="10"/>
      <c r="AV14" s="10"/>
      <c r="AW14" s="10"/>
      <c r="AX14" s="10"/>
      <c r="AY14" s="10"/>
    </row>
    <row r="15" spans="3:51" x14ac:dyDescent="0.25">
      <c r="C15" s="3">
        <v>45317</v>
      </c>
      <c r="D15" s="1" t="s">
        <v>134</v>
      </c>
      <c r="E15" s="6" t="s">
        <v>142</v>
      </c>
      <c r="F15" s="8">
        <v>1</v>
      </c>
      <c r="G15" s="6">
        <v>80</v>
      </c>
      <c r="H15" s="6">
        <f t="shared" ref="H15:H23" si="23">F15*G15</f>
        <v>80</v>
      </c>
      <c r="I15" s="6">
        <f t="shared" si="20"/>
        <v>6.4</v>
      </c>
      <c r="K15" s="6">
        <f>SUM(H15:I15)</f>
        <v>86.4</v>
      </c>
      <c r="L15" s="6"/>
      <c r="M15" s="6"/>
      <c r="N15" s="6"/>
      <c r="O15" s="6"/>
      <c r="P15" s="6"/>
      <c r="Q15" s="6"/>
      <c r="R15" s="6"/>
      <c r="S15" s="6"/>
      <c r="T15" s="6"/>
      <c r="U15" s="11">
        <f>SUM(U5:U14)</f>
        <v>617.76</v>
      </c>
      <c r="V15" s="6"/>
      <c r="AF15" s="6"/>
      <c r="AG15" s="44"/>
      <c r="AH15" s="6"/>
      <c r="AI15" s="6"/>
      <c r="AJ15" s="44"/>
      <c r="AK15" s="6"/>
      <c r="AL15" s="6"/>
      <c r="AM15" s="6"/>
      <c r="AN15" s="6"/>
      <c r="AO15" s="179">
        <f t="shared" ref="AO15" si="24">SUM(AO5:AO14)</f>
        <v>6220.8</v>
      </c>
      <c r="AP15" s="6"/>
      <c r="AQ15" s="6"/>
      <c r="AR15" s="6"/>
      <c r="AS15" s="6"/>
      <c r="AT15" s="180">
        <f>SUM(AT4:AT14)</f>
        <v>55</v>
      </c>
      <c r="AU15" s="6"/>
      <c r="AV15" s="6"/>
      <c r="AW15" s="6"/>
      <c r="AX15" s="6"/>
      <c r="AY15" s="179">
        <f t="shared" ref="AY15" si="25">SUM(AY5:AY14)</f>
        <v>1455.6239999999998</v>
      </c>
    </row>
    <row r="16" spans="3:51" x14ac:dyDescent="0.25">
      <c r="C16" s="3">
        <v>45317</v>
      </c>
      <c r="D16" s="1" t="s">
        <v>131</v>
      </c>
      <c r="E16" s="6" t="s">
        <v>143</v>
      </c>
      <c r="F16" s="8">
        <v>1</v>
      </c>
      <c r="G16" s="6">
        <v>134.26</v>
      </c>
      <c r="H16" s="6">
        <f t="shared" si="23"/>
        <v>134.26</v>
      </c>
      <c r="I16" s="6">
        <f t="shared" si="20"/>
        <v>10.7408</v>
      </c>
      <c r="K16" s="6">
        <f>SUM(H16:I16)</f>
        <v>145.0008</v>
      </c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3:32" x14ac:dyDescent="0.25">
      <c r="C17" s="3">
        <v>45317</v>
      </c>
      <c r="D17" s="1" t="s">
        <v>131</v>
      </c>
      <c r="E17" s="6" t="s">
        <v>144</v>
      </c>
      <c r="F17" s="8">
        <v>1</v>
      </c>
      <c r="G17" s="6">
        <v>193.52</v>
      </c>
      <c r="H17" s="6">
        <f t="shared" si="23"/>
        <v>193.52</v>
      </c>
      <c r="I17" s="6">
        <f t="shared" si="20"/>
        <v>15.481600000000002</v>
      </c>
      <c r="K17" s="6">
        <f>SUM(H17:I17)</f>
        <v>209.00160000000002</v>
      </c>
      <c r="L17" s="6"/>
      <c r="M17" s="6"/>
      <c r="N17" s="6"/>
      <c r="O17" s="6"/>
      <c r="P17" s="6"/>
      <c r="Q17" s="6"/>
      <c r="R17" s="6"/>
      <c r="S17" s="6"/>
      <c r="T17" s="6"/>
      <c r="U17" s="6"/>
      <c r="W17" s="386" t="s">
        <v>443</v>
      </c>
      <c r="X17" s="386"/>
      <c r="Y17" s="386"/>
      <c r="Z17" s="386"/>
      <c r="AA17" s="386"/>
      <c r="AB17" s="386"/>
      <c r="AC17" s="386"/>
      <c r="AD17" s="386"/>
      <c r="AE17" s="386"/>
      <c r="AF17">
        <f>2400/3</f>
        <v>800</v>
      </c>
    </row>
    <row r="18" spans="3:32" x14ac:dyDescent="0.25">
      <c r="C18" s="3">
        <v>45317</v>
      </c>
      <c r="D18" s="1" t="s">
        <v>131</v>
      </c>
      <c r="E18" s="6" t="s">
        <v>145</v>
      </c>
      <c r="F18" s="8">
        <v>1</v>
      </c>
      <c r="G18" s="6">
        <v>21.3</v>
      </c>
      <c r="H18" s="6">
        <f t="shared" si="23"/>
        <v>21.3</v>
      </c>
      <c r="I18" s="6">
        <f t="shared" si="20"/>
        <v>1.7040000000000002</v>
      </c>
      <c r="K18" s="6">
        <f>SUM(H18:I18)</f>
        <v>23.004000000000001</v>
      </c>
      <c r="L18" s="6"/>
      <c r="M18" s="6"/>
      <c r="N18" s="6"/>
      <c r="O18" s="6"/>
      <c r="P18" s="6"/>
      <c r="Q18" s="6"/>
      <c r="R18" s="6"/>
      <c r="S18" s="6"/>
      <c r="T18" s="6"/>
      <c r="U18" s="6"/>
      <c r="W18" s="2" t="s">
        <v>0</v>
      </c>
      <c r="X18" s="2" t="s">
        <v>1</v>
      </c>
      <c r="Y18" s="2" t="s">
        <v>2</v>
      </c>
      <c r="Z18" s="2" t="s">
        <v>3</v>
      </c>
      <c r="AA18" s="4" t="s">
        <v>4</v>
      </c>
      <c r="AB18" s="4" t="s">
        <v>8</v>
      </c>
      <c r="AC18" s="5" t="s">
        <v>9</v>
      </c>
      <c r="AD18" s="5" t="s">
        <v>10</v>
      </c>
      <c r="AE18" s="5" t="s">
        <v>5</v>
      </c>
    </row>
    <row r="19" spans="3:32" x14ac:dyDescent="0.25">
      <c r="C19" s="3">
        <v>45321</v>
      </c>
      <c r="D19" s="1" t="s">
        <v>13</v>
      </c>
      <c r="E19" s="6" t="s">
        <v>151</v>
      </c>
      <c r="F19">
        <v>1</v>
      </c>
      <c r="G19" s="6">
        <v>52.78</v>
      </c>
      <c r="H19" s="6">
        <f t="shared" si="23"/>
        <v>52.78</v>
      </c>
      <c r="I19" s="6">
        <f t="shared" si="20"/>
        <v>4.2224000000000004</v>
      </c>
      <c r="J19" s="6"/>
      <c r="K19" s="6">
        <f t="shared" ref="K19" si="26">SUM(H19:I19)-J19</f>
        <v>57.002400000000002</v>
      </c>
      <c r="L19" s="6"/>
      <c r="M19" s="6"/>
      <c r="N19" s="6"/>
      <c r="O19" s="6"/>
      <c r="P19" s="6"/>
      <c r="Q19" s="6"/>
      <c r="R19" s="6"/>
      <c r="S19" s="6"/>
      <c r="T19" s="6"/>
      <c r="U19" s="6"/>
      <c r="W19" s="59">
        <v>45324</v>
      </c>
      <c r="X19" s="2" t="s">
        <v>231</v>
      </c>
      <c r="Y19" s="2" t="s">
        <v>443</v>
      </c>
      <c r="Z19" s="10">
        <v>3</v>
      </c>
      <c r="AA19" s="11">
        <v>800</v>
      </c>
      <c r="AB19" s="11">
        <f t="shared" ref="AB19" si="27">Z19*AA19</f>
        <v>2400</v>
      </c>
      <c r="AC19" s="11">
        <f t="shared" ref="AC19" si="28">AB19*0.08</f>
        <v>192</v>
      </c>
      <c r="AD19" s="11"/>
      <c r="AE19" s="11">
        <f t="shared" ref="AE19" si="29">SUM(AB19:AC19)</f>
        <v>2592</v>
      </c>
    </row>
    <row r="20" spans="3:32" x14ac:dyDescent="0.25">
      <c r="C20" s="3">
        <v>30.01</v>
      </c>
      <c r="D20" s="1" t="s">
        <v>15</v>
      </c>
      <c r="E20" s="6" t="s">
        <v>173</v>
      </c>
      <c r="F20">
        <v>1</v>
      </c>
      <c r="G20" s="6">
        <v>24.79</v>
      </c>
      <c r="H20" s="6">
        <f t="shared" si="23"/>
        <v>24.79</v>
      </c>
      <c r="I20" s="6">
        <f t="shared" si="20"/>
        <v>1.9832000000000001</v>
      </c>
      <c r="J20" s="6"/>
      <c r="K20" s="6">
        <f t="shared" ref="K20" si="30">SUM(H20:I20)-J20</f>
        <v>26.773199999999999</v>
      </c>
      <c r="L20" s="6"/>
      <c r="M20" s="6"/>
      <c r="N20" s="6"/>
      <c r="O20" s="6"/>
      <c r="P20" s="6"/>
      <c r="Q20" s="6"/>
      <c r="R20" s="6"/>
      <c r="S20" s="6"/>
      <c r="T20" s="6"/>
      <c r="U20" s="6"/>
      <c r="W20" s="59">
        <v>45331</v>
      </c>
      <c r="X20" s="2" t="s">
        <v>231</v>
      </c>
      <c r="Y20" s="2" t="s">
        <v>443</v>
      </c>
      <c r="Z20" s="10">
        <v>6</v>
      </c>
      <c r="AA20" s="11">
        <v>800</v>
      </c>
      <c r="AB20" s="11">
        <f t="shared" ref="AB20" si="31">Z20*AA20</f>
        <v>4800</v>
      </c>
      <c r="AC20" s="11">
        <f t="shared" ref="AC20" si="32">AB20*0.08</f>
        <v>384</v>
      </c>
      <c r="AD20" s="11"/>
      <c r="AE20" s="11">
        <f t="shared" ref="AE20" si="33">SUM(AB20:AC20)</f>
        <v>5184</v>
      </c>
    </row>
    <row r="21" spans="3:32" x14ac:dyDescent="0.25">
      <c r="C21" s="3">
        <v>45321</v>
      </c>
      <c r="D21" s="1" t="s">
        <v>15</v>
      </c>
      <c r="E21" s="6" t="s">
        <v>174</v>
      </c>
      <c r="F21">
        <v>2</v>
      </c>
      <c r="G21" s="6">
        <v>93.83</v>
      </c>
      <c r="H21" s="6">
        <f t="shared" si="23"/>
        <v>187.66</v>
      </c>
      <c r="I21" s="6">
        <f t="shared" si="20"/>
        <v>15.0128</v>
      </c>
      <c r="J21" s="6"/>
      <c r="K21" s="6">
        <f>SUM(H21:I21)-J21</f>
        <v>202.6728</v>
      </c>
      <c r="L21" s="6"/>
      <c r="M21" s="6"/>
      <c r="N21" s="6"/>
      <c r="O21" s="6"/>
      <c r="P21" s="6"/>
      <c r="Q21" s="6"/>
      <c r="R21" s="6"/>
      <c r="S21" s="6"/>
      <c r="T21" s="6"/>
      <c r="U21" s="6"/>
      <c r="Z21">
        <f>Z19+Z20</f>
        <v>9</v>
      </c>
      <c r="AE21" s="9">
        <f>SUM(AE19:AE20)</f>
        <v>7776</v>
      </c>
    </row>
    <row r="22" spans="3:32" x14ac:dyDescent="0.25">
      <c r="C22" s="3">
        <v>45321</v>
      </c>
      <c r="D22" s="1" t="s">
        <v>15</v>
      </c>
      <c r="E22" s="6" t="s">
        <v>185</v>
      </c>
      <c r="F22">
        <v>4</v>
      </c>
      <c r="G22" s="6">
        <v>25.25</v>
      </c>
      <c r="H22" s="6">
        <f t="shared" si="23"/>
        <v>101</v>
      </c>
      <c r="I22" s="6">
        <f t="shared" si="20"/>
        <v>8.08</v>
      </c>
      <c r="J22" s="6"/>
      <c r="K22" s="6">
        <f>SUM(H22:I22)-J22</f>
        <v>109.08</v>
      </c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3:32" x14ac:dyDescent="0.25">
      <c r="C23" s="3">
        <v>30.01</v>
      </c>
      <c r="D23" s="1" t="s">
        <v>15</v>
      </c>
      <c r="E23" s="6" t="s">
        <v>186</v>
      </c>
      <c r="F23">
        <v>2</v>
      </c>
      <c r="G23" s="6">
        <v>25.25</v>
      </c>
      <c r="H23" s="6">
        <f t="shared" si="23"/>
        <v>50.5</v>
      </c>
      <c r="I23" s="6">
        <f t="shared" si="20"/>
        <v>4.04</v>
      </c>
      <c r="J23" s="6"/>
      <c r="K23" s="6">
        <f>SUM(H23:I23)-J23</f>
        <v>54.54</v>
      </c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3:32" x14ac:dyDescent="0.25">
      <c r="C24" s="3">
        <v>45324</v>
      </c>
      <c r="D24" s="1" t="s">
        <v>13</v>
      </c>
      <c r="E24" s="39" t="s">
        <v>285</v>
      </c>
      <c r="F24">
        <v>8</v>
      </c>
      <c r="G24" s="6">
        <v>57</v>
      </c>
      <c r="H24" s="6">
        <f t="shared" ref="H24:H25" si="34">F24*G24</f>
        <v>456</v>
      </c>
      <c r="I24" s="6">
        <f t="shared" ref="I24:I25" si="35">H24*0.08</f>
        <v>36.480000000000004</v>
      </c>
      <c r="J24" s="6"/>
      <c r="K24" s="6">
        <f t="shared" ref="K24:K25" si="36">SUM(H24:I24)-J24</f>
        <v>492.48</v>
      </c>
    </row>
    <row r="25" spans="3:32" x14ac:dyDescent="0.25">
      <c r="C25" s="3">
        <v>45324</v>
      </c>
      <c r="D25" s="1" t="s">
        <v>197</v>
      </c>
      <c r="E25" s="6" t="s">
        <v>199</v>
      </c>
      <c r="F25">
        <v>1</v>
      </c>
      <c r="G25" s="6">
        <v>69.62</v>
      </c>
      <c r="H25" s="6">
        <f t="shared" si="34"/>
        <v>69.62</v>
      </c>
      <c r="I25" s="6">
        <f t="shared" si="35"/>
        <v>5.5696000000000003</v>
      </c>
      <c r="J25" s="6"/>
      <c r="K25" s="6">
        <f t="shared" si="36"/>
        <v>75.189599999999999</v>
      </c>
    </row>
    <row r="26" spans="3:32" x14ac:dyDescent="0.25">
      <c r="C26" s="3">
        <v>45331</v>
      </c>
      <c r="D26" s="1" t="s">
        <v>227</v>
      </c>
      <c r="E26" s="6" t="s">
        <v>256</v>
      </c>
      <c r="F26">
        <v>1</v>
      </c>
      <c r="G26" s="6">
        <v>107.25</v>
      </c>
      <c r="H26" s="6">
        <f>F26*G26</f>
        <v>107.25</v>
      </c>
      <c r="I26" s="6">
        <f>H26*0.08</f>
        <v>8.58</v>
      </c>
      <c r="J26" s="6"/>
      <c r="K26" s="6">
        <f>SUM(H26:I26)-J26</f>
        <v>115.83</v>
      </c>
      <c r="W26" s="386" t="s">
        <v>441</v>
      </c>
      <c r="X26" s="386"/>
      <c r="Y26" s="386"/>
      <c r="Z26" s="386"/>
      <c r="AA26" s="386"/>
      <c r="AB26" s="386"/>
      <c r="AC26" s="386"/>
      <c r="AD26" s="386"/>
      <c r="AE26" s="386"/>
      <c r="AF26">
        <f>2500/3</f>
        <v>833.33333333333337</v>
      </c>
    </row>
    <row r="27" spans="3:32" x14ac:dyDescent="0.25">
      <c r="C27" s="3">
        <v>45331</v>
      </c>
      <c r="D27" s="1" t="s">
        <v>13</v>
      </c>
      <c r="E27" s="6" t="s">
        <v>257</v>
      </c>
      <c r="F27">
        <v>2</v>
      </c>
      <c r="G27" s="6">
        <f>129/1.08</f>
        <v>119.44444444444444</v>
      </c>
      <c r="H27" s="6">
        <f>F27*G27</f>
        <v>238.88888888888889</v>
      </c>
      <c r="I27" s="6">
        <f>H27*0.08</f>
        <v>19.111111111111111</v>
      </c>
      <c r="J27" s="6"/>
      <c r="K27" s="6">
        <f>SUM(H27:I27)-J27</f>
        <v>258</v>
      </c>
      <c r="W27" s="2" t="s">
        <v>0</v>
      </c>
      <c r="X27" s="2" t="s">
        <v>1</v>
      </c>
      <c r="Y27" s="2" t="s">
        <v>2</v>
      </c>
      <c r="Z27" s="2" t="s">
        <v>3</v>
      </c>
      <c r="AA27" s="4" t="s">
        <v>4</v>
      </c>
      <c r="AB27" s="4" t="s">
        <v>8</v>
      </c>
      <c r="AC27" s="5" t="s">
        <v>9</v>
      </c>
      <c r="AD27" s="5" t="s">
        <v>10</v>
      </c>
      <c r="AE27" s="5" t="s">
        <v>5</v>
      </c>
    </row>
    <row r="28" spans="3:32" x14ac:dyDescent="0.25">
      <c r="C28" s="3">
        <v>45331</v>
      </c>
      <c r="D28" s="1" t="s">
        <v>13</v>
      </c>
      <c r="E28" s="6" t="s">
        <v>258</v>
      </c>
      <c r="F28">
        <v>4</v>
      </c>
      <c r="G28" s="6">
        <f>31/1.08</f>
        <v>28.703703703703702</v>
      </c>
      <c r="H28" s="6">
        <f>F28*G28</f>
        <v>114.81481481481481</v>
      </c>
      <c r="I28" s="6">
        <f>H28*0.08</f>
        <v>9.1851851851851851</v>
      </c>
      <c r="J28" s="6"/>
      <c r="K28" s="6">
        <f>SUM(H28:I28)-J28</f>
        <v>124</v>
      </c>
      <c r="W28" s="59">
        <v>45324</v>
      </c>
      <c r="X28" s="2" t="s">
        <v>231</v>
      </c>
      <c r="Y28" s="2" t="s">
        <v>441</v>
      </c>
      <c r="Z28" s="10">
        <v>3</v>
      </c>
      <c r="AA28" s="11">
        <f>834</f>
        <v>834</v>
      </c>
      <c r="AB28" s="11">
        <f>Z28*AA28</f>
        <v>2502</v>
      </c>
      <c r="AC28" s="11">
        <f t="shared" ref="AC28" si="37">AB28*0.08</f>
        <v>200.16</v>
      </c>
      <c r="AD28" s="11"/>
      <c r="AE28" s="11">
        <f t="shared" ref="AE28" si="38">SUM(AB28:AC28)</f>
        <v>2702.16</v>
      </c>
    </row>
    <row r="29" spans="3:32" x14ac:dyDescent="0.25">
      <c r="C29" s="3">
        <v>45331</v>
      </c>
      <c r="D29" s="1" t="s">
        <v>13</v>
      </c>
      <c r="E29" s="6" t="s">
        <v>259</v>
      </c>
      <c r="F29">
        <v>3</v>
      </c>
      <c r="G29" s="6">
        <f>138/1.08</f>
        <v>127.77777777777777</v>
      </c>
      <c r="H29" s="6">
        <f>F29*G29</f>
        <v>383.33333333333331</v>
      </c>
      <c r="I29" s="6">
        <f>H29*0.08</f>
        <v>30.666666666666664</v>
      </c>
      <c r="J29" s="6"/>
      <c r="K29" s="6">
        <f>SUM(H29:I29)-J29</f>
        <v>414</v>
      </c>
      <c r="W29" s="59">
        <v>45331</v>
      </c>
      <c r="X29" s="2" t="s">
        <v>231</v>
      </c>
      <c r="Y29" s="2" t="s">
        <v>441</v>
      </c>
      <c r="Z29" s="10">
        <v>6</v>
      </c>
      <c r="AA29" s="11">
        <v>834</v>
      </c>
      <c r="AB29" s="11">
        <f>Z29*AA29</f>
        <v>5004</v>
      </c>
      <c r="AC29" s="11">
        <f t="shared" ref="AC29" si="39">AB29*0.08</f>
        <v>400.32</v>
      </c>
      <c r="AD29" s="11"/>
      <c r="AE29" s="11">
        <f t="shared" ref="AE29" si="40">SUM(AB29:AC29)</f>
        <v>5404.32</v>
      </c>
    </row>
    <row r="30" spans="3:32" x14ac:dyDescent="0.25">
      <c r="C30" s="3">
        <v>45331</v>
      </c>
      <c r="D30" s="1" t="s">
        <v>13</v>
      </c>
      <c r="E30" s="6" t="s">
        <v>260</v>
      </c>
      <c r="F30">
        <v>1</v>
      </c>
      <c r="G30" s="6">
        <f>19.9/1.08</f>
        <v>18.425925925925924</v>
      </c>
      <c r="H30" s="6">
        <f>F30*G30</f>
        <v>18.425925925925924</v>
      </c>
      <c r="I30" s="6">
        <f>H30*0.08</f>
        <v>1.4740740740740739</v>
      </c>
      <c r="J30" s="6"/>
      <c r="K30" s="6">
        <f>SUM(H30:I30)-J30</f>
        <v>19.899999999999999</v>
      </c>
      <c r="Z30">
        <f>SUM(Z28:Z29)</f>
        <v>9</v>
      </c>
      <c r="AE30" s="9">
        <f>SUM(AE28:AE29)</f>
        <v>8106.48</v>
      </c>
    </row>
    <row r="31" spans="3:32" x14ac:dyDescent="0.25">
      <c r="C31" s="3">
        <v>45336</v>
      </c>
      <c r="D31" s="1" t="s">
        <v>134</v>
      </c>
      <c r="E31" s="39" t="s">
        <v>342</v>
      </c>
      <c r="F31" s="8">
        <v>2</v>
      </c>
      <c r="G31" s="6">
        <v>194.44399999999999</v>
      </c>
      <c r="H31" s="6">
        <f t="shared" ref="H31:H36" si="41">F31*G31</f>
        <v>388.88799999999998</v>
      </c>
      <c r="I31" s="6">
        <f t="shared" ref="I31:I36" si="42">H31*0.08</f>
        <v>31.111039999999999</v>
      </c>
      <c r="J31" s="6"/>
      <c r="K31" s="6">
        <f t="shared" ref="K31:K32" si="43">SUM(H31:I31)-J31</f>
        <v>419.99903999999998</v>
      </c>
    </row>
    <row r="32" spans="3:32" x14ac:dyDescent="0.25">
      <c r="C32" s="3">
        <v>45336</v>
      </c>
      <c r="D32" s="1" t="s">
        <v>134</v>
      </c>
      <c r="E32" s="39" t="s">
        <v>343</v>
      </c>
      <c r="F32" s="8">
        <v>1</v>
      </c>
      <c r="G32" s="6">
        <v>32.406999999999996</v>
      </c>
      <c r="H32" s="6">
        <f t="shared" si="41"/>
        <v>32.406999999999996</v>
      </c>
      <c r="I32" s="6">
        <f t="shared" si="42"/>
        <v>2.5925599999999998</v>
      </c>
      <c r="J32" s="6"/>
      <c r="K32" s="6">
        <f t="shared" si="43"/>
        <v>34.999559999999995</v>
      </c>
    </row>
    <row r="33" spans="3:11" x14ac:dyDescent="0.25">
      <c r="C33" s="42">
        <v>45352</v>
      </c>
      <c r="D33" s="1" t="s">
        <v>15</v>
      </c>
      <c r="E33" s="1" t="s">
        <v>573</v>
      </c>
      <c r="F33" s="1">
        <v>1</v>
      </c>
      <c r="G33" s="43">
        <v>529.11</v>
      </c>
      <c r="H33" s="43">
        <f t="shared" si="41"/>
        <v>529.11</v>
      </c>
      <c r="I33" s="43">
        <f t="shared" si="42"/>
        <v>42.328800000000001</v>
      </c>
      <c r="J33" s="43"/>
      <c r="K33" s="43">
        <f t="shared" ref="K33:K35" si="44">SUM(H33:I33)-J33</f>
        <v>571.43880000000001</v>
      </c>
    </row>
    <row r="34" spans="3:11" x14ac:dyDescent="0.25">
      <c r="C34" s="42">
        <v>45352</v>
      </c>
      <c r="D34" s="1" t="s">
        <v>15</v>
      </c>
      <c r="E34" s="1" t="s">
        <v>574</v>
      </c>
      <c r="F34" s="1">
        <v>1</v>
      </c>
      <c r="G34" s="43">
        <v>215.66</v>
      </c>
      <c r="H34" s="43">
        <f t="shared" si="41"/>
        <v>215.66</v>
      </c>
      <c r="I34" s="43">
        <f t="shared" si="42"/>
        <v>17.252800000000001</v>
      </c>
      <c r="J34" s="43"/>
      <c r="K34" s="43">
        <f t="shared" si="44"/>
        <v>232.9128</v>
      </c>
    </row>
    <row r="35" spans="3:11" x14ac:dyDescent="0.25">
      <c r="C35" s="42">
        <v>45352</v>
      </c>
      <c r="D35" s="1" t="s">
        <v>13</v>
      </c>
      <c r="E35" s="1" t="s">
        <v>575</v>
      </c>
      <c r="F35" s="1">
        <v>1</v>
      </c>
      <c r="G35" s="43">
        <v>175</v>
      </c>
      <c r="H35" s="43">
        <f t="shared" si="41"/>
        <v>175</v>
      </c>
      <c r="I35" s="43">
        <f t="shared" si="42"/>
        <v>14</v>
      </c>
      <c r="J35" s="43"/>
      <c r="K35" s="43">
        <f t="shared" si="44"/>
        <v>189</v>
      </c>
    </row>
    <row r="36" spans="3:11" x14ac:dyDescent="0.25">
      <c r="C36" s="42">
        <v>45354</v>
      </c>
      <c r="D36" s="1" t="s">
        <v>131</v>
      </c>
      <c r="E36" s="1" t="s">
        <v>586</v>
      </c>
      <c r="F36" s="1">
        <v>1</v>
      </c>
      <c r="G36" s="43">
        <v>128.69999999999999</v>
      </c>
      <c r="H36" s="43">
        <f t="shared" si="41"/>
        <v>128.69999999999999</v>
      </c>
      <c r="I36" s="43">
        <f t="shared" si="42"/>
        <v>10.295999999999999</v>
      </c>
      <c r="J36" s="43"/>
      <c r="K36" s="43">
        <f t="shared" ref="K36" si="45">SUM(H36:I36)-J36</f>
        <v>138.99599999999998</v>
      </c>
    </row>
    <row r="45" spans="3:11" x14ac:dyDescent="0.25">
      <c r="K45" s="9">
        <f>SUM(K5:K44)</f>
        <v>11697.707799999998</v>
      </c>
    </row>
  </sheetData>
  <mergeCells count="7">
    <mergeCell ref="AQ3:AY3"/>
    <mergeCell ref="M3:U3"/>
    <mergeCell ref="W17:AE17"/>
    <mergeCell ref="W26:AE26"/>
    <mergeCell ref="C3:K3"/>
    <mergeCell ref="W3:AE3"/>
    <mergeCell ref="AG3:AO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3BE3-F718-4897-9F33-1B083A515CDF}">
  <dimension ref="B3:U15"/>
  <sheetViews>
    <sheetView topLeftCell="A2" workbookViewId="0">
      <selection activeCell="H20" sqref="H20"/>
    </sheetView>
  </sheetViews>
  <sheetFormatPr baseColWidth="10" defaultRowHeight="15" x14ac:dyDescent="0.25"/>
  <cols>
    <col min="2" max="2" width="6.85546875" bestFit="1" customWidth="1"/>
    <col min="3" max="3" width="8.85546875" bestFit="1" customWidth="1"/>
    <col min="4" max="4" width="18.85546875" bestFit="1" customWidth="1"/>
    <col min="5" max="5" width="9.7109375" bestFit="1" customWidth="1"/>
    <col min="6" max="6" width="17.28515625" bestFit="1" customWidth="1"/>
    <col min="7" max="7" width="11.28515625" bestFit="1" customWidth="1"/>
    <col min="8" max="9" width="8.85546875" bestFit="1" customWidth="1"/>
    <col min="10" max="10" width="11.28515625" bestFit="1" customWidth="1"/>
  </cols>
  <sheetData>
    <row r="3" spans="2:21" x14ac:dyDescent="0.25">
      <c r="B3" s="383" t="s">
        <v>387</v>
      </c>
      <c r="C3" s="383"/>
      <c r="D3" s="383"/>
      <c r="E3" s="383"/>
      <c r="F3" s="383"/>
      <c r="G3" s="383"/>
      <c r="H3" s="383"/>
      <c r="I3" s="383"/>
      <c r="J3" s="383"/>
      <c r="M3" s="382" t="s">
        <v>380</v>
      </c>
      <c r="N3" s="382"/>
      <c r="O3" s="382"/>
      <c r="P3" s="382"/>
      <c r="Q3" s="382"/>
      <c r="R3" s="382"/>
      <c r="S3" s="382"/>
      <c r="T3" s="382"/>
      <c r="U3" s="382"/>
    </row>
    <row r="4" spans="2:21" x14ac:dyDescent="0.25">
      <c r="B4" s="2" t="s">
        <v>0</v>
      </c>
      <c r="C4" s="2" t="s">
        <v>1</v>
      </c>
      <c r="D4" s="2" t="s">
        <v>2</v>
      </c>
      <c r="E4" s="2" t="s">
        <v>3</v>
      </c>
      <c r="F4" s="4" t="s">
        <v>4</v>
      </c>
      <c r="G4" s="4" t="s">
        <v>8</v>
      </c>
      <c r="H4" s="5" t="s">
        <v>9</v>
      </c>
      <c r="I4" s="5" t="s">
        <v>10</v>
      </c>
      <c r="J4" s="5" t="s">
        <v>5</v>
      </c>
      <c r="M4" s="2" t="s">
        <v>0</v>
      </c>
      <c r="N4" s="2" t="s">
        <v>1</v>
      </c>
      <c r="O4" s="2" t="s">
        <v>2</v>
      </c>
      <c r="P4" s="2" t="s">
        <v>3</v>
      </c>
      <c r="Q4" s="4" t="s">
        <v>4</v>
      </c>
      <c r="R4" s="4" t="s">
        <v>8</v>
      </c>
      <c r="S4" s="5" t="s">
        <v>9</v>
      </c>
      <c r="T4" s="5" t="s">
        <v>10</v>
      </c>
      <c r="U4" s="5" t="s">
        <v>5</v>
      </c>
    </row>
    <row r="5" spans="2:21" x14ac:dyDescent="0.25">
      <c r="B5" s="59">
        <v>45356</v>
      </c>
      <c r="C5" s="2" t="s">
        <v>588</v>
      </c>
      <c r="D5" s="2" t="s">
        <v>589</v>
      </c>
      <c r="E5" s="2">
        <v>2</v>
      </c>
      <c r="F5" s="5">
        <v>518.52</v>
      </c>
      <c r="G5" s="5">
        <f t="shared" ref="G5:G6" si="0">E5*F5</f>
        <v>1037.04</v>
      </c>
      <c r="H5" s="5">
        <f t="shared" ref="H5:H6" si="1">G5*0.08</f>
        <v>82.963200000000001</v>
      </c>
      <c r="I5" s="5"/>
      <c r="J5" s="5">
        <f t="shared" ref="J5:J6" si="2">SUM(G5:H5)-I5</f>
        <v>1120.0031999999999</v>
      </c>
      <c r="M5" s="59"/>
      <c r="N5" s="2"/>
      <c r="O5" s="4"/>
      <c r="P5" s="2">
        <v>1</v>
      </c>
      <c r="Q5" s="4">
        <v>9000</v>
      </c>
      <c r="R5" s="4">
        <f t="shared" ref="R5:R14" si="3">P5*Q5</f>
        <v>9000</v>
      </c>
      <c r="S5" s="4">
        <f t="shared" ref="S5:S14" si="4">R5*0.08</f>
        <v>720</v>
      </c>
      <c r="T5" s="4"/>
      <c r="U5" s="4">
        <f t="shared" ref="U5:U14" si="5">SUM(R5:S5)-T5</f>
        <v>9720</v>
      </c>
    </row>
    <row r="6" spans="2:21" x14ac:dyDescent="0.25">
      <c r="B6" s="59">
        <v>45356</v>
      </c>
      <c r="C6" s="2" t="s">
        <v>588</v>
      </c>
      <c r="D6" s="2" t="s">
        <v>590</v>
      </c>
      <c r="E6" s="2">
        <v>2</v>
      </c>
      <c r="F6" s="5">
        <v>76.39</v>
      </c>
      <c r="G6" s="5">
        <f t="shared" si="0"/>
        <v>152.78</v>
      </c>
      <c r="H6" s="5">
        <f t="shared" si="1"/>
        <v>12.2224</v>
      </c>
      <c r="I6" s="5"/>
      <c r="J6" s="5">
        <f t="shared" si="2"/>
        <v>165.00239999999999</v>
      </c>
      <c r="M6" s="59"/>
      <c r="N6" s="2"/>
      <c r="O6" s="4"/>
      <c r="P6" s="2">
        <v>1</v>
      </c>
      <c r="Q6" s="4">
        <v>12000</v>
      </c>
      <c r="R6" s="4">
        <f t="shared" si="3"/>
        <v>12000</v>
      </c>
      <c r="S6" s="4">
        <f t="shared" si="4"/>
        <v>960</v>
      </c>
      <c r="T6" s="4"/>
      <c r="U6" s="4">
        <f t="shared" si="5"/>
        <v>12960</v>
      </c>
    </row>
    <row r="7" spans="2:21" x14ac:dyDescent="0.25">
      <c r="B7" s="59"/>
      <c r="C7" s="2"/>
      <c r="D7" s="2"/>
      <c r="E7" s="2"/>
      <c r="F7" s="4"/>
      <c r="G7" s="4"/>
      <c r="H7" s="4"/>
      <c r="I7" s="5"/>
      <c r="J7" s="4"/>
      <c r="M7" s="59"/>
      <c r="N7" s="2"/>
      <c r="O7" s="4"/>
      <c r="P7" s="54">
        <v>1</v>
      </c>
      <c r="Q7" s="5">
        <v>12000</v>
      </c>
      <c r="R7" s="4">
        <f t="shared" si="3"/>
        <v>12000</v>
      </c>
      <c r="S7" s="4">
        <f t="shared" si="4"/>
        <v>960</v>
      </c>
      <c r="T7" s="4"/>
      <c r="U7" s="4">
        <f t="shared" si="5"/>
        <v>12960</v>
      </c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M8" s="59"/>
      <c r="N8" s="2"/>
      <c r="O8" s="4"/>
      <c r="P8" s="2">
        <v>1</v>
      </c>
      <c r="Q8" s="4">
        <v>16000</v>
      </c>
      <c r="R8" s="4">
        <f t="shared" si="3"/>
        <v>16000</v>
      </c>
      <c r="S8" s="4">
        <f t="shared" si="4"/>
        <v>1280</v>
      </c>
      <c r="T8" s="4"/>
      <c r="U8" s="4">
        <f t="shared" si="5"/>
        <v>17280</v>
      </c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M9" s="59"/>
      <c r="N9" s="2"/>
      <c r="O9" s="2"/>
      <c r="P9" s="2"/>
      <c r="Q9" s="5"/>
      <c r="R9" s="5">
        <f t="shared" si="3"/>
        <v>0</v>
      </c>
      <c r="S9" s="5">
        <f t="shared" si="4"/>
        <v>0</v>
      </c>
      <c r="T9" s="5"/>
      <c r="U9" s="5">
        <f t="shared" si="5"/>
        <v>0</v>
      </c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M10" s="2"/>
      <c r="N10" s="2"/>
      <c r="O10" s="2"/>
      <c r="P10" s="2"/>
      <c r="Q10" s="4"/>
      <c r="R10" s="4">
        <f t="shared" si="3"/>
        <v>0</v>
      </c>
      <c r="S10" s="4">
        <f t="shared" si="4"/>
        <v>0</v>
      </c>
      <c r="T10" s="4"/>
      <c r="U10" s="4">
        <f t="shared" si="5"/>
        <v>0</v>
      </c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M11" s="2"/>
      <c r="N11" s="2"/>
      <c r="O11" s="2"/>
      <c r="P11" s="2"/>
      <c r="Q11" s="4"/>
      <c r="R11" s="4">
        <f t="shared" si="3"/>
        <v>0</v>
      </c>
      <c r="S11" s="4">
        <f t="shared" si="4"/>
        <v>0</v>
      </c>
      <c r="T11" s="4"/>
      <c r="U11" s="4">
        <f t="shared" si="5"/>
        <v>0</v>
      </c>
    </row>
    <row r="12" spans="2:21" x14ac:dyDescent="0.25">
      <c r="B12" s="1"/>
      <c r="C12" s="1"/>
      <c r="D12" s="1"/>
      <c r="E12" s="1"/>
      <c r="F12" s="186"/>
      <c r="G12" s="1"/>
      <c r="H12" s="1"/>
      <c r="I12" s="1"/>
      <c r="J12" s="186">
        <f>SUM(J5:J11)</f>
        <v>1285.0056</v>
      </c>
      <c r="M12" s="2"/>
      <c r="N12" s="2"/>
      <c r="O12" s="2"/>
      <c r="P12" s="2"/>
      <c r="Q12" s="4"/>
      <c r="R12" s="4">
        <f t="shared" si="3"/>
        <v>0</v>
      </c>
      <c r="S12" s="4">
        <f t="shared" si="4"/>
        <v>0</v>
      </c>
      <c r="T12" s="4"/>
      <c r="U12" s="4">
        <f t="shared" si="5"/>
        <v>0</v>
      </c>
    </row>
    <row r="13" spans="2:21" x14ac:dyDescent="0.25">
      <c r="M13" s="2"/>
      <c r="N13" s="2"/>
      <c r="O13" s="2"/>
      <c r="P13" s="2"/>
      <c r="Q13" s="4"/>
      <c r="R13" s="4">
        <f t="shared" si="3"/>
        <v>0</v>
      </c>
      <c r="S13" s="4">
        <f t="shared" si="4"/>
        <v>0</v>
      </c>
      <c r="T13" s="4"/>
      <c r="U13" s="4">
        <f t="shared" si="5"/>
        <v>0</v>
      </c>
    </row>
    <row r="14" spans="2:21" x14ac:dyDescent="0.25">
      <c r="M14" s="2"/>
      <c r="N14" s="2"/>
      <c r="O14" s="2"/>
      <c r="P14" s="2"/>
      <c r="Q14" s="4"/>
      <c r="R14" s="4">
        <f t="shared" si="3"/>
        <v>0</v>
      </c>
      <c r="S14" s="4">
        <f t="shared" si="4"/>
        <v>0</v>
      </c>
      <c r="T14" s="4"/>
      <c r="U14" s="4">
        <f t="shared" si="5"/>
        <v>0</v>
      </c>
    </row>
    <row r="15" spans="2:21" x14ac:dyDescent="0.25">
      <c r="M15" s="1"/>
      <c r="N15" s="1"/>
      <c r="O15" s="1"/>
      <c r="P15" s="1"/>
      <c r="Q15" s="44">
        <f>SUM(Q5:Q14)</f>
        <v>49000</v>
      </c>
      <c r="R15" s="44"/>
      <c r="S15" s="44"/>
      <c r="T15" s="44"/>
      <c r="U15" s="4">
        <f>SUM(U5:U14)</f>
        <v>52920</v>
      </c>
    </row>
  </sheetData>
  <mergeCells count="2">
    <mergeCell ref="B3:J3"/>
    <mergeCell ref="M3:U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F564-CBBA-4664-8E61-29E4622092D4}">
  <sheetPr>
    <tabColor theme="5" tint="-0.499984740745262"/>
  </sheetPr>
  <dimension ref="C3:L21"/>
  <sheetViews>
    <sheetView workbookViewId="0">
      <selection activeCell="N18" sqref="N18"/>
    </sheetView>
  </sheetViews>
  <sheetFormatPr baseColWidth="10" defaultRowHeight="15" x14ac:dyDescent="0.25"/>
  <cols>
    <col min="3" max="3" width="6.7109375" bestFit="1" customWidth="1"/>
    <col min="4" max="4" width="11" bestFit="1" customWidth="1"/>
    <col min="5" max="5" width="19.28515625" bestFit="1" customWidth="1"/>
    <col min="6" max="6" width="9.7109375" style="1" bestFit="1" customWidth="1"/>
    <col min="7" max="7" width="17.28515625" bestFit="1" customWidth="1"/>
    <col min="8" max="8" width="11" bestFit="1" customWidth="1"/>
    <col min="9" max="9" width="8.85546875" bestFit="1" customWidth="1"/>
    <col min="10" max="10" width="4.85546875" bestFit="1" customWidth="1"/>
    <col min="11" max="11" width="11.28515625" bestFit="1" customWidth="1"/>
  </cols>
  <sheetData>
    <row r="3" spans="3:12" x14ac:dyDescent="0.25">
      <c r="C3" s="387" t="s">
        <v>271</v>
      </c>
      <c r="D3" s="387"/>
      <c r="E3" s="387"/>
      <c r="F3" s="387"/>
      <c r="G3" s="387"/>
      <c r="H3" s="387"/>
      <c r="I3" s="387"/>
      <c r="J3" s="387"/>
      <c r="K3" s="387"/>
    </row>
    <row r="4" spans="3:12" x14ac:dyDescent="0.25">
      <c r="C4" s="56" t="s">
        <v>0</v>
      </c>
      <c r="D4" s="56" t="s">
        <v>1</v>
      </c>
      <c r="E4" s="56" t="s">
        <v>2</v>
      </c>
      <c r="F4" s="56" t="s">
        <v>3</v>
      </c>
      <c r="G4" s="57" t="s">
        <v>4</v>
      </c>
      <c r="H4" s="57" t="s">
        <v>8</v>
      </c>
      <c r="I4" s="58" t="s">
        <v>9</v>
      </c>
      <c r="J4" s="58" t="s">
        <v>10</v>
      </c>
      <c r="K4" s="58" t="s">
        <v>5</v>
      </c>
    </row>
    <row r="5" spans="3:12" x14ac:dyDescent="0.25">
      <c r="C5" s="12">
        <v>45307</v>
      </c>
      <c r="D5" s="2" t="s">
        <v>103</v>
      </c>
      <c r="E5" s="10" t="s">
        <v>104</v>
      </c>
      <c r="F5" s="2">
        <v>6</v>
      </c>
      <c r="G5" s="11">
        <v>600</v>
      </c>
      <c r="H5" s="11">
        <f>F5*G5</f>
        <v>3600</v>
      </c>
      <c r="I5" s="11">
        <f>H5*0.08</f>
        <v>288</v>
      </c>
      <c r="J5" s="11"/>
      <c r="K5" s="11">
        <f>SUM(H5:I5)-J5</f>
        <v>3888</v>
      </c>
    </row>
    <row r="6" spans="3:12" x14ac:dyDescent="0.25">
      <c r="C6" s="59">
        <v>45334</v>
      </c>
      <c r="D6" s="59" t="s">
        <v>103</v>
      </c>
      <c r="E6" s="11" t="s">
        <v>244</v>
      </c>
      <c r="F6" s="2">
        <v>3</v>
      </c>
      <c r="G6" s="11">
        <v>500</v>
      </c>
      <c r="H6" s="11">
        <f t="shared" ref="H6:H12" si="0">F6*G6</f>
        <v>1500</v>
      </c>
      <c r="I6" s="11">
        <f t="shared" ref="I6:I12" si="1">H6*0.08</f>
        <v>120</v>
      </c>
      <c r="J6" s="11"/>
      <c r="K6" s="11">
        <f t="shared" ref="K6:K8" si="2">SUM(H6:I6)-J6</f>
        <v>1620</v>
      </c>
    </row>
    <row r="7" spans="3:12" x14ac:dyDescent="0.25">
      <c r="C7" s="59">
        <v>45334</v>
      </c>
      <c r="D7" s="59" t="s">
        <v>103</v>
      </c>
      <c r="E7" s="10" t="s">
        <v>309</v>
      </c>
      <c r="F7" s="2">
        <v>30</v>
      </c>
      <c r="G7" s="11">
        <v>70</v>
      </c>
      <c r="H7" s="11">
        <f t="shared" si="0"/>
        <v>2100</v>
      </c>
      <c r="I7" s="11">
        <f t="shared" si="1"/>
        <v>168</v>
      </c>
      <c r="J7" s="11"/>
      <c r="K7" s="11">
        <f t="shared" si="2"/>
        <v>2268</v>
      </c>
    </row>
    <row r="8" spans="3:12" x14ac:dyDescent="0.25">
      <c r="C8" s="12">
        <v>45331</v>
      </c>
      <c r="D8" s="59" t="s">
        <v>103</v>
      </c>
      <c r="E8" s="11" t="s">
        <v>244</v>
      </c>
      <c r="F8" s="2">
        <v>3</v>
      </c>
      <c r="G8" s="11">
        <v>500</v>
      </c>
      <c r="H8" s="11">
        <f t="shared" si="0"/>
        <v>1500</v>
      </c>
      <c r="I8" s="11">
        <f t="shared" si="1"/>
        <v>120</v>
      </c>
      <c r="J8" s="11"/>
      <c r="K8" s="11">
        <f t="shared" si="2"/>
        <v>1620</v>
      </c>
    </row>
    <row r="9" spans="3:12" x14ac:dyDescent="0.25">
      <c r="C9" s="12">
        <v>45336</v>
      </c>
      <c r="D9" s="59" t="s">
        <v>103</v>
      </c>
      <c r="E9" s="61" t="s">
        <v>309</v>
      </c>
      <c r="F9" s="2">
        <v>30</v>
      </c>
      <c r="G9" s="53">
        <v>70</v>
      </c>
      <c r="H9" s="53">
        <f t="shared" si="0"/>
        <v>2100</v>
      </c>
      <c r="I9" s="53">
        <f t="shared" si="1"/>
        <v>168</v>
      </c>
      <c r="J9" s="53"/>
      <c r="K9" s="53">
        <f t="shared" ref="K9:K11" si="3">SUM(H9:I9)-J9</f>
        <v>2268</v>
      </c>
    </row>
    <row r="10" spans="3:12" x14ac:dyDescent="0.25">
      <c r="C10" s="12">
        <v>45336</v>
      </c>
      <c r="D10" s="59" t="s">
        <v>103</v>
      </c>
      <c r="E10" s="68" t="s">
        <v>244</v>
      </c>
      <c r="F10" s="2">
        <v>4</v>
      </c>
      <c r="G10" s="53">
        <v>500</v>
      </c>
      <c r="H10" s="53">
        <f t="shared" si="0"/>
        <v>2000</v>
      </c>
      <c r="I10" s="53">
        <f t="shared" si="1"/>
        <v>160</v>
      </c>
      <c r="J10" s="53"/>
      <c r="K10" s="53">
        <f t="shared" si="3"/>
        <v>2160</v>
      </c>
    </row>
    <row r="11" spans="3:12" x14ac:dyDescent="0.25">
      <c r="C11" s="12">
        <v>45336</v>
      </c>
      <c r="D11" s="59" t="s">
        <v>103</v>
      </c>
      <c r="E11" s="61" t="s">
        <v>310</v>
      </c>
      <c r="F11" s="2">
        <v>30</v>
      </c>
      <c r="G11" s="53">
        <v>170</v>
      </c>
      <c r="H11" s="53">
        <f t="shared" si="0"/>
        <v>5100</v>
      </c>
      <c r="I11" s="53">
        <f t="shared" si="1"/>
        <v>408</v>
      </c>
      <c r="J11" s="53"/>
      <c r="K11" s="53">
        <f t="shared" si="3"/>
        <v>5508</v>
      </c>
    </row>
    <row r="12" spans="3:12" x14ac:dyDescent="0.25">
      <c r="C12" s="244">
        <v>45342</v>
      </c>
      <c r="D12" s="245" t="s">
        <v>103</v>
      </c>
      <c r="E12" s="245" t="s">
        <v>469</v>
      </c>
      <c r="F12" s="245">
        <v>30</v>
      </c>
      <c r="G12" s="246">
        <v>75</v>
      </c>
      <c r="H12" s="246">
        <f t="shared" si="0"/>
        <v>2250</v>
      </c>
      <c r="I12" s="246">
        <f t="shared" si="1"/>
        <v>180</v>
      </c>
      <c r="J12" s="246"/>
      <c r="K12" s="246">
        <f t="shared" ref="K12" si="4">SUM(H12:I12)-J12</f>
        <v>2430</v>
      </c>
      <c r="L12" s="286"/>
    </row>
    <row r="13" spans="3:12" x14ac:dyDescent="0.25">
      <c r="C13" s="244"/>
      <c r="D13" s="245"/>
      <c r="E13" s="245"/>
      <c r="F13" s="245"/>
      <c r="G13" s="246"/>
      <c r="H13" s="246"/>
      <c r="I13" s="246"/>
      <c r="J13" s="246"/>
      <c r="K13" s="246"/>
      <c r="L13" s="286"/>
    </row>
    <row r="14" spans="3:12" x14ac:dyDescent="0.25">
      <c r="C14" s="244"/>
      <c r="D14" s="245"/>
      <c r="E14" s="245"/>
      <c r="F14" s="245"/>
      <c r="G14" s="246"/>
      <c r="H14" s="246"/>
      <c r="I14" s="246"/>
      <c r="J14" s="246"/>
      <c r="K14" s="246"/>
      <c r="L14" s="286"/>
    </row>
    <row r="15" spans="3:12" x14ac:dyDescent="0.25">
      <c r="C15" s="244"/>
      <c r="D15" s="245"/>
      <c r="E15" s="245"/>
      <c r="F15" s="245"/>
      <c r="G15" s="246"/>
      <c r="H15" s="246"/>
      <c r="I15" s="246"/>
      <c r="J15" s="246"/>
      <c r="K15" s="246"/>
    </row>
    <row r="16" spans="3:12" x14ac:dyDescent="0.25">
      <c r="C16" s="244"/>
      <c r="D16" s="245"/>
      <c r="E16" s="245"/>
      <c r="F16" s="245"/>
      <c r="G16" s="246"/>
      <c r="H16" s="246"/>
      <c r="I16" s="246"/>
      <c r="J16" s="246"/>
      <c r="K16" s="246"/>
    </row>
    <row r="17" spans="3:11" x14ac:dyDescent="0.25">
      <c r="C17" s="10"/>
      <c r="D17" s="10"/>
      <c r="E17" s="10"/>
      <c r="F17" s="2"/>
      <c r="G17" s="10"/>
      <c r="H17" s="10"/>
      <c r="I17" s="10"/>
      <c r="J17" s="10"/>
      <c r="K17" s="10"/>
    </row>
    <row r="18" spans="3:11" x14ac:dyDescent="0.25">
      <c r="C18" s="10"/>
      <c r="D18" s="10"/>
      <c r="E18" s="10"/>
      <c r="F18" s="2"/>
      <c r="G18" s="10"/>
      <c r="H18" s="10"/>
      <c r="I18" s="10"/>
      <c r="J18" s="10"/>
      <c r="K18" s="10"/>
    </row>
    <row r="19" spans="3:11" x14ac:dyDescent="0.25">
      <c r="C19" s="10"/>
      <c r="D19" s="10"/>
      <c r="E19" s="10"/>
      <c r="F19" s="2"/>
      <c r="G19" s="10"/>
      <c r="H19" s="10"/>
      <c r="I19" s="10"/>
      <c r="J19" s="10"/>
      <c r="K19" s="10"/>
    </row>
    <row r="20" spans="3:11" x14ac:dyDescent="0.25">
      <c r="C20" s="10"/>
      <c r="D20" s="10"/>
      <c r="E20" s="10"/>
      <c r="F20" s="2"/>
      <c r="G20" s="10"/>
      <c r="H20" s="10"/>
      <c r="I20" s="10"/>
      <c r="J20" s="10"/>
      <c r="K20" s="10"/>
    </row>
    <row r="21" spans="3:11" x14ac:dyDescent="0.25">
      <c r="F21" s="2">
        <f>SUM(F5:F20)</f>
        <v>136</v>
      </c>
      <c r="K21" s="14">
        <f>SUM(K5:K20)</f>
        <v>21762</v>
      </c>
    </row>
  </sheetData>
  <mergeCells count="1">
    <mergeCell ref="C3:K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FE4C-A42F-488C-97A0-8159B486AF0B}">
  <sheetPr>
    <tabColor theme="3"/>
  </sheetPr>
  <dimension ref="B3:J55"/>
  <sheetViews>
    <sheetView workbookViewId="0">
      <selection activeCell="B49" sqref="B49:J50"/>
    </sheetView>
  </sheetViews>
  <sheetFormatPr baseColWidth="10" defaultRowHeight="15" x14ac:dyDescent="0.25"/>
  <cols>
    <col min="2" max="2" width="6.7109375" bestFit="1" customWidth="1"/>
    <col min="3" max="3" width="7.7109375" bestFit="1" customWidth="1"/>
    <col min="4" max="4" width="36.7109375" bestFit="1" customWidth="1"/>
    <col min="5" max="5" width="9.7109375" bestFit="1" customWidth="1"/>
    <col min="6" max="6" width="17.28515625" bestFit="1" customWidth="1"/>
    <col min="7" max="7" width="11" bestFit="1" customWidth="1"/>
    <col min="8" max="8" width="8.85546875" bestFit="1" customWidth="1"/>
    <col min="9" max="9" width="4.85546875" bestFit="1" customWidth="1"/>
    <col min="10" max="10" width="11.28515625" bestFit="1" customWidth="1"/>
  </cols>
  <sheetData>
    <row r="3" spans="2:10" x14ac:dyDescent="0.25">
      <c r="B3" s="388" t="s">
        <v>300</v>
      </c>
      <c r="C3" s="388"/>
      <c r="D3" s="388"/>
      <c r="E3" s="388"/>
      <c r="F3" s="388"/>
      <c r="G3" s="388"/>
      <c r="H3" s="388"/>
      <c r="I3" s="388"/>
      <c r="J3" s="388"/>
    </row>
    <row r="4" spans="2:10" x14ac:dyDescent="0.25">
      <c r="B4" s="2" t="s">
        <v>0</v>
      </c>
      <c r="C4" s="2" t="s">
        <v>1</v>
      </c>
      <c r="D4" s="2" t="s">
        <v>2</v>
      </c>
      <c r="E4" s="2" t="s">
        <v>3</v>
      </c>
      <c r="F4" s="4" t="s">
        <v>4</v>
      </c>
      <c r="G4" s="4" t="s">
        <v>8</v>
      </c>
      <c r="H4" s="5" t="s">
        <v>9</v>
      </c>
      <c r="I4" s="5" t="s">
        <v>10</v>
      </c>
      <c r="J4" s="5" t="s">
        <v>5</v>
      </c>
    </row>
    <row r="5" spans="2:10" x14ac:dyDescent="0.25">
      <c r="B5" s="3">
        <v>45307</v>
      </c>
      <c r="C5" s="1" t="s">
        <v>15</v>
      </c>
      <c r="D5" t="s">
        <v>22</v>
      </c>
      <c r="E5">
        <v>2</v>
      </c>
      <c r="F5" s="6">
        <f>844.75/1.08</f>
        <v>782.17592592592587</v>
      </c>
      <c r="G5" s="6">
        <f t="shared" ref="G5:G14" si="0">E5*F5</f>
        <v>1564.3518518518517</v>
      </c>
      <c r="H5" s="6">
        <f t="shared" ref="H5:H14" si="1">G5*0.08</f>
        <v>125.14814814814814</v>
      </c>
      <c r="I5" s="6"/>
      <c r="J5" s="6">
        <f>SUM(G5:H5)</f>
        <v>1689.4999999999998</v>
      </c>
    </row>
    <row r="6" spans="2:10" x14ac:dyDescent="0.25">
      <c r="B6" s="3">
        <v>45307</v>
      </c>
      <c r="C6" s="1" t="s">
        <v>15</v>
      </c>
      <c r="D6" t="s">
        <v>123</v>
      </c>
      <c r="E6">
        <v>1</v>
      </c>
      <c r="F6" s="6">
        <f>680/1.08</f>
        <v>629.62962962962956</v>
      </c>
      <c r="G6" s="6">
        <f t="shared" si="0"/>
        <v>629.62962962962956</v>
      </c>
      <c r="H6" s="6">
        <f t="shared" si="1"/>
        <v>50.370370370370367</v>
      </c>
      <c r="I6" s="6"/>
      <c r="J6" s="6">
        <f>SUM(G6:H6)</f>
        <v>679.99999999999989</v>
      </c>
    </row>
    <row r="7" spans="2:10" x14ac:dyDescent="0.25">
      <c r="B7" s="3">
        <v>30.01</v>
      </c>
      <c r="C7" s="1" t="s">
        <v>15</v>
      </c>
      <c r="D7" s="6" t="s">
        <v>153</v>
      </c>
      <c r="E7">
        <v>4</v>
      </c>
      <c r="F7" s="6">
        <f>22.84/1.08</f>
        <v>21.148148148148145</v>
      </c>
      <c r="G7" s="6">
        <f t="shared" si="0"/>
        <v>84.592592592592581</v>
      </c>
      <c r="H7" s="6">
        <f t="shared" si="1"/>
        <v>6.7674074074074069</v>
      </c>
      <c r="I7" s="6"/>
      <c r="J7" s="6">
        <f t="shared" ref="J7:J14" si="2">SUM(G7:H7)-I7</f>
        <v>91.359999999999985</v>
      </c>
    </row>
    <row r="8" spans="2:10" x14ac:dyDescent="0.25">
      <c r="B8" s="3">
        <v>45321</v>
      </c>
      <c r="C8" s="1" t="s">
        <v>15</v>
      </c>
      <c r="D8" s="6" t="s">
        <v>154</v>
      </c>
      <c r="E8">
        <v>4</v>
      </c>
      <c r="F8" s="6">
        <v>9.16</v>
      </c>
      <c r="G8" s="6">
        <f t="shared" si="0"/>
        <v>36.64</v>
      </c>
      <c r="H8" s="6">
        <f t="shared" si="1"/>
        <v>2.9312</v>
      </c>
      <c r="I8" s="6"/>
      <c r="J8" s="6">
        <f t="shared" si="2"/>
        <v>39.571199999999997</v>
      </c>
    </row>
    <row r="9" spans="2:10" x14ac:dyDescent="0.25">
      <c r="B9" s="3">
        <v>45321</v>
      </c>
      <c r="C9" s="1" t="s">
        <v>15</v>
      </c>
      <c r="D9" s="6" t="s">
        <v>155</v>
      </c>
      <c r="E9">
        <v>3</v>
      </c>
      <c r="F9" s="6">
        <v>28.62</v>
      </c>
      <c r="G9" s="6">
        <f t="shared" si="0"/>
        <v>85.86</v>
      </c>
      <c r="H9" s="6">
        <f t="shared" si="1"/>
        <v>6.8688000000000002</v>
      </c>
      <c r="I9" s="6"/>
      <c r="J9" s="6">
        <f t="shared" si="2"/>
        <v>92.728800000000007</v>
      </c>
    </row>
    <row r="10" spans="2:10" x14ac:dyDescent="0.25">
      <c r="B10" s="3">
        <v>45321</v>
      </c>
      <c r="C10" s="1" t="s">
        <v>15</v>
      </c>
      <c r="D10" s="6" t="s">
        <v>30</v>
      </c>
      <c r="E10">
        <v>1</v>
      </c>
      <c r="F10" s="6">
        <v>83.96</v>
      </c>
      <c r="G10" s="6">
        <f t="shared" si="0"/>
        <v>83.96</v>
      </c>
      <c r="H10" s="6">
        <f t="shared" si="1"/>
        <v>6.7167999999999992</v>
      </c>
      <c r="I10" s="6"/>
      <c r="J10" s="6">
        <f t="shared" si="2"/>
        <v>90.676799999999986</v>
      </c>
    </row>
    <row r="11" spans="2:10" x14ac:dyDescent="0.25">
      <c r="B11" s="3">
        <v>45321</v>
      </c>
      <c r="C11" s="1" t="s">
        <v>15</v>
      </c>
      <c r="D11" s="6" t="s">
        <v>168</v>
      </c>
      <c r="E11">
        <v>2</v>
      </c>
      <c r="F11" s="6">
        <v>6.24</v>
      </c>
      <c r="G11" s="6">
        <f t="shared" si="0"/>
        <v>12.48</v>
      </c>
      <c r="H11" s="6">
        <f t="shared" si="1"/>
        <v>0.99840000000000007</v>
      </c>
      <c r="I11" s="6"/>
      <c r="J11" s="6">
        <f t="shared" si="2"/>
        <v>13.478400000000001</v>
      </c>
    </row>
    <row r="12" spans="2:10" x14ac:dyDescent="0.25">
      <c r="B12" s="3">
        <v>45321</v>
      </c>
      <c r="C12" s="1" t="s">
        <v>15</v>
      </c>
      <c r="D12" s="6" t="s">
        <v>169</v>
      </c>
      <c r="E12">
        <v>2</v>
      </c>
      <c r="F12" s="6">
        <v>4.88</v>
      </c>
      <c r="G12" s="6">
        <f t="shared" si="0"/>
        <v>9.76</v>
      </c>
      <c r="H12" s="6">
        <f t="shared" si="1"/>
        <v>0.78080000000000005</v>
      </c>
      <c r="I12" s="6"/>
      <c r="J12" s="6">
        <f t="shared" si="2"/>
        <v>10.540799999999999</v>
      </c>
    </row>
    <row r="13" spans="2:10" x14ac:dyDescent="0.25">
      <c r="B13" s="3">
        <v>45321</v>
      </c>
      <c r="C13" s="1" t="s">
        <v>15</v>
      </c>
      <c r="D13" s="6" t="s">
        <v>170</v>
      </c>
      <c r="E13">
        <v>2</v>
      </c>
      <c r="F13" s="6">
        <v>5.1100000000000003</v>
      </c>
      <c r="G13" s="6">
        <f t="shared" si="0"/>
        <v>10.220000000000001</v>
      </c>
      <c r="H13" s="6">
        <f t="shared" si="1"/>
        <v>0.8176000000000001</v>
      </c>
      <c r="I13" s="6"/>
      <c r="J13" s="6">
        <f t="shared" si="2"/>
        <v>11.037600000000001</v>
      </c>
    </row>
    <row r="14" spans="2:10" x14ac:dyDescent="0.25">
      <c r="B14" s="3">
        <v>45321</v>
      </c>
      <c r="C14" s="1" t="s">
        <v>15</v>
      </c>
      <c r="D14" s="6" t="s">
        <v>187</v>
      </c>
      <c r="E14">
        <v>5</v>
      </c>
      <c r="F14" s="6">
        <v>5</v>
      </c>
      <c r="G14" s="6">
        <f t="shared" si="0"/>
        <v>25</v>
      </c>
      <c r="H14" s="6">
        <f t="shared" si="1"/>
        <v>2</v>
      </c>
      <c r="I14" s="6"/>
      <c r="J14" s="6">
        <f t="shared" si="2"/>
        <v>27</v>
      </c>
    </row>
    <row r="15" spans="2:10" x14ac:dyDescent="0.25">
      <c r="B15" s="3">
        <v>45328</v>
      </c>
      <c r="C15" s="1" t="s">
        <v>15</v>
      </c>
      <c r="D15" s="6" t="s">
        <v>202</v>
      </c>
      <c r="E15">
        <v>3</v>
      </c>
      <c r="F15" s="6">
        <v>136.81</v>
      </c>
      <c r="G15" s="6">
        <f t="shared" ref="G15:G50" si="3">E15*F15</f>
        <v>410.43</v>
      </c>
      <c r="H15" s="6">
        <f t="shared" ref="H15:H50" si="4">G15*0.08</f>
        <v>32.834400000000002</v>
      </c>
      <c r="I15" s="6"/>
      <c r="J15" s="6">
        <f t="shared" ref="J15:J50" si="5">SUM(G15:H15)-I15</f>
        <v>443.26440000000002</v>
      </c>
    </row>
    <row r="16" spans="2:10" x14ac:dyDescent="0.25">
      <c r="B16" s="3">
        <v>45328</v>
      </c>
      <c r="C16" s="1" t="s">
        <v>15</v>
      </c>
      <c r="D16" s="6" t="s">
        <v>203</v>
      </c>
      <c r="E16">
        <v>2</v>
      </c>
      <c r="F16" s="6">
        <v>172.94</v>
      </c>
      <c r="G16" s="6">
        <f t="shared" si="3"/>
        <v>345.88</v>
      </c>
      <c r="H16" s="6">
        <f t="shared" si="4"/>
        <v>27.670400000000001</v>
      </c>
      <c r="I16" s="6"/>
      <c r="J16" s="6">
        <f t="shared" si="5"/>
        <v>373.55039999999997</v>
      </c>
    </row>
    <row r="17" spans="2:10" x14ac:dyDescent="0.25">
      <c r="B17" s="3">
        <v>45328</v>
      </c>
      <c r="C17" s="1" t="s">
        <v>15</v>
      </c>
      <c r="D17" s="6" t="s">
        <v>204</v>
      </c>
      <c r="E17">
        <v>1</v>
      </c>
      <c r="F17" s="6">
        <v>153.91</v>
      </c>
      <c r="G17" s="6">
        <f t="shared" si="3"/>
        <v>153.91</v>
      </c>
      <c r="H17" s="6">
        <f t="shared" si="4"/>
        <v>12.312799999999999</v>
      </c>
      <c r="I17" s="6"/>
      <c r="J17" s="6">
        <f t="shared" si="5"/>
        <v>166.22280000000001</v>
      </c>
    </row>
    <row r="18" spans="2:10" x14ac:dyDescent="0.25">
      <c r="B18" s="3">
        <v>45328</v>
      </c>
      <c r="C18" s="1" t="s">
        <v>15</v>
      </c>
      <c r="D18" s="6" t="s">
        <v>206</v>
      </c>
      <c r="E18">
        <v>10</v>
      </c>
      <c r="F18" s="6">
        <v>16.829999999999998</v>
      </c>
      <c r="G18" s="6">
        <f t="shared" si="3"/>
        <v>168.29999999999998</v>
      </c>
      <c r="H18" s="6">
        <f t="shared" si="4"/>
        <v>13.463999999999999</v>
      </c>
      <c r="I18" s="6"/>
      <c r="J18" s="6">
        <f t="shared" si="5"/>
        <v>181.76399999999998</v>
      </c>
    </row>
    <row r="19" spans="2:10" x14ac:dyDescent="0.25">
      <c r="B19" s="3">
        <v>45328</v>
      </c>
      <c r="C19" s="1" t="s">
        <v>15</v>
      </c>
      <c r="D19" s="6" t="s">
        <v>207</v>
      </c>
      <c r="E19">
        <v>3</v>
      </c>
      <c r="F19" s="6">
        <v>680</v>
      </c>
      <c r="G19" s="6">
        <f t="shared" si="3"/>
        <v>2040</v>
      </c>
      <c r="H19" s="6">
        <f t="shared" si="4"/>
        <v>163.20000000000002</v>
      </c>
      <c r="I19" s="6"/>
      <c r="J19" s="6">
        <f t="shared" si="5"/>
        <v>2203.1999999999998</v>
      </c>
    </row>
    <row r="20" spans="2:10" x14ac:dyDescent="0.25">
      <c r="B20" s="3">
        <v>45328</v>
      </c>
      <c r="C20" s="1" t="s">
        <v>15</v>
      </c>
      <c r="D20" s="6" t="s">
        <v>208</v>
      </c>
      <c r="E20">
        <v>7</v>
      </c>
      <c r="F20" s="6">
        <v>16.829999999999998</v>
      </c>
      <c r="G20" s="6">
        <f t="shared" si="3"/>
        <v>117.80999999999999</v>
      </c>
      <c r="H20" s="6">
        <f t="shared" si="4"/>
        <v>9.4247999999999994</v>
      </c>
      <c r="I20" s="6"/>
      <c r="J20" s="6">
        <f t="shared" si="5"/>
        <v>127.23479999999999</v>
      </c>
    </row>
    <row r="21" spans="2:10" x14ac:dyDescent="0.25">
      <c r="B21" s="3">
        <v>45328</v>
      </c>
      <c r="C21" s="1" t="s">
        <v>15</v>
      </c>
      <c r="D21" s="6" t="s">
        <v>209</v>
      </c>
      <c r="E21">
        <v>20</v>
      </c>
      <c r="F21" s="6">
        <v>21.63</v>
      </c>
      <c r="G21" s="6">
        <f t="shared" si="3"/>
        <v>432.59999999999997</v>
      </c>
      <c r="H21" s="6">
        <f t="shared" si="4"/>
        <v>34.607999999999997</v>
      </c>
      <c r="I21" s="6"/>
      <c r="J21" s="6">
        <f t="shared" si="5"/>
        <v>467.20799999999997</v>
      </c>
    </row>
    <row r="22" spans="2:10" x14ac:dyDescent="0.25">
      <c r="B22" s="3">
        <v>45328</v>
      </c>
      <c r="C22" s="1" t="s">
        <v>15</v>
      </c>
      <c r="D22" s="6" t="s">
        <v>210</v>
      </c>
      <c r="E22">
        <v>1</v>
      </c>
      <c r="F22" s="6">
        <v>23.1</v>
      </c>
      <c r="G22" s="6">
        <f t="shared" si="3"/>
        <v>23.1</v>
      </c>
      <c r="H22" s="6">
        <f t="shared" si="4"/>
        <v>1.8480000000000001</v>
      </c>
      <c r="I22" s="6"/>
      <c r="J22" s="6">
        <f t="shared" si="5"/>
        <v>24.948</v>
      </c>
    </row>
    <row r="23" spans="2:10" x14ac:dyDescent="0.25">
      <c r="B23" s="3">
        <v>45328</v>
      </c>
      <c r="C23" s="1" t="s">
        <v>15</v>
      </c>
      <c r="D23" s="6" t="s">
        <v>212</v>
      </c>
      <c r="E23">
        <v>21</v>
      </c>
      <c r="F23" s="6">
        <v>17.79</v>
      </c>
      <c r="G23" s="6">
        <f t="shared" si="3"/>
        <v>373.59</v>
      </c>
      <c r="H23" s="6">
        <f t="shared" si="4"/>
        <v>29.8872</v>
      </c>
      <c r="I23" s="6"/>
      <c r="J23" s="6">
        <f t="shared" si="5"/>
        <v>403.47719999999998</v>
      </c>
    </row>
    <row r="24" spans="2:10" x14ac:dyDescent="0.25">
      <c r="B24" s="42">
        <v>45348</v>
      </c>
      <c r="C24" s="1" t="s">
        <v>15</v>
      </c>
      <c r="D24" s="1" t="s">
        <v>516</v>
      </c>
      <c r="E24" s="1">
        <v>5</v>
      </c>
      <c r="F24" s="43">
        <v>7.1</v>
      </c>
      <c r="G24" s="43">
        <f t="shared" si="3"/>
        <v>35.5</v>
      </c>
      <c r="H24" s="43">
        <f t="shared" si="4"/>
        <v>2.84</v>
      </c>
      <c r="I24" s="43"/>
      <c r="J24" s="43">
        <f t="shared" si="5"/>
        <v>38.340000000000003</v>
      </c>
    </row>
    <row r="25" spans="2:10" x14ac:dyDescent="0.25">
      <c r="B25" s="42">
        <v>45348</v>
      </c>
      <c r="C25" s="1" t="s">
        <v>15</v>
      </c>
      <c r="D25" s="1" t="s">
        <v>518</v>
      </c>
      <c r="E25" s="1">
        <v>1</v>
      </c>
      <c r="F25" s="43">
        <v>7.4</v>
      </c>
      <c r="G25" s="43">
        <f t="shared" si="3"/>
        <v>7.4</v>
      </c>
      <c r="H25" s="43">
        <f t="shared" si="4"/>
        <v>0.59200000000000008</v>
      </c>
      <c r="I25" s="43"/>
      <c r="J25" s="43">
        <f t="shared" si="5"/>
        <v>7.9920000000000009</v>
      </c>
    </row>
    <row r="26" spans="2:10" x14ac:dyDescent="0.25">
      <c r="B26" s="42">
        <v>45348</v>
      </c>
      <c r="C26" s="1" t="s">
        <v>15</v>
      </c>
      <c r="D26" s="1" t="s">
        <v>517</v>
      </c>
      <c r="E26" s="1">
        <v>1</v>
      </c>
      <c r="F26" s="43">
        <v>33.76</v>
      </c>
      <c r="G26" s="43">
        <f t="shared" si="3"/>
        <v>33.76</v>
      </c>
      <c r="H26" s="43">
        <f t="shared" si="4"/>
        <v>2.7008000000000001</v>
      </c>
      <c r="I26" s="43"/>
      <c r="J26" s="43">
        <f t="shared" si="5"/>
        <v>36.460799999999999</v>
      </c>
    </row>
    <row r="27" spans="2:10" x14ac:dyDescent="0.25">
      <c r="B27" s="42">
        <v>45348</v>
      </c>
      <c r="C27" s="1" t="s">
        <v>15</v>
      </c>
      <c r="D27" s="1" t="s">
        <v>519</v>
      </c>
      <c r="E27" s="1">
        <v>1</v>
      </c>
      <c r="F27" s="43">
        <v>43.58</v>
      </c>
      <c r="G27" s="43">
        <f t="shared" si="3"/>
        <v>43.58</v>
      </c>
      <c r="H27" s="43">
        <f t="shared" si="4"/>
        <v>3.4863999999999997</v>
      </c>
      <c r="I27" s="43"/>
      <c r="J27" s="43">
        <f t="shared" si="5"/>
        <v>47.066400000000002</v>
      </c>
    </row>
    <row r="28" spans="2:10" x14ac:dyDescent="0.25">
      <c r="B28" s="42">
        <v>45349</v>
      </c>
      <c r="C28" s="1" t="s">
        <v>15</v>
      </c>
      <c r="D28" s="1" t="s">
        <v>123</v>
      </c>
      <c r="E28" s="1">
        <v>1</v>
      </c>
      <c r="F28" s="43">
        <v>310</v>
      </c>
      <c r="G28" s="43">
        <f t="shared" si="3"/>
        <v>310</v>
      </c>
      <c r="H28" s="43">
        <f t="shared" si="4"/>
        <v>24.8</v>
      </c>
      <c r="I28" s="43"/>
      <c r="J28" s="43">
        <f t="shared" si="5"/>
        <v>334.8</v>
      </c>
    </row>
    <row r="29" spans="2:10" x14ac:dyDescent="0.25">
      <c r="B29" s="42">
        <v>45349</v>
      </c>
      <c r="C29" s="1" t="s">
        <v>15</v>
      </c>
      <c r="D29" s="1" t="s">
        <v>520</v>
      </c>
      <c r="E29" s="1">
        <v>15</v>
      </c>
      <c r="F29" s="43">
        <v>27.77</v>
      </c>
      <c r="G29" s="43">
        <f t="shared" si="3"/>
        <v>416.55</v>
      </c>
      <c r="H29" s="43">
        <f t="shared" si="4"/>
        <v>33.323999999999998</v>
      </c>
      <c r="I29" s="43"/>
      <c r="J29" s="43">
        <f t="shared" si="5"/>
        <v>449.87400000000002</v>
      </c>
    </row>
    <row r="30" spans="2:10" x14ac:dyDescent="0.25">
      <c r="B30" s="42">
        <v>45349</v>
      </c>
      <c r="C30" s="1" t="s">
        <v>15</v>
      </c>
      <c r="D30" s="1" t="s">
        <v>521</v>
      </c>
      <c r="E30" s="1">
        <v>2</v>
      </c>
      <c r="F30" s="43">
        <v>27.77</v>
      </c>
      <c r="G30" s="43">
        <f t="shared" si="3"/>
        <v>55.54</v>
      </c>
      <c r="H30" s="43">
        <f t="shared" si="4"/>
        <v>4.4432</v>
      </c>
      <c r="I30" s="43"/>
      <c r="J30" s="43">
        <f t="shared" si="5"/>
        <v>59.983199999999997</v>
      </c>
    </row>
    <row r="31" spans="2:10" x14ac:dyDescent="0.25">
      <c r="B31" s="42">
        <v>45349</v>
      </c>
      <c r="C31" s="1" t="s">
        <v>15</v>
      </c>
      <c r="D31" s="1" t="s">
        <v>522</v>
      </c>
      <c r="E31" s="1">
        <v>1</v>
      </c>
      <c r="F31" s="43">
        <v>214.16</v>
      </c>
      <c r="G31" s="43">
        <f t="shared" si="3"/>
        <v>214.16</v>
      </c>
      <c r="H31" s="43">
        <f t="shared" si="4"/>
        <v>17.1328</v>
      </c>
      <c r="I31" s="43"/>
      <c r="J31" s="43">
        <f t="shared" si="5"/>
        <v>231.2928</v>
      </c>
    </row>
    <row r="32" spans="2:10" x14ac:dyDescent="0.25">
      <c r="B32" s="42">
        <v>45349</v>
      </c>
      <c r="C32" s="1" t="s">
        <v>15</v>
      </c>
      <c r="D32" s="1" t="s">
        <v>523</v>
      </c>
      <c r="E32" s="1">
        <v>1</v>
      </c>
      <c r="F32" s="43">
        <v>143.82</v>
      </c>
      <c r="G32" s="43">
        <f t="shared" si="3"/>
        <v>143.82</v>
      </c>
      <c r="H32" s="43">
        <f t="shared" si="4"/>
        <v>11.505599999999999</v>
      </c>
      <c r="I32" s="43"/>
      <c r="J32" s="43">
        <f t="shared" si="5"/>
        <v>155.32559999999998</v>
      </c>
    </row>
    <row r="33" spans="2:10" x14ac:dyDescent="0.25">
      <c r="B33" s="42">
        <v>45349</v>
      </c>
      <c r="C33" s="1" t="s">
        <v>15</v>
      </c>
      <c r="D33" s="1" t="s">
        <v>524</v>
      </c>
      <c r="E33" s="1">
        <v>3</v>
      </c>
      <c r="F33" s="43">
        <v>77.06</v>
      </c>
      <c r="G33" s="43">
        <f t="shared" si="3"/>
        <v>231.18</v>
      </c>
      <c r="H33" s="43">
        <f t="shared" si="4"/>
        <v>18.494400000000002</v>
      </c>
      <c r="I33" s="43"/>
      <c r="J33" s="43">
        <f t="shared" si="5"/>
        <v>249.67440000000002</v>
      </c>
    </row>
    <row r="34" spans="2:10" x14ac:dyDescent="0.25">
      <c r="B34" s="42">
        <v>45349</v>
      </c>
      <c r="C34" s="1" t="s">
        <v>15</v>
      </c>
      <c r="D34" s="1" t="s">
        <v>525</v>
      </c>
      <c r="E34" s="1">
        <v>1</v>
      </c>
      <c r="F34" s="43">
        <v>78.45</v>
      </c>
      <c r="G34" s="43">
        <f t="shared" si="3"/>
        <v>78.45</v>
      </c>
      <c r="H34" s="43">
        <f t="shared" si="4"/>
        <v>6.2760000000000007</v>
      </c>
      <c r="I34" s="43"/>
      <c r="J34" s="43">
        <f t="shared" si="5"/>
        <v>84.725999999999999</v>
      </c>
    </row>
    <row r="35" spans="2:10" x14ac:dyDescent="0.25">
      <c r="B35" s="42">
        <v>45349</v>
      </c>
      <c r="C35" s="1" t="s">
        <v>15</v>
      </c>
      <c r="D35" s="1" t="s">
        <v>30</v>
      </c>
      <c r="E35" s="1">
        <v>2</v>
      </c>
      <c r="F35" s="43">
        <v>26.56</v>
      </c>
      <c r="G35" s="43">
        <f t="shared" si="3"/>
        <v>53.12</v>
      </c>
      <c r="H35" s="43">
        <f t="shared" si="4"/>
        <v>4.2496</v>
      </c>
      <c r="I35" s="43"/>
      <c r="J35" s="43">
        <f t="shared" si="5"/>
        <v>57.369599999999998</v>
      </c>
    </row>
    <row r="36" spans="2:10" x14ac:dyDescent="0.25">
      <c r="B36" s="42">
        <v>45349</v>
      </c>
      <c r="C36" s="1" t="s">
        <v>15</v>
      </c>
      <c r="D36" s="1" t="s">
        <v>526</v>
      </c>
      <c r="E36" s="1">
        <v>2</v>
      </c>
      <c r="F36" s="44">
        <v>16.579999999999998</v>
      </c>
      <c r="G36" s="43">
        <f t="shared" si="3"/>
        <v>33.159999999999997</v>
      </c>
      <c r="H36" s="43">
        <f t="shared" si="4"/>
        <v>2.6527999999999996</v>
      </c>
      <c r="I36" s="43"/>
      <c r="J36" s="43">
        <f t="shared" si="5"/>
        <v>35.812799999999996</v>
      </c>
    </row>
    <row r="37" spans="2:10" x14ac:dyDescent="0.25">
      <c r="B37" s="42">
        <v>45349</v>
      </c>
      <c r="C37" s="1" t="s">
        <v>15</v>
      </c>
      <c r="D37" s="1" t="s">
        <v>527</v>
      </c>
      <c r="E37" s="1">
        <v>1</v>
      </c>
      <c r="F37" s="44">
        <v>30.14</v>
      </c>
      <c r="G37" s="43">
        <f t="shared" si="3"/>
        <v>30.14</v>
      </c>
      <c r="H37" s="43">
        <f t="shared" si="4"/>
        <v>2.4112</v>
      </c>
      <c r="I37" s="43"/>
      <c r="J37" s="43">
        <f t="shared" si="5"/>
        <v>32.551200000000001</v>
      </c>
    </row>
    <row r="38" spans="2:10" x14ac:dyDescent="0.25">
      <c r="B38" s="42">
        <v>45349</v>
      </c>
      <c r="C38" s="1" t="s">
        <v>15</v>
      </c>
      <c r="D38" s="1" t="s">
        <v>528</v>
      </c>
      <c r="E38" s="1">
        <v>1</v>
      </c>
      <c r="F38" s="44">
        <v>18.190000000000001</v>
      </c>
      <c r="G38" s="43">
        <f t="shared" si="3"/>
        <v>18.190000000000001</v>
      </c>
      <c r="H38" s="43">
        <f t="shared" si="4"/>
        <v>1.4552</v>
      </c>
      <c r="I38" s="43"/>
      <c r="J38" s="43">
        <f t="shared" si="5"/>
        <v>19.645200000000003</v>
      </c>
    </row>
    <row r="39" spans="2:10" x14ac:dyDescent="0.25">
      <c r="B39" s="42">
        <v>45349</v>
      </c>
      <c r="C39" s="1" t="s">
        <v>15</v>
      </c>
      <c r="D39" s="1" t="s">
        <v>516</v>
      </c>
      <c r="E39" s="1">
        <v>7</v>
      </c>
      <c r="F39" s="44">
        <v>7.1</v>
      </c>
      <c r="G39" s="43">
        <f t="shared" si="3"/>
        <v>49.699999999999996</v>
      </c>
      <c r="H39" s="43">
        <f t="shared" si="4"/>
        <v>3.9759999999999995</v>
      </c>
      <c r="I39" s="43"/>
      <c r="J39" s="43">
        <f t="shared" si="5"/>
        <v>53.675999999999995</v>
      </c>
    </row>
    <row r="40" spans="2:10" x14ac:dyDescent="0.25">
      <c r="B40" s="42">
        <v>45349</v>
      </c>
      <c r="C40" s="1" t="s">
        <v>15</v>
      </c>
      <c r="D40" s="1" t="s">
        <v>529</v>
      </c>
      <c r="E40" s="1">
        <v>13</v>
      </c>
      <c r="F40" s="44">
        <v>117.62</v>
      </c>
      <c r="G40" s="43">
        <f t="shared" si="3"/>
        <v>1529.06</v>
      </c>
      <c r="H40" s="43">
        <f t="shared" si="4"/>
        <v>122.3248</v>
      </c>
      <c r="I40" s="43"/>
      <c r="J40" s="43">
        <f t="shared" si="5"/>
        <v>1651.3848</v>
      </c>
    </row>
    <row r="41" spans="2:10" x14ac:dyDescent="0.25">
      <c r="B41" s="42">
        <v>45349</v>
      </c>
      <c r="C41" s="1" t="s">
        <v>15</v>
      </c>
      <c r="D41" s="1" t="s">
        <v>530</v>
      </c>
      <c r="E41" s="1">
        <v>2</v>
      </c>
      <c r="F41" s="44">
        <v>728.08</v>
      </c>
      <c r="G41" s="43">
        <f t="shared" si="3"/>
        <v>1456.16</v>
      </c>
      <c r="H41" s="43">
        <f t="shared" si="4"/>
        <v>116.4928</v>
      </c>
      <c r="I41" s="43"/>
      <c r="J41" s="43">
        <f t="shared" si="5"/>
        <v>1572.6528000000001</v>
      </c>
    </row>
    <row r="42" spans="2:10" x14ac:dyDescent="0.25">
      <c r="B42" s="42">
        <v>45349</v>
      </c>
      <c r="C42" s="1" t="s">
        <v>15</v>
      </c>
      <c r="D42" s="1" t="s">
        <v>531</v>
      </c>
      <c r="E42" s="1">
        <v>1</v>
      </c>
      <c r="F42" s="44">
        <v>728.08</v>
      </c>
      <c r="G42" s="43">
        <f t="shared" si="3"/>
        <v>728.08</v>
      </c>
      <c r="H42" s="43">
        <f t="shared" si="4"/>
        <v>58.246400000000001</v>
      </c>
      <c r="I42" s="43"/>
      <c r="J42" s="43">
        <f t="shared" si="5"/>
        <v>786.32640000000004</v>
      </c>
    </row>
    <row r="43" spans="2:10" x14ac:dyDescent="0.25">
      <c r="B43" s="42">
        <v>45349</v>
      </c>
      <c r="C43" s="1" t="s">
        <v>15</v>
      </c>
      <c r="D43" s="1" t="s">
        <v>532</v>
      </c>
      <c r="E43" s="1">
        <v>1</v>
      </c>
      <c r="F43" s="44">
        <v>271.70999999999998</v>
      </c>
      <c r="G43" s="43">
        <f t="shared" si="3"/>
        <v>271.70999999999998</v>
      </c>
      <c r="H43" s="43">
        <f t="shared" si="4"/>
        <v>21.736799999999999</v>
      </c>
      <c r="I43" s="43"/>
      <c r="J43" s="43">
        <f t="shared" si="5"/>
        <v>293.4468</v>
      </c>
    </row>
    <row r="44" spans="2:10" x14ac:dyDescent="0.25">
      <c r="B44" s="42">
        <v>45349</v>
      </c>
      <c r="C44" s="1" t="s">
        <v>15</v>
      </c>
      <c r="D44" s="1" t="s">
        <v>533</v>
      </c>
      <c r="E44" s="1">
        <v>2</v>
      </c>
      <c r="F44" s="44">
        <v>740.3</v>
      </c>
      <c r="G44" s="43">
        <f t="shared" si="3"/>
        <v>1480.6</v>
      </c>
      <c r="H44" s="43">
        <f t="shared" si="4"/>
        <v>118.44799999999999</v>
      </c>
      <c r="I44" s="43"/>
      <c r="J44" s="43">
        <f t="shared" si="5"/>
        <v>1599.048</v>
      </c>
    </row>
    <row r="45" spans="2:10" x14ac:dyDescent="0.25">
      <c r="B45" s="42">
        <v>45349</v>
      </c>
      <c r="C45" s="1" t="s">
        <v>15</v>
      </c>
      <c r="D45" s="1" t="s">
        <v>534</v>
      </c>
      <c r="E45" s="1">
        <v>2</v>
      </c>
      <c r="F45" s="44">
        <v>740.3</v>
      </c>
      <c r="G45" s="43">
        <f t="shared" si="3"/>
        <v>1480.6</v>
      </c>
      <c r="H45" s="43">
        <f t="shared" si="4"/>
        <v>118.44799999999999</v>
      </c>
      <c r="I45" s="43"/>
      <c r="J45" s="43">
        <f t="shared" si="5"/>
        <v>1599.048</v>
      </c>
    </row>
    <row r="46" spans="2:10" x14ac:dyDescent="0.25">
      <c r="B46" s="42">
        <v>45349</v>
      </c>
      <c r="C46" s="1" t="s">
        <v>15</v>
      </c>
      <c r="D46" s="1" t="s">
        <v>535</v>
      </c>
      <c r="E46" s="1">
        <v>1</v>
      </c>
      <c r="F46" s="44">
        <v>1216.79</v>
      </c>
      <c r="G46" s="43">
        <f t="shared" si="3"/>
        <v>1216.79</v>
      </c>
      <c r="H46" s="43">
        <f t="shared" si="4"/>
        <v>97.343199999999996</v>
      </c>
      <c r="I46" s="43"/>
      <c r="J46" s="43">
        <f t="shared" si="5"/>
        <v>1314.1332</v>
      </c>
    </row>
    <row r="47" spans="2:10" x14ac:dyDescent="0.25">
      <c r="B47" s="42">
        <v>45325</v>
      </c>
      <c r="C47" s="1" t="s">
        <v>15</v>
      </c>
      <c r="D47" s="1" t="s">
        <v>212</v>
      </c>
      <c r="E47" s="1">
        <v>12</v>
      </c>
      <c r="F47" s="43">
        <v>17.79</v>
      </c>
      <c r="G47" s="43">
        <f t="shared" si="3"/>
        <v>213.48</v>
      </c>
      <c r="H47" s="43">
        <f t="shared" si="4"/>
        <v>17.078399999999998</v>
      </c>
      <c r="I47" s="43"/>
      <c r="J47" s="43">
        <f t="shared" si="5"/>
        <v>230.55839999999998</v>
      </c>
    </row>
    <row r="48" spans="2:10" x14ac:dyDescent="0.25">
      <c r="B48" s="42">
        <v>45325</v>
      </c>
      <c r="C48" s="1" t="s">
        <v>15</v>
      </c>
      <c r="D48" s="1" t="s">
        <v>528</v>
      </c>
      <c r="E48" s="1">
        <v>3</v>
      </c>
      <c r="F48" s="43">
        <v>18.190000000000001</v>
      </c>
      <c r="G48" s="43">
        <f t="shared" si="3"/>
        <v>54.570000000000007</v>
      </c>
      <c r="H48" s="43">
        <f t="shared" si="4"/>
        <v>4.3656000000000006</v>
      </c>
      <c r="I48" s="43"/>
      <c r="J48" s="43">
        <f t="shared" si="5"/>
        <v>58.935600000000008</v>
      </c>
    </row>
    <row r="49" spans="2:10" x14ac:dyDescent="0.25">
      <c r="B49" s="42">
        <v>45325</v>
      </c>
      <c r="C49" s="1" t="s">
        <v>15</v>
      </c>
      <c r="D49" s="1" t="s">
        <v>522</v>
      </c>
      <c r="E49" s="1">
        <v>1</v>
      </c>
      <c r="F49" s="43">
        <v>151.94</v>
      </c>
      <c r="G49" s="43">
        <f t="shared" si="3"/>
        <v>151.94</v>
      </c>
      <c r="H49" s="43">
        <f t="shared" si="4"/>
        <v>12.155200000000001</v>
      </c>
      <c r="I49" s="43"/>
      <c r="J49" s="43">
        <f t="shared" si="5"/>
        <v>164.09520000000001</v>
      </c>
    </row>
    <row r="50" spans="2:10" x14ac:dyDescent="0.25">
      <c r="B50" s="42">
        <v>45325</v>
      </c>
      <c r="C50" s="1" t="s">
        <v>15</v>
      </c>
      <c r="D50" s="1" t="s">
        <v>578</v>
      </c>
      <c r="E50" s="1">
        <v>1</v>
      </c>
      <c r="F50" s="43">
        <v>36.44</v>
      </c>
      <c r="G50" s="43">
        <f t="shared" si="3"/>
        <v>36.44</v>
      </c>
      <c r="H50" s="43">
        <f t="shared" si="4"/>
        <v>2.9152</v>
      </c>
      <c r="I50" s="43"/>
      <c r="J50" s="43">
        <f t="shared" si="5"/>
        <v>39.355199999999996</v>
      </c>
    </row>
    <row r="55" spans="2:10" x14ac:dyDescent="0.25">
      <c r="J55" s="9">
        <f>SUM(J7:J54)</f>
        <v>15970.837600000001</v>
      </c>
    </row>
  </sheetData>
  <mergeCells count="1">
    <mergeCell ref="B3:J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7EB8-C3E2-4537-9324-F121CA8A9703}">
  <sheetPr>
    <tabColor theme="3" tint="0.59999389629810485"/>
  </sheetPr>
  <dimension ref="B2:BH18"/>
  <sheetViews>
    <sheetView topLeftCell="G1" workbookViewId="0">
      <selection activeCell="AQ18" sqref="AQ18"/>
    </sheetView>
  </sheetViews>
  <sheetFormatPr baseColWidth="10" defaultRowHeight="15" x14ac:dyDescent="0.25"/>
  <cols>
    <col min="2" max="2" width="6.7109375" bestFit="1" customWidth="1"/>
    <col min="3" max="3" width="12.28515625" bestFit="1" customWidth="1"/>
    <col min="4" max="4" width="10.28515625" bestFit="1" customWidth="1"/>
    <col min="5" max="5" width="9.7109375" bestFit="1" customWidth="1"/>
    <col min="6" max="6" width="17.28515625" bestFit="1" customWidth="1"/>
    <col min="7" max="7" width="11.28515625" bestFit="1" customWidth="1"/>
    <col min="8" max="8" width="10.28515625" bestFit="1" customWidth="1"/>
    <col min="9" max="9" width="4.85546875" bestFit="1" customWidth="1"/>
    <col min="10" max="10" width="11.28515625" bestFit="1" customWidth="1"/>
    <col min="12" max="12" width="6.28515625" bestFit="1" customWidth="1"/>
    <col min="13" max="13" width="12.28515625" bestFit="1" customWidth="1"/>
    <col min="14" max="14" width="19.42578125" bestFit="1" customWidth="1"/>
    <col min="15" max="15" width="9.7109375" bestFit="1" customWidth="1"/>
    <col min="16" max="16" width="17.28515625" bestFit="1" customWidth="1"/>
    <col min="17" max="17" width="11.28515625" bestFit="1" customWidth="1"/>
    <col min="18" max="18" width="10.28515625" bestFit="1" customWidth="1"/>
    <col min="19" max="19" width="4.85546875" bestFit="1" customWidth="1"/>
    <col min="20" max="20" width="11.28515625" bestFit="1" customWidth="1"/>
    <col min="22" max="22" width="6.28515625" bestFit="1" customWidth="1"/>
    <col min="23" max="23" width="12.28515625" bestFit="1" customWidth="1"/>
    <col min="24" max="24" width="19.42578125" bestFit="1" customWidth="1"/>
    <col min="25" max="25" width="9.7109375" bestFit="1" customWidth="1"/>
    <col min="26" max="26" width="17.28515625" bestFit="1" customWidth="1"/>
    <col min="27" max="27" width="11.28515625" bestFit="1" customWidth="1"/>
    <col min="28" max="28" width="10.28515625" bestFit="1" customWidth="1"/>
    <col min="29" max="29" width="4.85546875" bestFit="1" customWidth="1"/>
    <col min="30" max="30" width="11.28515625" bestFit="1" customWidth="1"/>
    <col min="32" max="32" width="6.28515625" bestFit="1" customWidth="1"/>
    <col min="33" max="33" width="12.28515625" bestFit="1" customWidth="1"/>
    <col min="34" max="34" width="13.42578125" bestFit="1" customWidth="1"/>
    <col min="35" max="35" width="9.7109375" bestFit="1" customWidth="1"/>
    <col min="36" max="36" width="17.28515625" bestFit="1" customWidth="1"/>
    <col min="37" max="37" width="11" bestFit="1" customWidth="1"/>
    <col min="38" max="38" width="8.85546875" bestFit="1" customWidth="1"/>
    <col min="39" max="39" width="4.85546875" bestFit="1" customWidth="1"/>
    <col min="40" max="40" width="10.28515625" bestFit="1" customWidth="1"/>
    <col min="42" max="42" width="6.7109375" bestFit="1" customWidth="1"/>
    <col min="43" max="43" width="12.28515625" bestFit="1" customWidth="1"/>
    <col min="44" max="44" width="21.5703125" bestFit="1" customWidth="1"/>
    <col min="45" max="45" width="9.7109375" bestFit="1" customWidth="1"/>
    <col min="46" max="46" width="17.28515625" bestFit="1" customWidth="1"/>
    <col min="47" max="47" width="11" bestFit="1" customWidth="1"/>
    <col min="48" max="48" width="7.85546875" bestFit="1" customWidth="1"/>
    <col min="49" max="49" width="4.85546875" bestFit="1" customWidth="1"/>
    <col min="50" max="50" width="10.28515625" bestFit="1" customWidth="1"/>
    <col min="52" max="52" width="6.7109375" bestFit="1" customWidth="1"/>
    <col min="53" max="53" width="12.28515625" bestFit="1" customWidth="1"/>
    <col min="54" max="54" width="22.42578125" bestFit="1" customWidth="1"/>
    <col min="55" max="55" width="9.7109375" bestFit="1" customWidth="1"/>
    <col min="56" max="56" width="17.28515625" bestFit="1" customWidth="1"/>
    <col min="57" max="57" width="11" bestFit="1" customWidth="1"/>
    <col min="58" max="58" width="7.85546875" bestFit="1" customWidth="1"/>
    <col min="59" max="59" width="4.85546875" bestFit="1" customWidth="1"/>
    <col min="60" max="60" width="10.28515625" bestFit="1" customWidth="1"/>
  </cols>
  <sheetData>
    <row r="2" spans="2:60" x14ac:dyDescent="0.25">
      <c r="B2" s="389" t="s">
        <v>265</v>
      </c>
      <c r="C2" s="389"/>
      <c r="D2" s="389"/>
      <c r="E2" s="389"/>
      <c r="F2" s="389"/>
      <c r="G2" s="389"/>
      <c r="H2" s="389"/>
      <c r="I2" s="389"/>
      <c r="J2" s="389"/>
      <c r="L2" s="389" t="s">
        <v>267</v>
      </c>
      <c r="M2" s="389"/>
      <c r="N2" s="389"/>
      <c r="O2" s="389"/>
      <c r="P2" s="389"/>
      <c r="Q2" s="389"/>
      <c r="R2" s="389"/>
      <c r="S2" s="389"/>
      <c r="T2" s="389"/>
      <c r="V2" s="389" t="s">
        <v>268</v>
      </c>
      <c r="W2" s="389"/>
      <c r="X2" s="389"/>
      <c r="Y2" s="389"/>
      <c r="Z2" s="389"/>
      <c r="AA2" s="389"/>
      <c r="AB2" s="389"/>
      <c r="AC2" s="389"/>
      <c r="AD2" s="389"/>
      <c r="AF2" s="389" t="s">
        <v>270</v>
      </c>
      <c r="AG2" s="389"/>
      <c r="AH2" s="389"/>
      <c r="AI2" s="389"/>
      <c r="AJ2" s="389"/>
      <c r="AK2" s="389"/>
      <c r="AL2" s="389"/>
      <c r="AM2" s="389"/>
      <c r="AN2" s="389"/>
      <c r="AP2" s="389" t="s">
        <v>296</v>
      </c>
      <c r="AQ2" s="389"/>
      <c r="AR2" s="389"/>
      <c r="AS2" s="389"/>
      <c r="AT2" s="389"/>
      <c r="AU2" s="389"/>
      <c r="AV2" s="389"/>
      <c r="AW2" s="389"/>
      <c r="AX2" s="389"/>
      <c r="AZ2" s="389" t="s">
        <v>298</v>
      </c>
      <c r="BA2" s="389"/>
      <c r="BB2" s="389"/>
      <c r="BC2" s="389"/>
      <c r="BD2" s="389"/>
      <c r="BE2" s="389"/>
      <c r="BF2" s="389"/>
      <c r="BG2" s="389"/>
      <c r="BH2" s="389"/>
    </row>
    <row r="3" spans="2:60" x14ac:dyDescent="0.25">
      <c r="B3" s="2" t="s">
        <v>0</v>
      </c>
      <c r="C3" s="2" t="s">
        <v>1</v>
      </c>
      <c r="D3" s="2" t="s">
        <v>2</v>
      </c>
      <c r="E3" s="2" t="s">
        <v>3</v>
      </c>
      <c r="F3" s="4" t="s">
        <v>4</v>
      </c>
      <c r="G3" s="4" t="s">
        <v>8</v>
      </c>
      <c r="H3" s="5" t="s">
        <v>9</v>
      </c>
      <c r="I3" s="5" t="s">
        <v>10</v>
      </c>
      <c r="J3" s="5" t="s">
        <v>5</v>
      </c>
      <c r="L3" s="2" t="s">
        <v>0</v>
      </c>
      <c r="M3" s="2" t="s">
        <v>1</v>
      </c>
      <c r="N3" s="2" t="s">
        <v>2</v>
      </c>
      <c r="O3" s="2" t="s">
        <v>3</v>
      </c>
      <c r="P3" s="4" t="s">
        <v>4</v>
      </c>
      <c r="Q3" s="4" t="s">
        <v>8</v>
      </c>
      <c r="R3" s="5" t="s">
        <v>9</v>
      </c>
      <c r="S3" s="5" t="s">
        <v>10</v>
      </c>
      <c r="T3" s="5" t="s">
        <v>5</v>
      </c>
      <c r="V3" s="2" t="s">
        <v>0</v>
      </c>
      <c r="W3" s="2" t="s">
        <v>1</v>
      </c>
      <c r="X3" s="2" t="s">
        <v>2</v>
      </c>
      <c r="Y3" s="2" t="s">
        <v>3</v>
      </c>
      <c r="Z3" s="4" t="s">
        <v>4</v>
      </c>
      <c r="AA3" s="4" t="s">
        <v>8</v>
      </c>
      <c r="AB3" s="5" t="s">
        <v>9</v>
      </c>
      <c r="AC3" s="5" t="s">
        <v>10</v>
      </c>
      <c r="AD3" s="5" t="s">
        <v>5</v>
      </c>
      <c r="AF3" s="2" t="s">
        <v>0</v>
      </c>
      <c r="AG3" s="2" t="s">
        <v>1</v>
      </c>
      <c r="AH3" s="2" t="s">
        <v>2</v>
      </c>
      <c r="AI3" s="2" t="s">
        <v>3</v>
      </c>
      <c r="AJ3" s="4" t="s">
        <v>4</v>
      </c>
      <c r="AK3" s="4" t="s">
        <v>8</v>
      </c>
      <c r="AL3" s="5" t="s">
        <v>9</v>
      </c>
      <c r="AM3" s="5" t="s">
        <v>10</v>
      </c>
      <c r="AN3" s="5" t="s">
        <v>5</v>
      </c>
      <c r="AP3" s="2" t="s">
        <v>0</v>
      </c>
      <c r="AQ3" s="2" t="s">
        <v>1</v>
      </c>
      <c r="AR3" s="2" t="s">
        <v>2</v>
      </c>
      <c r="AS3" s="2" t="s">
        <v>3</v>
      </c>
      <c r="AT3" s="4" t="s">
        <v>4</v>
      </c>
      <c r="AU3" s="4" t="s">
        <v>8</v>
      </c>
      <c r="AV3" s="5" t="s">
        <v>9</v>
      </c>
      <c r="AW3" s="5" t="s">
        <v>10</v>
      </c>
      <c r="AX3" s="5" t="s">
        <v>5</v>
      </c>
      <c r="AZ3" s="2" t="s">
        <v>0</v>
      </c>
      <c r="BA3" s="2" t="s">
        <v>1</v>
      </c>
      <c r="BB3" s="2" t="s">
        <v>2</v>
      </c>
      <c r="BC3" s="2" t="s">
        <v>3</v>
      </c>
      <c r="BD3" s="4" t="s">
        <v>4</v>
      </c>
      <c r="BE3" s="4" t="s">
        <v>8</v>
      </c>
      <c r="BF3" s="5" t="s">
        <v>9</v>
      </c>
      <c r="BG3" s="5" t="s">
        <v>10</v>
      </c>
      <c r="BH3" s="5" t="s">
        <v>5</v>
      </c>
    </row>
    <row r="4" spans="2:60" x14ac:dyDescent="0.25">
      <c r="B4" s="3">
        <v>45634</v>
      </c>
      <c r="C4" s="1" t="s">
        <v>97</v>
      </c>
      <c r="D4" t="s">
        <v>266</v>
      </c>
      <c r="E4">
        <v>1500</v>
      </c>
      <c r="F4" s="6">
        <v>16.2</v>
      </c>
      <c r="G4" s="6">
        <f t="shared" ref="G4:G5" si="0">E4*F4</f>
        <v>24300</v>
      </c>
      <c r="H4" s="6">
        <f t="shared" ref="H4:H5" si="1">G4*0.08</f>
        <v>1944</v>
      </c>
      <c r="I4" s="6"/>
      <c r="J4" s="6">
        <f t="shared" ref="J4" si="2">SUM(G4:H4)-I4</f>
        <v>26244</v>
      </c>
      <c r="L4" s="3">
        <v>45638</v>
      </c>
      <c r="M4" s="1" t="s">
        <v>13</v>
      </c>
      <c r="N4" t="s">
        <v>70</v>
      </c>
      <c r="O4">
        <v>72</v>
      </c>
      <c r="P4" s="7">
        <v>260</v>
      </c>
      <c r="Q4" s="7">
        <f t="shared" ref="Q4:Q13" si="3">O4*P4</f>
        <v>18720</v>
      </c>
      <c r="R4" s="7">
        <f t="shared" ref="R4:R13" si="4">Q4*0.08</f>
        <v>1497.6000000000001</v>
      </c>
      <c r="S4" s="7"/>
      <c r="T4" s="7">
        <f t="shared" ref="T4:T13" si="5">SUM(Q4:R4)-S4</f>
        <v>20217.599999999999</v>
      </c>
      <c r="V4" s="3">
        <v>45638</v>
      </c>
      <c r="W4" s="1" t="s">
        <v>13</v>
      </c>
      <c r="X4" t="s">
        <v>71</v>
      </c>
      <c r="Y4">
        <v>60</v>
      </c>
      <c r="Z4" s="7">
        <v>228.7</v>
      </c>
      <c r="AA4" s="7">
        <f t="shared" ref="AA4" si="6">Y4*Z4</f>
        <v>13722</v>
      </c>
      <c r="AB4" s="7">
        <f t="shared" ref="AB4" si="7">AA4*0.08</f>
        <v>1097.76</v>
      </c>
      <c r="AC4" s="7"/>
      <c r="AD4" s="7">
        <f t="shared" ref="AD4" si="8">SUM(AA4:AB4)-AC4</f>
        <v>14819.76</v>
      </c>
      <c r="AF4" s="3">
        <v>45638</v>
      </c>
      <c r="AG4" s="1" t="s">
        <v>13</v>
      </c>
      <c r="AH4" t="s">
        <v>75</v>
      </c>
      <c r="AI4">
        <v>50</v>
      </c>
      <c r="AJ4" s="6">
        <v>164.04</v>
      </c>
      <c r="AK4" s="6">
        <f t="shared" ref="AK4" si="9">AI4*AJ4</f>
        <v>8202</v>
      </c>
      <c r="AL4" s="6">
        <f t="shared" ref="AL4" si="10">AK4*0.08</f>
        <v>656.16</v>
      </c>
      <c r="AM4" s="6"/>
      <c r="AN4" s="6">
        <f t="shared" ref="AN4" si="11">SUM(AK4:AL4)-AM4</f>
        <v>8858.16</v>
      </c>
      <c r="AP4" s="3">
        <v>45315</v>
      </c>
      <c r="AQ4" s="1" t="s">
        <v>13</v>
      </c>
      <c r="AR4" s="7" t="s">
        <v>263</v>
      </c>
      <c r="AS4">
        <v>1</v>
      </c>
      <c r="AT4" s="7">
        <f>515/1.08</f>
        <v>476.85185185185185</v>
      </c>
      <c r="AU4" s="7">
        <f t="shared" ref="AU4:AU5" si="12">AS4*AT4</f>
        <v>476.85185185185185</v>
      </c>
      <c r="AV4" s="7">
        <f t="shared" ref="AV4:AV5" si="13">AU4*0.08</f>
        <v>38.148148148148145</v>
      </c>
      <c r="AW4" s="7"/>
      <c r="AX4" s="7">
        <f t="shared" ref="AX4:AX5" si="14">SUM(AU4:AV4)-AW4</f>
        <v>515</v>
      </c>
      <c r="AZ4" s="3">
        <v>45321</v>
      </c>
      <c r="BA4" s="1" t="s">
        <v>13</v>
      </c>
      <c r="BB4" s="6" t="s">
        <v>149</v>
      </c>
      <c r="BC4">
        <v>1</v>
      </c>
      <c r="BD4" s="6">
        <v>254.63</v>
      </c>
      <c r="BE4" s="6">
        <f t="shared" ref="BE4:BE6" si="15">BC4*BD4</f>
        <v>254.63</v>
      </c>
      <c r="BF4" s="6">
        <f t="shared" ref="BF4:BF6" si="16">BE4*0.08</f>
        <v>20.3704</v>
      </c>
      <c r="BG4" s="6"/>
      <c r="BH4" s="6">
        <f t="shared" ref="BH4:BH5" si="17">SUM(BE4:BF4)-BG4</f>
        <v>275.00040000000001</v>
      </c>
    </row>
    <row r="5" spans="2:60" x14ac:dyDescent="0.25">
      <c r="B5" s="3">
        <v>45317</v>
      </c>
      <c r="C5" s="1" t="s">
        <v>13</v>
      </c>
      <c r="D5" s="6" t="s">
        <v>226</v>
      </c>
      <c r="E5">
        <v>40</v>
      </c>
      <c r="F5" s="6">
        <v>24.5</v>
      </c>
      <c r="G5" s="6">
        <f t="shared" si="0"/>
        <v>980</v>
      </c>
      <c r="H5" s="6">
        <f t="shared" si="1"/>
        <v>78.400000000000006</v>
      </c>
      <c r="I5" s="6"/>
      <c r="J5" s="6">
        <f>SUM(G5:H5)-I5</f>
        <v>1058.4000000000001</v>
      </c>
      <c r="L5" s="3">
        <v>45638</v>
      </c>
      <c r="M5" s="1" t="s">
        <v>13</v>
      </c>
      <c r="N5" t="s">
        <v>71</v>
      </c>
      <c r="O5">
        <v>60</v>
      </c>
      <c r="P5" s="7">
        <v>228.7</v>
      </c>
      <c r="Q5" s="7">
        <f t="shared" si="3"/>
        <v>13722</v>
      </c>
      <c r="R5" s="7">
        <f t="shared" si="4"/>
        <v>1097.76</v>
      </c>
      <c r="S5" s="7"/>
      <c r="T5" s="7">
        <f t="shared" si="5"/>
        <v>14819.76</v>
      </c>
      <c r="AP5" s="3">
        <v>45315</v>
      </c>
      <c r="AQ5" s="1" t="s">
        <v>13</v>
      </c>
      <c r="AR5" s="7" t="s">
        <v>283</v>
      </c>
      <c r="AS5">
        <v>1</v>
      </c>
      <c r="AT5" s="7">
        <f>(875-86)/1.08</f>
        <v>730.55555555555554</v>
      </c>
      <c r="AU5" s="7">
        <f t="shared" si="12"/>
        <v>730.55555555555554</v>
      </c>
      <c r="AV5" s="7">
        <f t="shared" si="13"/>
        <v>58.444444444444443</v>
      </c>
      <c r="AW5" s="7"/>
      <c r="AX5" s="7">
        <f t="shared" si="14"/>
        <v>789</v>
      </c>
      <c r="AZ5" s="3">
        <v>45321</v>
      </c>
      <c r="BA5" s="1" t="s">
        <v>13</v>
      </c>
      <c r="BB5" s="6" t="s">
        <v>150</v>
      </c>
      <c r="BC5">
        <v>1</v>
      </c>
      <c r="BD5" s="6">
        <v>219.44</v>
      </c>
      <c r="BE5" s="6">
        <f t="shared" si="15"/>
        <v>219.44</v>
      </c>
      <c r="BF5" s="6">
        <f t="shared" si="16"/>
        <v>17.555199999999999</v>
      </c>
      <c r="BG5" s="6"/>
      <c r="BH5" s="6">
        <f t="shared" si="17"/>
        <v>236.99520000000001</v>
      </c>
    </row>
    <row r="6" spans="2:60" x14ac:dyDescent="0.25">
      <c r="L6" s="3">
        <v>45336</v>
      </c>
      <c r="M6" s="1" t="s">
        <v>13</v>
      </c>
      <c r="N6" s="39" t="s">
        <v>336</v>
      </c>
      <c r="O6">
        <v>6</v>
      </c>
      <c r="P6" s="6">
        <f>325/1.08</f>
        <v>300.92592592592592</v>
      </c>
      <c r="Q6" s="6">
        <f t="shared" si="3"/>
        <v>1805.5555555555557</v>
      </c>
      <c r="R6" s="6">
        <f t="shared" si="4"/>
        <v>144.44444444444446</v>
      </c>
      <c r="S6" s="6"/>
      <c r="T6" s="6">
        <f t="shared" si="5"/>
        <v>1950</v>
      </c>
      <c r="AP6" s="3">
        <v>45330</v>
      </c>
      <c r="AQ6" s="1" t="s">
        <v>13</v>
      </c>
      <c r="AR6" s="6" t="s">
        <v>263</v>
      </c>
      <c r="AS6">
        <v>1</v>
      </c>
      <c r="AT6" s="6">
        <f>515/1.08</f>
        <v>476.85185185185185</v>
      </c>
      <c r="AU6" s="6">
        <f>AS6*AT6</f>
        <v>476.85185185185185</v>
      </c>
      <c r="AV6" s="6">
        <f>AU6*0.08</f>
        <v>38.148148148148145</v>
      </c>
      <c r="AW6" s="6"/>
      <c r="AX6" s="6">
        <f>SUM(AU6:AV6)-AW6</f>
        <v>515</v>
      </c>
      <c r="AZ6" s="3">
        <v>45324</v>
      </c>
      <c r="BA6" s="1" t="s">
        <v>13</v>
      </c>
      <c r="BB6" s="39" t="s">
        <v>286</v>
      </c>
      <c r="BC6">
        <v>1</v>
      </c>
      <c r="BD6" s="6">
        <v>274</v>
      </c>
      <c r="BE6" s="6">
        <f t="shared" si="15"/>
        <v>274</v>
      </c>
      <c r="BF6" s="6">
        <f t="shared" si="16"/>
        <v>21.92</v>
      </c>
      <c r="BG6" s="6"/>
      <c r="BH6" s="6">
        <f t="shared" ref="BH6" si="18">SUM(BE6:BF6)-BG6</f>
        <v>295.92</v>
      </c>
    </row>
    <row r="7" spans="2:60" x14ac:dyDescent="0.25">
      <c r="L7" s="170">
        <v>45342</v>
      </c>
      <c r="M7" s="171" t="s">
        <v>13</v>
      </c>
      <c r="N7" s="172" t="s">
        <v>70</v>
      </c>
      <c r="O7" s="173">
        <v>24</v>
      </c>
      <c r="P7" s="174">
        <v>261</v>
      </c>
      <c r="Q7" s="174">
        <f t="shared" si="3"/>
        <v>6264</v>
      </c>
      <c r="R7" s="174">
        <f t="shared" si="4"/>
        <v>501.12</v>
      </c>
      <c r="S7" s="174"/>
      <c r="T7" s="174">
        <f t="shared" si="5"/>
        <v>6765.12</v>
      </c>
      <c r="AP7" s="3">
        <v>45331</v>
      </c>
      <c r="AQ7" s="1" t="s">
        <v>13</v>
      </c>
      <c r="AR7" s="6" t="s">
        <v>283</v>
      </c>
      <c r="AS7">
        <v>1</v>
      </c>
      <c r="AT7" s="6">
        <f>875/1.08-86</f>
        <v>724.18518518518511</v>
      </c>
      <c r="AU7" s="6">
        <f t="shared" ref="AU7:AU8" si="19">AS7*AT7</f>
        <v>724.18518518518511</v>
      </c>
      <c r="AV7" s="6">
        <f t="shared" ref="AV7:AV8" si="20">AU7*0.08</f>
        <v>57.934814814814807</v>
      </c>
      <c r="AW7" s="6"/>
      <c r="AX7" s="6">
        <f t="shared" ref="AX7:AX8" si="21">SUM(AU7:AV7)-AW7</f>
        <v>782.11999999999989</v>
      </c>
      <c r="AZ7" s="3">
        <v>45330</v>
      </c>
      <c r="BA7" s="1" t="s">
        <v>13</v>
      </c>
      <c r="BB7" s="6" t="s">
        <v>264</v>
      </c>
      <c r="BC7">
        <v>1</v>
      </c>
      <c r="BD7" s="6">
        <f>275/1.08</f>
        <v>254.62962962962962</v>
      </c>
      <c r="BE7" s="6">
        <f>BC7*BD7</f>
        <v>254.62962962962962</v>
      </c>
      <c r="BF7" s="6">
        <f>BE7*0.08</f>
        <v>20.37037037037037</v>
      </c>
      <c r="BG7" s="6"/>
      <c r="BH7" s="6">
        <f>SUM(BE7:BF7)-BG7</f>
        <v>275</v>
      </c>
    </row>
    <row r="8" spans="2:60" x14ac:dyDescent="0.25">
      <c r="L8" s="170">
        <v>45342</v>
      </c>
      <c r="M8" s="171" t="s">
        <v>13</v>
      </c>
      <c r="N8" s="172" t="s">
        <v>70</v>
      </c>
      <c r="O8" s="173">
        <v>12</v>
      </c>
      <c r="P8" s="174">
        <v>261</v>
      </c>
      <c r="Q8" s="174">
        <f t="shared" si="3"/>
        <v>3132</v>
      </c>
      <c r="R8" s="174">
        <f t="shared" si="4"/>
        <v>250.56</v>
      </c>
      <c r="S8" s="174"/>
      <c r="T8" s="174">
        <f t="shared" si="5"/>
        <v>3382.56</v>
      </c>
      <c r="AP8" s="42">
        <v>45357</v>
      </c>
      <c r="AQ8" s="1" t="s">
        <v>13</v>
      </c>
      <c r="AR8" s="1" t="s">
        <v>283</v>
      </c>
      <c r="AS8" s="1">
        <v>1</v>
      </c>
      <c r="AT8" s="43">
        <f>875/1.08</f>
        <v>810.18518518518511</v>
      </c>
      <c r="AU8" s="43">
        <f t="shared" si="19"/>
        <v>810.18518518518511</v>
      </c>
      <c r="AV8" s="43">
        <f t="shared" si="20"/>
        <v>64.81481481481481</v>
      </c>
      <c r="AW8" s="43"/>
      <c r="AX8" s="43">
        <f t="shared" si="21"/>
        <v>874.99999999999989</v>
      </c>
    </row>
    <row r="9" spans="2:60" x14ac:dyDescent="0.25">
      <c r="L9" s="170">
        <v>45342</v>
      </c>
      <c r="M9" s="171" t="s">
        <v>13</v>
      </c>
      <c r="N9" s="172" t="s">
        <v>70</v>
      </c>
      <c r="O9" s="173">
        <v>12</v>
      </c>
      <c r="P9" s="174">
        <v>261</v>
      </c>
      <c r="Q9" s="174">
        <f t="shared" si="3"/>
        <v>3132</v>
      </c>
      <c r="R9" s="174">
        <f t="shared" si="4"/>
        <v>250.56</v>
      </c>
      <c r="S9" s="174"/>
      <c r="T9" s="174">
        <f t="shared" si="5"/>
        <v>3382.56</v>
      </c>
    </row>
    <row r="10" spans="2:60" x14ac:dyDescent="0.25">
      <c r="L10" s="170">
        <v>45342</v>
      </c>
      <c r="M10" s="171" t="s">
        <v>13</v>
      </c>
      <c r="N10" s="172" t="s">
        <v>70</v>
      </c>
      <c r="O10" s="173">
        <v>24</v>
      </c>
      <c r="P10" s="174">
        <v>261</v>
      </c>
      <c r="Q10" s="174">
        <f t="shared" si="3"/>
        <v>6264</v>
      </c>
      <c r="R10" s="174">
        <f t="shared" si="4"/>
        <v>501.12</v>
      </c>
      <c r="S10" s="174"/>
      <c r="T10" s="174">
        <f t="shared" si="5"/>
        <v>6765.12</v>
      </c>
      <c r="U10" s="286"/>
    </row>
    <row r="11" spans="2:60" x14ac:dyDescent="0.25">
      <c r="E11">
        <f>SUM(E4:E10)</f>
        <v>1540</v>
      </c>
      <c r="J11" s="9">
        <f>SUM(J4:J10)</f>
        <v>27302.400000000001</v>
      </c>
      <c r="L11" s="170">
        <v>45342</v>
      </c>
      <c r="M11" s="171" t="s">
        <v>13</v>
      </c>
      <c r="N11" s="172" t="s">
        <v>70</v>
      </c>
      <c r="O11" s="173">
        <v>12</v>
      </c>
      <c r="P11" s="174">
        <v>261</v>
      </c>
      <c r="Q11" s="174">
        <f t="shared" si="3"/>
        <v>3132</v>
      </c>
      <c r="R11" s="174">
        <f t="shared" si="4"/>
        <v>250.56</v>
      </c>
      <c r="S11" s="174"/>
      <c r="T11" s="174">
        <f t="shared" si="5"/>
        <v>3382.56</v>
      </c>
      <c r="U11" s="286"/>
      <c r="Y11">
        <f t="shared" ref="Y11" si="22">SUM(Y4:Y10)</f>
        <v>60</v>
      </c>
      <c r="AD11" s="9">
        <f t="shared" ref="AD11" si="23">SUM(AD4:AD10)</f>
        <v>14819.76</v>
      </c>
      <c r="AI11">
        <f t="shared" ref="AI11" si="24">SUM(AI4:AI10)</f>
        <v>50</v>
      </c>
      <c r="AN11" s="9">
        <f t="shared" ref="AN11" si="25">SUM(AN4:AN10)</f>
        <v>8858.16</v>
      </c>
      <c r="AS11">
        <f t="shared" ref="AS11" si="26">SUM(AS4:AS10)</f>
        <v>5</v>
      </c>
      <c r="AX11" s="9">
        <f t="shared" ref="AX11" si="27">SUM(AX4:AX10)</f>
        <v>3476.12</v>
      </c>
      <c r="BC11">
        <f t="shared" ref="BC11" si="28">SUM(BC4:BC10)</f>
        <v>4</v>
      </c>
      <c r="BH11" s="9">
        <f t="shared" ref="BH11" si="29">SUM(BH4:BH10)</f>
        <v>1082.9156</v>
      </c>
    </row>
    <row r="12" spans="2:60" x14ac:dyDescent="0.25">
      <c r="L12" s="170">
        <v>45342</v>
      </c>
      <c r="M12" s="171" t="s">
        <v>13</v>
      </c>
      <c r="N12" s="172" t="s">
        <v>70</v>
      </c>
      <c r="O12" s="173">
        <v>12</v>
      </c>
      <c r="P12" s="174">
        <v>261</v>
      </c>
      <c r="Q12" s="174">
        <f t="shared" si="3"/>
        <v>3132</v>
      </c>
      <c r="R12" s="174">
        <f t="shared" si="4"/>
        <v>250.56</v>
      </c>
      <c r="S12" s="174"/>
      <c r="T12" s="174">
        <f t="shared" si="5"/>
        <v>3382.56</v>
      </c>
      <c r="U12" s="286"/>
    </row>
    <row r="13" spans="2:60" x14ac:dyDescent="0.25">
      <c r="L13" s="170">
        <v>45342</v>
      </c>
      <c r="M13" s="171" t="s">
        <v>470</v>
      </c>
      <c r="N13" s="171" t="s">
        <v>70</v>
      </c>
      <c r="O13" s="171">
        <v>4</v>
      </c>
      <c r="P13" s="174">
        <v>282.42</v>
      </c>
      <c r="Q13" s="174">
        <f t="shared" si="3"/>
        <v>1129.68</v>
      </c>
      <c r="R13" s="174">
        <f t="shared" si="4"/>
        <v>90.374400000000009</v>
      </c>
      <c r="S13" s="174"/>
      <c r="T13" s="174">
        <f t="shared" si="5"/>
        <v>1220.0544</v>
      </c>
      <c r="U13" s="286"/>
    </row>
    <row r="18" spans="15:20" x14ac:dyDescent="0.25">
      <c r="O18">
        <f>SUM(O4:O17)</f>
        <v>238</v>
      </c>
      <c r="T18" s="9">
        <f>SUM(T4:T17)</f>
        <v>65267.894399999997</v>
      </c>
    </row>
  </sheetData>
  <mergeCells count="6">
    <mergeCell ref="AZ2:BH2"/>
    <mergeCell ref="B2:J2"/>
    <mergeCell ref="L2:T2"/>
    <mergeCell ref="V2:AD2"/>
    <mergeCell ref="AF2:AN2"/>
    <mergeCell ref="AP2:AX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ADD4-EA33-4B7D-BC4F-CC9CABE2B844}">
  <sheetPr>
    <tabColor rgb="FF7030A0"/>
  </sheetPr>
  <dimension ref="A3:J21"/>
  <sheetViews>
    <sheetView workbookViewId="0">
      <selection activeCell="B16" sqref="B16"/>
    </sheetView>
  </sheetViews>
  <sheetFormatPr baseColWidth="10" defaultRowHeight="15" x14ac:dyDescent="0.25"/>
  <cols>
    <col min="2" max="2" width="7" customWidth="1"/>
    <col min="3" max="3" width="16.140625" bestFit="1" customWidth="1"/>
    <col min="4" max="4" width="37.42578125" bestFit="1" customWidth="1"/>
    <col min="5" max="5" width="9.7109375" style="1" bestFit="1" customWidth="1"/>
    <col min="6" max="6" width="17.28515625" bestFit="1" customWidth="1"/>
    <col min="7" max="7" width="11" bestFit="1" customWidth="1"/>
    <col min="8" max="8" width="8.85546875" bestFit="1" customWidth="1"/>
    <col min="9" max="9" width="4.85546875" bestFit="1" customWidth="1"/>
    <col min="10" max="10" width="10.28515625" bestFit="1" customWidth="1"/>
  </cols>
  <sheetData>
    <row r="3" spans="1:10" x14ac:dyDescent="0.25">
      <c r="B3" s="390" t="s">
        <v>254</v>
      </c>
      <c r="C3" s="390"/>
      <c r="D3" s="390"/>
      <c r="E3" s="390"/>
      <c r="F3" s="390"/>
      <c r="G3" s="390"/>
      <c r="H3" s="390"/>
      <c r="I3" s="390"/>
      <c r="J3" s="390"/>
    </row>
    <row r="4" spans="1:10" x14ac:dyDescent="0.25">
      <c r="B4" s="2" t="s">
        <v>0</v>
      </c>
      <c r="C4" s="2" t="s">
        <v>1</v>
      </c>
      <c r="D4" s="2" t="s">
        <v>2</v>
      </c>
      <c r="E4" s="2" t="s">
        <v>3</v>
      </c>
      <c r="F4" s="4" t="s">
        <v>4</v>
      </c>
      <c r="G4" s="4" t="s">
        <v>8</v>
      </c>
      <c r="H4" s="5" t="s">
        <v>9</v>
      </c>
      <c r="I4" s="5" t="s">
        <v>10</v>
      </c>
      <c r="J4" s="5" t="s">
        <v>5</v>
      </c>
    </row>
    <row r="5" spans="1:10" x14ac:dyDescent="0.25">
      <c r="B5" s="42">
        <v>45644</v>
      </c>
      <c r="C5" s="1" t="s">
        <v>101</v>
      </c>
      <c r="D5" s="1" t="s">
        <v>102</v>
      </c>
      <c r="E5" s="1">
        <v>1</v>
      </c>
      <c r="F5" s="43">
        <v>900</v>
      </c>
      <c r="G5" s="43">
        <f t="shared" ref="G5:G13" si="0">E5*F5</f>
        <v>900</v>
      </c>
      <c r="H5" s="43">
        <f t="shared" ref="H5:H13" si="1">G5*0.08</f>
        <v>72</v>
      </c>
      <c r="I5" s="43"/>
      <c r="J5" s="43">
        <f t="shared" ref="J5" si="2">SUM(G5:H5)-I5</f>
        <v>972</v>
      </c>
    </row>
    <row r="6" spans="1:10" x14ac:dyDescent="0.25">
      <c r="B6" s="42">
        <v>45295</v>
      </c>
      <c r="C6" s="1" t="s">
        <v>242</v>
      </c>
      <c r="D6" s="44" t="s">
        <v>243</v>
      </c>
      <c r="E6" s="1">
        <v>1</v>
      </c>
      <c r="F6" s="44">
        <v>3000</v>
      </c>
      <c r="G6" s="44">
        <f t="shared" si="0"/>
        <v>3000</v>
      </c>
      <c r="H6" s="44">
        <f t="shared" si="1"/>
        <v>240</v>
      </c>
      <c r="I6" s="44"/>
      <c r="J6" s="44">
        <f>SUM(G6:H6)-I6</f>
        <v>3240</v>
      </c>
    </row>
    <row r="7" spans="1:10" x14ac:dyDescent="0.25">
      <c r="B7" s="42">
        <v>45321</v>
      </c>
      <c r="C7" s="1" t="s">
        <v>15</v>
      </c>
      <c r="D7" s="44" t="s">
        <v>189</v>
      </c>
      <c r="E7" s="1">
        <v>1</v>
      </c>
      <c r="F7" s="44">
        <v>101.55</v>
      </c>
      <c r="G7" s="44">
        <f t="shared" si="0"/>
        <v>101.55</v>
      </c>
      <c r="H7" s="44">
        <f t="shared" si="1"/>
        <v>8.1240000000000006</v>
      </c>
      <c r="I7" s="44"/>
      <c r="J7" s="44">
        <f t="shared" ref="J7:J8" si="3">SUM(G7:H7)-I7</f>
        <v>109.67399999999999</v>
      </c>
    </row>
    <row r="8" spans="1:10" x14ac:dyDescent="0.25">
      <c r="B8" s="42">
        <v>45321</v>
      </c>
      <c r="C8" s="1" t="s">
        <v>224</v>
      </c>
      <c r="D8" s="44" t="s">
        <v>225</v>
      </c>
      <c r="E8" s="1">
        <v>1</v>
      </c>
      <c r="F8" s="44">
        <v>305.55</v>
      </c>
      <c r="G8" s="44">
        <f t="shared" si="0"/>
        <v>305.55</v>
      </c>
      <c r="H8" s="44">
        <f t="shared" si="1"/>
        <v>24.444000000000003</v>
      </c>
      <c r="I8" s="44"/>
      <c r="J8" s="44">
        <f t="shared" si="3"/>
        <v>329.99400000000003</v>
      </c>
    </row>
    <row r="9" spans="1:10" x14ac:dyDescent="0.25">
      <c r="B9" s="42">
        <v>45322</v>
      </c>
      <c r="C9" s="1" t="s">
        <v>241</v>
      </c>
      <c r="D9" s="44"/>
      <c r="E9" s="1">
        <v>1</v>
      </c>
      <c r="F9" s="44">
        <v>500</v>
      </c>
      <c r="G9" s="44">
        <f t="shared" si="0"/>
        <v>500</v>
      </c>
      <c r="H9" s="44">
        <f t="shared" si="1"/>
        <v>40</v>
      </c>
      <c r="I9" s="44"/>
      <c r="J9" s="44">
        <f t="shared" ref="J9:J10" si="4">SUM(G9:H9)-I9</f>
        <v>540</v>
      </c>
    </row>
    <row r="10" spans="1:10" x14ac:dyDescent="0.25">
      <c r="B10" s="42">
        <v>45328</v>
      </c>
      <c r="C10" s="1" t="s">
        <v>15</v>
      </c>
      <c r="D10" s="44" t="s">
        <v>221</v>
      </c>
      <c r="E10" s="1">
        <v>1</v>
      </c>
      <c r="F10" s="44">
        <v>100</v>
      </c>
      <c r="G10" s="44">
        <f t="shared" si="0"/>
        <v>100</v>
      </c>
      <c r="H10" s="44">
        <f t="shared" si="1"/>
        <v>8</v>
      </c>
      <c r="I10" s="44"/>
      <c r="J10" s="44">
        <f t="shared" si="4"/>
        <v>108</v>
      </c>
    </row>
    <row r="11" spans="1:10" x14ac:dyDescent="0.25">
      <c r="B11" s="3">
        <v>45336</v>
      </c>
      <c r="C11" s="1" t="s">
        <v>13</v>
      </c>
      <c r="D11" s="39" t="s">
        <v>337</v>
      </c>
      <c r="E11" s="1">
        <v>1</v>
      </c>
      <c r="F11" s="6">
        <f>685/1.08</f>
        <v>634.25925925925924</v>
      </c>
      <c r="G11" s="6">
        <f t="shared" si="0"/>
        <v>634.25925925925924</v>
      </c>
      <c r="H11" s="6">
        <f t="shared" si="1"/>
        <v>50.74074074074074</v>
      </c>
      <c r="I11" s="6"/>
      <c r="J11" s="6">
        <f t="shared" ref="J11:J13" si="5">SUM(G11:H11)-I11</f>
        <v>685</v>
      </c>
    </row>
    <row r="12" spans="1:10" x14ac:dyDescent="0.25">
      <c r="B12" s="3">
        <v>45336</v>
      </c>
      <c r="C12" s="1" t="s">
        <v>13</v>
      </c>
      <c r="D12" s="39" t="s">
        <v>338</v>
      </c>
      <c r="E12" s="223">
        <v>1</v>
      </c>
      <c r="F12" s="6">
        <f>175/1.08</f>
        <v>162.03703703703704</v>
      </c>
      <c r="G12" s="6">
        <f t="shared" si="0"/>
        <v>162.03703703703704</v>
      </c>
      <c r="H12" s="6">
        <f t="shared" si="1"/>
        <v>12.962962962962964</v>
      </c>
      <c r="I12" s="6"/>
      <c r="J12" s="6">
        <f t="shared" si="5"/>
        <v>175</v>
      </c>
    </row>
    <row r="13" spans="1:10" x14ac:dyDescent="0.25">
      <c r="B13" s="3">
        <v>45336</v>
      </c>
      <c r="C13" s="1" t="s">
        <v>13</v>
      </c>
      <c r="D13" s="39" t="s">
        <v>339</v>
      </c>
      <c r="E13" s="223">
        <v>1</v>
      </c>
      <c r="F13" s="6">
        <f>375/1.08</f>
        <v>347.22222222222217</v>
      </c>
      <c r="G13" s="6">
        <f t="shared" si="0"/>
        <v>347.22222222222217</v>
      </c>
      <c r="H13" s="6">
        <f t="shared" si="1"/>
        <v>27.777777777777775</v>
      </c>
      <c r="I13" s="6"/>
      <c r="J13" s="6">
        <f t="shared" si="5"/>
        <v>374.99999999999994</v>
      </c>
    </row>
    <row r="14" spans="1:10" x14ac:dyDescent="0.25">
      <c r="A14" s="286"/>
      <c r="B14" s="3">
        <v>45341</v>
      </c>
      <c r="C14" s="1" t="s">
        <v>456</v>
      </c>
      <c r="E14" s="223">
        <v>1</v>
      </c>
      <c r="F14">
        <v>100</v>
      </c>
      <c r="G14" s="6">
        <f t="shared" ref="G14:G15" si="6">E14*F14</f>
        <v>100</v>
      </c>
      <c r="H14" s="6">
        <f t="shared" ref="H14:H15" si="7">G14*0.08</f>
        <v>8</v>
      </c>
      <c r="I14" s="6"/>
      <c r="J14" s="6">
        <f t="shared" ref="J14:J15" si="8">SUM(G14:H14)-I14</f>
        <v>108</v>
      </c>
    </row>
    <row r="15" spans="1:10" x14ac:dyDescent="0.25">
      <c r="B15" s="42">
        <v>45346</v>
      </c>
      <c r="C15" s="1" t="s">
        <v>466</v>
      </c>
      <c r="D15" s="1"/>
      <c r="E15" s="1">
        <v>1</v>
      </c>
      <c r="F15" s="43">
        <v>1000</v>
      </c>
      <c r="G15" s="43">
        <f t="shared" si="6"/>
        <v>1000</v>
      </c>
      <c r="H15" s="43">
        <f t="shared" si="7"/>
        <v>80</v>
      </c>
      <c r="I15" s="43"/>
      <c r="J15" s="43">
        <f t="shared" si="8"/>
        <v>1080</v>
      </c>
    </row>
    <row r="21" spans="10:10" x14ac:dyDescent="0.25">
      <c r="J21" s="9">
        <f>SUM(J5:J20)</f>
        <v>7722.6679999999997</v>
      </c>
    </row>
  </sheetData>
  <mergeCells count="1">
    <mergeCell ref="B3:J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BD2F-9360-4E4E-A7BD-508E8DB29E0D}">
  <sheetPr>
    <tabColor theme="9" tint="0.79998168889431442"/>
  </sheetPr>
  <dimension ref="B3:J13"/>
  <sheetViews>
    <sheetView workbookViewId="0">
      <selection activeCell="F6" sqref="F6"/>
    </sheetView>
  </sheetViews>
  <sheetFormatPr baseColWidth="10" defaultRowHeight="15" x14ac:dyDescent="0.25"/>
  <cols>
    <col min="2" max="2" width="7.140625" style="1" bestFit="1" customWidth="1"/>
    <col min="3" max="3" width="12.28515625" style="1" bestFit="1" customWidth="1"/>
    <col min="4" max="4" width="13" style="1" bestFit="1" customWidth="1"/>
    <col min="5" max="5" width="9.7109375" style="1" bestFit="1" customWidth="1"/>
    <col min="6" max="6" width="17.28515625" style="1" bestFit="1" customWidth="1"/>
    <col min="7" max="7" width="11" style="1" bestFit="1" customWidth="1"/>
    <col min="8" max="8" width="8.85546875" style="1" bestFit="1" customWidth="1"/>
    <col min="9" max="9" width="4.85546875" style="1" bestFit="1" customWidth="1"/>
    <col min="10" max="10" width="11.28515625" style="1" bestFit="1" customWidth="1"/>
  </cols>
  <sheetData>
    <row r="3" spans="2:10" x14ac:dyDescent="0.25">
      <c r="B3" s="391" t="s">
        <v>306</v>
      </c>
      <c r="C3" s="391"/>
      <c r="D3" s="391"/>
      <c r="E3" s="391"/>
      <c r="F3" s="391"/>
      <c r="G3" s="391"/>
      <c r="H3" s="391"/>
      <c r="I3" s="391"/>
      <c r="J3" s="391"/>
    </row>
    <row r="4" spans="2:10" x14ac:dyDescent="0.25">
      <c r="B4" s="2" t="s">
        <v>0</v>
      </c>
      <c r="C4" s="2" t="s">
        <v>1</v>
      </c>
      <c r="D4" s="2" t="s">
        <v>2</v>
      </c>
      <c r="E4" s="2" t="s">
        <v>3</v>
      </c>
      <c r="F4" s="4" t="s">
        <v>4</v>
      </c>
      <c r="G4" s="4" t="s">
        <v>8</v>
      </c>
      <c r="H4" s="5" t="s">
        <v>9</v>
      </c>
      <c r="I4" s="5" t="s">
        <v>10</v>
      </c>
      <c r="J4" s="5" t="s">
        <v>5</v>
      </c>
    </row>
    <row r="5" spans="2:10" x14ac:dyDescent="0.25">
      <c r="B5" s="42">
        <v>45331</v>
      </c>
      <c r="C5" s="1" t="s">
        <v>13</v>
      </c>
      <c r="D5" s="44" t="s">
        <v>261</v>
      </c>
      <c r="E5" s="1">
        <v>3</v>
      </c>
      <c r="F5" s="44">
        <f>921/1.08</f>
        <v>852.77777777777771</v>
      </c>
      <c r="G5" s="44">
        <f>E5*F5</f>
        <v>2558.333333333333</v>
      </c>
      <c r="H5" s="44">
        <f>G5*0.08</f>
        <v>204.66666666666666</v>
      </c>
      <c r="I5" s="44"/>
      <c r="J5" s="44">
        <f>SUM(G5:H5)-I5</f>
        <v>2762.9999999999995</v>
      </c>
    </row>
    <row r="6" spans="2:10" x14ac:dyDescent="0.25">
      <c r="B6" s="42">
        <v>45306</v>
      </c>
      <c r="C6" s="1" t="s">
        <v>13</v>
      </c>
      <c r="D6" s="1" t="s">
        <v>457</v>
      </c>
      <c r="E6" s="1">
        <v>8</v>
      </c>
      <c r="F6" s="1">
        <f>299/8*18</f>
        <v>672.75</v>
      </c>
      <c r="G6" s="44">
        <f>E6*F6</f>
        <v>5382</v>
      </c>
      <c r="H6" s="44">
        <f>G6*0.08</f>
        <v>430.56</v>
      </c>
      <c r="I6" s="44"/>
      <c r="J6" s="44">
        <f>SUM(G6:H6)-I6</f>
        <v>5812.56</v>
      </c>
    </row>
    <row r="7" spans="2:10" x14ac:dyDescent="0.25">
      <c r="B7" s="42">
        <v>45350</v>
      </c>
      <c r="C7" s="1" t="s">
        <v>13</v>
      </c>
      <c r="D7" s="1" t="s">
        <v>551</v>
      </c>
      <c r="E7" s="1">
        <v>1</v>
      </c>
      <c r="F7" s="43">
        <f>865/1.08</f>
        <v>800.92592592592587</v>
      </c>
      <c r="G7" s="43">
        <f t="shared" ref="G7" si="0">E7*F7</f>
        <v>800.92592592592587</v>
      </c>
      <c r="H7" s="43">
        <f t="shared" ref="H7" si="1">G7*0.08</f>
        <v>64.074074074074076</v>
      </c>
      <c r="I7" s="43"/>
      <c r="J7" s="43">
        <f t="shared" ref="J7" si="2">SUM(G7:H7)-I7</f>
        <v>865</v>
      </c>
    </row>
    <row r="8" spans="2:10" x14ac:dyDescent="0.25">
      <c r="B8" s="42">
        <v>45351</v>
      </c>
      <c r="C8" s="1" t="s">
        <v>13</v>
      </c>
      <c r="D8" s="1" t="s">
        <v>558</v>
      </c>
      <c r="E8" s="1">
        <v>2</v>
      </c>
      <c r="F8" s="1">
        <f>78.766*17</f>
        <v>1339.0220000000002</v>
      </c>
      <c r="G8" s="43">
        <f t="shared" ref="G8:G12" si="3">E8*F8</f>
        <v>2678.0440000000003</v>
      </c>
      <c r="H8" s="43">
        <f t="shared" ref="H8:H12" si="4">G8*0.08</f>
        <v>214.24352000000002</v>
      </c>
      <c r="I8" s="43"/>
      <c r="J8" s="43">
        <f t="shared" ref="J8:J12" si="5">SUM(G8:H8)-I8</f>
        <v>2892.2875200000003</v>
      </c>
    </row>
    <row r="9" spans="2:10" x14ac:dyDescent="0.25">
      <c r="B9" s="42">
        <v>45351</v>
      </c>
      <c r="C9" s="1" t="s">
        <v>13</v>
      </c>
      <c r="D9" s="1" t="s">
        <v>559</v>
      </c>
      <c r="E9" s="1">
        <v>2</v>
      </c>
      <c r="F9" s="1">
        <f>6.68*17</f>
        <v>113.56</v>
      </c>
      <c r="G9" s="43">
        <f t="shared" si="3"/>
        <v>227.12</v>
      </c>
      <c r="H9" s="43">
        <f t="shared" si="4"/>
        <v>18.169599999999999</v>
      </c>
      <c r="I9" s="43"/>
      <c r="J9" s="43">
        <f t="shared" si="5"/>
        <v>245.28960000000001</v>
      </c>
    </row>
    <row r="10" spans="2:10" x14ac:dyDescent="0.25">
      <c r="G10" s="43">
        <f t="shared" si="3"/>
        <v>0</v>
      </c>
      <c r="H10" s="43">
        <f t="shared" si="4"/>
        <v>0</v>
      </c>
      <c r="I10" s="43"/>
      <c r="J10" s="43">
        <f t="shared" si="5"/>
        <v>0</v>
      </c>
    </row>
    <row r="11" spans="2:10" x14ac:dyDescent="0.25">
      <c r="G11" s="43">
        <f t="shared" si="3"/>
        <v>0</v>
      </c>
      <c r="H11" s="43">
        <f t="shared" si="4"/>
        <v>0</v>
      </c>
      <c r="I11" s="43"/>
      <c r="J11" s="43">
        <f t="shared" si="5"/>
        <v>0</v>
      </c>
    </row>
    <row r="12" spans="2:10" x14ac:dyDescent="0.25">
      <c r="G12" s="43">
        <f t="shared" si="3"/>
        <v>0</v>
      </c>
      <c r="H12" s="43">
        <f t="shared" si="4"/>
        <v>0</v>
      </c>
      <c r="I12" s="43"/>
      <c r="J12" s="43">
        <f t="shared" si="5"/>
        <v>0</v>
      </c>
    </row>
    <row r="13" spans="2:10" x14ac:dyDescent="0.25">
      <c r="E13" s="1">
        <f>SUM(E5:E12)</f>
        <v>16</v>
      </c>
      <c r="J13" s="259">
        <f>SUM(J5:J12)</f>
        <v>12578.137119999999</v>
      </c>
    </row>
  </sheetData>
  <mergeCells count="1">
    <mergeCell ref="B3:J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FF7E-C647-4327-86A3-4EC632FCE870}">
  <sheetPr>
    <tabColor rgb="FF92D050"/>
  </sheetPr>
  <dimension ref="C4:U19"/>
  <sheetViews>
    <sheetView topLeftCell="A2" workbookViewId="0">
      <selection activeCell="C6" sqref="C6:K12"/>
    </sheetView>
  </sheetViews>
  <sheetFormatPr baseColWidth="10" defaultRowHeight="15" x14ac:dyDescent="0.25"/>
  <cols>
    <col min="4" max="4" width="17.7109375" bestFit="1" customWidth="1"/>
    <col min="5" max="5" width="25" bestFit="1" customWidth="1"/>
    <col min="7" max="7" width="17.28515625" bestFit="1" customWidth="1"/>
    <col min="14" max="14" width="17.7109375" bestFit="1" customWidth="1"/>
    <col min="17" max="17" width="17.28515625" bestFit="1" customWidth="1"/>
  </cols>
  <sheetData>
    <row r="4" spans="3:21" x14ac:dyDescent="0.25">
      <c r="C4" s="392" t="s">
        <v>269</v>
      </c>
      <c r="D4" s="392"/>
      <c r="E4" s="392"/>
      <c r="F4" s="392"/>
      <c r="G4" s="392"/>
      <c r="H4" s="392"/>
      <c r="I4" s="392"/>
      <c r="J4" s="392"/>
      <c r="K4" s="392"/>
      <c r="M4" s="392" t="s">
        <v>269</v>
      </c>
      <c r="N4" s="392"/>
      <c r="O4" s="392"/>
      <c r="P4" s="392"/>
      <c r="Q4" s="392"/>
      <c r="R4" s="392"/>
      <c r="S4" s="392"/>
      <c r="T4" s="392"/>
      <c r="U4" s="392"/>
    </row>
    <row r="5" spans="3:21" x14ac:dyDescent="0.25">
      <c r="C5" s="2" t="s">
        <v>0</v>
      </c>
      <c r="D5" s="2" t="s">
        <v>1</v>
      </c>
      <c r="E5" s="2" t="s">
        <v>2</v>
      </c>
      <c r="F5" s="2" t="s">
        <v>3</v>
      </c>
      <c r="G5" s="4" t="s">
        <v>4</v>
      </c>
      <c r="H5" s="4" t="s">
        <v>8</v>
      </c>
      <c r="I5" s="5" t="s">
        <v>9</v>
      </c>
      <c r="J5" s="5" t="s">
        <v>10</v>
      </c>
      <c r="K5" s="5" t="s">
        <v>5</v>
      </c>
      <c r="M5" s="2" t="s">
        <v>0</v>
      </c>
      <c r="N5" s="2" t="s">
        <v>1</v>
      </c>
      <c r="O5" s="2" t="s">
        <v>2</v>
      </c>
      <c r="P5" s="2" t="s">
        <v>3</v>
      </c>
      <c r="Q5" s="4" t="s">
        <v>4</v>
      </c>
      <c r="R5" s="4" t="s">
        <v>8</v>
      </c>
      <c r="S5" s="5" t="s">
        <v>9</v>
      </c>
      <c r="T5" s="5" t="s">
        <v>10</v>
      </c>
      <c r="U5" s="5" t="s">
        <v>5</v>
      </c>
    </row>
    <row r="6" spans="3:21" x14ac:dyDescent="0.25">
      <c r="C6" s="42">
        <v>45638</v>
      </c>
      <c r="D6" s="1" t="s">
        <v>13</v>
      </c>
      <c r="E6" t="s">
        <v>72</v>
      </c>
      <c r="F6">
        <v>4</v>
      </c>
      <c r="G6" s="6">
        <v>3023.25</v>
      </c>
      <c r="H6" s="6">
        <f t="shared" ref="H6:H12" si="0">F6*G6</f>
        <v>12093</v>
      </c>
      <c r="I6" s="6">
        <f t="shared" ref="I6:I12" si="1">H6*0.08</f>
        <v>967.44</v>
      </c>
      <c r="J6" s="6"/>
      <c r="K6" s="6">
        <f t="shared" ref="K6:K11" si="2">SUM(H6:I6)-J6</f>
        <v>13060.44</v>
      </c>
      <c r="M6" s="3">
        <v>45331</v>
      </c>
      <c r="N6" s="1" t="s">
        <v>291</v>
      </c>
      <c r="O6" s="6" t="s">
        <v>293</v>
      </c>
      <c r="P6">
        <v>2</v>
      </c>
      <c r="Q6" s="6">
        <v>22.76</v>
      </c>
      <c r="R6" s="6">
        <f t="shared" ref="R6:R7" si="3">P6*Q6</f>
        <v>45.52</v>
      </c>
      <c r="S6" s="6">
        <f t="shared" ref="S6:S7" si="4">R6*0.08</f>
        <v>3.6416000000000004</v>
      </c>
      <c r="T6" s="6"/>
      <c r="U6" s="6">
        <f t="shared" ref="U6:U7" si="5">SUM(R6:S6)-T6</f>
        <v>49.161600000000007</v>
      </c>
    </row>
    <row r="7" spans="3:21" x14ac:dyDescent="0.25">
      <c r="C7" s="42">
        <v>45638</v>
      </c>
      <c r="D7" s="1" t="s">
        <v>13</v>
      </c>
      <c r="E7" t="s">
        <v>73</v>
      </c>
      <c r="F7">
        <v>3</v>
      </c>
      <c r="G7" s="6">
        <v>3471.53</v>
      </c>
      <c r="H7" s="6">
        <f t="shared" si="0"/>
        <v>10414.59</v>
      </c>
      <c r="I7" s="6">
        <f t="shared" si="1"/>
        <v>833.16719999999998</v>
      </c>
      <c r="J7" s="6"/>
      <c r="K7" s="6">
        <f t="shared" si="2"/>
        <v>11247.7572</v>
      </c>
      <c r="M7" s="3">
        <v>45331</v>
      </c>
      <c r="N7" s="1" t="s">
        <v>291</v>
      </c>
      <c r="O7" s="6" t="s">
        <v>294</v>
      </c>
      <c r="P7">
        <v>1</v>
      </c>
      <c r="Q7" s="6">
        <v>42.75</v>
      </c>
      <c r="R7" s="6">
        <f t="shared" si="3"/>
        <v>42.75</v>
      </c>
      <c r="S7" s="6">
        <f t="shared" si="4"/>
        <v>3.42</v>
      </c>
      <c r="T7" s="6"/>
      <c r="U7" s="6">
        <f t="shared" si="5"/>
        <v>46.17</v>
      </c>
    </row>
    <row r="8" spans="3:21" x14ac:dyDescent="0.25">
      <c r="C8" s="42">
        <v>45638</v>
      </c>
      <c r="D8" s="1" t="s">
        <v>13</v>
      </c>
      <c r="E8" t="s">
        <v>74</v>
      </c>
      <c r="F8">
        <v>4</v>
      </c>
      <c r="G8" s="6">
        <v>1602.36</v>
      </c>
      <c r="H8" s="6">
        <f t="shared" si="0"/>
        <v>6409.44</v>
      </c>
      <c r="I8" s="6">
        <f t="shared" si="1"/>
        <v>512.75519999999995</v>
      </c>
      <c r="J8" s="6"/>
      <c r="K8" s="6">
        <f t="shared" si="2"/>
        <v>6922.1951999999992</v>
      </c>
    </row>
    <row r="9" spans="3:21" x14ac:dyDescent="0.25">
      <c r="C9" s="42">
        <v>45639</v>
      </c>
      <c r="D9" s="1" t="s">
        <v>15</v>
      </c>
      <c r="E9" t="s">
        <v>77</v>
      </c>
      <c r="F9">
        <v>1</v>
      </c>
      <c r="G9" s="6">
        <v>64.209999999999994</v>
      </c>
      <c r="H9" s="6">
        <f t="shared" si="0"/>
        <v>64.209999999999994</v>
      </c>
      <c r="I9" s="6">
        <f t="shared" si="1"/>
        <v>5.1368</v>
      </c>
      <c r="J9" s="6"/>
      <c r="K9" s="6">
        <f t="shared" si="2"/>
        <v>69.346799999999988</v>
      </c>
    </row>
    <row r="10" spans="3:21" x14ac:dyDescent="0.25">
      <c r="C10" s="42">
        <v>45639</v>
      </c>
      <c r="D10" s="1" t="s">
        <v>15</v>
      </c>
      <c r="E10" t="s">
        <v>76</v>
      </c>
      <c r="F10">
        <v>1</v>
      </c>
      <c r="G10" s="6">
        <v>61.32</v>
      </c>
      <c r="H10" s="6">
        <f t="shared" si="0"/>
        <v>61.32</v>
      </c>
      <c r="I10" s="6">
        <f t="shared" si="1"/>
        <v>4.9055999999999997</v>
      </c>
      <c r="J10" s="6"/>
      <c r="K10" s="6">
        <f t="shared" si="2"/>
        <v>66.2256</v>
      </c>
    </row>
    <row r="11" spans="3:21" x14ac:dyDescent="0.25">
      <c r="C11" s="42">
        <v>45639</v>
      </c>
      <c r="D11" s="1" t="s">
        <v>15</v>
      </c>
      <c r="E11" t="s">
        <v>78</v>
      </c>
      <c r="F11">
        <v>1</v>
      </c>
      <c r="G11" s="6">
        <v>61.32</v>
      </c>
      <c r="H11" s="6">
        <f t="shared" si="0"/>
        <v>61.32</v>
      </c>
      <c r="I11" s="6">
        <f t="shared" si="1"/>
        <v>4.9055999999999997</v>
      </c>
      <c r="J11" s="6"/>
      <c r="K11" s="6">
        <f t="shared" si="2"/>
        <v>66.2256</v>
      </c>
    </row>
    <row r="12" spans="3:21" x14ac:dyDescent="0.25">
      <c r="C12" s="42">
        <v>45331</v>
      </c>
      <c r="D12" s="1" t="s">
        <v>291</v>
      </c>
      <c r="E12" s="6" t="s">
        <v>292</v>
      </c>
      <c r="F12">
        <v>2</v>
      </c>
      <c r="G12" s="6">
        <v>559.30999999999995</v>
      </c>
      <c r="H12" s="6">
        <f t="shared" si="0"/>
        <v>1118.6199999999999</v>
      </c>
      <c r="I12" s="6">
        <f t="shared" si="1"/>
        <v>89.489599999999996</v>
      </c>
      <c r="J12" s="6"/>
      <c r="K12" s="6">
        <f t="shared" ref="K12" si="6">SUM(H12:I12)-J12</f>
        <v>1208.1095999999998</v>
      </c>
    </row>
    <row r="19" spans="6:21" x14ac:dyDescent="0.25">
      <c r="F19">
        <f>SUM(F6:F18)</f>
        <v>16</v>
      </c>
      <c r="K19" s="9">
        <f>SUM(K6:K18)</f>
        <v>32640.300000000003</v>
      </c>
      <c r="U19" s="9">
        <f>SUM(U6:U18)</f>
        <v>95.331600000000009</v>
      </c>
    </row>
  </sheetData>
  <mergeCells count="2">
    <mergeCell ref="C4:K4"/>
    <mergeCell ref="M4:U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A735-9C19-4192-B87D-AA5F4022F2CC}">
  <sheetPr>
    <tabColor rgb="FFE6D5C6"/>
  </sheetPr>
  <dimension ref="B2:J11"/>
  <sheetViews>
    <sheetView workbookViewId="0">
      <selection activeCell="B2" sqref="B2:J2"/>
    </sheetView>
  </sheetViews>
  <sheetFormatPr baseColWidth="10" defaultRowHeight="15" x14ac:dyDescent="0.25"/>
  <cols>
    <col min="2" max="2" width="6.7109375" bestFit="1" customWidth="1"/>
    <col min="3" max="3" width="11" bestFit="1" customWidth="1"/>
    <col min="4" max="4" width="9.42578125" bestFit="1" customWidth="1"/>
    <col min="5" max="5" width="9.7109375" bestFit="1" customWidth="1"/>
    <col min="6" max="6" width="17.28515625" bestFit="1" customWidth="1"/>
    <col min="7" max="7" width="11" bestFit="1" customWidth="1"/>
    <col min="8" max="8" width="8.85546875" bestFit="1" customWidth="1"/>
    <col min="9" max="9" width="4.85546875" bestFit="1" customWidth="1"/>
    <col min="10" max="10" width="10.28515625" bestFit="1" customWidth="1"/>
  </cols>
  <sheetData>
    <row r="2" spans="2:10" x14ac:dyDescent="0.25">
      <c r="B2" s="393" t="s">
        <v>245</v>
      </c>
      <c r="C2" s="393"/>
      <c r="D2" s="393"/>
      <c r="E2" s="393"/>
      <c r="F2" s="393"/>
      <c r="G2" s="393"/>
      <c r="H2" s="393"/>
      <c r="I2" s="393"/>
      <c r="J2" s="393"/>
    </row>
    <row r="3" spans="2:10" x14ac:dyDescent="0.25">
      <c r="B3" s="2" t="s">
        <v>0</v>
      </c>
      <c r="C3" s="2" t="s">
        <v>1</v>
      </c>
      <c r="D3" s="2" t="s">
        <v>2</v>
      </c>
      <c r="E3" s="2" t="s">
        <v>3</v>
      </c>
      <c r="F3" s="4" t="s">
        <v>4</v>
      </c>
      <c r="G3" s="4" t="s">
        <v>8</v>
      </c>
      <c r="H3" s="5" t="s">
        <v>9</v>
      </c>
      <c r="I3" s="5" t="s">
        <v>10</v>
      </c>
      <c r="J3" s="5" t="s">
        <v>5</v>
      </c>
    </row>
    <row r="4" spans="2:10" x14ac:dyDescent="0.25">
      <c r="B4" s="3">
        <v>45630</v>
      </c>
      <c r="C4" s="1" t="s">
        <v>6</v>
      </c>
      <c r="D4" t="s">
        <v>7</v>
      </c>
      <c r="E4">
        <v>38</v>
      </c>
      <c r="F4" s="6">
        <v>37</v>
      </c>
      <c r="G4" s="6">
        <f>E4*F4</f>
        <v>1406</v>
      </c>
      <c r="H4" s="6">
        <f>G4*0.08</f>
        <v>112.48</v>
      </c>
      <c r="I4" s="6"/>
      <c r="J4" s="6">
        <f>SUM(G4:H4)-I4</f>
        <v>1518.48</v>
      </c>
    </row>
    <row r="5" spans="2:10" x14ac:dyDescent="0.25">
      <c r="B5" s="3">
        <v>45640</v>
      </c>
      <c r="C5" s="1" t="s">
        <v>6</v>
      </c>
      <c r="D5" t="s">
        <v>7</v>
      </c>
      <c r="E5">
        <v>38</v>
      </c>
      <c r="F5" s="6">
        <v>37</v>
      </c>
      <c r="G5" s="6">
        <f t="shared" ref="G5:G9" si="0">E5*F5</f>
        <v>1406</v>
      </c>
      <c r="H5" s="6">
        <f t="shared" ref="H5:H9" si="1">G5*0.08</f>
        <v>112.48</v>
      </c>
      <c r="I5" s="6"/>
      <c r="J5" s="6">
        <f t="shared" ref="J5:J6" si="2">SUM(G5:H5)-I5</f>
        <v>1518.48</v>
      </c>
    </row>
    <row r="6" spans="2:10" x14ac:dyDescent="0.25">
      <c r="B6" s="3">
        <v>45640</v>
      </c>
      <c r="C6" s="1" t="s">
        <v>6</v>
      </c>
      <c r="D6" t="s">
        <v>79</v>
      </c>
      <c r="E6">
        <v>38</v>
      </c>
      <c r="F6" s="6">
        <v>8</v>
      </c>
      <c r="G6" s="6">
        <f t="shared" si="0"/>
        <v>304</v>
      </c>
      <c r="H6" s="6">
        <f t="shared" si="1"/>
        <v>24.32</v>
      </c>
      <c r="I6" s="6"/>
      <c r="J6" s="6">
        <f t="shared" si="2"/>
        <v>328.32</v>
      </c>
    </row>
    <row r="7" spans="2:10" x14ac:dyDescent="0.25">
      <c r="B7" s="42">
        <v>45351</v>
      </c>
      <c r="C7" s="1" t="s">
        <v>80</v>
      </c>
      <c r="D7" s="1" t="s">
        <v>549</v>
      </c>
      <c r="E7" s="1">
        <v>1</v>
      </c>
      <c r="F7" s="44">
        <v>27</v>
      </c>
      <c r="G7" s="43">
        <f t="shared" si="0"/>
        <v>27</v>
      </c>
      <c r="H7" s="43">
        <f t="shared" si="1"/>
        <v>2.16</v>
      </c>
      <c r="I7" s="43"/>
      <c r="J7" s="43">
        <f t="shared" ref="J7:J9" si="3">SUM(G7:H7)-I7</f>
        <v>29.16</v>
      </c>
    </row>
    <row r="8" spans="2:10" x14ac:dyDescent="0.25">
      <c r="B8" s="42">
        <v>45351</v>
      </c>
      <c r="C8" s="1" t="s">
        <v>80</v>
      </c>
      <c r="D8" s="1" t="s">
        <v>548</v>
      </c>
      <c r="E8" s="1">
        <v>11</v>
      </c>
      <c r="F8" s="44">
        <v>14.8</v>
      </c>
      <c r="G8" s="43">
        <f t="shared" si="0"/>
        <v>162.80000000000001</v>
      </c>
      <c r="H8" s="43">
        <f t="shared" si="1"/>
        <v>13.024000000000001</v>
      </c>
      <c r="I8" s="43"/>
      <c r="J8" s="43">
        <f t="shared" si="3"/>
        <v>175.82400000000001</v>
      </c>
    </row>
    <row r="9" spans="2:10" x14ac:dyDescent="0.25">
      <c r="B9" s="42">
        <v>45351</v>
      </c>
      <c r="C9" s="1" t="s">
        <v>80</v>
      </c>
      <c r="D9" s="1" t="s">
        <v>550</v>
      </c>
      <c r="E9" s="1">
        <v>1</v>
      </c>
      <c r="F9" s="44">
        <v>12</v>
      </c>
      <c r="G9" s="43">
        <f t="shared" si="0"/>
        <v>12</v>
      </c>
      <c r="H9" s="43">
        <f t="shared" si="1"/>
        <v>0.96</v>
      </c>
      <c r="I9" s="43"/>
      <c r="J9" s="43">
        <f t="shared" si="3"/>
        <v>12.96</v>
      </c>
    </row>
    <row r="11" spans="2:10" x14ac:dyDescent="0.25">
      <c r="J11" s="9">
        <f>SUM(J4:J10)</f>
        <v>3583.2240000000002</v>
      </c>
    </row>
  </sheetData>
  <mergeCells count="1">
    <mergeCell ref="B2:J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A98D-926C-44FC-AE60-F8EC3F605F27}">
  <sheetPr>
    <tabColor rgb="FFBCEA2A"/>
  </sheetPr>
  <dimension ref="D3:U48"/>
  <sheetViews>
    <sheetView zoomScale="80" zoomScaleNormal="80" workbookViewId="0">
      <selection activeCell="R3" sqref="R3:U3"/>
    </sheetView>
  </sheetViews>
  <sheetFormatPr baseColWidth="10" defaultRowHeight="21" x14ac:dyDescent="0.35"/>
  <cols>
    <col min="4" max="4" width="7.85546875" bestFit="1" customWidth="1"/>
    <col min="5" max="5" width="12.28515625" bestFit="1" customWidth="1"/>
    <col min="6" max="6" width="23.85546875" bestFit="1" customWidth="1"/>
    <col min="7" max="7" width="9.7109375" style="1" bestFit="1" customWidth="1"/>
    <col min="8" max="8" width="17.28515625" style="6" bestFit="1" customWidth="1"/>
    <col min="9" max="9" width="11" style="6" bestFit="1" customWidth="1"/>
    <col min="10" max="10" width="7.85546875" style="6" bestFit="1" customWidth="1"/>
    <col min="11" max="11" width="4.85546875" style="6" bestFit="1" customWidth="1"/>
    <col min="12" max="12" width="10.28515625" style="6" bestFit="1" customWidth="1"/>
    <col min="18" max="18" width="16.140625" style="365" customWidth="1"/>
    <col min="19" max="19" width="26.140625" style="366" customWidth="1"/>
    <col min="20" max="20" width="60.42578125" style="366" bestFit="1" customWidth="1"/>
    <col min="21" max="21" width="17.140625" style="367" bestFit="1" customWidth="1"/>
  </cols>
  <sheetData>
    <row r="3" spans="4:21" x14ac:dyDescent="0.35">
      <c r="D3" s="386" t="s">
        <v>344</v>
      </c>
      <c r="E3" s="386"/>
      <c r="F3" s="386"/>
      <c r="G3" s="386"/>
      <c r="H3" s="386"/>
      <c r="I3" s="386"/>
      <c r="J3" s="386"/>
      <c r="K3" s="386"/>
      <c r="L3" s="386"/>
      <c r="R3" s="394" t="s">
        <v>370</v>
      </c>
      <c r="S3" s="394"/>
      <c r="T3" s="394"/>
      <c r="U3" s="394"/>
    </row>
    <row r="4" spans="4:21" x14ac:dyDescent="0.35">
      <c r="D4" s="2" t="s">
        <v>0</v>
      </c>
      <c r="E4" s="2" t="s">
        <v>1</v>
      </c>
      <c r="F4" s="2" t="s">
        <v>2</v>
      </c>
      <c r="G4" s="2" t="s">
        <v>3</v>
      </c>
      <c r="H4" s="4" t="s">
        <v>4</v>
      </c>
      <c r="I4" s="4" t="s">
        <v>8</v>
      </c>
      <c r="J4" s="5" t="s">
        <v>9</v>
      </c>
      <c r="K4" s="5" t="s">
        <v>10</v>
      </c>
      <c r="L4" s="5" t="s">
        <v>5</v>
      </c>
      <c r="R4" s="361" t="s">
        <v>0</v>
      </c>
      <c r="S4" s="362" t="s">
        <v>359</v>
      </c>
      <c r="T4" s="362" t="s">
        <v>316</v>
      </c>
      <c r="U4" s="363" t="s">
        <v>360</v>
      </c>
    </row>
    <row r="5" spans="4:21" x14ac:dyDescent="0.35">
      <c r="D5" s="12">
        <v>45310</v>
      </c>
      <c r="E5" s="10" t="s">
        <v>13</v>
      </c>
      <c r="F5" s="10" t="s">
        <v>346</v>
      </c>
      <c r="G5" s="2">
        <v>2</v>
      </c>
      <c r="H5" s="11">
        <f>2.97-1</f>
        <v>1.9700000000000002</v>
      </c>
      <c r="I5" s="11">
        <f t="shared" ref="I5:I8" si="0">G5*H5</f>
        <v>3.9400000000000004</v>
      </c>
      <c r="J5" s="11">
        <f t="shared" ref="J5:J8" si="1">I5*0.08</f>
        <v>0.31520000000000004</v>
      </c>
      <c r="K5" s="11"/>
      <c r="L5" s="11">
        <f t="shared" ref="L5:L8" si="2">I5+J5</f>
        <v>4.2552000000000003</v>
      </c>
      <c r="R5" s="361">
        <v>45293</v>
      </c>
      <c r="S5" s="362" t="s">
        <v>291</v>
      </c>
      <c r="T5" s="362" t="s">
        <v>287</v>
      </c>
      <c r="U5" s="363">
        <v>53</v>
      </c>
    </row>
    <row r="6" spans="4:21" x14ac:dyDescent="0.35">
      <c r="D6" s="12">
        <v>45310</v>
      </c>
      <c r="E6" s="10" t="s">
        <v>13</v>
      </c>
      <c r="F6" s="10" t="s">
        <v>347</v>
      </c>
      <c r="G6" s="2">
        <v>2</v>
      </c>
      <c r="H6" s="11">
        <f>2.97-0.5</f>
        <v>2.4700000000000002</v>
      </c>
      <c r="I6" s="11">
        <f t="shared" si="0"/>
        <v>4.9400000000000004</v>
      </c>
      <c r="J6" s="11">
        <f t="shared" si="1"/>
        <v>0.39520000000000005</v>
      </c>
      <c r="K6" s="11"/>
      <c r="L6" s="11">
        <f t="shared" si="2"/>
        <v>5.3352000000000004</v>
      </c>
      <c r="R6" s="361">
        <v>45310</v>
      </c>
      <c r="S6" s="362" t="s">
        <v>13</v>
      </c>
      <c r="T6" s="362" t="s">
        <v>306</v>
      </c>
      <c r="U6" s="363">
        <v>233.38</v>
      </c>
    </row>
    <row r="7" spans="4:21" x14ac:dyDescent="0.35">
      <c r="D7" s="12">
        <v>45310</v>
      </c>
      <c r="E7" s="10" t="s">
        <v>13</v>
      </c>
      <c r="F7" s="10" t="s">
        <v>348</v>
      </c>
      <c r="G7" s="2">
        <v>1</v>
      </c>
      <c r="H7" s="11">
        <v>5.31</v>
      </c>
      <c r="I7" s="11">
        <f t="shared" si="0"/>
        <v>5.31</v>
      </c>
      <c r="J7" s="11">
        <f t="shared" si="1"/>
        <v>0.42479999999999996</v>
      </c>
      <c r="K7" s="11"/>
      <c r="L7" s="11">
        <f t="shared" si="2"/>
        <v>5.7347999999999999</v>
      </c>
      <c r="R7" s="361">
        <v>45319</v>
      </c>
      <c r="S7" s="362" t="s">
        <v>361</v>
      </c>
      <c r="T7" s="362" t="s">
        <v>306</v>
      </c>
      <c r="U7" s="363">
        <f>L42+L10</f>
        <v>349.14780000000002</v>
      </c>
    </row>
    <row r="8" spans="4:21" x14ac:dyDescent="0.35">
      <c r="D8" s="12">
        <v>45310</v>
      </c>
      <c r="E8" s="10" t="s">
        <v>13</v>
      </c>
      <c r="F8" s="10" t="s">
        <v>349</v>
      </c>
      <c r="G8" s="2">
        <v>1</v>
      </c>
      <c r="H8" s="11">
        <f>48.94-2.45</f>
        <v>46.489999999999995</v>
      </c>
      <c r="I8" s="11">
        <f t="shared" si="0"/>
        <v>46.489999999999995</v>
      </c>
      <c r="J8" s="11">
        <f t="shared" si="1"/>
        <v>3.7191999999999998</v>
      </c>
      <c r="K8" s="11"/>
      <c r="L8" s="11">
        <f t="shared" si="2"/>
        <v>50.209199999999996</v>
      </c>
      <c r="R8" s="361">
        <v>45321</v>
      </c>
      <c r="S8" s="362" t="s">
        <v>357</v>
      </c>
      <c r="T8" s="362" t="s">
        <v>46</v>
      </c>
      <c r="U8" s="363">
        <v>407.89</v>
      </c>
    </row>
    <row r="9" spans="4:21" x14ac:dyDescent="0.35">
      <c r="D9" s="12">
        <v>45319</v>
      </c>
      <c r="E9" s="10" t="s">
        <v>361</v>
      </c>
      <c r="F9" s="10" t="s">
        <v>351</v>
      </c>
      <c r="G9" s="2">
        <v>2</v>
      </c>
      <c r="H9" s="11">
        <v>6.89</v>
      </c>
      <c r="I9" s="11">
        <f t="shared" ref="I9:I21" si="3">G9*H9</f>
        <v>13.78</v>
      </c>
      <c r="J9" s="11">
        <f>I9*0.09</f>
        <v>1.2402</v>
      </c>
      <c r="K9" s="11"/>
      <c r="L9" s="11">
        <f>I9+J9</f>
        <v>15.020199999999999</v>
      </c>
      <c r="R9" s="361">
        <v>45325</v>
      </c>
      <c r="S9" s="362" t="s">
        <v>13</v>
      </c>
      <c r="T9" s="362" t="s">
        <v>352</v>
      </c>
      <c r="U9" s="363">
        <f>L15+L16</f>
        <v>1061.7864</v>
      </c>
    </row>
    <row r="10" spans="4:21" x14ac:dyDescent="0.35">
      <c r="D10" s="12">
        <v>45321</v>
      </c>
      <c r="E10" s="10" t="s">
        <v>357</v>
      </c>
      <c r="F10" s="10" t="s">
        <v>365</v>
      </c>
      <c r="G10" s="2">
        <v>1.5</v>
      </c>
      <c r="H10" s="11">
        <v>110.502</v>
      </c>
      <c r="I10" s="11">
        <f t="shared" si="3"/>
        <v>165.75299999999999</v>
      </c>
      <c r="J10" s="11">
        <f t="shared" ref="J10:J16" si="4">I10*0.08</f>
        <v>13.26024</v>
      </c>
      <c r="K10" s="11"/>
      <c r="L10" s="11">
        <f>I10+J10</f>
        <v>179.01324</v>
      </c>
      <c r="R10" s="361">
        <v>45327</v>
      </c>
      <c r="S10" s="362" t="s">
        <v>357</v>
      </c>
      <c r="T10" s="362" t="s">
        <v>358</v>
      </c>
      <c r="U10" s="363">
        <v>322.33999999999997</v>
      </c>
    </row>
    <row r="11" spans="4:21" x14ac:dyDescent="0.35">
      <c r="D11" s="12">
        <v>45321</v>
      </c>
      <c r="E11" s="10" t="s">
        <v>357</v>
      </c>
      <c r="F11" s="10" t="s">
        <v>142</v>
      </c>
      <c r="G11" s="2">
        <v>3</v>
      </c>
      <c r="H11" s="11">
        <v>31.388000000000002</v>
      </c>
      <c r="I11" s="11">
        <f t="shared" si="3"/>
        <v>94.164000000000001</v>
      </c>
      <c r="J11" s="11">
        <f t="shared" si="4"/>
        <v>7.5331200000000003</v>
      </c>
      <c r="K11" s="11"/>
      <c r="L11" s="11">
        <f t="shared" ref="L11" si="5">I11+J11</f>
        <v>101.69712</v>
      </c>
      <c r="R11" s="361">
        <v>45328</v>
      </c>
      <c r="S11" s="362" t="s">
        <v>13</v>
      </c>
      <c r="T11" s="362" t="s">
        <v>356</v>
      </c>
      <c r="U11" s="363">
        <v>211.24</v>
      </c>
    </row>
    <row r="12" spans="4:21" x14ac:dyDescent="0.35">
      <c r="D12" s="12">
        <v>45321</v>
      </c>
      <c r="E12" s="10" t="s">
        <v>357</v>
      </c>
      <c r="F12" s="10" t="s">
        <v>366</v>
      </c>
      <c r="G12" s="2">
        <v>1</v>
      </c>
      <c r="H12" s="11">
        <v>96.31</v>
      </c>
      <c r="I12" s="11">
        <f t="shared" si="3"/>
        <v>96.31</v>
      </c>
      <c r="J12" s="11">
        <f t="shared" si="4"/>
        <v>7.7048000000000005</v>
      </c>
      <c r="K12" s="11"/>
      <c r="L12" s="11">
        <f t="shared" ref="L12:L21" si="6">I12+J12</f>
        <v>104.01480000000001</v>
      </c>
      <c r="R12" s="361">
        <v>45327</v>
      </c>
      <c r="S12" s="362" t="s">
        <v>368</v>
      </c>
      <c r="T12" s="362" t="s">
        <v>369</v>
      </c>
      <c r="U12" s="364">
        <f>L17</f>
        <v>110.242</v>
      </c>
    </row>
    <row r="13" spans="4:21" x14ac:dyDescent="0.35">
      <c r="D13" s="12">
        <v>45321</v>
      </c>
      <c r="E13" s="10" t="s">
        <v>357</v>
      </c>
      <c r="F13" s="10" t="s">
        <v>367</v>
      </c>
      <c r="G13" s="2">
        <v>1</v>
      </c>
      <c r="H13" s="11">
        <v>22.324999999999999</v>
      </c>
      <c r="I13" s="11">
        <f t="shared" si="3"/>
        <v>22.324999999999999</v>
      </c>
      <c r="J13" s="11">
        <f t="shared" si="4"/>
        <v>1.786</v>
      </c>
      <c r="K13" s="11"/>
      <c r="L13" s="11">
        <f t="shared" si="6"/>
        <v>24.111000000000001</v>
      </c>
      <c r="R13" s="361">
        <v>45350</v>
      </c>
      <c r="S13" s="362" t="s">
        <v>13</v>
      </c>
      <c r="T13" s="362" t="s">
        <v>306</v>
      </c>
      <c r="U13" s="363">
        <v>82.58</v>
      </c>
    </row>
    <row r="14" spans="4:21" x14ac:dyDescent="0.35">
      <c r="D14" s="12">
        <v>45325</v>
      </c>
      <c r="E14" s="10" t="s">
        <v>13</v>
      </c>
      <c r="F14" s="10" t="s">
        <v>350</v>
      </c>
      <c r="G14" s="2">
        <v>3</v>
      </c>
      <c r="H14" s="11">
        <v>7.88</v>
      </c>
      <c r="I14" s="11">
        <f t="shared" si="3"/>
        <v>23.64</v>
      </c>
      <c r="J14" s="11">
        <f t="shared" si="4"/>
        <v>1.8912</v>
      </c>
      <c r="K14" s="11"/>
      <c r="L14" s="11">
        <f t="shared" si="6"/>
        <v>25.531200000000002</v>
      </c>
      <c r="R14" s="361">
        <v>45351</v>
      </c>
      <c r="S14" s="362" t="s">
        <v>13</v>
      </c>
      <c r="T14" s="362" t="s">
        <v>557</v>
      </c>
      <c r="U14" s="363">
        <v>184.12</v>
      </c>
    </row>
    <row r="15" spans="4:21" x14ac:dyDescent="0.35">
      <c r="D15" s="12">
        <v>45325</v>
      </c>
      <c r="E15" s="10" t="s">
        <v>13</v>
      </c>
      <c r="F15" s="10" t="s">
        <v>351</v>
      </c>
      <c r="G15" s="2">
        <v>1</v>
      </c>
      <c r="H15" s="11">
        <v>24.58</v>
      </c>
      <c r="I15" s="11">
        <f t="shared" si="3"/>
        <v>24.58</v>
      </c>
      <c r="J15" s="11">
        <f t="shared" si="4"/>
        <v>1.9663999999999999</v>
      </c>
      <c r="K15" s="11"/>
      <c r="L15" s="11">
        <f t="shared" si="6"/>
        <v>26.546399999999998</v>
      </c>
      <c r="R15" s="361">
        <v>45351</v>
      </c>
      <c r="S15" s="362" t="s">
        <v>13</v>
      </c>
      <c r="T15" s="362" t="s">
        <v>306</v>
      </c>
      <c r="U15" s="363">
        <v>212.62</v>
      </c>
    </row>
    <row r="16" spans="4:21" x14ac:dyDescent="0.35">
      <c r="D16" s="12">
        <v>45327</v>
      </c>
      <c r="E16" s="10" t="s">
        <v>368</v>
      </c>
      <c r="F16" s="10" t="s">
        <v>369</v>
      </c>
      <c r="G16" s="2">
        <v>1</v>
      </c>
      <c r="H16" s="11">
        <f>1035.24/1.08</f>
        <v>958.55555555555554</v>
      </c>
      <c r="I16" s="11">
        <f t="shared" si="3"/>
        <v>958.55555555555554</v>
      </c>
      <c r="J16" s="11">
        <f t="shared" si="4"/>
        <v>76.684444444444452</v>
      </c>
      <c r="K16" s="11"/>
      <c r="L16" s="11">
        <f t="shared" si="6"/>
        <v>1035.24</v>
      </c>
      <c r="R16" s="361">
        <v>45362</v>
      </c>
      <c r="S16" s="362" t="s">
        <v>361</v>
      </c>
      <c r="T16" s="362" t="s">
        <v>648</v>
      </c>
      <c r="U16" s="363">
        <v>115.24</v>
      </c>
    </row>
    <row r="17" spans="4:21" x14ac:dyDescent="0.35">
      <c r="D17" s="12">
        <v>45327</v>
      </c>
      <c r="E17" s="10" t="s">
        <v>357</v>
      </c>
      <c r="F17" s="10" t="s">
        <v>363</v>
      </c>
      <c r="G17" s="2">
        <v>1</v>
      </c>
      <c r="H17" s="11">
        <v>100.22</v>
      </c>
      <c r="I17" s="11">
        <f t="shared" si="3"/>
        <v>100.22</v>
      </c>
      <c r="J17" s="11">
        <f>I17*0.1</f>
        <v>10.022</v>
      </c>
      <c r="K17" s="11"/>
      <c r="L17" s="11">
        <f t="shared" si="6"/>
        <v>110.242</v>
      </c>
      <c r="R17" s="361">
        <v>45365</v>
      </c>
      <c r="S17" s="362" t="s">
        <v>649</v>
      </c>
      <c r="T17" s="362"/>
      <c r="U17" s="363">
        <v>166.26</v>
      </c>
    </row>
    <row r="18" spans="4:21" x14ac:dyDescent="0.35">
      <c r="D18" s="12">
        <v>45327</v>
      </c>
      <c r="E18" s="10" t="s">
        <v>357</v>
      </c>
      <c r="F18" s="10" t="s">
        <v>364</v>
      </c>
      <c r="G18" s="2">
        <v>1</v>
      </c>
      <c r="H18" s="11">
        <v>192.15</v>
      </c>
      <c r="I18" s="11">
        <f t="shared" si="3"/>
        <v>192.15</v>
      </c>
      <c r="J18" s="11">
        <f>I18*0.1</f>
        <v>19.215000000000003</v>
      </c>
      <c r="K18" s="11"/>
      <c r="L18" s="11">
        <f t="shared" si="6"/>
        <v>211.36500000000001</v>
      </c>
      <c r="R18" s="361">
        <v>45365</v>
      </c>
      <c r="S18" s="362" t="s">
        <v>649</v>
      </c>
      <c r="T18" s="362"/>
      <c r="U18" s="363">
        <v>215.49</v>
      </c>
    </row>
    <row r="19" spans="4:21" x14ac:dyDescent="0.35">
      <c r="D19" s="12">
        <v>45328</v>
      </c>
      <c r="E19" s="10" t="s">
        <v>13</v>
      </c>
      <c r="F19" s="10" t="s">
        <v>353</v>
      </c>
      <c r="G19" s="2">
        <v>1</v>
      </c>
      <c r="H19" s="11">
        <v>109</v>
      </c>
      <c r="I19" s="11">
        <f t="shared" si="3"/>
        <v>109</v>
      </c>
      <c r="J19" s="11">
        <f>I19*0.08</f>
        <v>8.7200000000000006</v>
      </c>
      <c r="K19" s="11"/>
      <c r="L19" s="11">
        <f t="shared" si="6"/>
        <v>117.72</v>
      </c>
      <c r="R19" s="361">
        <v>45370</v>
      </c>
      <c r="S19" s="362" t="s">
        <v>649</v>
      </c>
      <c r="T19" s="362" t="s">
        <v>650</v>
      </c>
      <c r="U19" s="363">
        <v>40</v>
      </c>
    </row>
    <row r="20" spans="4:21" x14ac:dyDescent="0.35">
      <c r="D20" s="12">
        <v>45328</v>
      </c>
      <c r="E20" s="10" t="s">
        <v>13</v>
      </c>
      <c r="F20" s="10" t="s">
        <v>354</v>
      </c>
      <c r="G20" s="2">
        <v>1</v>
      </c>
      <c r="H20" s="11">
        <v>9.6999999999999993</v>
      </c>
      <c r="I20" s="11">
        <f t="shared" si="3"/>
        <v>9.6999999999999993</v>
      </c>
      <c r="J20" s="11">
        <f>I20*0.08</f>
        <v>0.77599999999999991</v>
      </c>
      <c r="K20" s="11"/>
      <c r="L20" s="11">
        <f t="shared" si="6"/>
        <v>10.475999999999999</v>
      </c>
      <c r="R20" s="361">
        <v>45370</v>
      </c>
      <c r="S20" s="362" t="s">
        <v>649</v>
      </c>
      <c r="T20" s="362" t="s">
        <v>651</v>
      </c>
      <c r="U20" s="363">
        <v>264.2</v>
      </c>
    </row>
    <row r="21" spans="4:21" x14ac:dyDescent="0.35">
      <c r="D21" s="12">
        <v>45328</v>
      </c>
      <c r="E21" s="10" t="s">
        <v>13</v>
      </c>
      <c r="F21" s="10" t="s">
        <v>355</v>
      </c>
      <c r="G21" s="2">
        <v>1</v>
      </c>
      <c r="H21" s="11">
        <f>79.94-2.39</f>
        <v>77.55</v>
      </c>
      <c r="I21" s="11">
        <f t="shared" si="3"/>
        <v>77.55</v>
      </c>
      <c r="J21" s="11">
        <f>I21*0.08</f>
        <v>6.2039999999999997</v>
      </c>
      <c r="K21" s="11"/>
      <c r="L21" s="11">
        <f t="shared" si="6"/>
        <v>83.753999999999991</v>
      </c>
      <c r="R21" s="361">
        <v>45372</v>
      </c>
      <c r="S21" s="362" t="s">
        <v>649</v>
      </c>
      <c r="T21" s="362" t="s">
        <v>652</v>
      </c>
      <c r="U21" s="363">
        <v>772.96</v>
      </c>
    </row>
    <row r="22" spans="4:21" x14ac:dyDescent="0.35">
      <c r="D22" s="12">
        <v>45351</v>
      </c>
      <c r="E22" s="10" t="s">
        <v>13</v>
      </c>
      <c r="F22" s="10" t="s">
        <v>552</v>
      </c>
      <c r="G22" s="2">
        <v>1</v>
      </c>
      <c r="H22" s="4">
        <v>17.98</v>
      </c>
      <c r="I22" s="11">
        <f t="shared" ref="I22:I34" si="7">G22*H22</f>
        <v>17.98</v>
      </c>
      <c r="J22" s="11">
        <f t="shared" ref="J22:J34" si="8">I22*0.08</f>
        <v>1.4384000000000001</v>
      </c>
      <c r="K22" s="11"/>
      <c r="L22" s="11">
        <f t="shared" ref="L22:L34" si="9">I22+J22</f>
        <v>19.418400000000002</v>
      </c>
      <c r="R22" s="361">
        <v>45379</v>
      </c>
      <c r="S22" s="362" t="s">
        <v>662</v>
      </c>
      <c r="T22" s="362" t="s">
        <v>653</v>
      </c>
      <c r="U22" s="363">
        <v>105.5</v>
      </c>
    </row>
    <row r="23" spans="4:21" x14ac:dyDescent="0.35">
      <c r="D23" s="12">
        <v>45351</v>
      </c>
      <c r="E23" s="10" t="s">
        <v>13</v>
      </c>
      <c r="F23" s="10" t="s">
        <v>553</v>
      </c>
      <c r="G23" s="2">
        <v>1</v>
      </c>
      <c r="H23" s="11">
        <f>16.65-0.33</f>
        <v>16.32</v>
      </c>
      <c r="I23" s="11">
        <f t="shared" si="7"/>
        <v>16.32</v>
      </c>
      <c r="J23" s="11">
        <f t="shared" si="8"/>
        <v>1.3056000000000001</v>
      </c>
      <c r="K23" s="11"/>
      <c r="L23" s="11">
        <f t="shared" si="9"/>
        <v>17.625599999999999</v>
      </c>
      <c r="R23" s="361">
        <v>45384</v>
      </c>
      <c r="S23" s="362" t="s">
        <v>495</v>
      </c>
      <c r="T23" s="362" t="s">
        <v>679</v>
      </c>
      <c r="U23" s="363">
        <v>230</v>
      </c>
    </row>
    <row r="24" spans="4:21" x14ac:dyDescent="0.35">
      <c r="D24" s="12">
        <v>45351</v>
      </c>
      <c r="E24" s="10" t="s">
        <v>13</v>
      </c>
      <c r="F24" s="10" t="s">
        <v>554</v>
      </c>
      <c r="G24" s="2">
        <v>1</v>
      </c>
      <c r="H24" s="11">
        <f>20.2-1.01</f>
        <v>19.189999999999998</v>
      </c>
      <c r="I24" s="11">
        <f t="shared" si="7"/>
        <v>19.189999999999998</v>
      </c>
      <c r="J24" s="11">
        <f t="shared" si="8"/>
        <v>1.5351999999999999</v>
      </c>
      <c r="K24" s="11"/>
      <c r="L24" s="11">
        <f t="shared" si="9"/>
        <v>20.725199999999997</v>
      </c>
      <c r="R24" s="361">
        <v>45392</v>
      </c>
      <c r="S24" s="362" t="s">
        <v>662</v>
      </c>
      <c r="T24" s="362" t="s">
        <v>653</v>
      </c>
      <c r="U24" s="363">
        <v>96.94</v>
      </c>
    </row>
    <row r="25" spans="4:21" x14ac:dyDescent="0.35">
      <c r="D25" s="12">
        <v>45351</v>
      </c>
      <c r="E25" s="10" t="s">
        <v>13</v>
      </c>
      <c r="F25" s="10" t="s">
        <v>555</v>
      </c>
      <c r="G25" s="2">
        <v>1</v>
      </c>
      <c r="H25" s="11">
        <f>21.9-1.1</f>
        <v>20.799999999999997</v>
      </c>
      <c r="I25" s="11">
        <f t="shared" si="7"/>
        <v>20.799999999999997</v>
      </c>
      <c r="J25" s="11">
        <f t="shared" si="8"/>
        <v>1.6639999999999997</v>
      </c>
      <c r="K25" s="11"/>
      <c r="L25" s="11">
        <f t="shared" si="9"/>
        <v>22.463999999999999</v>
      </c>
      <c r="R25" s="361">
        <v>45379</v>
      </c>
      <c r="S25" s="362" t="s">
        <v>13</v>
      </c>
      <c r="T25" s="362" t="s">
        <v>647</v>
      </c>
      <c r="U25" s="363">
        <v>217.37</v>
      </c>
    </row>
    <row r="26" spans="4:21" x14ac:dyDescent="0.35">
      <c r="D26" s="12">
        <v>45351</v>
      </c>
      <c r="E26" s="10" t="s">
        <v>13</v>
      </c>
      <c r="F26" s="10" t="s">
        <v>556</v>
      </c>
      <c r="G26" s="2">
        <v>1</v>
      </c>
      <c r="H26" s="11">
        <f>2.47-0.12</f>
        <v>2.35</v>
      </c>
      <c r="I26" s="11">
        <f t="shared" si="7"/>
        <v>2.35</v>
      </c>
      <c r="J26" s="11">
        <f t="shared" si="8"/>
        <v>0.188</v>
      </c>
      <c r="K26" s="11"/>
      <c r="L26" s="11">
        <f t="shared" si="9"/>
        <v>2.5380000000000003</v>
      </c>
      <c r="R26" s="361">
        <v>45393</v>
      </c>
      <c r="S26" s="362" t="s">
        <v>291</v>
      </c>
      <c r="T26" s="362" t="s">
        <v>458</v>
      </c>
      <c r="U26" s="363">
        <v>432.86</v>
      </c>
    </row>
    <row r="27" spans="4:21" x14ac:dyDescent="0.35">
      <c r="D27" s="12"/>
      <c r="E27" s="10"/>
      <c r="F27" s="10"/>
      <c r="G27" s="2"/>
      <c r="H27" s="11"/>
      <c r="I27" s="11">
        <f t="shared" si="7"/>
        <v>0</v>
      </c>
      <c r="J27" s="11">
        <f t="shared" si="8"/>
        <v>0</v>
      </c>
      <c r="K27" s="11"/>
      <c r="L27" s="11">
        <f t="shared" si="9"/>
        <v>0</v>
      </c>
      <c r="R27" s="361">
        <v>45396</v>
      </c>
      <c r="S27" s="362" t="s">
        <v>649</v>
      </c>
      <c r="T27" s="362" t="s">
        <v>654</v>
      </c>
      <c r="U27" s="363">
        <v>581.63</v>
      </c>
    </row>
    <row r="28" spans="4:21" x14ac:dyDescent="0.35">
      <c r="D28" s="10"/>
      <c r="E28" s="10"/>
      <c r="F28" s="10"/>
      <c r="G28" s="2"/>
      <c r="H28" s="11"/>
      <c r="I28" s="11">
        <f t="shared" si="7"/>
        <v>0</v>
      </c>
      <c r="J28" s="11">
        <f t="shared" si="8"/>
        <v>0</v>
      </c>
      <c r="K28" s="11"/>
      <c r="L28" s="11">
        <f t="shared" si="9"/>
        <v>0</v>
      </c>
      <c r="R28" s="361">
        <v>45398</v>
      </c>
      <c r="S28" s="362" t="s">
        <v>13</v>
      </c>
      <c r="T28" s="362" t="s">
        <v>656</v>
      </c>
      <c r="U28" s="363">
        <v>198.4</v>
      </c>
    </row>
    <row r="29" spans="4:21" x14ac:dyDescent="0.35">
      <c r="D29" s="10"/>
      <c r="E29" s="10"/>
      <c r="F29" s="10"/>
      <c r="G29" s="2"/>
      <c r="H29" s="11"/>
      <c r="I29" s="11">
        <f t="shared" si="7"/>
        <v>0</v>
      </c>
      <c r="J29" s="11">
        <f t="shared" si="8"/>
        <v>0</v>
      </c>
      <c r="K29" s="11"/>
      <c r="L29" s="11">
        <f t="shared" si="9"/>
        <v>0</v>
      </c>
      <c r="R29" s="361">
        <v>45398</v>
      </c>
      <c r="S29" s="362" t="s">
        <v>655</v>
      </c>
      <c r="T29" s="362" t="s">
        <v>657</v>
      </c>
      <c r="U29" s="363">
        <v>165.28</v>
      </c>
    </row>
    <row r="30" spans="4:21" x14ac:dyDescent="0.35">
      <c r="D30" s="10"/>
      <c r="E30" s="10"/>
      <c r="F30" s="10"/>
      <c r="G30" s="2"/>
      <c r="H30" s="11"/>
      <c r="I30" s="11">
        <f t="shared" si="7"/>
        <v>0</v>
      </c>
      <c r="J30" s="11">
        <f t="shared" si="8"/>
        <v>0</v>
      </c>
      <c r="K30" s="11"/>
      <c r="L30" s="11">
        <f t="shared" si="9"/>
        <v>0</v>
      </c>
      <c r="R30" s="361">
        <v>45399</v>
      </c>
      <c r="S30" s="362" t="s">
        <v>13</v>
      </c>
      <c r="T30" s="362" t="s">
        <v>658</v>
      </c>
      <c r="U30" s="363">
        <v>113.28</v>
      </c>
    </row>
    <row r="31" spans="4:21" x14ac:dyDescent="0.35">
      <c r="D31" s="10"/>
      <c r="E31" s="10"/>
      <c r="F31" s="10"/>
      <c r="G31" s="2"/>
      <c r="H31" s="11"/>
      <c r="I31" s="11">
        <f t="shared" si="7"/>
        <v>0</v>
      </c>
      <c r="J31" s="11">
        <f t="shared" si="8"/>
        <v>0</v>
      </c>
      <c r="K31" s="11"/>
      <c r="L31" s="11">
        <f t="shared" si="9"/>
        <v>0</v>
      </c>
      <c r="R31" s="361">
        <v>45400</v>
      </c>
      <c r="S31" s="362" t="s">
        <v>649</v>
      </c>
      <c r="T31" s="362" t="s">
        <v>659</v>
      </c>
      <c r="U31" s="363">
        <v>1070.01</v>
      </c>
    </row>
    <row r="32" spans="4:21" x14ac:dyDescent="0.35">
      <c r="D32" s="10"/>
      <c r="E32" s="10"/>
      <c r="F32" s="10"/>
      <c r="G32" s="2"/>
      <c r="H32" s="11"/>
      <c r="I32" s="11">
        <f t="shared" si="7"/>
        <v>0</v>
      </c>
      <c r="J32" s="11">
        <f t="shared" si="8"/>
        <v>0</v>
      </c>
      <c r="K32" s="11"/>
      <c r="L32" s="11">
        <f t="shared" si="9"/>
        <v>0</v>
      </c>
      <c r="R32" s="361">
        <v>45400</v>
      </c>
      <c r="S32" s="362" t="s">
        <v>649</v>
      </c>
      <c r="T32" s="362" t="s">
        <v>660</v>
      </c>
      <c r="U32" s="363">
        <v>56.99</v>
      </c>
    </row>
    <row r="33" spans="4:21" x14ac:dyDescent="0.35">
      <c r="D33" s="10"/>
      <c r="E33" s="10"/>
      <c r="F33" s="10"/>
      <c r="G33" s="2"/>
      <c r="H33" s="11"/>
      <c r="I33" s="11">
        <f t="shared" si="7"/>
        <v>0</v>
      </c>
      <c r="J33" s="11">
        <f t="shared" si="8"/>
        <v>0</v>
      </c>
      <c r="K33" s="11"/>
      <c r="L33" s="11">
        <f t="shared" si="9"/>
        <v>0</v>
      </c>
      <c r="R33" s="361">
        <v>45400</v>
      </c>
      <c r="S33" s="362" t="s">
        <v>649</v>
      </c>
      <c r="T33" s="362" t="s">
        <v>661</v>
      </c>
      <c r="U33" s="363">
        <v>943.4</v>
      </c>
    </row>
    <row r="34" spans="4:21" x14ac:dyDescent="0.35">
      <c r="D34" s="10"/>
      <c r="E34" s="10"/>
      <c r="F34" s="10"/>
      <c r="G34" s="2"/>
      <c r="H34" s="11"/>
      <c r="I34" s="11">
        <f t="shared" si="7"/>
        <v>0</v>
      </c>
      <c r="J34" s="11">
        <f t="shared" si="8"/>
        <v>0</v>
      </c>
      <c r="K34" s="11"/>
      <c r="L34" s="11">
        <f t="shared" si="9"/>
        <v>0</v>
      </c>
      <c r="R34" s="361">
        <v>45401</v>
      </c>
      <c r="S34" s="362" t="s">
        <v>655</v>
      </c>
      <c r="T34" s="362" t="s">
        <v>663</v>
      </c>
      <c r="U34" s="363">
        <v>106.65</v>
      </c>
    </row>
    <row r="35" spans="4:21" x14ac:dyDescent="0.35">
      <c r="L35" s="179">
        <f>SUM(L5:L34)</f>
        <v>2193.0365599999996</v>
      </c>
      <c r="M35" s="9">
        <f>18*L35</f>
        <v>39474.658079999994</v>
      </c>
      <c r="R35" s="361">
        <v>45401</v>
      </c>
      <c r="S35" s="362" t="s">
        <v>662</v>
      </c>
      <c r="T35" s="362" t="s">
        <v>664</v>
      </c>
      <c r="U35" s="363">
        <v>190.83</v>
      </c>
    </row>
    <row r="36" spans="4:21" x14ac:dyDescent="0.35">
      <c r="R36" s="361">
        <v>45401</v>
      </c>
      <c r="S36" s="362" t="s">
        <v>655</v>
      </c>
      <c r="T36" s="362" t="s">
        <v>665</v>
      </c>
      <c r="U36" s="363">
        <v>57.63</v>
      </c>
    </row>
    <row r="37" spans="4:21" x14ac:dyDescent="0.35">
      <c r="R37" s="361">
        <v>45403</v>
      </c>
      <c r="S37" s="362" t="s">
        <v>666</v>
      </c>
      <c r="T37" s="362" t="s">
        <v>667</v>
      </c>
      <c r="U37" s="363">
        <v>60</v>
      </c>
    </row>
    <row r="38" spans="4:21" x14ac:dyDescent="0.35">
      <c r="R38" s="361">
        <v>45405</v>
      </c>
      <c r="S38" s="362" t="s">
        <v>655</v>
      </c>
      <c r="T38" s="362" t="s">
        <v>668</v>
      </c>
      <c r="U38" s="363">
        <v>71.62</v>
      </c>
    </row>
    <row r="39" spans="4:21" x14ac:dyDescent="0.35">
      <c r="D39" s="2" t="s">
        <v>0</v>
      </c>
      <c r="E39" s="2" t="s">
        <v>1</v>
      </c>
      <c r="F39" s="2" t="s">
        <v>2</v>
      </c>
      <c r="G39" s="2" t="s">
        <v>3</v>
      </c>
      <c r="H39" s="4" t="s">
        <v>4</v>
      </c>
      <c r="I39" s="4" t="s">
        <v>8</v>
      </c>
      <c r="J39" s="5" t="s">
        <v>9</v>
      </c>
      <c r="K39" s="5" t="s">
        <v>10</v>
      </c>
      <c r="L39" s="5" t="s">
        <v>5</v>
      </c>
      <c r="R39" s="361">
        <v>45405</v>
      </c>
      <c r="S39" s="362" t="s">
        <v>291</v>
      </c>
      <c r="T39" s="362" t="s">
        <v>669</v>
      </c>
      <c r="U39" s="363">
        <v>52.89</v>
      </c>
    </row>
    <row r="40" spans="4:21" x14ac:dyDescent="0.35">
      <c r="D40" s="12">
        <v>45310</v>
      </c>
      <c r="E40" s="10" t="s">
        <v>13</v>
      </c>
      <c r="F40" s="10" t="s">
        <v>345</v>
      </c>
      <c r="G40" s="2">
        <v>6</v>
      </c>
      <c r="H40" s="11">
        <f>25.98</f>
        <v>25.98</v>
      </c>
      <c r="I40" s="11">
        <f>G40*H40</f>
        <v>155.88</v>
      </c>
      <c r="J40" s="11">
        <f>I40*0.08</f>
        <v>12.4704</v>
      </c>
      <c r="K40" s="11"/>
      <c r="L40" s="11">
        <f>I40+J40</f>
        <v>168.35040000000001</v>
      </c>
      <c r="R40" s="361">
        <v>45406</v>
      </c>
      <c r="S40" s="362" t="s">
        <v>13</v>
      </c>
      <c r="T40" s="362" t="s">
        <v>671</v>
      </c>
      <c r="U40" s="363">
        <v>262.26</v>
      </c>
    </row>
    <row r="41" spans="4:21" x14ac:dyDescent="0.35">
      <c r="D41" s="12">
        <v>45319</v>
      </c>
      <c r="E41" s="10" t="s">
        <v>361</v>
      </c>
      <c r="F41" s="10" t="s">
        <v>362</v>
      </c>
      <c r="G41" s="2">
        <v>2</v>
      </c>
      <c r="H41" s="11">
        <v>59.99</v>
      </c>
      <c r="I41" s="11">
        <f>G41*H41</f>
        <v>119.98</v>
      </c>
      <c r="J41" s="11">
        <f>I41*0.09</f>
        <v>10.7982</v>
      </c>
      <c r="K41" s="11"/>
      <c r="L41" s="11">
        <f>I41+J41</f>
        <v>130.7782</v>
      </c>
      <c r="R41" s="361">
        <v>45406</v>
      </c>
      <c r="S41" s="362" t="s">
        <v>670</v>
      </c>
      <c r="T41" s="362" t="s">
        <v>672</v>
      </c>
      <c r="U41" s="363">
        <v>309.94</v>
      </c>
    </row>
    <row r="42" spans="4:21" x14ac:dyDescent="0.35">
      <c r="D42" s="59">
        <v>45351</v>
      </c>
      <c r="E42" s="2" t="s">
        <v>13</v>
      </c>
      <c r="F42" s="2" t="s">
        <v>558</v>
      </c>
      <c r="G42" s="2">
        <v>2</v>
      </c>
      <c r="H42" s="2">
        <f>78.766</f>
        <v>78.766000000000005</v>
      </c>
      <c r="I42" s="5">
        <f t="shared" ref="I42:I43" si="10">G42*H42</f>
        <v>157.53200000000001</v>
      </c>
      <c r="J42" s="5">
        <f t="shared" ref="J42:J43" si="11">I42*0.08</f>
        <v>12.60256</v>
      </c>
      <c r="K42" s="5"/>
      <c r="L42" s="5">
        <f t="shared" ref="L42:L43" si="12">SUM(I42:J42)-K42</f>
        <v>170.13456000000002</v>
      </c>
      <c r="R42" s="361">
        <v>45406</v>
      </c>
      <c r="S42" s="362" t="s">
        <v>649</v>
      </c>
      <c r="T42" s="362" t="s">
        <v>673</v>
      </c>
      <c r="U42" s="363">
        <v>631.29</v>
      </c>
    </row>
    <row r="43" spans="4:21" x14ac:dyDescent="0.35">
      <c r="D43" s="59">
        <v>45351</v>
      </c>
      <c r="E43" s="2" t="s">
        <v>13</v>
      </c>
      <c r="F43" s="2" t="s">
        <v>559</v>
      </c>
      <c r="G43" s="2">
        <v>2</v>
      </c>
      <c r="H43" s="2">
        <f>6.68</f>
        <v>6.68</v>
      </c>
      <c r="I43" s="5">
        <f t="shared" si="10"/>
        <v>13.36</v>
      </c>
      <c r="J43" s="5">
        <f t="shared" si="11"/>
        <v>1.0688</v>
      </c>
      <c r="K43" s="5"/>
      <c r="L43" s="5">
        <f t="shared" si="12"/>
        <v>14.428799999999999</v>
      </c>
      <c r="R43" s="361">
        <v>45406</v>
      </c>
      <c r="S43" s="362" t="s">
        <v>13</v>
      </c>
      <c r="T43" s="362" t="s">
        <v>674</v>
      </c>
      <c r="U43" s="363">
        <v>395.5</v>
      </c>
    </row>
    <row r="44" spans="4:21" x14ac:dyDescent="0.35">
      <c r="D44" s="12">
        <v>45351</v>
      </c>
      <c r="E44" s="10" t="s">
        <v>13</v>
      </c>
      <c r="F44" s="2" t="s">
        <v>558</v>
      </c>
      <c r="G44" s="2">
        <v>2</v>
      </c>
      <c r="H44" s="2">
        <f>78.766</f>
        <v>78.766000000000005</v>
      </c>
      <c r="I44" s="5">
        <f t="shared" ref="I44" si="13">G44*H44</f>
        <v>157.53200000000001</v>
      </c>
      <c r="J44" s="5">
        <f t="shared" ref="J44" si="14">I44*0.08</f>
        <v>12.60256</v>
      </c>
      <c r="K44" s="5"/>
      <c r="L44" s="5">
        <f t="shared" ref="L44" si="15">SUM(I44:J44)-K44</f>
        <v>170.13456000000002</v>
      </c>
      <c r="R44" s="361">
        <v>45406</v>
      </c>
      <c r="S44" s="362" t="s">
        <v>13</v>
      </c>
      <c r="T44" s="362" t="s">
        <v>675</v>
      </c>
      <c r="U44" s="362">
        <v>267.17</v>
      </c>
    </row>
    <row r="45" spans="4:21" x14ac:dyDescent="0.35">
      <c r="D45" s="12">
        <v>45351</v>
      </c>
      <c r="E45" s="10" t="s">
        <v>13</v>
      </c>
      <c r="F45" s="2" t="s">
        <v>572</v>
      </c>
      <c r="G45" s="2">
        <v>2</v>
      </c>
      <c r="H45" s="11">
        <v>20.96</v>
      </c>
      <c r="I45" s="5">
        <f t="shared" ref="I45" si="16">G45*H45</f>
        <v>41.92</v>
      </c>
      <c r="J45" s="5">
        <f t="shared" ref="J45" si="17">I45*0.08</f>
        <v>3.3536000000000001</v>
      </c>
      <c r="K45" s="5"/>
      <c r="L45" s="5">
        <f t="shared" ref="L45" si="18">SUM(I45:J45)-K45</f>
        <v>45.273600000000002</v>
      </c>
      <c r="R45" s="361">
        <v>45407</v>
      </c>
      <c r="S45" s="362" t="s">
        <v>13</v>
      </c>
      <c r="T45" s="362" t="s">
        <v>676</v>
      </c>
      <c r="U45" s="363">
        <v>7.12</v>
      </c>
    </row>
    <row r="46" spans="4:21" x14ac:dyDescent="0.35">
      <c r="D46" s="10"/>
      <c r="E46" s="10"/>
      <c r="F46" s="10"/>
      <c r="G46" s="2"/>
      <c r="H46" s="11"/>
      <c r="I46" s="11"/>
      <c r="J46" s="11"/>
      <c r="K46" s="11"/>
      <c r="L46" s="11"/>
      <c r="R46" s="361">
        <v>45417</v>
      </c>
      <c r="S46" s="362" t="s">
        <v>649</v>
      </c>
      <c r="T46" s="362" t="s">
        <v>677</v>
      </c>
      <c r="U46" s="363">
        <v>549.51</v>
      </c>
    </row>
    <row r="47" spans="4:21" x14ac:dyDescent="0.35">
      <c r="D47" s="10"/>
      <c r="E47" s="10"/>
      <c r="F47" s="10"/>
      <c r="G47" s="2"/>
      <c r="H47" s="11"/>
      <c r="I47" s="11"/>
      <c r="J47" s="11"/>
      <c r="K47" s="11"/>
      <c r="L47" s="11"/>
      <c r="R47" s="361">
        <v>45417</v>
      </c>
      <c r="S47" s="362" t="s">
        <v>13</v>
      </c>
      <c r="T47" s="362" t="s">
        <v>678</v>
      </c>
      <c r="U47" s="363">
        <v>26.73</v>
      </c>
    </row>
    <row r="48" spans="4:21" x14ac:dyDescent="0.35">
      <c r="L48" s="11">
        <f>SUM(L40:L47)</f>
        <v>699.10012000000006</v>
      </c>
      <c r="U48" s="363">
        <f>SUM(U5:U47)</f>
        <v>12003.296199999999</v>
      </c>
    </row>
  </sheetData>
  <mergeCells count="2">
    <mergeCell ref="D3:L3"/>
    <mergeCell ref="R3:U3"/>
  </mergeCells>
  <pageMargins left="0.7" right="0.7" top="0.75" bottom="0.75" header="0.3" footer="0.3"/>
  <pageSetup orientation="portrait" horizontalDpi="1200" verticalDpi="1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63E7-9D3D-4F8F-B221-E36526C60239}">
  <sheetPr>
    <tabColor rgb="FFFFFF99"/>
  </sheetPr>
  <dimension ref="B3:J17"/>
  <sheetViews>
    <sheetView workbookViewId="0">
      <selection activeCell="G13" sqref="G13"/>
    </sheetView>
  </sheetViews>
  <sheetFormatPr baseColWidth="10" defaultRowHeight="15" x14ac:dyDescent="0.25"/>
  <cols>
    <col min="2" max="5" width="11.7109375" customWidth="1"/>
    <col min="6" max="6" width="17.28515625" bestFit="1" customWidth="1"/>
  </cols>
  <sheetData>
    <row r="3" spans="2:10" x14ac:dyDescent="0.25">
      <c r="B3" s="395" t="s">
        <v>100</v>
      </c>
      <c r="C3" s="395"/>
      <c r="D3" s="395"/>
      <c r="E3" s="395"/>
      <c r="F3" s="395"/>
      <c r="G3" s="395"/>
      <c r="H3" s="395"/>
      <c r="I3" s="395"/>
      <c r="J3" s="395"/>
    </row>
    <row r="4" spans="2:10" x14ac:dyDescent="0.25">
      <c r="B4" s="2" t="s">
        <v>0</v>
      </c>
      <c r="C4" s="2" t="s">
        <v>1</v>
      </c>
      <c r="D4" s="2" t="s">
        <v>2</v>
      </c>
      <c r="E4" s="2" t="s">
        <v>3</v>
      </c>
      <c r="F4" s="4" t="s">
        <v>4</v>
      </c>
      <c r="G4" s="4" t="s">
        <v>8</v>
      </c>
      <c r="H4" s="5" t="s">
        <v>9</v>
      </c>
      <c r="I4" s="5" t="s">
        <v>10</v>
      </c>
      <c r="J4" s="5" t="s">
        <v>5</v>
      </c>
    </row>
    <row r="5" spans="2:10" x14ac:dyDescent="0.25">
      <c r="B5" s="59">
        <v>45644</v>
      </c>
      <c r="C5" s="2" t="s">
        <v>99</v>
      </c>
      <c r="D5" s="2" t="s">
        <v>100</v>
      </c>
      <c r="E5" s="2">
        <v>1</v>
      </c>
      <c r="F5" s="11">
        <v>2500</v>
      </c>
      <c r="G5" s="11">
        <f t="shared" ref="G5:G6" si="0">E5*F5</f>
        <v>2500</v>
      </c>
      <c r="H5" s="11">
        <f t="shared" ref="H5:H7" si="1">G5*0.08</f>
        <v>200</v>
      </c>
      <c r="I5" s="11"/>
      <c r="J5" s="11">
        <f t="shared" ref="J5" si="2">SUM(G5:H5)-I5</f>
        <v>2700</v>
      </c>
    </row>
    <row r="6" spans="2:10" x14ac:dyDescent="0.25">
      <c r="B6" s="59">
        <v>45310</v>
      </c>
      <c r="C6" s="2" t="s">
        <v>99</v>
      </c>
      <c r="D6" s="2" t="s">
        <v>100</v>
      </c>
      <c r="E6" s="2">
        <v>1</v>
      </c>
      <c r="F6" s="11">
        <v>2500</v>
      </c>
      <c r="G6" s="11">
        <f t="shared" si="0"/>
        <v>2500</v>
      </c>
      <c r="H6" s="11">
        <f t="shared" si="1"/>
        <v>200</v>
      </c>
      <c r="I6" s="11"/>
      <c r="J6" s="11">
        <f>SUM(G6:H6)-I6</f>
        <v>2700</v>
      </c>
    </row>
    <row r="7" spans="2:10" x14ac:dyDescent="0.25">
      <c r="B7" s="59">
        <v>45345</v>
      </c>
      <c r="C7" s="2" t="s">
        <v>99</v>
      </c>
      <c r="D7" s="2"/>
      <c r="E7" s="2">
        <v>1</v>
      </c>
      <c r="F7" s="5">
        <v>2500</v>
      </c>
      <c r="G7" s="5">
        <f>E7*F7</f>
        <v>2500</v>
      </c>
      <c r="H7" s="5">
        <f t="shared" si="1"/>
        <v>200</v>
      </c>
      <c r="I7" s="5"/>
      <c r="J7" s="5">
        <f t="shared" ref="J7" si="3">SUM(G7:H7)-I7</f>
        <v>2700</v>
      </c>
    </row>
    <row r="8" spans="2:10" x14ac:dyDescent="0.25">
      <c r="B8" s="2"/>
      <c r="C8" s="2"/>
      <c r="D8" s="2"/>
      <c r="E8" s="2"/>
      <c r="F8" s="2"/>
      <c r="G8" s="2"/>
      <c r="H8" s="2"/>
      <c r="I8" s="2"/>
      <c r="J8" s="2"/>
    </row>
    <row r="9" spans="2:10" x14ac:dyDescent="0.25">
      <c r="B9" s="10"/>
      <c r="C9" s="10"/>
      <c r="D9" s="10"/>
      <c r="E9" s="10"/>
      <c r="F9" s="10"/>
      <c r="G9" s="10"/>
      <c r="H9" s="10"/>
      <c r="I9" s="10"/>
      <c r="J9" s="10"/>
    </row>
    <row r="10" spans="2:10" x14ac:dyDescent="0.25">
      <c r="B10" s="10"/>
      <c r="C10" s="10"/>
      <c r="D10" s="10"/>
      <c r="E10" s="10"/>
      <c r="F10" s="10"/>
      <c r="G10" s="10"/>
      <c r="H10" s="10"/>
      <c r="I10" s="10"/>
      <c r="J10" s="10"/>
    </row>
    <row r="11" spans="2:10" x14ac:dyDescent="0.25">
      <c r="B11" s="10"/>
      <c r="C11" s="10"/>
      <c r="D11" s="10"/>
      <c r="E11" s="10"/>
      <c r="F11" s="10"/>
      <c r="G11" s="10"/>
      <c r="H11" s="10"/>
      <c r="I11" s="10"/>
      <c r="J11" s="10"/>
    </row>
    <row r="12" spans="2:10" x14ac:dyDescent="0.25">
      <c r="B12" s="10"/>
      <c r="C12" s="10"/>
      <c r="D12" s="10"/>
      <c r="E12" s="10"/>
      <c r="F12" s="10"/>
      <c r="G12" s="10"/>
      <c r="H12" s="10"/>
      <c r="I12" s="10"/>
      <c r="J12" s="10"/>
    </row>
    <row r="13" spans="2:10" x14ac:dyDescent="0.25">
      <c r="B13" s="10"/>
      <c r="C13" s="10"/>
      <c r="D13" s="10"/>
      <c r="E13" s="10"/>
      <c r="F13" s="10"/>
      <c r="G13" s="10"/>
      <c r="H13" s="10"/>
      <c r="I13" s="10"/>
      <c r="J13" s="10"/>
    </row>
    <row r="14" spans="2:10" x14ac:dyDescent="0.25">
      <c r="B14" s="10"/>
      <c r="C14" s="10"/>
      <c r="D14" s="10"/>
      <c r="E14" s="10"/>
      <c r="F14" s="10"/>
      <c r="G14" s="10"/>
      <c r="H14" s="10"/>
      <c r="I14" s="10"/>
      <c r="J14" s="10"/>
    </row>
    <row r="15" spans="2:10" x14ac:dyDescent="0.25">
      <c r="B15" s="10"/>
      <c r="C15" s="10"/>
      <c r="D15" s="10"/>
      <c r="E15" s="10"/>
      <c r="F15" s="10"/>
      <c r="G15" s="10"/>
      <c r="H15" s="10"/>
      <c r="I15" s="10"/>
      <c r="J15" s="10"/>
    </row>
    <row r="16" spans="2:10" x14ac:dyDescent="0.25">
      <c r="B16" s="10"/>
      <c r="C16" s="10"/>
      <c r="D16" s="10"/>
      <c r="E16" s="10"/>
      <c r="F16" s="10"/>
      <c r="G16" s="10"/>
      <c r="H16" s="10"/>
      <c r="I16" s="10"/>
      <c r="J16" s="10"/>
    </row>
    <row r="17" spans="10:10" x14ac:dyDescent="0.25">
      <c r="J17" s="14">
        <f>SUM(J5:J16)</f>
        <v>8100</v>
      </c>
    </row>
  </sheetData>
  <mergeCells count="1">
    <mergeCell ref="B3:J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916B-04DD-4270-AE95-1A80AE7A97DA}">
  <sheetPr>
    <tabColor rgb="FF00B0F0"/>
  </sheetPr>
  <dimension ref="C3:AO24"/>
  <sheetViews>
    <sheetView zoomScale="90" zoomScaleNormal="90" workbookViewId="0">
      <selection activeCell="AF15" sqref="AF15"/>
    </sheetView>
  </sheetViews>
  <sheetFormatPr baseColWidth="10" defaultRowHeight="15" x14ac:dyDescent="0.25"/>
  <cols>
    <col min="3" max="3" width="7" bestFit="1" customWidth="1"/>
    <col min="4" max="4" width="11.5703125" style="1"/>
    <col min="5" max="5" width="16.85546875" bestFit="1" customWidth="1"/>
    <col min="6" max="6" width="10" style="1" bestFit="1" customWidth="1"/>
    <col min="7" max="7" width="17.28515625" bestFit="1" customWidth="1"/>
    <col min="8" max="8" width="12.28515625" bestFit="1" customWidth="1"/>
    <col min="9" max="9" width="11.28515625" bestFit="1" customWidth="1"/>
    <col min="10" max="10" width="4.85546875" bestFit="1" customWidth="1"/>
    <col min="11" max="11" width="12.28515625" bestFit="1" customWidth="1"/>
    <col min="13" max="13" width="6.28515625" bestFit="1" customWidth="1"/>
    <col min="14" max="14" width="15" bestFit="1" customWidth="1"/>
    <col min="15" max="15" width="31.42578125" bestFit="1" customWidth="1"/>
    <col min="16" max="16" width="9.7109375" bestFit="1" customWidth="1"/>
    <col min="17" max="17" width="17.28515625" bestFit="1" customWidth="1"/>
    <col min="18" max="18" width="13.28515625" bestFit="1" customWidth="1"/>
    <col min="19" max="19" width="12.140625" bestFit="1" customWidth="1"/>
    <col min="20" max="20" width="4.85546875" bestFit="1" customWidth="1"/>
    <col min="21" max="21" width="15.140625" bestFit="1" customWidth="1"/>
    <col min="23" max="23" width="6.28515625" bestFit="1" customWidth="1"/>
    <col min="24" max="24" width="7.85546875" bestFit="1" customWidth="1"/>
    <col min="25" max="25" width="10.42578125" bestFit="1" customWidth="1"/>
    <col min="26" max="26" width="10" bestFit="1" customWidth="1"/>
    <col min="27" max="27" width="17.42578125" bestFit="1" customWidth="1"/>
    <col min="28" max="28" width="12.28515625" bestFit="1" customWidth="1"/>
    <col min="29" max="29" width="11.140625" bestFit="1" customWidth="1"/>
    <col min="30" max="30" width="4.85546875" bestFit="1" customWidth="1"/>
    <col min="31" max="31" width="14.85546875" bestFit="1" customWidth="1"/>
    <col min="33" max="33" width="6.28515625" bestFit="1" customWidth="1"/>
    <col min="34" max="34" width="13.28515625" bestFit="1" customWidth="1"/>
    <col min="35" max="35" width="10.28515625" bestFit="1" customWidth="1"/>
    <col min="36" max="36" width="9.7109375" bestFit="1" customWidth="1"/>
    <col min="37" max="37" width="17.28515625" bestFit="1" customWidth="1"/>
    <col min="38" max="38" width="13.28515625" bestFit="1" customWidth="1"/>
    <col min="39" max="39" width="12.28515625" bestFit="1" customWidth="1"/>
    <col min="40" max="40" width="4.85546875" bestFit="1" customWidth="1"/>
    <col min="41" max="41" width="14" bestFit="1" customWidth="1"/>
  </cols>
  <sheetData>
    <row r="3" spans="3:41" x14ac:dyDescent="0.25">
      <c r="C3" s="397" t="s">
        <v>246</v>
      </c>
      <c r="D3" s="397"/>
      <c r="E3" s="397"/>
      <c r="F3" s="397"/>
      <c r="G3" s="397"/>
      <c r="H3" s="397"/>
      <c r="I3" s="397"/>
      <c r="J3" s="397"/>
      <c r="K3" s="397"/>
      <c r="M3" s="397" t="s">
        <v>248</v>
      </c>
      <c r="N3" s="397"/>
      <c r="O3" s="397"/>
      <c r="P3" s="397"/>
      <c r="Q3" s="397"/>
      <c r="R3" s="397"/>
      <c r="S3" s="397"/>
      <c r="T3" s="397"/>
      <c r="U3" s="397"/>
      <c r="W3" s="397" t="s">
        <v>247</v>
      </c>
      <c r="X3" s="397"/>
      <c r="Y3" s="397"/>
      <c r="Z3" s="397"/>
      <c r="AA3" s="397"/>
      <c r="AB3" s="397"/>
      <c r="AC3" s="397"/>
      <c r="AD3" s="397"/>
      <c r="AE3" s="397"/>
      <c r="AG3" s="396" t="s">
        <v>253</v>
      </c>
      <c r="AH3" s="396"/>
      <c r="AI3" s="396"/>
      <c r="AJ3" s="396"/>
      <c r="AK3" s="396"/>
      <c r="AL3" s="396"/>
      <c r="AM3" s="396"/>
      <c r="AN3" s="396"/>
      <c r="AO3" s="396"/>
    </row>
    <row r="4" spans="3:41" x14ac:dyDescent="0.25">
      <c r="C4" s="2" t="s">
        <v>0</v>
      </c>
      <c r="D4" s="2" t="s">
        <v>1</v>
      </c>
      <c r="E4" s="2" t="s">
        <v>2</v>
      </c>
      <c r="F4" s="2" t="s">
        <v>3</v>
      </c>
      <c r="G4" s="4" t="s">
        <v>4</v>
      </c>
      <c r="H4" s="4" t="s">
        <v>8</v>
      </c>
      <c r="I4" s="5" t="s">
        <v>9</v>
      </c>
      <c r="J4" s="5" t="s">
        <v>10</v>
      </c>
      <c r="K4" s="5" t="s">
        <v>5</v>
      </c>
      <c r="M4" s="2" t="s">
        <v>0</v>
      </c>
      <c r="N4" s="2" t="s">
        <v>1</v>
      </c>
      <c r="O4" s="2" t="s">
        <v>2</v>
      </c>
      <c r="P4" s="2" t="s">
        <v>3</v>
      </c>
      <c r="Q4" s="4" t="s">
        <v>4</v>
      </c>
      <c r="R4" s="4" t="s">
        <v>8</v>
      </c>
      <c r="S4" s="5" t="s">
        <v>9</v>
      </c>
      <c r="T4" s="5" t="s">
        <v>10</v>
      </c>
      <c r="U4" s="5" t="s">
        <v>5</v>
      </c>
      <c r="W4" s="2" t="s">
        <v>0</v>
      </c>
      <c r="X4" s="2" t="s">
        <v>1</v>
      </c>
      <c r="Y4" s="2" t="s">
        <v>2</v>
      </c>
      <c r="Z4" s="2" t="s">
        <v>3</v>
      </c>
      <c r="AA4" s="4" t="s">
        <v>4</v>
      </c>
      <c r="AB4" s="4" t="s">
        <v>8</v>
      </c>
      <c r="AC4" s="5" t="s">
        <v>9</v>
      </c>
      <c r="AD4" s="5" t="s">
        <v>10</v>
      </c>
      <c r="AE4" s="5" t="s">
        <v>5</v>
      </c>
      <c r="AG4" s="2" t="s">
        <v>0</v>
      </c>
      <c r="AH4" s="2" t="s">
        <v>1</v>
      </c>
      <c r="AI4" s="2" t="s">
        <v>2</v>
      </c>
      <c r="AJ4" s="2" t="s">
        <v>3</v>
      </c>
      <c r="AK4" s="4" t="s">
        <v>4</v>
      </c>
      <c r="AL4" s="4" t="s">
        <v>8</v>
      </c>
      <c r="AM4" s="5" t="s">
        <v>9</v>
      </c>
      <c r="AN4" s="5" t="s">
        <v>10</v>
      </c>
      <c r="AO4" s="5" t="s">
        <v>5</v>
      </c>
    </row>
    <row r="5" spans="3:41" x14ac:dyDescent="0.25">
      <c r="C5" s="12">
        <v>45633</v>
      </c>
      <c r="D5" s="2" t="s">
        <v>53</v>
      </c>
      <c r="E5" s="10" t="s">
        <v>56</v>
      </c>
      <c r="F5" s="2">
        <v>30</v>
      </c>
      <c r="G5" s="11">
        <f>80972.22/F5</f>
        <v>2699.0740000000001</v>
      </c>
      <c r="H5" s="11">
        <f t="shared" ref="H5" si="0">F5*G5</f>
        <v>80972.22</v>
      </c>
      <c r="I5" s="11">
        <f t="shared" ref="I5" si="1">H5*0.08</f>
        <v>6477.7776000000003</v>
      </c>
      <c r="J5" s="11"/>
      <c r="K5" s="11">
        <f t="shared" ref="K5" si="2">SUM(H5:I5)-J5</f>
        <v>87449.997600000002</v>
      </c>
      <c r="M5" s="12">
        <v>45633</v>
      </c>
      <c r="N5" s="2" t="s">
        <v>92</v>
      </c>
      <c r="O5" s="10" t="s">
        <v>93</v>
      </c>
      <c r="P5" s="10">
        <v>1</v>
      </c>
      <c r="Q5" s="11">
        <v>150000</v>
      </c>
      <c r="R5" s="11">
        <f>P5*Q5</f>
        <v>150000</v>
      </c>
      <c r="S5" s="11">
        <f>R5*0.16</f>
        <v>24000</v>
      </c>
      <c r="T5" s="11"/>
      <c r="U5" s="11">
        <f>SUM(R5:S5)-T5</f>
        <v>174000</v>
      </c>
      <c r="W5" s="12">
        <v>45633</v>
      </c>
      <c r="X5" s="2" t="s">
        <v>95</v>
      </c>
      <c r="Y5" s="10" t="s">
        <v>96</v>
      </c>
      <c r="Z5" s="10">
        <v>1</v>
      </c>
      <c r="AA5" s="11">
        <f>26748.64/1.16</f>
        <v>23059.172413793105</v>
      </c>
      <c r="AB5" s="11">
        <f>Z5*AA5</f>
        <v>23059.172413793105</v>
      </c>
      <c r="AC5" s="11">
        <f>AB5*0.16</f>
        <v>3689.4675862068971</v>
      </c>
      <c r="AD5" s="11"/>
      <c r="AE5" s="11">
        <f>SUM(AB5:AC5)-AD5</f>
        <v>26748.640000000003</v>
      </c>
      <c r="AG5" s="12">
        <v>45633</v>
      </c>
      <c r="AH5" s="2" t="s">
        <v>87</v>
      </c>
      <c r="AI5" s="10"/>
      <c r="AJ5" s="10">
        <v>73</v>
      </c>
      <c r="AK5" s="11">
        <v>2150</v>
      </c>
      <c r="AL5" s="11">
        <f t="shared" ref="AL5:AL7" si="3">AJ5*AK5</f>
        <v>156950</v>
      </c>
      <c r="AM5" s="11">
        <f>AL5*0.16</f>
        <v>25112</v>
      </c>
      <c r="AN5" s="11"/>
      <c r="AO5" s="11">
        <f t="shared" ref="AO5:AO7" si="4">SUM(AL5:AM5)-AN5</f>
        <v>182062</v>
      </c>
    </row>
    <row r="6" spans="3:41" x14ac:dyDescent="0.25">
      <c r="C6" s="16">
        <v>45320</v>
      </c>
      <c r="D6" s="122" t="s">
        <v>249</v>
      </c>
      <c r="E6" s="13" t="s">
        <v>250</v>
      </c>
      <c r="F6" s="122">
        <v>7.5</v>
      </c>
      <c r="G6" s="17">
        <v>2546.3000000000002</v>
      </c>
      <c r="H6" s="17">
        <f t="shared" ref="H6" si="5">F6*G6</f>
        <v>19097.25</v>
      </c>
      <c r="I6" s="17">
        <f t="shared" ref="I6" si="6">H6*0.08</f>
        <v>1527.78</v>
      </c>
      <c r="J6" s="17"/>
      <c r="K6" s="17">
        <f t="shared" ref="K6" si="7">SUM(H6:I6)-J6</f>
        <v>20625.03</v>
      </c>
      <c r="M6" s="10"/>
      <c r="N6" s="10"/>
      <c r="O6" s="10"/>
      <c r="P6" s="10"/>
      <c r="Q6" s="10"/>
      <c r="R6" s="10"/>
      <c r="S6" s="10"/>
      <c r="T6" s="10"/>
      <c r="U6" s="10"/>
      <c r="W6" s="10"/>
      <c r="X6" s="10"/>
      <c r="Y6" s="10"/>
      <c r="Z6" s="10"/>
      <c r="AA6" s="10"/>
      <c r="AB6" s="10"/>
      <c r="AC6" s="10"/>
      <c r="AD6" s="10"/>
      <c r="AE6" s="10"/>
      <c r="AG6" s="12">
        <v>45633</v>
      </c>
      <c r="AH6" s="2" t="s">
        <v>88</v>
      </c>
      <c r="AI6" s="10" t="s">
        <v>89</v>
      </c>
      <c r="AJ6" s="10">
        <v>1</v>
      </c>
      <c r="AK6" s="11">
        <v>27000</v>
      </c>
      <c r="AL6" s="11">
        <f t="shared" si="3"/>
        <v>27000</v>
      </c>
      <c r="AM6" s="11">
        <f>AL6*0.16</f>
        <v>4320</v>
      </c>
      <c r="AN6" s="11"/>
      <c r="AO6" s="11">
        <f t="shared" si="4"/>
        <v>31320</v>
      </c>
    </row>
    <row r="7" spans="3:41" x14ac:dyDescent="0.25">
      <c r="C7" s="16">
        <v>45322</v>
      </c>
      <c r="D7" s="122" t="s">
        <v>249</v>
      </c>
      <c r="E7" s="13" t="s">
        <v>251</v>
      </c>
      <c r="F7" s="122">
        <v>7.5</v>
      </c>
      <c r="G7" s="17">
        <v>2546.3000000000002</v>
      </c>
      <c r="H7" s="17">
        <f t="shared" ref="H7" si="8">F7*G7</f>
        <v>19097.25</v>
      </c>
      <c r="I7" s="17">
        <f t="shared" ref="I7" si="9">H7*0.08</f>
        <v>1527.78</v>
      </c>
      <c r="J7" s="17"/>
      <c r="K7" s="17">
        <f t="shared" ref="K7" si="10">SUM(H7:I7)-J7</f>
        <v>20625.03</v>
      </c>
      <c r="M7" s="10"/>
      <c r="N7" s="10"/>
      <c r="O7" s="10"/>
      <c r="P7" s="10"/>
      <c r="Q7" s="10"/>
      <c r="R7" s="10"/>
      <c r="S7" s="10"/>
      <c r="T7" s="10"/>
      <c r="U7" s="10"/>
      <c r="W7" s="10"/>
      <c r="X7" s="10"/>
      <c r="Y7" s="10"/>
      <c r="Z7" s="10"/>
      <c r="AA7" s="10"/>
      <c r="AB7" s="10"/>
      <c r="AC7" s="10"/>
      <c r="AD7" s="10"/>
      <c r="AE7" s="10"/>
      <c r="AG7" s="12">
        <v>45633</v>
      </c>
      <c r="AH7" s="2" t="s">
        <v>90</v>
      </c>
      <c r="AI7" s="10" t="s">
        <v>91</v>
      </c>
      <c r="AJ7" s="10">
        <v>1</v>
      </c>
      <c r="AK7" s="11">
        <v>36000</v>
      </c>
      <c r="AL7" s="11">
        <f t="shared" si="3"/>
        <v>36000</v>
      </c>
      <c r="AM7" s="11">
        <f>AL7*0.08</f>
        <v>2880</v>
      </c>
      <c r="AN7" s="11"/>
      <c r="AO7" s="11">
        <f t="shared" si="4"/>
        <v>38880</v>
      </c>
    </row>
    <row r="8" spans="3:41" x14ac:dyDescent="0.25">
      <c r="C8" s="12">
        <v>45345</v>
      </c>
      <c r="D8" s="122" t="s">
        <v>249</v>
      </c>
      <c r="E8" s="10"/>
      <c r="F8" s="2">
        <v>1</v>
      </c>
      <c r="G8" s="11">
        <v>22775</v>
      </c>
      <c r="H8" s="17">
        <f t="shared" ref="H8:H11" si="11">F8*G8</f>
        <v>22775</v>
      </c>
      <c r="I8" s="17">
        <f t="shared" ref="I8:I11" si="12">H8*0.08</f>
        <v>1822</v>
      </c>
      <c r="J8" s="17"/>
      <c r="K8" s="17">
        <f t="shared" ref="K8:K11" si="13">SUM(H8:I8)-J8</f>
        <v>24597</v>
      </c>
      <c r="M8" s="10"/>
      <c r="N8" s="10"/>
      <c r="O8" s="10"/>
      <c r="P8" s="10"/>
      <c r="Q8" s="10"/>
      <c r="R8" s="10"/>
      <c r="S8" s="10"/>
      <c r="T8" s="10"/>
      <c r="U8" s="10"/>
      <c r="W8" s="10"/>
      <c r="X8" s="10"/>
      <c r="Y8" s="10"/>
      <c r="Z8" s="10"/>
      <c r="AA8" s="10"/>
      <c r="AB8" s="10"/>
      <c r="AC8" s="10"/>
      <c r="AD8" s="10"/>
      <c r="AE8" s="10"/>
      <c r="AG8" s="10"/>
      <c r="AH8" s="10"/>
      <c r="AI8" s="10"/>
      <c r="AJ8" s="10"/>
      <c r="AK8" s="10"/>
      <c r="AL8" s="10"/>
      <c r="AM8" s="10"/>
      <c r="AN8" s="10"/>
      <c r="AO8" s="10"/>
    </row>
    <row r="9" spans="3:41" x14ac:dyDescent="0.25">
      <c r="C9" s="10"/>
      <c r="D9" s="2"/>
      <c r="E9" s="10"/>
      <c r="F9" s="2"/>
      <c r="G9" s="11"/>
      <c r="H9" s="17">
        <f t="shared" si="11"/>
        <v>0</v>
      </c>
      <c r="I9" s="17">
        <f t="shared" si="12"/>
        <v>0</v>
      </c>
      <c r="J9" s="17"/>
      <c r="K9" s="17">
        <f t="shared" si="13"/>
        <v>0</v>
      </c>
      <c r="M9" s="10"/>
      <c r="N9" s="10"/>
      <c r="O9" s="10"/>
      <c r="P9" s="10"/>
      <c r="Q9" s="10"/>
      <c r="R9" s="10"/>
      <c r="S9" s="10"/>
      <c r="T9" s="10"/>
      <c r="U9" s="10"/>
      <c r="W9" s="10"/>
      <c r="X9" s="10"/>
      <c r="Y9" s="10"/>
      <c r="Z9" s="10"/>
      <c r="AA9" s="10"/>
      <c r="AB9" s="10"/>
      <c r="AC9" s="10"/>
      <c r="AD9" s="10"/>
      <c r="AE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3:41" x14ac:dyDescent="0.25">
      <c r="C10" s="10"/>
      <c r="D10" s="2"/>
      <c r="E10" s="10"/>
      <c r="F10" s="2"/>
      <c r="G10" s="11"/>
      <c r="H10" s="17">
        <f t="shared" si="11"/>
        <v>0</v>
      </c>
      <c r="I10" s="17">
        <f t="shared" si="12"/>
        <v>0</v>
      </c>
      <c r="J10" s="17"/>
      <c r="K10" s="17">
        <f t="shared" si="13"/>
        <v>0</v>
      </c>
      <c r="M10" s="10"/>
      <c r="N10" s="10"/>
      <c r="O10" s="10"/>
      <c r="P10" s="10"/>
      <c r="Q10" s="10"/>
      <c r="R10" s="10"/>
      <c r="S10" s="10"/>
      <c r="T10" s="10"/>
      <c r="U10" s="10"/>
      <c r="W10" s="10"/>
      <c r="X10" s="10"/>
      <c r="Y10" s="10"/>
      <c r="Z10" s="10"/>
      <c r="AA10" s="10"/>
      <c r="AB10" s="10"/>
      <c r="AC10" s="10"/>
      <c r="AD10" s="10"/>
      <c r="AE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3:41" x14ac:dyDescent="0.25">
      <c r="C11" s="10"/>
      <c r="D11" s="2"/>
      <c r="E11" s="10"/>
      <c r="F11" s="2"/>
      <c r="G11" s="11"/>
      <c r="H11" s="17">
        <f t="shared" si="11"/>
        <v>0</v>
      </c>
      <c r="I11" s="17">
        <f t="shared" si="12"/>
        <v>0</v>
      </c>
      <c r="J11" s="17"/>
      <c r="K11" s="17">
        <f t="shared" si="13"/>
        <v>0</v>
      </c>
      <c r="M11" s="10"/>
      <c r="N11" s="10"/>
      <c r="O11" s="10"/>
      <c r="P11" s="10"/>
      <c r="Q11" s="10"/>
      <c r="R11" s="10"/>
      <c r="S11" s="10"/>
      <c r="T11" s="10"/>
      <c r="U11" s="10"/>
      <c r="W11" s="10"/>
      <c r="X11" s="10"/>
      <c r="Y11" s="10"/>
      <c r="Z11" s="10"/>
      <c r="AA11" s="10"/>
      <c r="AB11" s="10"/>
      <c r="AC11" s="10"/>
      <c r="AD11" s="10"/>
      <c r="AE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3:41" x14ac:dyDescent="0.25">
      <c r="G12" s="6"/>
      <c r="H12" s="6"/>
      <c r="I12" s="6"/>
      <c r="J12" s="6"/>
      <c r="K12" s="17">
        <f>K5-K6-K7-K8-K9-K10-K11</f>
        <v>21602.937600000005</v>
      </c>
      <c r="U12" s="15">
        <f>U5-U6-U7-U8-U9-U10-U11</f>
        <v>174000</v>
      </c>
      <c r="AE12" s="15">
        <f>AE5-AE6-AE7-AE8-AE9-AE10-AE11</f>
        <v>26748.640000000003</v>
      </c>
      <c r="AO12" s="15">
        <f>SUM(AO5:AO11)</f>
        <v>252262</v>
      </c>
    </row>
    <row r="13" spans="3:41" x14ac:dyDescent="0.25">
      <c r="G13" s="6"/>
      <c r="H13" s="6"/>
      <c r="I13" s="6"/>
      <c r="J13" s="6"/>
      <c r="K13" s="398" t="s">
        <v>252</v>
      </c>
      <c r="U13" s="400" t="s">
        <v>252</v>
      </c>
      <c r="AE13" s="400" t="s">
        <v>252</v>
      </c>
    </row>
    <row r="14" spans="3:41" x14ac:dyDescent="0.25">
      <c r="G14" s="6"/>
      <c r="H14" s="6"/>
      <c r="I14" s="6"/>
      <c r="J14" s="6"/>
      <c r="K14" s="399"/>
      <c r="U14" s="401"/>
      <c r="AE14" s="401"/>
    </row>
    <row r="15" spans="3:41" x14ac:dyDescent="0.25">
      <c r="G15" s="6"/>
      <c r="H15" s="6"/>
      <c r="I15" s="6"/>
      <c r="J15" s="6"/>
      <c r="K15" s="6">
        <f>SUM(K6:K11)</f>
        <v>65847.06</v>
      </c>
    </row>
    <row r="16" spans="3:41" x14ac:dyDescent="0.25">
      <c r="G16" s="6"/>
      <c r="H16" s="6"/>
      <c r="I16" s="6"/>
      <c r="J16" s="6"/>
      <c r="K16" s="6"/>
    </row>
    <row r="17" spans="7:11" x14ac:dyDescent="0.25">
      <c r="G17" s="6"/>
      <c r="H17" s="6"/>
      <c r="I17" s="6"/>
      <c r="J17" s="6"/>
      <c r="K17" s="6"/>
    </row>
    <row r="18" spans="7:11" x14ac:dyDescent="0.25">
      <c r="G18" s="6"/>
      <c r="H18" s="6"/>
      <c r="I18" s="6"/>
      <c r="J18" s="6"/>
      <c r="K18" s="6"/>
    </row>
    <row r="19" spans="7:11" x14ac:dyDescent="0.25">
      <c r="G19" s="6"/>
      <c r="H19" s="6"/>
      <c r="I19" s="6"/>
      <c r="J19" s="6"/>
      <c r="K19" s="6"/>
    </row>
    <row r="20" spans="7:11" x14ac:dyDescent="0.25">
      <c r="G20" s="6"/>
      <c r="H20" s="6"/>
      <c r="I20" s="6"/>
      <c r="J20" s="6"/>
      <c r="K20" s="6"/>
    </row>
    <row r="21" spans="7:11" x14ac:dyDescent="0.25">
      <c r="G21" s="6"/>
      <c r="H21" s="6"/>
      <c r="I21" s="6"/>
      <c r="J21" s="6"/>
      <c r="K21" s="6"/>
    </row>
    <row r="22" spans="7:11" x14ac:dyDescent="0.25">
      <c r="G22" s="6"/>
      <c r="H22" s="6"/>
      <c r="I22" s="6"/>
      <c r="J22" s="6"/>
      <c r="K22" s="6"/>
    </row>
    <row r="23" spans="7:11" x14ac:dyDescent="0.25">
      <c r="G23" s="6"/>
      <c r="H23" s="6"/>
      <c r="I23" s="6"/>
      <c r="J23" s="6"/>
      <c r="K23" s="6"/>
    </row>
    <row r="24" spans="7:11" x14ac:dyDescent="0.25">
      <c r="G24" s="6"/>
      <c r="H24" s="6"/>
      <c r="I24" s="6"/>
      <c r="J24" s="6"/>
      <c r="K24" s="6"/>
    </row>
  </sheetData>
  <mergeCells count="7">
    <mergeCell ref="AG3:AO3"/>
    <mergeCell ref="C3:K3"/>
    <mergeCell ref="M3:U3"/>
    <mergeCell ref="W3:AE3"/>
    <mergeCell ref="K13:K14"/>
    <mergeCell ref="U13:U14"/>
    <mergeCell ref="AE13:AE14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0AA0-29E4-4755-B56E-844CC3E137FF}">
  <dimension ref="A2:AA24"/>
  <sheetViews>
    <sheetView topLeftCell="M1" workbookViewId="0">
      <selection activeCell="Y26" sqref="Y26"/>
    </sheetView>
  </sheetViews>
  <sheetFormatPr baseColWidth="10" defaultRowHeight="15" x14ac:dyDescent="0.25"/>
  <cols>
    <col min="4" max="4" width="7.140625" bestFit="1" customWidth="1"/>
    <col min="5" max="6" width="23.28515625" customWidth="1"/>
    <col min="7" max="7" width="4" bestFit="1" customWidth="1"/>
    <col min="8" max="9" width="10.28515625" bestFit="1" customWidth="1"/>
    <col min="10" max="10" width="8.85546875" bestFit="1" customWidth="1"/>
    <col min="11" max="11" width="7.85546875" bestFit="1" customWidth="1"/>
    <col min="12" max="12" width="11.28515625" bestFit="1" customWidth="1"/>
    <col min="19" max="19" width="14.140625" bestFit="1" customWidth="1"/>
  </cols>
  <sheetData>
    <row r="2" spans="1:27" x14ac:dyDescent="0.25">
      <c r="U2" s="10" t="s">
        <v>360</v>
      </c>
      <c r="V2" s="10" t="s">
        <v>501</v>
      </c>
      <c r="W2" s="10" t="s">
        <v>502</v>
      </c>
      <c r="X2" s="10" t="s">
        <v>9</v>
      </c>
      <c r="Y2" s="10" t="s">
        <v>10</v>
      </c>
      <c r="Z2" s="10" t="s">
        <v>5</v>
      </c>
    </row>
    <row r="3" spans="1:27" x14ac:dyDescent="0.25">
      <c r="A3" t="s">
        <v>492</v>
      </c>
      <c r="B3" s="6">
        <v>22000</v>
      </c>
      <c r="D3" s="247">
        <v>45342</v>
      </c>
      <c r="E3" s="248" t="s">
        <v>103</v>
      </c>
      <c r="F3" s="248" t="s">
        <v>469</v>
      </c>
      <c r="G3" s="248">
        <v>30</v>
      </c>
      <c r="H3" s="249">
        <v>75</v>
      </c>
      <c r="I3" s="249">
        <f t="shared" ref="I3:I18" si="0">G3*H3</f>
        <v>2250</v>
      </c>
      <c r="J3" s="249">
        <f t="shared" ref="J3:J18" si="1">I3*0.08</f>
        <v>180</v>
      </c>
      <c r="K3" s="249"/>
      <c r="L3" s="249">
        <f t="shared" ref="L3:L18" si="2">SUM(I3:J3)-K3</f>
        <v>2430</v>
      </c>
      <c r="Q3" t="s">
        <v>498</v>
      </c>
      <c r="R3">
        <v>1400</v>
      </c>
      <c r="T3" s="11" t="s">
        <v>117</v>
      </c>
      <c r="U3" s="282">
        <v>26000</v>
      </c>
      <c r="V3" s="11">
        <f>U3*0.1</f>
        <v>2600</v>
      </c>
      <c r="W3" s="11">
        <f>SUM(U3:V3)</f>
        <v>28600</v>
      </c>
      <c r="X3" s="11">
        <f t="shared" ref="X3:X9" si="3">W3*0.08</f>
        <v>2288</v>
      </c>
      <c r="Y3" s="11">
        <f t="shared" ref="Y3:Y9" si="4">W3*1.25%</f>
        <v>357.5</v>
      </c>
      <c r="Z3" s="11">
        <f t="shared" ref="Z3:Z10" si="5">W3+X3-Y3</f>
        <v>30530.5</v>
      </c>
      <c r="AA3" s="6">
        <f>SUM(Z3:Z9)</f>
        <v>77696.208333333343</v>
      </c>
    </row>
    <row r="4" spans="1:27" x14ac:dyDescent="0.25">
      <c r="A4" t="s">
        <v>493</v>
      </c>
      <c r="B4" s="9">
        <f>L24</f>
        <v>21823.678800000002</v>
      </c>
      <c r="D4" s="220">
        <v>45342</v>
      </c>
      <c r="E4" s="221" t="s">
        <v>470</v>
      </c>
      <c r="F4" s="221" t="s">
        <v>70</v>
      </c>
      <c r="G4" s="221">
        <v>4</v>
      </c>
      <c r="H4" s="222">
        <v>282.42</v>
      </c>
      <c r="I4" s="222">
        <f t="shared" si="0"/>
        <v>1129.68</v>
      </c>
      <c r="J4" s="222">
        <f t="shared" si="1"/>
        <v>90.374400000000009</v>
      </c>
      <c r="K4" s="222"/>
      <c r="L4" s="222">
        <f t="shared" si="2"/>
        <v>1220.0544</v>
      </c>
      <c r="Q4" t="s">
        <v>117</v>
      </c>
      <c r="R4">
        <v>4000</v>
      </c>
      <c r="T4" s="11" t="s">
        <v>255</v>
      </c>
      <c r="U4" s="282">
        <v>2000</v>
      </c>
      <c r="V4" s="11">
        <f t="shared" ref="V4:V9" si="6">U4*0.1</f>
        <v>200</v>
      </c>
      <c r="W4" s="11">
        <f t="shared" ref="W4:W9" si="7">SUM(U4:V4)</f>
        <v>2200</v>
      </c>
      <c r="X4" s="11">
        <f t="shared" si="3"/>
        <v>176</v>
      </c>
      <c r="Y4" s="11">
        <f t="shared" si="4"/>
        <v>27.5</v>
      </c>
      <c r="Z4" s="11">
        <f t="shared" si="5"/>
        <v>2348.5</v>
      </c>
      <c r="AA4" s="6"/>
    </row>
    <row r="5" spans="1:27" x14ac:dyDescent="0.25">
      <c r="A5" t="s">
        <v>494</v>
      </c>
      <c r="B5" s="9">
        <f>B3-B4</f>
        <v>176.3211999999985</v>
      </c>
      <c r="D5" s="164">
        <v>45342</v>
      </c>
      <c r="E5" s="165" t="s">
        <v>471</v>
      </c>
      <c r="F5" s="165" t="s">
        <v>472</v>
      </c>
      <c r="G5" s="165">
        <v>90</v>
      </c>
      <c r="H5" s="166">
        <f>27/1.08</f>
        <v>25</v>
      </c>
      <c r="I5" s="166">
        <f t="shared" si="0"/>
        <v>2250</v>
      </c>
      <c r="J5" s="166">
        <f t="shared" si="1"/>
        <v>180</v>
      </c>
      <c r="K5" s="166"/>
      <c r="L5" s="166">
        <f t="shared" si="2"/>
        <v>2430</v>
      </c>
      <c r="Q5" t="s">
        <v>499</v>
      </c>
      <c r="R5">
        <f>5700*3</f>
        <v>17100</v>
      </c>
      <c r="T5" s="11" t="s">
        <v>105</v>
      </c>
      <c r="U5" s="11">
        <f>3500/6*(2)</f>
        <v>1166.6666666666667</v>
      </c>
      <c r="V5" s="11">
        <f t="shared" si="6"/>
        <v>116.66666666666669</v>
      </c>
      <c r="W5" s="11">
        <f t="shared" si="7"/>
        <v>1283.3333333333335</v>
      </c>
      <c r="X5" s="11">
        <f t="shared" si="3"/>
        <v>102.66666666666669</v>
      </c>
      <c r="Y5" s="11">
        <f t="shared" si="4"/>
        <v>16.041666666666668</v>
      </c>
      <c r="Z5" s="11">
        <f t="shared" si="5"/>
        <v>1369.9583333333335</v>
      </c>
      <c r="AA5" s="6"/>
    </row>
    <row r="6" spans="1:27" x14ac:dyDescent="0.25">
      <c r="D6" s="247">
        <v>45343</v>
      </c>
      <c r="E6" s="248" t="s">
        <v>476</v>
      </c>
      <c r="F6" s="248" t="s">
        <v>475</v>
      </c>
      <c r="G6" s="248">
        <v>5</v>
      </c>
      <c r="H6" s="249">
        <v>391.3</v>
      </c>
      <c r="I6" s="249">
        <f t="shared" si="0"/>
        <v>1956.5</v>
      </c>
      <c r="J6" s="249">
        <f t="shared" si="1"/>
        <v>156.52000000000001</v>
      </c>
      <c r="K6" s="249"/>
      <c r="L6" s="249">
        <f t="shared" si="2"/>
        <v>2113.02</v>
      </c>
      <c r="Q6" t="s">
        <v>500</v>
      </c>
      <c r="R6">
        <v>3500</v>
      </c>
      <c r="S6" t="s">
        <v>508</v>
      </c>
      <c r="T6" s="11" t="s">
        <v>489</v>
      </c>
      <c r="U6" s="11">
        <v>5000</v>
      </c>
      <c r="V6" s="11">
        <f t="shared" si="6"/>
        <v>500</v>
      </c>
      <c r="W6" s="11">
        <f t="shared" si="7"/>
        <v>5500</v>
      </c>
      <c r="X6" s="11">
        <f t="shared" si="3"/>
        <v>440</v>
      </c>
      <c r="Y6" s="11">
        <f t="shared" si="4"/>
        <v>68.75</v>
      </c>
      <c r="Z6" s="11">
        <f t="shared" si="5"/>
        <v>5871.25</v>
      </c>
      <c r="AA6" s="6"/>
    </row>
    <row r="7" spans="1:27" x14ac:dyDescent="0.25">
      <c r="D7" s="247">
        <v>45343</v>
      </c>
      <c r="E7" s="248" t="s">
        <v>476</v>
      </c>
      <c r="F7" s="248" t="s">
        <v>474</v>
      </c>
      <c r="G7" s="248">
        <v>2</v>
      </c>
      <c r="H7" s="249">
        <v>514.20000000000005</v>
      </c>
      <c r="I7" s="249">
        <f t="shared" si="0"/>
        <v>1028.4000000000001</v>
      </c>
      <c r="J7" s="249">
        <f t="shared" si="1"/>
        <v>82.272000000000006</v>
      </c>
      <c r="K7" s="249"/>
      <c r="L7" s="249">
        <f t="shared" si="2"/>
        <v>1110.672</v>
      </c>
      <c r="R7">
        <f>SUM(R3:R6)</f>
        <v>26000</v>
      </c>
      <c r="T7" s="11" t="s">
        <v>229</v>
      </c>
      <c r="U7" s="282">
        <v>7000</v>
      </c>
      <c r="V7" s="11">
        <f t="shared" si="6"/>
        <v>700</v>
      </c>
      <c r="W7" s="11">
        <f t="shared" si="7"/>
        <v>7700</v>
      </c>
      <c r="X7" s="11">
        <f t="shared" si="3"/>
        <v>616</v>
      </c>
      <c r="Y7" s="11">
        <f t="shared" si="4"/>
        <v>96.25</v>
      </c>
      <c r="Z7" s="11">
        <f t="shared" si="5"/>
        <v>8219.75</v>
      </c>
      <c r="AA7" s="6"/>
    </row>
    <row r="8" spans="1:27" x14ac:dyDescent="0.25">
      <c r="D8" s="253">
        <v>45343</v>
      </c>
      <c r="E8" s="254" t="s">
        <v>477</v>
      </c>
      <c r="F8" s="254" t="s">
        <v>479</v>
      </c>
      <c r="G8" s="254">
        <v>15</v>
      </c>
      <c r="H8" s="255">
        <v>127.23</v>
      </c>
      <c r="I8" s="255">
        <f t="shared" si="0"/>
        <v>1908.45</v>
      </c>
      <c r="J8" s="255">
        <f t="shared" si="1"/>
        <v>152.67600000000002</v>
      </c>
      <c r="K8" s="255"/>
      <c r="L8" s="255">
        <f t="shared" si="2"/>
        <v>2061.1260000000002</v>
      </c>
      <c r="T8" s="11" t="s">
        <v>15</v>
      </c>
      <c r="U8" s="11">
        <v>10000</v>
      </c>
      <c r="V8" s="11">
        <f t="shared" si="6"/>
        <v>1000</v>
      </c>
      <c r="W8" s="11">
        <f t="shared" si="7"/>
        <v>11000</v>
      </c>
      <c r="X8" s="11">
        <f t="shared" si="3"/>
        <v>880</v>
      </c>
      <c r="Y8" s="11">
        <f t="shared" si="4"/>
        <v>137.5</v>
      </c>
      <c r="Z8" s="11">
        <f t="shared" si="5"/>
        <v>11742.5</v>
      </c>
      <c r="AA8" s="6"/>
    </row>
    <row r="9" spans="1:27" x14ac:dyDescent="0.25">
      <c r="D9" s="253">
        <v>45343</v>
      </c>
      <c r="E9" s="254" t="s">
        <v>477</v>
      </c>
      <c r="F9" s="256" t="s">
        <v>478</v>
      </c>
      <c r="G9" s="256">
        <v>5</v>
      </c>
      <c r="H9" s="257">
        <v>104.65</v>
      </c>
      <c r="I9" s="257">
        <f t="shared" si="0"/>
        <v>523.25</v>
      </c>
      <c r="J9" s="257">
        <f t="shared" si="1"/>
        <v>41.86</v>
      </c>
      <c r="K9" s="257"/>
      <c r="L9" s="257">
        <f t="shared" si="2"/>
        <v>565.11</v>
      </c>
      <c r="T9" s="6" t="s">
        <v>374</v>
      </c>
      <c r="U9" s="11">
        <v>15000</v>
      </c>
      <c r="V9" s="11">
        <f t="shared" si="6"/>
        <v>1500</v>
      </c>
      <c r="W9" s="11">
        <f t="shared" si="7"/>
        <v>16500</v>
      </c>
      <c r="X9" s="11">
        <f t="shared" si="3"/>
        <v>1320</v>
      </c>
      <c r="Y9" s="11">
        <f t="shared" si="4"/>
        <v>206.25</v>
      </c>
      <c r="Z9" s="11">
        <f t="shared" si="5"/>
        <v>17613.75</v>
      </c>
      <c r="AA9" s="6"/>
    </row>
    <row r="10" spans="1:27" x14ac:dyDescent="0.25">
      <c r="D10" s="253">
        <v>45343</v>
      </c>
      <c r="E10" s="254" t="s">
        <v>477</v>
      </c>
      <c r="F10" s="256" t="s">
        <v>480</v>
      </c>
      <c r="G10" s="256">
        <v>4</v>
      </c>
      <c r="H10" s="257">
        <v>174.64</v>
      </c>
      <c r="I10" s="257">
        <f t="shared" si="0"/>
        <v>698.56</v>
      </c>
      <c r="J10" s="257">
        <f t="shared" si="1"/>
        <v>55.884799999999998</v>
      </c>
      <c r="K10" s="257"/>
      <c r="L10" s="257">
        <f t="shared" si="2"/>
        <v>754.44479999999999</v>
      </c>
      <c r="T10" s="6"/>
      <c r="U10" s="6">
        <f>SUM(U3:U9)</f>
        <v>66166.666666666672</v>
      </c>
      <c r="V10" s="6">
        <f>SUM(V3:V9)</f>
        <v>6616.6666666666661</v>
      </c>
      <c r="W10" s="6">
        <f t="shared" ref="W10:Y10" si="8">SUM(W3:W9)</f>
        <v>72783.333333333328</v>
      </c>
      <c r="X10" s="6">
        <f t="shared" si="8"/>
        <v>5822.6666666666661</v>
      </c>
      <c r="Y10" s="6">
        <f t="shared" si="8"/>
        <v>909.79166666666674</v>
      </c>
      <c r="Z10" s="6">
        <f t="shared" si="5"/>
        <v>77696.208333333328</v>
      </c>
      <c r="AA10" s="6"/>
    </row>
    <row r="11" spans="1:27" x14ac:dyDescent="0.25">
      <c r="D11" s="253">
        <v>45343</v>
      </c>
      <c r="E11" s="254" t="s">
        <v>477</v>
      </c>
      <c r="F11" s="256" t="s">
        <v>481</v>
      </c>
      <c r="G11" s="256">
        <v>1</v>
      </c>
      <c r="H11" s="257">
        <v>159.63999999999999</v>
      </c>
      <c r="I11" s="257">
        <f t="shared" si="0"/>
        <v>159.63999999999999</v>
      </c>
      <c r="J11" s="257">
        <f t="shared" si="1"/>
        <v>12.771199999999999</v>
      </c>
      <c r="K11" s="257"/>
      <c r="L11" s="257">
        <f t="shared" si="2"/>
        <v>172.41119999999998</v>
      </c>
    </row>
    <row r="12" spans="1:27" x14ac:dyDescent="0.25">
      <c r="D12" s="253">
        <v>45343</v>
      </c>
      <c r="E12" s="254" t="s">
        <v>477</v>
      </c>
      <c r="F12" s="256" t="s">
        <v>482</v>
      </c>
      <c r="G12" s="256">
        <v>1</v>
      </c>
      <c r="H12" s="257">
        <v>198.88</v>
      </c>
      <c r="I12" s="257">
        <f t="shared" si="0"/>
        <v>198.88</v>
      </c>
      <c r="J12" s="257">
        <f t="shared" si="1"/>
        <v>15.910399999999999</v>
      </c>
      <c r="K12" s="257"/>
      <c r="L12" s="257">
        <f t="shared" si="2"/>
        <v>214.79040000000001</v>
      </c>
      <c r="T12">
        <f>865*4/17</f>
        <v>203.52941176470588</v>
      </c>
    </row>
    <row r="13" spans="1:27" x14ac:dyDescent="0.25">
      <c r="D13" s="253">
        <v>45343</v>
      </c>
      <c r="E13" s="254" t="s">
        <v>477</v>
      </c>
      <c r="F13" s="256" t="s">
        <v>483</v>
      </c>
      <c r="G13" s="256">
        <v>1</v>
      </c>
      <c r="H13" s="257">
        <v>196.02</v>
      </c>
      <c r="I13" s="257">
        <f t="shared" si="0"/>
        <v>196.02</v>
      </c>
      <c r="J13" s="257">
        <f t="shared" si="1"/>
        <v>15.681600000000001</v>
      </c>
      <c r="K13" s="257"/>
      <c r="L13" s="257">
        <f t="shared" si="2"/>
        <v>211.70160000000001</v>
      </c>
    </row>
    <row r="14" spans="1:27" x14ac:dyDescent="0.25">
      <c r="D14" s="253">
        <v>45343</v>
      </c>
      <c r="E14" s="254" t="s">
        <v>477</v>
      </c>
      <c r="F14" s="256" t="s">
        <v>484</v>
      </c>
      <c r="G14" s="256">
        <v>1</v>
      </c>
      <c r="H14" s="257">
        <v>163.44</v>
      </c>
      <c r="I14" s="257">
        <f t="shared" si="0"/>
        <v>163.44</v>
      </c>
      <c r="J14" s="257">
        <f t="shared" si="1"/>
        <v>13.075200000000001</v>
      </c>
      <c r="K14" s="257"/>
      <c r="L14" s="257">
        <f t="shared" si="2"/>
        <v>176.51519999999999</v>
      </c>
      <c r="N14">
        <v>3500</v>
      </c>
    </row>
    <row r="15" spans="1:27" x14ac:dyDescent="0.25">
      <c r="D15" s="253">
        <v>45343</v>
      </c>
      <c r="E15" s="254" t="s">
        <v>477</v>
      </c>
      <c r="F15" s="256" t="s">
        <v>478</v>
      </c>
      <c r="G15" s="256">
        <v>2</v>
      </c>
      <c r="H15" s="257">
        <v>104.65</v>
      </c>
      <c r="I15" s="257">
        <f t="shared" si="0"/>
        <v>209.3</v>
      </c>
      <c r="J15" s="257">
        <f t="shared" si="1"/>
        <v>16.744</v>
      </c>
      <c r="K15" s="257"/>
      <c r="L15" s="257">
        <f t="shared" si="2"/>
        <v>226.04400000000001</v>
      </c>
      <c r="N15">
        <v>5700</v>
      </c>
    </row>
    <row r="16" spans="1:27" x14ac:dyDescent="0.25">
      <c r="D16" s="253">
        <v>45343</v>
      </c>
      <c r="E16" s="254" t="s">
        <v>477</v>
      </c>
      <c r="F16" s="256" t="s">
        <v>479</v>
      </c>
      <c r="G16" s="256">
        <v>10</v>
      </c>
      <c r="H16" s="257">
        <v>127.23</v>
      </c>
      <c r="I16" s="257">
        <f t="shared" si="0"/>
        <v>1272.3</v>
      </c>
      <c r="J16" s="257">
        <f t="shared" si="1"/>
        <v>101.78399999999999</v>
      </c>
      <c r="K16" s="257"/>
      <c r="L16" s="257">
        <f t="shared" si="2"/>
        <v>1374.0839999999998</v>
      </c>
      <c r="T16" s="11" t="s">
        <v>117</v>
      </c>
      <c r="U16" s="282">
        <v>26000</v>
      </c>
    </row>
    <row r="17" spans="4:22" x14ac:dyDescent="0.25">
      <c r="D17" s="253">
        <v>45343</v>
      </c>
      <c r="E17" s="254" t="s">
        <v>477</v>
      </c>
      <c r="F17" s="256" t="s">
        <v>485</v>
      </c>
      <c r="G17" s="256">
        <v>1.5</v>
      </c>
      <c r="H17" s="257">
        <v>164.12</v>
      </c>
      <c r="I17" s="257">
        <f t="shared" si="0"/>
        <v>246.18</v>
      </c>
      <c r="J17" s="257">
        <f t="shared" si="1"/>
        <v>19.694400000000002</v>
      </c>
      <c r="K17" s="257"/>
      <c r="L17" s="257">
        <f t="shared" si="2"/>
        <v>265.87440000000004</v>
      </c>
      <c r="T17" s="11" t="s">
        <v>255</v>
      </c>
      <c r="U17" s="282">
        <v>2000</v>
      </c>
    </row>
    <row r="18" spans="4:22" x14ac:dyDescent="0.25">
      <c r="D18" s="253">
        <v>45343</v>
      </c>
      <c r="E18" s="254" t="s">
        <v>477</v>
      </c>
      <c r="F18" s="256" t="s">
        <v>486</v>
      </c>
      <c r="G18" s="256">
        <v>1</v>
      </c>
      <c r="H18" s="257">
        <v>360.41</v>
      </c>
      <c r="I18" s="257">
        <f t="shared" si="0"/>
        <v>360.41</v>
      </c>
      <c r="J18" s="257">
        <f t="shared" si="1"/>
        <v>28.832800000000002</v>
      </c>
      <c r="K18" s="257"/>
      <c r="L18" s="257">
        <f t="shared" si="2"/>
        <v>389.24280000000005</v>
      </c>
      <c r="T18" s="11" t="s">
        <v>105</v>
      </c>
      <c r="U18" s="11">
        <v>5000</v>
      </c>
    </row>
    <row r="19" spans="4:22" x14ac:dyDescent="0.25">
      <c r="D19" s="267">
        <v>45343</v>
      </c>
      <c r="E19" s="256" t="s">
        <v>489</v>
      </c>
      <c r="F19" s="256" t="s">
        <v>490</v>
      </c>
      <c r="G19" s="256">
        <v>1</v>
      </c>
      <c r="H19" s="268">
        <v>4156.1000000000004</v>
      </c>
      <c r="I19" s="268">
        <f>H19*G19</f>
        <v>4156.1000000000004</v>
      </c>
      <c r="J19" s="268">
        <f>I19*0.08</f>
        <v>332.48800000000006</v>
      </c>
      <c r="K19" s="268"/>
      <c r="L19" s="268">
        <f>I19+J19-K19</f>
        <v>4488.5880000000006</v>
      </c>
      <c r="T19" s="11" t="s">
        <v>489</v>
      </c>
      <c r="U19" s="11">
        <v>6000</v>
      </c>
    </row>
    <row r="20" spans="4:22" x14ac:dyDescent="0.25">
      <c r="D20" s="267">
        <v>45433</v>
      </c>
      <c r="E20" s="256" t="s">
        <v>489</v>
      </c>
      <c r="F20" s="256" t="s">
        <v>491</v>
      </c>
      <c r="G20" s="256">
        <v>1</v>
      </c>
      <c r="H20" s="268">
        <v>1500</v>
      </c>
      <c r="I20" s="268">
        <f>H20*G20</f>
        <v>1500</v>
      </c>
      <c r="J20" s="268">
        <f>I20*0.08</f>
        <v>120</v>
      </c>
      <c r="K20" s="268"/>
      <c r="L20" s="268">
        <f>I20+J20-K20</f>
        <v>1620</v>
      </c>
      <c r="T20" s="11" t="s">
        <v>229</v>
      </c>
      <c r="U20" s="282">
        <v>7000</v>
      </c>
    </row>
    <row r="21" spans="4:22" x14ac:dyDescent="0.25">
      <c r="T21" s="10"/>
      <c r="U21" s="14">
        <f>SUM(U16:U20)</f>
        <v>46000</v>
      </c>
      <c r="V21" s="9">
        <f>U10-U21</f>
        <v>20166.666666666672</v>
      </c>
    </row>
    <row r="22" spans="4:22" x14ac:dyDescent="0.25">
      <c r="T22" s="11" t="s">
        <v>15</v>
      </c>
      <c r="U22" s="11">
        <v>10000</v>
      </c>
    </row>
    <row r="23" spans="4:22" x14ac:dyDescent="0.25">
      <c r="T23" s="11" t="s">
        <v>374</v>
      </c>
      <c r="U23" s="11">
        <v>10166.67</v>
      </c>
    </row>
    <row r="24" spans="4:22" x14ac:dyDescent="0.25">
      <c r="L24" s="9">
        <f>SUM(L3:L23)</f>
        <v>21823.678800000002</v>
      </c>
      <c r="U24" s="14">
        <f>SUM(U21:U23)</f>
        <v>66166.67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97CC-DE02-450C-A19E-28D4CDC2F135}">
  <dimension ref="B2:U61"/>
  <sheetViews>
    <sheetView topLeftCell="A37" workbookViewId="0">
      <selection activeCell="E64" sqref="E64"/>
    </sheetView>
  </sheetViews>
  <sheetFormatPr baseColWidth="10" defaultRowHeight="15" x14ac:dyDescent="0.25"/>
  <cols>
    <col min="3" max="3" width="14.7109375" bestFit="1" customWidth="1"/>
    <col min="4" max="4" width="22.85546875" style="1" bestFit="1" customWidth="1"/>
    <col min="5" max="5" width="11.5703125" style="6"/>
    <col min="6" max="7" width="12.28515625" style="6" bestFit="1" customWidth="1"/>
    <col min="8" max="8" width="12.28515625" style="6" customWidth="1"/>
    <col min="9" max="9" width="23.140625" style="65" bestFit="1" customWidth="1"/>
    <col min="10" max="10" width="12.28515625" style="6" customWidth="1"/>
    <col min="11" max="11" width="13.7109375" style="6" bestFit="1" customWidth="1"/>
    <col min="12" max="13" width="12.28515625" style="6" customWidth="1"/>
    <col min="15" max="18" width="0" style="6" hidden="1" customWidth="1"/>
    <col min="19" max="20" width="0" hidden="1" customWidth="1"/>
    <col min="21" max="21" width="15.85546875" hidden="1" customWidth="1"/>
    <col min="22" max="22" width="11.28515625" bestFit="1" customWidth="1"/>
    <col min="23" max="23" width="11.140625" bestFit="1" customWidth="1"/>
    <col min="24" max="24" width="11.28515625" bestFit="1" customWidth="1"/>
    <col min="25" max="25" width="10.28515625" bestFit="1" customWidth="1"/>
    <col min="26" max="26" width="8.85546875" bestFit="1" customWidth="1"/>
    <col min="27" max="27" width="15.85546875" bestFit="1" customWidth="1"/>
  </cols>
  <sheetData>
    <row r="2" spans="2:21" x14ac:dyDescent="0.25">
      <c r="G2" s="4" t="s">
        <v>375</v>
      </c>
      <c r="H2" s="44"/>
      <c r="J2" s="44"/>
      <c r="K2" s="44"/>
      <c r="L2" s="44"/>
      <c r="M2" s="44"/>
    </row>
    <row r="3" spans="2:21" s="1" customFormat="1" x14ac:dyDescent="0.25">
      <c r="B3" s="2" t="s">
        <v>371</v>
      </c>
      <c r="C3" s="2" t="s">
        <v>372</v>
      </c>
      <c r="D3" s="2" t="s">
        <v>316</v>
      </c>
      <c r="E3" s="4" t="s">
        <v>373</v>
      </c>
      <c r="F3" s="4" t="s">
        <v>374</v>
      </c>
      <c r="G3" s="4">
        <v>510761.54</v>
      </c>
      <c r="H3" s="44"/>
      <c r="I3" s="142" t="s">
        <v>377</v>
      </c>
      <c r="J3" s="4">
        <f>F4+F12</f>
        <v>27500</v>
      </c>
      <c r="K3" s="44"/>
      <c r="L3" s="44"/>
      <c r="M3" s="44"/>
      <c r="P3" s="4" t="s">
        <v>322</v>
      </c>
      <c r="Q3" s="99" t="s">
        <v>323</v>
      </c>
      <c r="R3" s="4" t="s">
        <v>8</v>
      </c>
      <c r="S3" s="4" t="s">
        <v>9</v>
      </c>
      <c r="T3" s="4" t="s">
        <v>10</v>
      </c>
      <c r="U3" s="4" t="s">
        <v>321</v>
      </c>
    </row>
    <row r="4" spans="2:21" x14ac:dyDescent="0.25">
      <c r="B4" s="16">
        <v>45338</v>
      </c>
      <c r="C4" s="13" t="s">
        <v>376</v>
      </c>
      <c r="D4" s="122" t="s">
        <v>377</v>
      </c>
      <c r="E4" s="17"/>
      <c r="F4" s="17">
        <v>17500</v>
      </c>
      <c r="G4" s="11">
        <f>G3+E4-F4</f>
        <v>493261.54</v>
      </c>
      <c r="I4" s="143" t="s">
        <v>117</v>
      </c>
      <c r="J4" s="11">
        <f>F9+F17+F23+F29+F35+F41+F50</f>
        <v>193986.09999999998</v>
      </c>
      <c r="O4" t="s">
        <v>117</v>
      </c>
      <c r="P4" s="101">
        <v>23600</v>
      </c>
      <c r="Q4" s="101">
        <f>0.1*P4</f>
        <v>2360</v>
      </c>
      <c r="R4" s="101">
        <f>P4+Q4</f>
        <v>25960</v>
      </c>
      <c r="S4" s="101">
        <f>R4*0.08</f>
        <v>2076.8000000000002</v>
      </c>
      <c r="T4" s="101">
        <f>R4*1.25%</f>
        <v>324.5</v>
      </c>
      <c r="U4" s="53">
        <f>R4+S4-T4</f>
        <v>27712.3</v>
      </c>
    </row>
    <row r="5" spans="2:21" x14ac:dyDescent="0.25">
      <c r="B5" s="123">
        <v>45338</v>
      </c>
      <c r="C5" s="124" t="s">
        <v>378</v>
      </c>
      <c r="D5" s="125" t="s">
        <v>379</v>
      </c>
      <c r="E5" s="126"/>
      <c r="F5" s="126">
        <f>28110/2</f>
        <v>14055</v>
      </c>
      <c r="G5" s="11">
        <f t="shared" ref="G5:G60" si="0">G4+E5-F5</f>
        <v>479206.54</v>
      </c>
      <c r="I5" s="144" t="s">
        <v>390</v>
      </c>
      <c r="J5" s="11">
        <f>F21+F48</f>
        <v>30000</v>
      </c>
      <c r="O5" t="s">
        <v>255</v>
      </c>
      <c r="P5" s="6">
        <v>2000</v>
      </c>
      <c r="Q5" s="101">
        <f t="shared" ref="Q5:Q7" si="1">0.1*P5</f>
        <v>200</v>
      </c>
      <c r="R5" s="101">
        <f t="shared" ref="R5:R7" si="2">P5+Q5</f>
        <v>2200</v>
      </c>
      <c r="S5" s="101">
        <f t="shared" ref="S5:S7" si="3">R5*0.08</f>
        <v>176</v>
      </c>
      <c r="T5" s="101">
        <f t="shared" ref="T5:T7" si="4">R5*1.25%</f>
        <v>27.5</v>
      </c>
      <c r="U5" s="53">
        <f t="shared" ref="U5:U7" si="5">R5+S5-T5</f>
        <v>2348.5</v>
      </c>
    </row>
    <row r="6" spans="2:21" x14ac:dyDescent="0.25">
      <c r="B6" s="100">
        <v>45341</v>
      </c>
      <c r="C6" s="127" t="s">
        <v>13</v>
      </c>
      <c r="D6" s="111" t="s">
        <v>388</v>
      </c>
      <c r="E6" s="101"/>
      <c r="F6" s="101">
        <v>7500</v>
      </c>
      <c r="G6" s="11">
        <f t="shared" si="0"/>
        <v>471706.54</v>
      </c>
      <c r="I6" s="145" t="s">
        <v>387</v>
      </c>
      <c r="J6" s="11">
        <f>F27+F32+F44</f>
        <v>30000</v>
      </c>
      <c r="O6" t="s">
        <v>105</v>
      </c>
      <c r="P6" s="6">
        <v>4000</v>
      </c>
      <c r="Q6" s="101">
        <f t="shared" si="1"/>
        <v>400</v>
      </c>
      <c r="R6" s="101">
        <f t="shared" si="2"/>
        <v>4400</v>
      </c>
      <c r="S6" s="101">
        <f t="shared" si="3"/>
        <v>352</v>
      </c>
      <c r="T6" s="101">
        <f t="shared" si="4"/>
        <v>55</v>
      </c>
      <c r="U6" s="53">
        <f t="shared" si="5"/>
        <v>4697</v>
      </c>
    </row>
    <row r="7" spans="2:21" x14ac:dyDescent="0.25">
      <c r="B7" s="100">
        <v>45341</v>
      </c>
      <c r="C7" s="127" t="s">
        <v>13</v>
      </c>
      <c r="D7" s="111" t="s">
        <v>388</v>
      </c>
      <c r="E7" s="101"/>
      <c r="F7" s="101">
        <v>7500</v>
      </c>
      <c r="G7" s="11">
        <f t="shared" si="0"/>
        <v>464206.54</v>
      </c>
      <c r="I7" s="146" t="s">
        <v>319</v>
      </c>
      <c r="J7" s="11">
        <f>F6+F7+F8+F15+F16+F22+F28+F33+F38+F45+F54</f>
        <v>120000</v>
      </c>
      <c r="O7" t="s">
        <v>303</v>
      </c>
      <c r="P7" s="6">
        <v>16000</v>
      </c>
      <c r="Q7" s="101">
        <f t="shared" si="1"/>
        <v>1600</v>
      </c>
      <c r="R7" s="101">
        <f t="shared" si="2"/>
        <v>17600</v>
      </c>
      <c r="S7" s="101">
        <f t="shared" si="3"/>
        <v>1408</v>
      </c>
      <c r="T7" s="101">
        <f t="shared" si="4"/>
        <v>220</v>
      </c>
      <c r="U7" s="53">
        <f t="shared" si="5"/>
        <v>18788</v>
      </c>
    </row>
    <row r="8" spans="2:21" x14ac:dyDescent="0.25">
      <c r="B8" s="100">
        <v>45341</v>
      </c>
      <c r="C8" s="127"/>
      <c r="D8" s="111" t="s">
        <v>389</v>
      </c>
      <c r="E8" s="101"/>
      <c r="F8" s="101">
        <v>20000</v>
      </c>
      <c r="G8" s="11">
        <f t="shared" si="0"/>
        <v>444206.54</v>
      </c>
      <c r="I8" s="147" t="s">
        <v>391</v>
      </c>
      <c r="J8" s="11">
        <f>F5+F13</f>
        <v>28110</v>
      </c>
      <c r="O8" t="s">
        <v>229</v>
      </c>
      <c r="P8"/>
      <c r="Q8"/>
      <c r="R8"/>
    </row>
    <row r="9" spans="2:21" x14ac:dyDescent="0.25">
      <c r="B9" s="128">
        <v>45346</v>
      </c>
      <c r="C9" s="129" t="s">
        <v>117</v>
      </c>
      <c r="D9" s="130"/>
      <c r="E9" s="131"/>
      <c r="F9" s="131">
        <v>27712.3</v>
      </c>
      <c r="G9" s="11">
        <f t="shared" si="0"/>
        <v>416494.24</v>
      </c>
      <c r="I9" s="148" t="s">
        <v>392</v>
      </c>
      <c r="J9" s="11">
        <f>F10+F11+F18+F19+F20+F24+F25+F30+F31+F36+F37+F42+F43+F51+F52+F53</f>
        <v>86894.5</v>
      </c>
      <c r="O9"/>
      <c r="P9"/>
      <c r="Q9"/>
      <c r="R9"/>
    </row>
    <row r="10" spans="2:21" x14ac:dyDescent="0.25">
      <c r="B10" s="132">
        <v>45346</v>
      </c>
      <c r="C10" s="133" t="s">
        <v>255</v>
      </c>
      <c r="D10" s="134"/>
      <c r="E10" s="121"/>
      <c r="F10" s="121">
        <v>2348.5</v>
      </c>
      <c r="G10" s="11">
        <f t="shared" si="0"/>
        <v>414145.74</v>
      </c>
      <c r="I10" s="156" t="s">
        <v>394</v>
      </c>
      <c r="J10" s="53">
        <v>100000</v>
      </c>
      <c r="O10"/>
      <c r="P10"/>
      <c r="Q10"/>
      <c r="R10"/>
    </row>
    <row r="11" spans="2:21" x14ac:dyDescent="0.25">
      <c r="B11" s="132">
        <v>45346</v>
      </c>
      <c r="C11" s="133" t="s">
        <v>105</v>
      </c>
      <c r="D11" s="134"/>
      <c r="E11" s="121"/>
      <c r="F11" s="121">
        <v>4697</v>
      </c>
      <c r="G11" s="11">
        <f t="shared" si="0"/>
        <v>409448.74</v>
      </c>
      <c r="I11" s="85" t="s">
        <v>395</v>
      </c>
      <c r="J11" s="53">
        <f>F34+F40+F47</f>
        <v>45000</v>
      </c>
      <c r="O11" s="1"/>
      <c r="P11" s="44" t="s">
        <v>117</v>
      </c>
      <c r="Q11" s="6" t="s">
        <v>255</v>
      </c>
      <c r="R11" s="44" t="s">
        <v>105</v>
      </c>
      <c r="S11" s="44" t="s">
        <v>303</v>
      </c>
      <c r="T11" s="1" t="s">
        <v>229</v>
      </c>
    </row>
    <row r="12" spans="2:21" x14ac:dyDescent="0.25">
      <c r="B12" s="16">
        <v>45346</v>
      </c>
      <c r="C12" s="13" t="s">
        <v>376</v>
      </c>
      <c r="D12" s="122" t="s">
        <v>377</v>
      </c>
      <c r="E12" s="17"/>
      <c r="F12" s="17">
        <v>10000</v>
      </c>
      <c r="G12" s="11">
        <f t="shared" si="0"/>
        <v>399448.74</v>
      </c>
      <c r="I12" s="157" t="s">
        <v>400</v>
      </c>
      <c r="J12" s="53">
        <f>F14</f>
        <v>50000</v>
      </c>
      <c r="O12" s="3">
        <v>45346</v>
      </c>
      <c r="P12" s="6">
        <f t="shared" ref="P12:P17" si="6">17100+3500+3000</f>
        <v>23600</v>
      </c>
      <c r="Q12" s="6">
        <v>2000</v>
      </c>
      <c r="R12" s="6">
        <v>4500</v>
      </c>
      <c r="S12" s="6"/>
    </row>
    <row r="13" spans="2:21" x14ac:dyDescent="0.25">
      <c r="B13" s="123">
        <v>45346</v>
      </c>
      <c r="C13" s="124" t="s">
        <v>378</v>
      </c>
      <c r="D13" s="125" t="s">
        <v>379</v>
      </c>
      <c r="E13" s="126"/>
      <c r="F13" s="126">
        <v>14055</v>
      </c>
      <c r="G13" s="11">
        <f t="shared" si="0"/>
        <v>385393.74</v>
      </c>
      <c r="I13" s="158" t="s">
        <v>402</v>
      </c>
      <c r="J13" s="6">
        <f>F39+F46+F49</f>
        <v>30000</v>
      </c>
      <c r="O13" s="3">
        <v>45353</v>
      </c>
      <c r="P13" s="6">
        <f t="shared" si="6"/>
        <v>23600</v>
      </c>
      <c r="Q13" s="6">
        <v>2000</v>
      </c>
      <c r="R13" s="6">
        <v>4500</v>
      </c>
      <c r="S13" s="6">
        <v>16000</v>
      </c>
    </row>
    <row r="14" spans="2:21" x14ac:dyDescent="0.25">
      <c r="B14" s="152">
        <v>45346</v>
      </c>
      <c r="C14" s="153" t="s">
        <v>400</v>
      </c>
      <c r="D14" s="154" t="s">
        <v>401</v>
      </c>
      <c r="E14" s="155"/>
      <c r="F14" s="155">
        <v>50000</v>
      </c>
      <c r="G14" s="11">
        <f t="shared" si="0"/>
        <v>335393.74</v>
      </c>
      <c r="I14" s="65" t="s">
        <v>91</v>
      </c>
      <c r="J14" s="163" t="s">
        <v>413</v>
      </c>
      <c r="O14" s="3">
        <v>45360</v>
      </c>
      <c r="P14" s="6">
        <f t="shared" si="6"/>
        <v>23600</v>
      </c>
      <c r="Q14" s="6">
        <v>2000</v>
      </c>
      <c r="R14" s="6">
        <v>4500</v>
      </c>
      <c r="S14" s="6"/>
    </row>
    <row r="15" spans="2:21" x14ac:dyDescent="0.25">
      <c r="B15" s="100">
        <v>45353</v>
      </c>
      <c r="C15" s="127" t="s">
        <v>15</v>
      </c>
      <c r="D15" s="111" t="s">
        <v>319</v>
      </c>
      <c r="E15" s="101"/>
      <c r="F15" s="101">
        <v>15000</v>
      </c>
      <c r="G15" s="11">
        <f t="shared" si="0"/>
        <v>320393.74</v>
      </c>
      <c r="I15" s="65" t="s">
        <v>407</v>
      </c>
      <c r="J15" s="163" t="s">
        <v>413</v>
      </c>
      <c r="O15" s="3">
        <v>45367</v>
      </c>
      <c r="P15" s="6">
        <f t="shared" si="6"/>
        <v>23600</v>
      </c>
      <c r="Q15" s="6">
        <v>2000</v>
      </c>
      <c r="R15" s="6">
        <v>4500</v>
      </c>
      <c r="S15" s="6"/>
    </row>
    <row r="16" spans="2:21" x14ac:dyDescent="0.25">
      <c r="B16" s="100">
        <v>45353</v>
      </c>
      <c r="C16" s="127"/>
      <c r="D16" s="111" t="s">
        <v>389</v>
      </c>
      <c r="E16" s="101"/>
      <c r="F16" s="101">
        <v>10000</v>
      </c>
      <c r="G16" s="11">
        <f t="shared" si="0"/>
        <v>310393.74</v>
      </c>
      <c r="I16" s="65" t="s">
        <v>408</v>
      </c>
      <c r="J16" s="163" t="s">
        <v>413</v>
      </c>
      <c r="O16" s="3">
        <v>45374</v>
      </c>
      <c r="P16" s="6">
        <f t="shared" si="6"/>
        <v>23600</v>
      </c>
      <c r="Q16" s="6">
        <v>2000</v>
      </c>
      <c r="R16" s="6">
        <v>4500</v>
      </c>
      <c r="S16" s="6"/>
    </row>
    <row r="17" spans="2:19" x14ac:dyDescent="0.25">
      <c r="B17" s="128">
        <v>45353</v>
      </c>
      <c r="C17" s="129" t="s">
        <v>117</v>
      </c>
      <c r="D17" s="130"/>
      <c r="E17" s="131"/>
      <c r="F17" s="131">
        <v>27712.3</v>
      </c>
      <c r="G17" s="11">
        <f t="shared" si="0"/>
        <v>282681.44</v>
      </c>
      <c r="I17" s="65" t="s">
        <v>409</v>
      </c>
      <c r="J17" s="163" t="s">
        <v>413</v>
      </c>
      <c r="O17" s="3">
        <v>45381</v>
      </c>
      <c r="P17" s="6">
        <f t="shared" si="6"/>
        <v>23600</v>
      </c>
      <c r="Q17" s="6">
        <v>2000</v>
      </c>
      <c r="R17" s="6">
        <v>4500</v>
      </c>
      <c r="S17" s="6"/>
    </row>
    <row r="18" spans="2:19" x14ac:dyDescent="0.25">
      <c r="B18" s="132">
        <v>45353</v>
      </c>
      <c r="C18" s="133" t="s">
        <v>255</v>
      </c>
      <c r="D18" s="134"/>
      <c r="E18" s="121"/>
      <c r="F18" s="121">
        <v>2348.5</v>
      </c>
      <c r="G18" s="11">
        <f t="shared" si="0"/>
        <v>280332.94</v>
      </c>
      <c r="I18" s="65" t="s">
        <v>410</v>
      </c>
      <c r="J18" s="163" t="s">
        <v>413</v>
      </c>
    </row>
    <row r="19" spans="2:19" x14ac:dyDescent="0.25">
      <c r="B19" s="132">
        <v>45353</v>
      </c>
      <c r="C19" s="133" t="s">
        <v>105</v>
      </c>
      <c r="D19" s="134"/>
      <c r="E19" s="121"/>
      <c r="F19" s="121">
        <v>4697</v>
      </c>
      <c r="G19" s="11">
        <f t="shared" si="0"/>
        <v>275635.94</v>
      </c>
      <c r="I19" s="65" t="s">
        <v>411</v>
      </c>
      <c r="J19" s="163" t="s">
        <v>413</v>
      </c>
    </row>
    <row r="20" spans="2:19" x14ac:dyDescent="0.25">
      <c r="B20" s="132">
        <v>45353</v>
      </c>
      <c r="C20" s="133" t="s">
        <v>303</v>
      </c>
      <c r="D20" s="134"/>
      <c r="E20" s="121"/>
      <c r="F20" s="121">
        <v>18788</v>
      </c>
      <c r="G20" s="11">
        <f t="shared" si="0"/>
        <v>256847.94</v>
      </c>
      <c r="I20" s="65" t="s">
        <v>412</v>
      </c>
      <c r="J20" s="163" t="s">
        <v>413</v>
      </c>
    </row>
    <row r="21" spans="2:19" x14ac:dyDescent="0.25">
      <c r="B21" s="135">
        <v>45353</v>
      </c>
      <c r="C21" s="136" t="s">
        <v>385</v>
      </c>
      <c r="D21" s="137" t="s">
        <v>386</v>
      </c>
      <c r="E21" s="138"/>
      <c r="F21" s="138">
        <v>15000</v>
      </c>
      <c r="G21" s="11">
        <f t="shared" si="0"/>
        <v>241847.94</v>
      </c>
    </row>
    <row r="22" spans="2:19" x14ac:dyDescent="0.25">
      <c r="B22" s="100">
        <v>45360</v>
      </c>
      <c r="C22" s="127"/>
      <c r="D22" s="111" t="s">
        <v>389</v>
      </c>
      <c r="E22" s="101"/>
      <c r="F22" s="101">
        <v>10000</v>
      </c>
      <c r="G22" s="11">
        <f t="shared" si="0"/>
        <v>231847.94</v>
      </c>
      <c r="J22" s="11">
        <f>SUM(J3:J21)</f>
        <v>741490.6</v>
      </c>
      <c r="K22" s="6">
        <f>J22/17.5</f>
        <v>42370.891428571427</v>
      </c>
    </row>
    <row r="23" spans="2:19" x14ac:dyDescent="0.25">
      <c r="B23" s="128">
        <v>45360</v>
      </c>
      <c r="C23" s="129" t="s">
        <v>117</v>
      </c>
      <c r="D23" s="130"/>
      <c r="E23" s="131"/>
      <c r="F23" s="131">
        <v>27712.3</v>
      </c>
      <c r="G23" s="11">
        <f t="shared" si="0"/>
        <v>204135.64</v>
      </c>
      <c r="P23" s="6">
        <v>9</v>
      </c>
      <c r="Q23" s="6" t="s">
        <v>381</v>
      </c>
      <c r="R23" s="6" t="s">
        <v>382</v>
      </c>
    </row>
    <row r="24" spans="2:19" x14ac:dyDescent="0.25">
      <c r="B24" s="132">
        <v>45360</v>
      </c>
      <c r="C24" s="133" t="s">
        <v>255</v>
      </c>
      <c r="D24" s="134"/>
      <c r="E24" s="121"/>
      <c r="F24" s="121">
        <v>2348.5</v>
      </c>
      <c r="G24" s="11">
        <f t="shared" si="0"/>
        <v>201787.14</v>
      </c>
      <c r="P24" s="6">
        <v>16</v>
      </c>
      <c r="Q24" s="6" t="s">
        <v>383</v>
      </c>
      <c r="R24" s="6" t="s">
        <v>384</v>
      </c>
    </row>
    <row r="25" spans="2:19" x14ac:dyDescent="0.25">
      <c r="B25" s="132">
        <v>45360</v>
      </c>
      <c r="C25" s="133" t="s">
        <v>105</v>
      </c>
      <c r="D25" s="134"/>
      <c r="E25" s="121"/>
      <c r="F25" s="121">
        <v>4697</v>
      </c>
      <c r="G25" s="11">
        <f t="shared" si="0"/>
        <v>197090.14</v>
      </c>
      <c r="P25" s="6">
        <v>23</v>
      </c>
    </row>
    <row r="26" spans="2:19" x14ac:dyDescent="0.25">
      <c r="B26" s="149">
        <v>45360</v>
      </c>
      <c r="C26" s="150" t="s">
        <v>396</v>
      </c>
      <c r="D26" s="110" t="s">
        <v>394</v>
      </c>
      <c r="E26" s="151"/>
      <c r="F26" s="151">
        <v>100000</v>
      </c>
      <c r="G26" s="11">
        <f t="shared" si="0"/>
        <v>97090.140000000014</v>
      </c>
      <c r="P26" s="6">
        <v>30</v>
      </c>
    </row>
    <row r="27" spans="2:19" x14ac:dyDescent="0.25">
      <c r="B27" s="139">
        <v>45360</v>
      </c>
      <c r="C27" s="139" t="s">
        <v>387</v>
      </c>
      <c r="D27" s="140"/>
      <c r="E27" s="141"/>
      <c r="F27" s="141">
        <v>10000</v>
      </c>
      <c r="G27" s="11">
        <f t="shared" si="0"/>
        <v>87090.140000000014</v>
      </c>
    </row>
    <row r="28" spans="2:19" x14ac:dyDescent="0.25">
      <c r="B28" s="100">
        <v>45367</v>
      </c>
      <c r="C28" s="127"/>
      <c r="D28" s="111" t="s">
        <v>389</v>
      </c>
      <c r="E28" s="101"/>
      <c r="F28" s="101">
        <v>10000</v>
      </c>
      <c r="G28" s="11">
        <f t="shared" si="0"/>
        <v>77090.140000000014</v>
      </c>
    </row>
    <row r="29" spans="2:19" x14ac:dyDescent="0.25">
      <c r="B29" s="128">
        <v>45367</v>
      </c>
      <c r="C29" s="129" t="s">
        <v>117</v>
      </c>
      <c r="D29" s="130"/>
      <c r="E29" s="131"/>
      <c r="F29" s="131">
        <v>27712.3</v>
      </c>
      <c r="G29" s="11">
        <f t="shared" si="0"/>
        <v>49377.840000000011</v>
      </c>
    </row>
    <row r="30" spans="2:19" x14ac:dyDescent="0.25">
      <c r="B30" s="132">
        <v>45367</v>
      </c>
      <c r="C30" s="133" t="s">
        <v>255</v>
      </c>
      <c r="D30" s="134"/>
      <c r="E30" s="121"/>
      <c r="F30" s="121">
        <v>2348.5</v>
      </c>
      <c r="G30" s="11">
        <f t="shared" si="0"/>
        <v>47029.340000000011</v>
      </c>
    </row>
    <row r="31" spans="2:19" x14ac:dyDescent="0.25">
      <c r="B31" s="132">
        <v>45367</v>
      </c>
      <c r="C31" s="133" t="s">
        <v>105</v>
      </c>
      <c r="D31" s="134"/>
      <c r="E31" s="121"/>
      <c r="F31" s="121">
        <v>4697</v>
      </c>
      <c r="G31" s="11">
        <f t="shared" si="0"/>
        <v>42332.340000000011</v>
      </c>
    </row>
    <row r="32" spans="2:19" x14ac:dyDescent="0.25">
      <c r="B32" s="139">
        <v>45367</v>
      </c>
      <c r="C32" s="139" t="s">
        <v>387</v>
      </c>
      <c r="D32" s="140"/>
      <c r="E32" s="141"/>
      <c r="F32" s="141">
        <v>10000</v>
      </c>
      <c r="G32" s="11">
        <f t="shared" si="0"/>
        <v>32332.340000000011</v>
      </c>
    </row>
    <row r="33" spans="2:7" x14ac:dyDescent="0.25">
      <c r="B33" s="100">
        <v>45374</v>
      </c>
      <c r="C33" s="127"/>
      <c r="D33" s="111" t="s">
        <v>389</v>
      </c>
      <c r="E33" s="101"/>
      <c r="F33" s="101">
        <v>10000</v>
      </c>
      <c r="G33" s="11">
        <f t="shared" si="0"/>
        <v>22332.340000000011</v>
      </c>
    </row>
    <row r="34" spans="2:7" x14ac:dyDescent="0.25">
      <c r="B34" s="108">
        <v>45374</v>
      </c>
      <c r="C34" s="108" t="s">
        <v>397</v>
      </c>
      <c r="D34" s="112" t="s">
        <v>398</v>
      </c>
      <c r="E34" s="86"/>
      <c r="F34" s="86">
        <v>15000</v>
      </c>
      <c r="G34" s="11">
        <f t="shared" si="0"/>
        <v>7332.3400000000111</v>
      </c>
    </row>
    <row r="35" spans="2:7" x14ac:dyDescent="0.25">
      <c r="B35" s="128">
        <v>45374</v>
      </c>
      <c r="C35" s="129" t="s">
        <v>117</v>
      </c>
      <c r="D35" s="130"/>
      <c r="E35" s="131"/>
      <c r="F35" s="131">
        <v>27712.3</v>
      </c>
      <c r="G35" s="11">
        <f t="shared" si="0"/>
        <v>-20379.959999999988</v>
      </c>
    </row>
    <row r="36" spans="2:7" x14ac:dyDescent="0.25">
      <c r="B36" s="132">
        <v>45374</v>
      </c>
      <c r="C36" s="133" t="s">
        <v>255</v>
      </c>
      <c r="D36" s="134"/>
      <c r="E36" s="121"/>
      <c r="F36" s="121">
        <v>2348.5</v>
      </c>
      <c r="G36" s="11">
        <f t="shared" si="0"/>
        <v>-22728.459999999988</v>
      </c>
    </row>
    <row r="37" spans="2:7" x14ac:dyDescent="0.25">
      <c r="B37" s="132">
        <v>45374</v>
      </c>
      <c r="C37" s="133" t="s">
        <v>105</v>
      </c>
      <c r="D37" s="134"/>
      <c r="E37" s="121"/>
      <c r="F37" s="121">
        <v>4697</v>
      </c>
      <c r="G37" s="11">
        <f t="shared" si="0"/>
        <v>-27425.459999999988</v>
      </c>
    </row>
    <row r="38" spans="2:7" x14ac:dyDescent="0.25">
      <c r="B38" s="100">
        <v>45381</v>
      </c>
      <c r="C38" s="127"/>
      <c r="D38" s="111" t="s">
        <v>389</v>
      </c>
      <c r="E38" s="101"/>
      <c r="F38" s="101">
        <v>10000</v>
      </c>
      <c r="G38" s="11">
        <f t="shared" si="0"/>
        <v>-37425.459999999992</v>
      </c>
    </row>
    <row r="39" spans="2:7" x14ac:dyDescent="0.25">
      <c r="B39" s="159">
        <v>45381</v>
      </c>
      <c r="C39" s="160" t="s">
        <v>403</v>
      </c>
      <c r="D39" s="161" t="s">
        <v>404</v>
      </c>
      <c r="E39" s="162"/>
      <c r="F39" s="162">
        <v>10000</v>
      </c>
      <c r="G39" s="11">
        <f t="shared" si="0"/>
        <v>-47425.459999999992</v>
      </c>
    </row>
    <row r="40" spans="2:7" x14ac:dyDescent="0.25">
      <c r="B40" s="108">
        <v>45381</v>
      </c>
      <c r="C40" s="108" t="s">
        <v>397</v>
      </c>
      <c r="D40" s="112" t="s">
        <v>399</v>
      </c>
      <c r="E40" s="86"/>
      <c r="F40" s="86">
        <v>15000</v>
      </c>
      <c r="G40" s="11">
        <f t="shared" si="0"/>
        <v>-62425.459999999992</v>
      </c>
    </row>
    <row r="41" spans="2:7" x14ac:dyDescent="0.25">
      <c r="B41" s="128">
        <v>45381</v>
      </c>
      <c r="C41" s="129" t="s">
        <v>117</v>
      </c>
      <c r="D41" s="130"/>
      <c r="E41" s="131"/>
      <c r="F41" s="131">
        <v>27712.3</v>
      </c>
      <c r="G41" s="11">
        <f t="shared" si="0"/>
        <v>-90137.76</v>
      </c>
    </row>
    <row r="42" spans="2:7" x14ac:dyDescent="0.25">
      <c r="B42" s="132">
        <v>45381</v>
      </c>
      <c r="C42" s="133" t="s">
        <v>255</v>
      </c>
      <c r="D42" s="134"/>
      <c r="E42" s="121"/>
      <c r="F42" s="121">
        <v>2348.5</v>
      </c>
      <c r="G42" s="11">
        <f t="shared" si="0"/>
        <v>-92486.26</v>
      </c>
    </row>
    <row r="43" spans="2:7" x14ac:dyDescent="0.25">
      <c r="B43" s="132">
        <v>45381</v>
      </c>
      <c r="C43" s="133" t="s">
        <v>105</v>
      </c>
      <c r="D43" s="134"/>
      <c r="E43" s="121"/>
      <c r="F43" s="121">
        <v>4697</v>
      </c>
      <c r="G43" s="11">
        <f t="shared" si="0"/>
        <v>-97183.26</v>
      </c>
    </row>
    <row r="44" spans="2:7" x14ac:dyDescent="0.25">
      <c r="B44" s="139">
        <v>45381</v>
      </c>
      <c r="C44" s="139" t="s">
        <v>387</v>
      </c>
      <c r="D44" s="140"/>
      <c r="E44" s="141"/>
      <c r="F44" s="141">
        <v>10000</v>
      </c>
      <c r="G44" s="11">
        <f t="shared" si="0"/>
        <v>-107183.26</v>
      </c>
    </row>
    <row r="45" spans="2:7" x14ac:dyDescent="0.25">
      <c r="B45" s="100">
        <v>45388</v>
      </c>
      <c r="C45" s="127"/>
      <c r="D45" s="111" t="s">
        <v>389</v>
      </c>
      <c r="E45" s="101"/>
      <c r="F45" s="101">
        <v>10000</v>
      </c>
      <c r="G45" s="11">
        <f t="shared" si="0"/>
        <v>-117183.26</v>
      </c>
    </row>
    <row r="46" spans="2:7" x14ac:dyDescent="0.25">
      <c r="B46" s="159">
        <v>45388</v>
      </c>
      <c r="C46" s="160" t="s">
        <v>403</v>
      </c>
      <c r="D46" s="161" t="s">
        <v>405</v>
      </c>
      <c r="E46" s="162"/>
      <c r="F46" s="162">
        <v>10000</v>
      </c>
      <c r="G46" s="11">
        <f t="shared" si="0"/>
        <v>-127183.26</v>
      </c>
    </row>
    <row r="47" spans="2:7" x14ac:dyDescent="0.25">
      <c r="B47" s="108">
        <v>45388</v>
      </c>
      <c r="C47" s="108" t="s">
        <v>397</v>
      </c>
      <c r="D47" s="112" t="s">
        <v>399</v>
      </c>
      <c r="E47" s="86"/>
      <c r="F47" s="86">
        <v>15000</v>
      </c>
      <c r="G47" s="11">
        <f t="shared" si="0"/>
        <v>-142183.26</v>
      </c>
    </row>
    <row r="48" spans="2:7" x14ac:dyDescent="0.25">
      <c r="B48" s="135">
        <v>45388</v>
      </c>
      <c r="C48" s="136" t="s">
        <v>390</v>
      </c>
      <c r="D48" s="137" t="s">
        <v>393</v>
      </c>
      <c r="E48" s="138"/>
      <c r="F48" s="138">
        <v>15000</v>
      </c>
      <c r="G48" s="11">
        <f t="shared" si="0"/>
        <v>-157183.26</v>
      </c>
    </row>
    <row r="49" spans="2:7" x14ac:dyDescent="0.25">
      <c r="B49" s="159">
        <v>45364</v>
      </c>
      <c r="C49" s="160" t="s">
        <v>403</v>
      </c>
      <c r="D49" s="161" t="s">
        <v>406</v>
      </c>
      <c r="E49" s="162"/>
      <c r="F49" s="162">
        <v>10000</v>
      </c>
      <c r="G49" s="11">
        <f t="shared" si="0"/>
        <v>-167183.26</v>
      </c>
    </row>
    <row r="50" spans="2:7" x14ac:dyDescent="0.25">
      <c r="B50" s="128">
        <v>45395</v>
      </c>
      <c r="C50" s="129" t="s">
        <v>117</v>
      </c>
      <c r="D50" s="130"/>
      <c r="E50" s="131"/>
      <c r="F50" s="131">
        <v>27712.3</v>
      </c>
      <c r="G50" s="11">
        <f t="shared" si="0"/>
        <v>-194895.56</v>
      </c>
    </row>
    <row r="51" spans="2:7" x14ac:dyDescent="0.25">
      <c r="B51" s="132">
        <v>45395</v>
      </c>
      <c r="C51" s="133" t="s">
        <v>255</v>
      </c>
      <c r="D51" s="134"/>
      <c r="E51" s="121"/>
      <c r="F51" s="121">
        <v>2348.5</v>
      </c>
      <c r="G51" s="11">
        <f t="shared" si="0"/>
        <v>-197244.06</v>
      </c>
    </row>
    <row r="52" spans="2:7" x14ac:dyDescent="0.25">
      <c r="B52" s="132">
        <v>45395</v>
      </c>
      <c r="C52" s="133" t="s">
        <v>105</v>
      </c>
      <c r="D52" s="134"/>
      <c r="E52" s="121"/>
      <c r="F52" s="121">
        <v>4697</v>
      </c>
      <c r="G52" s="11">
        <f t="shared" si="0"/>
        <v>-201941.06</v>
      </c>
    </row>
    <row r="53" spans="2:7" x14ac:dyDescent="0.25">
      <c r="B53" s="132">
        <v>45395</v>
      </c>
      <c r="C53" s="133" t="s">
        <v>303</v>
      </c>
      <c r="D53" s="134"/>
      <c r="E53" s="121"/>
      <c r="F53" s="121">
        <v>18788</v>
      </c>
      <c r="G53" s="11">
        <f t="shared" si="0"/>
        <v>-220729.06</v>
      </c>
    </row>
    <row r="54" spans="2:7" x14ac:dyDescent="0.25">
      <c r="B54" s="100">
        <v>45395</v>
      </c>
      <c r="C54" s="127"/>
      <c r="D54" s="111" t="s">
        <v>389</v>
      </c>
      <c r="E54" s="101"/>
      <c r="F54" s="101">
        <v>10000</v>
      </c>
      <c r="G54" s="11">
        <f t="shared" si="0"/>
        <v>-230729.06</v>
      </c>
    </row>
    <row r="55" spans="2:7" x14ac:dyDescent="0.25">
      <c r="B55" s="10"/>
      <c r="C55" s="10"/>
      <c r="D55" s="2"/>
      <c r="E55" s="11"/>
      <c r="F55" s="11"/>
      <c r="G55" s="11">
        <f t="shared" si="0"/>
        <v>-230729.06</v>
      </c>
    </row>
    <row r="56" spans="2:7" x14ac:dyDescent="0.25">
      <c r="B56" s="10"/>
      <c r="C56" s="10"/>
      <c r="D56" s="2"/>
      <c r="E56" s="11"/>
      <c r="F56" s="11"/>
      <c r="G56" s="11">
        <f t="shared" si="0"/>
        <v>-230729.06</v>
      </c>
    </row>
    <row r="57" spans="2:7" x14ac:dyDescent="0.25">
      <c r="B57" s="10"/>
      <c r="C57" s="10"/>
      <c r="D57" s="2"/>
      <c r="E57" s="11"/>
      <c r="F57" s="11"/>
      <c r="G57" s="11">
        <f t="shared" si="0"/>
        <v>-230729.06</v>
      </c>
    </row>
    <row r="58" spans="2:7" x14ac:dyDescent="0.25">
      <c r="B58" s="10"/>
      <c r="C58" s="10"/>
      <c r="D58" s="2"/>
      <c r="E58" s="11"/>
      <c r="F58" s="11"/>
      <c r="G58" s="11">
        <f t="shared" si="0"/>
        <v>-230729.06</v>
      </c>
    </row>
    <row r="59" spans="2:7" x14ac:dyDescent="0.25">
      <c r="B59" s="10"/>
      <c r="C59" s="10"/>
      <c r="D59" s="2"/>
      <c r="E59" s="11"/>
      <c r="F59" s="11"/>
      <c r="G59" s="11">
        <f t="shared" si="0"/>
        <v>-230729.06</v>
      </c>
    </row>
    <row r="60" spans="2:7" x14ac:dyDescent="0.25">
      <c r="B60" s="10"/>
      <c r="C60" s="10"/>
      <c r="D60" s="2"/>
      <c r="E60" s="11"/>
      <c r="F60" s="11"/>
      <c r="G60" s="11">
        <f t="shared" si="0"/>
        <v>-230729.06</v>
      </c>
    </row>
    <row r="61" spans="2:7" x14ac:dyDescent="0.25">
      <c r="F61" s="11">
        <f>SUM(F4:F60)</f>
        <v>741490.60000000009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REEMBOLSO ALEXIS</vt:lpstr>
      <vt:lpstr>ALEXIS</vt:lpstr>
      <vt:lpstr>EFECTIVO</vt:lpstr>
      <vt:lpstr>Hoja2</vt:lpstr>
      <vt:lpstr>120424</vt:lpstr>
      <vt:lpstr>260424</vt:lpstr>
      <vt:lpstr>030524</vt:lpstr>
      <vt:lpstr>GENERAL</vt:lpstr>
      <vt:lpstr>DESGLOSE COMPLETO OBRA </vt:lpstr>
      <vt:lpstr>TABLAROCA</vt:lpstr>
      <vt:lpstr>PLOMERIA</vt:lpstr>
      <vt:lpstr>PERSONAL</vt:lpstr>
      <vt:lpstr>JORGE</vt:lpstr>
      <vt:lpstr>FORTUNATO</vt:lpstr>
      <vt:lpstr>HERRERO</vt:lpstr>
      <vt:lpstr>ACERO</vt:lpstr>
      <vt:lpstr>COMPRA Y RENTA DE EQUIPO</vt:lpstr>
      <vt:lpstr>YESERO</vt:lpstr>
      <vt:lpstr>MADERA</vt:lpstr>
      <vt:lpstr>ELECTRICIDAD</vt:lpstr>
      <vt:lpstr>AGLOMERANTES</vt:lpstr>
      <vt:lpstr>MISCELANEOS</vt:lpstr>
      <vt:lpstr>EPOXY</vt:lpstr>
      <vt:lpstr>PINTURAS</vt:lpstr>
      <vt:lpstr>GASTOS ADMINISTRATIVOS</vt:lpstr>
      <vt:lpstr>COMPRAS SD</vt:lpstr>
      <vt:lpstr>ASESORIAS</vt:lpstr>
      <vt:lpstr>ANTICIPOS</vt:lpstr>
      <vt:lpstr>ALEXIS MATS</vt:lpstr>
      <vt:lpstr>PROYECCION DE GASTOS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Alderete</dc:creator>
  <cp:lastModifiedBy>Emiliano Garcia Cordero</cp:lastModifiedBy>
  <cp:lastPrinted>2024-07-10T21:59:47Z</cp:lastPrinted>
  <dcterms:created xsi:type="dcterms:W3CDTF">2015-06-05T18:19:34Z</dcterms:created>
  <dcterms:modified xsi:type="dcterms:W3CDTF">2024-07-10T22:03:05Z</dcterms:modified>
</cp:coreProperties>
</file>