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arianne.cook\Desktop\"/>
    </mc:Choice>
  </mc:AlternateContent>
  <bookViews>
    <workbookView xWindow="-108" yWindow="-108" windowWidth="19416" windowHeight="10416" tabRatio="816"/>
  </bookViews>
  <sheets>
    <sheet name="GUIDANCE" sheetId="6" r:id="rId1"/>
    <sheet name="SUMMARY (read only)" sheetId="13" r:id="rId2"/>
    <sheet name="0. Project &amp; consortium" sheetId="18" r:id="rId3"/>
    <sheet name="1. Income" sheetId="19" r:id="rId4"/>
    <sheet name="2. Staff costs" sheetId="10" r:id="rId5"/>
    <sheet name="3. Non-staff operating costs" sheetId="3" r:id="rId6"/>
    <sheet name="4. Capital costs" sheetId="16" r:id="rId7"/>
    <sheet name="5. Related funding" sheetId="15" r:id="rId8"/>
    <sheet name="Validation" sheetId="17" state="hidden" r:id="rId9"/>
  </sheets>
  <definedNames>
    <definedName name="_Toc479171384" localSheetId="0">GUIDANCE!$F$6</definedName>
    <definedName name="ConsortiumOrgs">'0. Project &amp; consortium'!$B$17:$B$36</definedName>
    <definedName name="OLE_LINK1" localSheetId="0">GUIDANCE!$C$18</definedName>
    <definedName name="VALIDATION_AppStage">Validation!$G$4:$G$8</definedName>
    <definedName name="VALIDATION_CapCostType">Validation!$A$14:$A$18</definedName>
    <definedName name="VALIDATION_ConsortiumOrgs">Validation!$E$23:$E$42</definedName>
    <definedName name="VALIDATION_FundingSource">Validation!$A$23:$A$44</definedName>
    <definedName name="VALIDATION_FundingStatus">Validation!$K$15:$K$20</definedName>
    <definedName name="VALIDATION_FundType_Costs">Validation!$O$4:$O$8</definedName>
    <definedName name="VALIDATION_FundType_Income">Validation!$A$4:$A$10</definedName>
    <definedName name="VALIDATION_OpCostType">Validation!$G$12:$G$20</definedName>
    <definedName name="VALIDATION_OrgType">Validation!$K$4:$K$11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2" i="10" l="1"/>
  <c r="A22" i="13" l="1"/>
  <c r="A19" i="13" l="1"/>
  <c r="B19" i="13" s="1"/>
  <c r="A20" i="13"/>
  <c r="B20" i="13" s="1"/>
  <c r="A21" i="13"/>
  <c r="B21" i="13" s="1"/>
  <c r="B22" i="13"/>
  <c r="A23" i="13"/>
  <c r="B23" i="13" s="1"/>
  <c r="A24" i="13"/>
  <c r="B24" i="13" s="1"/>
  <c r="A18" i="13"/>
  <c r="B18" i="13" s="1"/>
  <c r="A31" i="13"/>
  <c r="B31" i="13" s="1"/>
  <c r="A32" i="13"/>
  <c r="B32" i="13" s="1"/>
  <c r="A33" i="13"/>
  <c r="B33" i="13" s="1"/>
  <c r="A34" i="13"/>
  <c r="B34" i="13" s="1"/>
  <c r="A30" i="13"/>
  <c r="B30" i="13" s="1"/>
  <c r="A47" i="13"/>
  <c r="I55" i="3"/>
  <c r="Q44" i="10"/>
  <c r="I44" i="10"/>
  <c r="E38" i="19"/>
  <c r="B35" i="13" l="1"/>
  <c r="B25" i="13"/>
  <c r="A2" i="15"/>
  <c r="A1" i="15"/>
  <c r="A2" i="16"/>
  <c r="A1" i="16"/>
  <c r="A2" i="3"/>
  <c r="A1" i="3"/>
  <c r="A2" i="10"/>
  <c r="A1" i="10"/>
  <c r="A2" i="19"/>
  <c r="A1" i="19"/>
  <c r="A2" i="18"/>
  <c r="A1" i="18"/>
  <c r="A2" i="13"/>
  <c r="A1" i="13"/>
  <c r="A124" i="13" l="1"/>
  <c r="C124" i="13" s="1"/>
  <c r="A125" i="13"/>
  <c r="C125" i="13" s="1"/>
  <c r="A126" i="13"/>
  <c r="B126" i="13" s="1"/>
  <c r="A127" i="13"/>
  <c r="A128" i="13"/>
  <c r="D128" i="13" s="1"/>
  <c r="A129" i="13"/>
  <c r="D129" i="13" s="1"/>
  <c r="A130" i="13"/>
  <c r="C130" i="13" s="1"/>
  <c r="A131" i="13"/>
  <c r="C131" i="13" s="1"/>
  <c r="A132" i="13"/>
  <c r="D132" i="13" s="1"/>
  <c r="A133" i="13"/>
  <c r="D133" i="13" s="1"/>
  <c r="A134" i="13"/>
  <c r="C134" i="13" s="1"/>
  <c r="A135" i="13"/>
  <c r="C135" i="13" s="1"/>
  <c r="A136" i="13"/>
  <c r="D136" i="13" s="1"/>
  <c r="A137" i="13"/>
  <c r="D137" i="13" s="1"/>
  <c r="A138" i="13"/>
  <c r="C138" i="13" s="1"/>
  <c r="A139" i="13"/>
  <c r="C139" i="13" s="1"/>
  <c r="A140" i="13"/>
  <c r="D140" i="13" s="1"/>
  <c r="A141" i="13"/>
  <c r="D141" i="13" s="1"/>
  <c r="A142" i="13"/>
  <c r="C142" i="13" s="1"/>
  <c r="A143" i="13"/>
  <c r="C143" i="13" s="1"/>
  <c r="A88" i="13"/>
  <c r="C88" i="13" s="1"/>
  <c r="A89" i="13"/>
  <c r="F89" i="13" s="1"/>
  <c r="A90" i="13"/>
  <c r="E90" i="13" s="1"/>
  <c r="A91" i="13"/>
  <c r="D91" i="13" s="1"/>
  <c r="A87" i="13"/>
  <c r="D87" i="13" s="1"/>
  <c r="A73" i="13"/>
  <c r="F73" i="13" s="1"/>
  <c r="A74" i="13"/>
  <c r="E74" i="13" s="1"/>
  <c r="A75" i="13"/>
  <c r="C75" i="13" s="1"/>
  <c r="A76" i="13"/>
  <c r="C76" i="13" s="1"/>
  <c r="A77" i="13"/>
  <c r="F77" i="13" s="1"/>
  <c r="A78" i="13"/>
  <c r="E78" i="13" s="1"/>
  <c r="A79" i="13"/>
  <c r="C79" i="13" s="1"/>
  <c r="A80" i="13"/>
  <c r="C80" i="13" s="1"/>
  <c r="A72" i="13"/>
  <c r="F72" i="13" s="1"/>
  <c r="P43" i="10"/>
  <c r="P42" i="10"/>
  <c r="P41" i="10"/>
  <c r="P40" i="10"/>
  <c r="P39" i="10"/>
  <c r="P38" i="10"/>
  <c r="P37" i="10"/>
  <c r="P36" i="10"/>
  <c r="P35" i="10"/>
  <c r="P34" i="10"/>
  <c r="P33" i="10"/>
  <c r="P32" i="10"/>
  <c r="P31" i="10"/>
  <c r="P30" i="10"/>
  <c r="P29" i="10"/>
  <c r="P28" i="10"/>
  <c r="P27" i="10"/>
  <c r="P26" i="10"/>
  <c r="P25" i="10"/>
  <c r="P24" i="10"/>
  <c r="P23" i="10"/>
  <c r="X22" i="10"/>
  <c r="X23" i="10"/>
  <c r="X24" i="10"/>
  <c r="X25" i="10"/>
  <c r="X26" i="10"/>
  <c r="X27" i="10"/>
  <c r="X28" i="10"/>
  <c r="X29" i="10"/>
  <c r="X30" i="10"/>
  <c r="X31" i="10"/>
  <c r="X32" i="10"/>
  <c r="X33" i="10"/>
  <c r="X34" i="10"/>
  <c r="X35" i="10"/>
  <c r="X36" i="10"/>
  <c r="X37" i="10"/>
  <c r="X38" i="10"/>
  <c r="X39" i="10"/>
  <c r="X40" i="10"/>
  <c r="X41" i="10"/>
  <c r="X42" i="10"/>
  <c r="X43" i="10"/>
  <c r="E24" i="17"/>
  <c r="E25" i="17"/>
  <c r="E26" i="17"/>
  <c r="E27" i="17"/>
  <c r="E28" i="17"/>
  <c r="E29" i="17"/>
  <c r="E30" i="17"/>
  <c r="E31" i="17"/>
  <c r="E32" i="17"/>
  <c r="E33" i="17"/>
  <c r="E34" i="17"/>
  <c r="E35" i="17"/>
  <c r="E36" i="17"/>
  <c r="E37" i="17"/>
  <c r="E38" i="17"/>
  <c r="E39" i="17"/>
  <c r="E40" i="17"/>
  <c r="E41" i="17"/>
  <c r="E42" i="17"/>
  <c r="E23" i="17"/>
  <c r="B73" i="13" l="1"/>
  <c r="J79" i="13"/>
  <c r="E73" i="13"/>
  <c r="G139" i="13"/>
  <c r="G127" i="13"/>
  <c r="G135" i="13"/>
  <c r="G131" i="13"/>
  <c r="G143" i="13"/>
  <c r="G142" i="13"/>
  <c r="G138" i="13"/>
  <c r="G134" i="13"/>
  <c r="G130" i="13"/>
  <c r="G126" i="13"/>
  <c r="D139" i="13"/>
  <c r="G141" i="13"/>
  <c r="G137" i="13"/>
  <c r="G133" i="13"/>
  <c r="G129" i="13"/>
  <c r="G125" i="13"/>
  <c r="G140" i="13"/>
  <c r="G136" i="13"/>
  <c r="G132" i="13"/>
  <c r="G128" i="13"/>
  <c r="G124" i="13"/>
  <c r="D135" i="13"/>
  <c r="J75" i="13"/>
  <c r="D131" i="13"/>
  <c r="D143" i="13"/>
  <c r="D125" i="13"/>
  <c r="B142" i="13"/>
  <c r="B130" i="13"/>
  <c r="B141" i="13"/>
  <c r="B137" i="13"/>
  <c r="B133" i="13"/>
  <c r="B129" i="13"/>
  <c r="B125" i="13"/>
  <c r="C141" i="13"/>
  <c r="C137" i="13"/>
  <c r="C133" i="13"/>
  <c r="C129" i="13"/>
  <c r="D142" i="13"/>
  <c r="D138" i="13"/>
  <c r="D134" i="13"/>
  <c r="D124" i="13"/>
  <c r="J78" i="13"/>
  <c r="J74" i="13"/>
  <c r="B134" i="13"/>
  <c r="B140" i="13"/>
  <c r="B136" i="13"/>
  <c r="B132" i="13"/>
  <c r="B128" i="13"/>
  <c r="B124" i="13"/>
  <c r="C140" i="13"/>
  <c r="C136" i="13"/>
  <c r="C132" i="13"/>
  <c r="J72" i="13"/>
  <c r="J77" i="13"/>
  <c r="J73" i="13"/>
  <c r="B138" i="13"/>
  <c r="B143" i="13"/>
  <c r="B139" i="13"/>
  <c r="B135" i="13"/>
  <c r="B131" i="13"/>
  <c r="E131" i="13" s="1"/>
  <c r="B127" i="13"/>
  <c r="J80" i="13"/>
  <c r="J76" i="13"/>
  <c r="D78" i="13"/>
  <c r="D77" i="13"/>
  <c r="E77" i="13"/>
  <c r="D73" i="13"/>
  <c r="B72" i="13"/>
  <c r="B79" i="13"/>
  <c r="F79" i="13"/>
  <c r="F75" i="13"/>
  <c r="B75" i="13"/>
  <c r="E79" i="13"/>
  <c r="E75" i="13"/>
  <c r="D79" i="13"/>
  <c r="D75" i="13"/>
  <c r="G79" i="13"/>
  <c r="G75" i="13"/>
  <c r="F80" i="13"/>
  <c r="F91" i="13"/>
  <c r="F76" i="13"/>
  <c r="D72" i="13"/>
  <c r="F88" i="13"/>
  <c r="E88" i="13"/>
  <c r="D74" i="13"/>
  <c r="C91" i="13"/>
  <c r="G87" i="13"/>
  <c r="E89" i="13"/>
  <c r="F87" i="13"/>
  <c r="G91" i="13"/>
  <c r="C87" i="13"/>
  <c r="B90" i="13"/>
  <c r="G74" i="13"/>
  <c r="C74" i="13"/>
  <c r="B89" i="13"/>
  <c r="G90" i="13"/>
  <c r="C90" i="13"/>
  <c r="D89" i="13"/>
  <c r="D90" i="13"/>
  <c r="G78" i="13"/>
  <c r="B78" i="13"/>
  <c r="F78" i="13"/>
  <c r="G77" i="13"/>
  <c r="C77" i="13"/>
  <c r="F74" i="13"/>
  <c r="G73" i="13"/>
  <c r="C73" i="13"/>
  <c r="B88" i="13"/>
  <c r="E91" i="13"/>
  <c r="F90" i="13"/>
  <c r="G89" i="13"/>
  <c r="C89" i="13"/>
  <c r="D88" i="13"/>
  <c r="E87" i="13"/>
  <c r="B74" i="13"/>
  <c r="C78" i="13"/>
  <c r="B77" i="13"/>
  <c r="E72" i="13"/>
  <c r="B91" i="13"/>
  <c r="B87" i="13"/>
  <c r="G88" i="13"/>
  <c r="E80" i="13"/>
  <c r="E76" i="13"/>
  <c r="D80" i="13"/>
  <c r="D76" i="13"/>
  <c r="B80" i="13"/>
  <c r="B76" i="13"/>
  <c r="G80" i="13"/>
  <c r="G76" i="13"/>
  <c r="C72" i="13"/>
  <c r="G72" i="13"/>
  <c r="P54" i="3"/>
  <c r="P53" i="3"/>
  <c r="P52" i="3"/>
  <c r="P51" i="3"/>
  <c r="P50" i="3"/>
  <c r="P49" i="3"/>
  <c r="P48" i="3"/>
  <c r="P47" i="3"/>
  <c r="P46" i="3"/>
  <c r="P45" i="3"/>
  <c r="P44" i="3"/>
  <c r="P43" i="3"/>
  <c r="P42" i="3"/>
  <c r="P41" i="3"/>
  <c r="P40" i="3"/>
  <c r="C126" i="13" s="1"/>
  <c r="P39" i="3"/>
  <c r="P38" i="3"/>
  <c r="P37" i="3"/>
  <c r="P36" i="3"/>
  <c r="C128" i="13" s="1"/>
  <c r="P35" i="3"/>
  <c r="P34" i="3"/>
  <c r="P32" i="3"/>
  <c r="P33" i="3"/>
  <c r="E134" i="13" l="1"/>
  <c r="E143" i="13"/>
  <c r="E139" i="13"/>
  <c r="E138" i="13"/>
  <c r="E124" i="13"/>
  <c r="G144" i="13"/>
  <c r="E135" i="13"/>
  <c r="E125" i="13"/>
  <c r="E140" i="13"/>
  <c r="E141" i="13"/>
  <c r="E132" i="13"/>
  <c r="E128" i="13"/>
  <c r="E129" i="13"/>
  <c r="E133" i="13"/>
  <c r="E142" i="13"/>
  <c r="E136" i="13"/>
  <c r="E137" i="13"/>
  <c r="L24" i="19"/>
  <c r="L25" i="19"/>
  <c r="L26" i="19"/>
  <c r="L27" i="19"/>
  <c r="L28" i="19"/>
  <c r="L29" i="19"/>
  <c r="L30" i="19"/>
  <c r="L31" i="19"/>
  <c r="L32" i="19"/>
  <c r="L33" i="19"/>
  <c r="L34" i="19"/>
  <c r="L35" i="19"/>
  <c r="L36" i="19"/>
  <c r="L37" i="19"/>
  <c r="B144" i="13"/>
  <c r="L38" i="19" l="1"/>
  <c r="A60" i="13"/>
  <c r="A61" i="13"/>
  <c r="A62" i="13"/>
  <c r="A63" i="13"/>
  <c r="A59" i="13"/>
  <c r="A48" i="13"/>
  <c r="A49" i="13"/>
  <c r="A50" i="13"/>
  <c r="A51" i="13"/>
  <c r="A52" i="13"/>
  <c r="J52" i="13" s="1"/>
  <c r="A53" i="13"/>
  <c r="E53" i="13" s="1"/>
  <c r="F47" i="13"/>
  <c r="E49" i="13" l="1"/>
  <c r="J48" i="13"/>
  <c r="G51" i="13"/>
  <c r="J50" i="13"/>
  <c r="B47" i="13"/>
  <c r="C50" i="13"/>
  <c r="D50" i="13"/>
  <c r="B50" i="13"/>
  <c r="E50" i="13"/>
  <c r="E47" i="13"/>
  <c r="G50" i="13"/>
  <c r="D47" i="13"/>
  <c r="F50" i="13"/>
  <c r="B61" i="13"/>
  <c r="F61" i="13"/>
  <c r="J61" i="13"/>
  <c r="E61" i="13"/>
  <c r="C61" i="13"/>
  <c r="G61" i="13"/>
  <c r="D61" i="13"/>
  <c r="B51" i="13"/>
  <c r="F51" i="13"/>
  <c r="E59" i="13"/>
  <c r="C59" i="13"/>
  <c r="J59" i="13"/>
  <c r="F59" i="13"/>
  <c r="D59" i="13"/>
  <c r="G59" i="13"/>
  <c r="B59" i="13"/>
  <c r="E51" i="13"/>
  <c r="B63" i="13"/>
  <c r="F63" i="13"/>
  <c r="G63" i="13"/>
  <c r="E63" i="13"/>
  <c r="J63" i="13"/>
  <c r="C63" i="13"/>
  <c r="D63" i="13"/>
  <c r="D60" i="13"/>
  <c r="J60" i="13"/>
  <c r="B60" i="13"/>
  <c r="F60" i="13"/>
  <c r="E60" i="13"/>
  <c r="G60" i="13"/>
  <c r="C60" i="13"/>
  <c r="D51" i="13"/>
  <c r="J62" i="13"/>
  <c r="D62" i="13"/>
  <c r="B62" i="13"/>
  <c r="E62" i="13"/>
  <c r="G62" i="13"/>
  <c r="F62" i="13"/>
  <c r="C62" i="13"/>
  <c r="G48" i="13"/>
  <c r="C49" i="13"/>
  <c r="D48" i="13"/>
  <c r="F48" i="13"/>
  <c r="C48" i="13"/>
  <c r="E52" i="13"/>
  <c r="B52" i="13"/>
  <c r="B48" i="13"/>
  <c r="C52" i="13"/>
  <c r="D52" i="13"/>
  <c r="G52" i="13"/>
  <c r="G49" i="13"/>
  <c r="E48" i="13"/>
  <c r="B49" i="13"/>
  <c r="F52" i="13"/>
  <c r="F49" i="13"/>
  <c r="J53" i="13"/>
  <c r="J49" i="13"/>
  <c r="J51" i="13"/>
  <c r="J47" i="13"/>
  <c r="B53" i="13"/>
  <c r="G53" i="13"/>
  <c r="F53" i="13"/>
  <c r="C53" i="13"/>
  <c r="C51" i="13"/>
  <c r="D53" i="13"/>
  <c r="D49" i="13"/>
  <c r="C47" i="13"/>
  <c r="G47" i="13"/>
  <c r="J64" i="13" l="1"/>
  <c r="J41" i="13" s="1"/>
  <c r="B64" i="13"/>
  <c r="B41" i="13" s="1"/>
  <c r="H59" i="13"/>
  <c r="G64" i="13"/>
  <c r="G41" i="13" s="1"/>
  <c r="H63" i="13"/>
  <c r="D64" i="13"/>
  <c r="D41" i="13" s="1"/>
  <c r="E64" i="13"/>
  <c r="E41" i="13" s="1"/>
  <c r="H62" i="13"/>
  <c r="H60" i="13"/>
  <c r="C64" i="13"/>
  <c r="C41" i="13" s="1"/>
  <c r="F64" i="13"/>
  <c r="F41" i="13" s="1"/>
  <c r="H61" i="13"/>
  <c r="N38" i="19"/>
  <c r="F38" i="19"/>
  <c r="G38" i="19"/>
  <c r="H38" i="19"/>
  <c r="I38" i="19"/>
  <c r="J38" i="19"/>
  <c r="K38" i="19"/>
  <c r="B8" i="19"/>
  <c r="B6" i="19"/>
  <c r="H64" i="13" l="1"/>
  <c r="B6" i="13"/>
  <c r="B8" i="13"/>
  <c r="A100" i="13"/>
  <c r="L100" i="13" s="1"/>
  <c r="A101" i="13"/>
  <c r="L101" i="13" s="1"/>
  <c r="A102" i="13"/>
  <c r="L102" i="13" s="1"/>
  <c r="A103" i="13"/>
  <c r="L103" i="13" s="1"/>
  <c r="A104" i="13"/>
  <c r="L104" i="13" s="1"/>
  <c r="A105" i="13"/>
  <c r="L105" i="13" s="1"/>
  <c r="A106" i="13"/>
  <c r="L106" i="13" s="1"/>
  <c r="A107" i="13"/>
  <c r="L107" i="13" s="1"/>
  <c r="A108" i="13"/>
  <c r="L108" i="13" s="1"/>
  <c r="A109" i="13"/>
  <c r="L109" i="13" s="1"/>
  <c r="A110" i="13"/>
  <c r="L110" i="13" s="1"/>
  <c r="A111" i="13"/>
  <c r="L111" i="13" s="1"/>
  <c r="A112" i="13"/>
  <c r="L112" i="13" s="1"/>
  <c r="A113" i="13"/>
  <c r="L113" i="13" s="1"/>
  <c r="A114" i="13"/>
  <c r="L114" i="13" s="1"/>
  <c r="A115" i="13"/>
  <c r="L115" i="13" s="1"/>
  <c r="A116" i="13"/>
  <c r="L116" i="13" s="1"/>
  <c r="A117" i="13"/>
  <c r="L117" i="13" s="1"/>
  <c r="A99" i="13"/>
  <c r="L99" i="13" s="1"/>
  <c r="A98" i="13"/>
  <c r="B92" i="13"/>
  <c r="C92" i="13"/>
  <c r="D92" i="13"/>
  <c r="E92" i="13"/>
  <c r="F92" i="13"/>
  <c r="G92" i="13"/>
  <c r="H91" i="13"/>
  <c r="H90" i="13"/>
  <c r="H89" i="13"/>
  <c r="H88" i="13"/>
  <c r="H87" i="13"/>
  <c r="H78" i="13"/>
  <c r="H79" i="13"/>
  <c r="H80" i="13"/>
  <c r="Z44" i="10"/>
  <c r="AA44" i="10"/>
  <c r="J71" i="13" s="1"/>
  <c r="J81" i="13" s="1"/>
  <c r="R44" i="10"/>
  <c r="B71" i="13" s="1"/>
  <c r="B81" i="13" s="1"/>
  <c r="K44" i="10"/>
  <c r="S44" i="10"/>
  <c r="C71" i="13" s="1"/>
  <c r="C81" i="13" s="1"/>
  <c r="L44" i="10"/>
  <c r="T44" i="10"/>
  <c r="D71" i="13" s="1"/>
  <c r="D81" i="13" s="1"/>
  <c r="J44" i="10"/>
  <c r="M44" i="10"/>
  <c r="U44" i="10"/>
  <c r="E71" i="13" s="1"/>
  <c r="E81" i="13" s="1"/>
  <c r="N44" i="10"/>
  <c r="V44" i="10"/>
  <c r="F71" i="13" s="1"/>
  <c r="F81" i="13" s="1"/>
  <c r="O44" i="10"/>
  <c r="W44" i="10"/>
  <c r="G71" i="13" s="1"/>
  <c r="G81" i="13" s="1"/>
  <c r="H77" i="13"/>
  <c r="H76" i="13"/>
  <c r="H75" i="13"/>
  <c r="H74" i="13"/>
  <c r="H73" i="13"/>
  <c r="H72" i="13"/>
  <c r="J54" i="13"/>
  <c r="B54" i="13"/>
  <c r="B40" i="13" s="1"/>
  <c r="B42" i="13" s="1"/>
  <c r="C54" i="13"/>
  <c r="C40" i="13" s="1"/>
  <c r="C42" i="13" s="1"/>
  <c r="D54" i="13"/>
  <c r="D40" i="13" s="1"/>
  <c r="D42" i="13" s="1"/>
  <c r="E54" i="13"/>
  <c r="E40" i="13" s="1"/>
  <c r="E42" i="13" s="1"/>
  <c r="F54" i="13"/>
  <c r="F40" i="13" s="1"/>
  <c r="F42" i="13" s="1"/>
  <c r="G54" i="13"/>
  <c r="G40" i="13" s="1"/>
  <c r="G42" i="13" s="1"/>
  <c r="H47" i="13"/>
  <c r="H48" i="13"/>
  <c r="H49" i="13"/>
  <c r="H50" i="13"/>
  <c r="H51" i="13"/>
  <c r="H52" i="13"/>
  <c r="H53" i="13"/>
  <c r="R55" i="3"/>
  <c r="A41" i="17"/>
  <c r="A42" i="17"/>
  <c r="A43" i="17"/>
  <c r="A39" i="17"/>
  <c r="A40" i="17"/>
  <c r="A37" i="17"/>
  <c r="A38" i="17"/>
  <c r="A35" i="17"/>
  <c r="A36" i="17"/>
  <c r="A26" i="17"/>
  <c r="A27" i="17"/>
  <c r="A28" i="17"/>
  <c r="A29" i="17"/>
  <c r="A30" i="17"/>
  <c r="A31" i="17"/>
  <c r="A32" i="17"/>
  <c r="A33" i="17"/>
  <c r="A34" i="17"/>
  <c r="A25" i="17"/>
  <c r="A24" i="17"/>
  <c r="O55" i="3"/>
  <c r="N55" i="3"/>
  <c r="M55" i="3"/>
  <c r="L55" i="3"/>
  <c r="K55" i="3"/>
  <c r="J55" i="3"/>
  <c r="P31" i="3"/>
  <c r="P30" i="3"/>
  <c r="P29" i="3"/>
  <c r="P28" i="3"/>
  <c r="P27" i="3"/>
  <c r="P26" i="3"/>
  <c r="P25" i="3"/>
  <c r="P24" i="3"/>
  <c r="P23" i="3"/>
  <c r="C127" i="13" s="1"/>
  <c r="B8" i="15"/>
  <c r="B6" i="15"/>
  <c r="B8" i="16"/>
  <c r="B6" i="16"/>
  <c r="B8" i="3"/>
  <c r="B6" i="3"/>
  <c r="B8" i="10"/>
  <c r="B6" i="10"/>
  <c r="C144" i="13" l="1"/>
  <c r="L98" i="13"/>
  <c r="L118" i="13" s="1"/>
  <c r="F98" i="13"/>
  <c r="F116" i="13"/>
  <c r="E116" i="13"/>
  <c r="F108" i="13"/>
  <c r="E108" i="13"/>
  <c r="F100" i="13"/>
  <c r="E100" i="13"/>
  <c r="E115" i="13"/>
  <c r="F115" i="13"/>
  <c r="E99" i="13"/>
  <c r="F99" i="13"/>
  <c r="F114" i="13"/>
  <c r="E114" i="13"/>
  <c r="E110" i="13"/>
  <c r="F110" i="13"/>
  <c r="F106" i="13"/>
  <c r="E106" i="13"/>
  <c r="E102" i="13"/>
  <c r="F102" i="13"/>
  <c r="F112" i="13"/>
  <c r="E112" i="13"/>
  <c r="F104" i="13"/>
  <c r="E104" i="13"/>
  <c r="E98" i="13"/>
  <c r="E111" i="13"/>
  <c r="F111" i="13"/>
  <c r="F107" i="13"/>
  <c r="E107" i="13"/>
  <c r="F103" i="13"/>
  <c r="E103" i="13"/>
  <c r="E117" i="13"/>
  <c r="F117" i="13"/>
  <c r="E113" i="13"/>
  <c r="F113" i="13"/>
  <c r="E109" i="13"/>
  <c r="F109" i="13"/>
  <c r="E105" i="13"/>
  <c r="F105" i="13"/>
  <c r="F101" i="13"/>
  <c r="E101" i="13"/>
  <c r="D116" i="13"/>
  <c r="C116" i="13"/>
  <c r="H116" i="13"/>
  <c r="G116" i="13"/>
  <c r="B116" i="13"/>
  <c r="D112" i="13"/>
  <c r="C112" i="13"/>
  <c r="H112" i="13"/>
  <c r="G112" i="13"/>
  <c r="B112" i="13"/>
  <c r="D108" i="13"/>
  <c r="C108" i="13"/>
  <c r="H108" i="13"/>
  <c r="G108" i="13"/>
  <c r="B108" i="13"/>
  <c r="D100" i="13"/>
  <c r="B100" i="13"/>
  <c r="C100" i="13"/>
  <c r="H100" i="13"/>
  <c r="G100" i="13"/>
  <c r="H98" i="13"/>
  <c r="G98" i="13"/>
  <c r="C98" i="13"/>
  <c r="D98" i="13"/>
  <c r="B98" i="13"/>
  <c r="C115" i="13"/>
  <c r="H115" i="13"/>
  <c r="G115" i="13"/>
  <c r="B115" i="13"/>
  <c r="D115" i="13"/>
  <c r="C111" i="13"/>
  <c r="D111" i="13"/>
  <c r="H111" i="13"/>
  <c r="G111" i="13"/>
  <c r="B111" i="13"/>
  <c r="C107" i="13"/>
  <c r="H107" i="13"/>
  <c r="G107" i="13"/>
  <c r="B107" i="13"/>
  <c r="D107" i="13"/>
  <c r="C103" i="13"/>
  <c r="H103" i="13"/>
  <c r="G103" i="13"/>
  <c r="B103" i="13"/>
  <c r="D103" i="13"/>
  <c r="H99" i="13"/>
  <c r="G99" i="13"/>
  <c r="B99" i="13"/>
  <c r="C99" i="13"/>
  <c r="D99" i="13"/>
  <c r="H114" i="13"/>
  <c r="G114" i="13"/>
  <c r="B114" i="13"/>
  <c r="D114" i="13"/>
  <c r="C114" i="13"/>
  <c r="H110" i="13"/>
  <c r="G110" i="13"/>
  <c r="B110" i="13"/>
  <c r="C110" i="13"/>
  <c r="D110" i="13"/>
  <c r="H106" i="13"/>
  <c r="G106" i="13"/>
  <c r="B106" i="13"/>
  <c r="C106" i="13"/>
  <c r="D106" i="13"/>
  <c r="H102" i="13"/>
  <c r="G102" i="13"/>
  <c r="B102" i="13"/>
  <c r="D102" i="13"/>
  <c r="C102" i="13"/>
  <c r="D104" i="13"/>
  <c r="C104" i="13"/>
  <c r="H104" i="13"/>
  <c r="G104" i="13"/>
  <c r="B104" i="13"/>
  <c r="H117" i="13"/>
  <c r="G117" i="13"/>
  <c r="D117" i="13"/>
  <c r="B117" i="13"/>
  <c r="C117" i="13"/>
  <c r="G113" i="13"/>
  <c r="B113" i="13"/>
  <c r="D113" i="13"/>
  <c r="C113" i="13"/>
  <c r="H113" i="13"/>
  <c r="D109" i="13"/>
  <c r="G109" i="13"/>
  <c r="C109" i="13"/>
  <c r="H109" i="13"/>
  <c r="B109" i="13"/>
  <c r="H105" i="13"/>
  <c r="D105" i="13"/>
  <c r="B105" i="13"/>
  <c r="C105" i="13"/>
  <c r="G105" i="13"/>
  <c r="G101" i="13"/>
  <c r="D101" i="13"/>
  <c r="H101" i="13"/>
  <c r="C101" i="13"/>
  <c r="B101" i="13"/>
  <c r="H71" i="13"/>
  <c r="H81" i="13" s="1"/>
  <c r="J40" i="13"/>
  <c r="J42" i="13" s="1"/>
  <c r="H41" i="13"/>
  <c r="H92" i="13"/>
  <c r="P44" i="10"/>
  <c r="X44" i="10"/>
  <c r="H54" i="13"/>
  <c r="P55" i="3"/>
  <c r="M33" i="16"/>
  <c r="N33" i="16"/>
  <c r="L33" i="16"/>
  <c r="K33" i="16"/>
  <c r="J33" i="16"/>
  <c r="I33" i="16"/>
  <c r="O32" i="16"/>
  <c r="O31" i="16"/>
  <c r="O30" i="16"/>
  <c r="O29" i="16"/>
  <c r="O28" i="16"/>
  <c r="O27" i="16"/>
  <c r="D130" i="13" s="1"/>
  <c r="E130" i="13" s="1"/>
  <c r="O26" i="16"/>
  <c r="O25" i="16"/>
  <c r="O24" i="16"/>
  <c r="D126" i="13" s="1"/>
  <c r="O23" i="16"/>
  <c r="D127" i="13" s="1"/>
  <c r="E127" i="13" s="1"/>
  <c r="J101" i="13" l="1"/>
  <c r="J102" i="13"/>
  <c r="I114" i="13"/>
  <c r="J99" i="13"/>
  <c r="J103" i="13"/>
  <c r="I115" i="13"/>
  <c r="I100" i="13"/>
  <c r="I116" i="13"/>
  <c r="D144" i="13"/>
  <c r="E126" i="13"/>
  <c r="E144" i="13" s="1"/>
  <c r="J116" i="13"/>
  <c r="I105" i="13"/>
  <c r="J117" i="13"/>
  <c r="J107" i="13"/>
  <c r="J109" i="13"/>
  <c r="J113" i="13"/>
  <c r="J110" i="13"/>
  <c r="J112" i="13"/>
  <c r="E118" i="13"/>
  <c r="F118" i="13"/>
  <c r="J104" i="13"/>
  <c r="J106" i="13"/>
  <c r="J111" i="13"/>
  <c r="J108" i="13"/>
  <c r="J105" i="13"/>
  <c r="J114" i="13"/>
  <c r="J115" i="13"/>
  <c r="J98" i="13"/>
  <c r="J100" i="13"/>
  <c r="I104" i="13"/>
  <c r="I106" i="13"/>
  <c r="I107" i="13"/>
  <c r="I111" i="13"/>
  <c r="I101" i="13"/>
  <c r="I108" i="13"/>
  <c r="I109" i="13"/>
  <c r="I102" i="13"/>
  <c r="I99" i="13"/>
  <c r="I103" i="13"/>
  <c r="D118" i="13"/>
  <c r="C118" i="13"/>
  <c r="I98" i="13"/>
  <c r="G118" i="13"/>
  <c r="I113" i="13"/>
  <c r="I117" i="13"/>
  <c r="I110" i="13"/>
  <c r="B118" i="13"/>
  <c r="H118" i="13"/>
  <c r="I112" i="13"/>
  <c r="H40" i="13"/>
  <c r="H42" i="13" s="1"/>
  <c r="O33" i="16"/>
  <c r="J118" i="13" l="1"/>
  <c r="I118" i="13"/>
  <c r="H27" i="15"/>
</calcChain>
</file>

<file path=xl/sharedStrings.xml><?xml version="1.0" encoding="utf-8"?>
<sst xmlns="http://schemas.openxmlformats.org/spreadsheetml/2006/main" count="445" uniqueCount="279">
  <si>
    <t>Notes</t>
  </si>
  <si>
    <t>Total</t>
  </si>
  <si>
    <t>Project title:</t>
  </si>
  <si>
    <t>Staffing costs</t>
  </si>
  <si>
    <t>Travel and subsistence</t>
  </si>
  <si>
    <t>IT costs</t>
  </si>
  <si>
    <t>Other</t>
  </si>
  <si>
    <t xml:space="preserve">The following checks will be included in our financial appraisal of the project: </t>
  </si>
  <si>
    <t>Activities and events</t>
  </si>
  <si>
    <t>Property purchase</t>
  </si>
  <si>
    <t>Capital refurbishment</t>
  </si>
  <si>
    <t>Glossary</t>
  </si>
  <si>
    <t>Lead organisation:</t>
  </si>
  <si>
    <t>Secured</t>
  </si>
  <si>
    <t>Secured in principle</t>
  </si>
  <si>
    <t>Secured with conditions</t>
  </si>
  <si>
    <t>Pending outcome</t>
  </si>
  <si>
    <t>Identified but not approached</t>
  </si>
  <si>
    <t>Does the model demonstrate how financial sustainability will be achieved?</t>
  </si>
  <si>
    <t>Are financial assumptions and estimates (including those used to value contributions in kind) transparent, reasonable, and consistent? For guidance:</t>
  </si>
  <si>
    <t>a</t>
  </si>
  <si>
    <t>c</t>
  </si>
  <si>
    <t>Staff costs should reflect actual pay rates plus on-costs incurred.</t>
  </si>
  <si>
    <t>Contributions in kind should have a present value that can be validated. Examples of contributions in kind might include staff, land, buildings and equipment. As a general rule, contributions in kind should be valued on the basis of direct cost or fair value.</t>
  </si>
  <si>
    <t>b</t>
  </si>
  <si>
    <t xml:space="preserve">Leveraged funding which is presented as a supplier discount may not be relevant, unless clear evidence is available of a further discount over the best price available and achieved in the market. </t>
  </si>
  <si>
    <t>Steady state</t>
  </si>
  <si>
    <t>Cash accounting</t>
  </si>
  <si>
    <t>Accounting method in which payment receipts are recorded during the period they are received, and expenses are recorded in the period in which they are actually paid.</t>
  </si>
  <si>
    <t>Does the proposed full bid indicate significant co-investment by partners necessary to achieve intended impacts and in line with potential contributions and benefits, including evidence setting out the extent to which any co-investment supporting research or innovation activity is additional funding, specific to the activities outlined.</t>
  </si>
  <si>
    <t>Cost basis</t>
  </si>
  <si>
    <t>Overheads</t>
  </si>
  <si>
    <t xml:space="preserve">Additional costs and operational expenses incurred directly as a result of the project. </t>
  </si>
  <si>
    <t xml:space="preserve"> - Indirect</t>
  </si>
  <si>
    <t xml:space="preserve"> - Direct</t>
  </si>
  <si>
    <t>Material and equipment intended for use on the project by cost.  Please ensure you remove the residual value from your calculation to keep it purely project specific.</t>
  </si>
  <si>
    <t>Residual value</t>
  </si>
  <si>
    <t>Material and equipment costs</t>
  </si>
  <si>
    <t>Professional fees</t>
  </si>
  <si>
    <t>Professional fees necessary to deliver the project, e.g. legal or consultancy fees.</t>
  </si>
  <si>
    <t>Travel &amp; subsistence</t>
  </si>
  <si>
    <t>Material &amp; equipment costs</t>
  </si>
  <si>
    <t>Other costs</t>
  </si>
  <si>
    <t>The value of material, equipment or capital asset that remains after the item has been depreciated.</t>
  </si>
  <si>
    <t>Sub-contractual fees</t>
  </si>
  <si>
    <t>Overheads associated with staff working directly on the project.  E.g. laptops, desks, office facilities, IT infrastructure.</t>
  </si>
  <si>
    <t>Overheads associated with back office functions (such as finance, HR, administration staff) whose primary function is to support the running of a business or research organisation.  Only a portion of their time can be claimed and their work needs to be additional to the delivery of the project and not the support they provide as part of business as usual.  Typically, these costs are not directly related to a particular project or service production.  Indirect overheads includes admin staff time, general office IT services, office supplies and security and safety costs, and building maintenance relating to administration office facilities.</t>
  </si>
  <si>
    <t>Equipment &amp; materials</t>
  </si>
  <si>
    <t>Professional fees (legal, consultancy, etc.)</t>
  </si>
  <si>
    <t>Challenge fund (or similar delegated scheme)</t>
  </si>
  <si>
    <t>Generated income</t>
  </si>
  <si>
    <t>Include past funding from UKRI and its constituent Councils.</t>
  </si>
  <si>
    <t>Do not include any unsuccessful applications.</t>
  </si>
  <si>
    <t>Funding body</t>
  </si>
  <si>
    <t>Programme or scheme</t>
  </si>
  <si>
    <t>Grant reference number
(UKRI councils' awards only)</t>
  </si>
  <si>
    <t>Activity period
(financial years)</t>
  </si>
  <si>
    <t>Briefly, describe how this funding is related to your SIPF proposal</t>
  </si>
  <si>
    <t>Amount of the award
(£'000)</t>
  </si>
  <si>
    <t>n/a</t>
  </si>
  <si>
    <t>Funds awarded, project complete</t>
  </si>
  <si>
    <t>2013-17</t>
  </si>
  <si>
    <t>Part-funded the building where SIPF project activity will be hosted</t>
  </si>
  <si>
    <t>UKRPIF</t>
  </si>
  <si>
    <t>THIS TAB TO BE HIDDEN IN FINAL VERSION OF SPREADSHEET</t>
  </si>
  <si>
    <t>APPLICATION STAGE</t>
  </si>
  <si>
    <t>Application being prepared</t>
  </si>
  <si>
    <t>Application submitted, awaiting notification</t>
  </si>
  <si>
    <t>Funds awarded, project yet to start</t>
  </si>
  <si>
    <t>Funds awarded, project in progress</t>
  </si>
  <si>
    <t>Description</t>
  </si>
  <si>
    <t>2021-22 (£'000)</t>
  </si>
  <si>
    <t>2022-23 (£'000)</t>
  </si>
  <si>
    <t>2023-24 (£'000)</t>
  </si>
  <si>
    <t>2024-25 (£'000)</t>
  </si>
  <si>
    <t>Add rows above if required</t>
  </si>
  <si>
    <t>HEFCE</t>
  </si>
  <si>
    <t>UKRI SIPF</t>
  </si>
  <si>
    <t>Cash leverage: required for state aid match</t>
  </si>
  <si>
    <t>Cash leverage: additional to any state aid requirements</t>
  </si>
  <si>
    <t>In-kind contribution: required for state aid match</t>
  </si>
  <si>
    <t>In-kind contribution: additional to any state aid requirements</t>
  </si>
  <si>
    <t>List of consortium partners with financial involvement</t>
  </si>
  <si>
    <t>Please enter one organisation per row</t>
  </si>
  <si>
    <t>CAPITAL COST TYPE</t>
  </si>
  <si>
    <t>Construction costs</t>
  </si>
  <si>
    <t>E.g. ABC Ltd or University X</t>
  </si>
  <si>
    <t>Example: Site for Building X</t>
  </si>
  <si>
    <t>OPERATING COST TYPE</t>
  </si>
  <si>
    <t>Non-capital property costs</t>
  </si>
  <si>
    <t>0. Project and consortium</t>
  </si>
  <si>
    <t>UKRI Strength in Places Fund</t>
  </si>
  <si>
    <t>Project ABCDE</t>
  </si>
  <si>
    <t>Steady State (£'000)</t>
  </si>
  <si>
    <t>Enter</t>
  </si>
  <si>
    <t>information</t>
  </si>
  <si>
    <t>in tab 0</t>
  </si>
  <si>
    <t>to populate</t>
  </si>
  <si>
    <t>this</t>
  </si>
  <si>
    <t>TOTAL PROJECT COSTS BY FUNDING TYPE</t>
  </si>
  <si>
    <t>Total project costs by funding type</t>
  </si>
  <si>
    <t>Operating costs by cost category</t>
  </si>
  <si>
    <t>OPERATING COSTS BY CATEGORY</t>
  </si>
  <si>
    <t>Items in lilac cells pulled in from Tab 0. Project and consortium</t>
  </si>
  <si>
    <t>Method of valuation for in-kind contributions</t>
  </si>
  <si>
    <t>Expected start month</t>
  </si>
  <si>
    <t>Expected end month</t>
  </si>
  <si>
    <t>(e.g.60)</t>
  </si>
  <si>
    <t>(e.g. £120)</t>
  </si>
  <si>
    <t>Example: Project manager x 2</t>
  </si>
  <si>
    <t>2021-22 (FTE)</t>
  </si>
  <si>
    <t>2022-23 (FTE)</t>
  </si>
  <si>
    <t>2023-24 (FTE)</t>
  </si>
  <si>
    <t>2024-25 (FTE)</t>
  </si>
  <si>
    <t>(e.g. 0.7)</t>
  </si>
  <si>
    <t>(e.g. 2.0)</t>
  </si>
  <si>
    <t>(e.g. 35)</t>
  </si>
  <si>
    <t>(e.g. 100)</t>
  </si>
  <si>
    <t>(e.g. 1.3)</t>
  </si>
  <si>
    <t>(e.g. 65)</t>
  </si>
  <si>
    <t>FTE for the roles described</t>
  </si>
  <si>
    <t>Costs for the roles described</t>
  </si>
  <si>
    <t>Steady state (FTE)</t>
  </si>
  <si>
    <t>Capital costs by cost category</t>
  </si>
  <si>
    <t>CAPITAL COSTS BY CATEGORY</t>
  </si>
  <si>
    <t>Total project costs by consortium member</t>
  </si>
  <si>
    <t>TOTAL PROJECT COSTS BY CONSORTIUM MEMBER</t>
  </si>
  <si>
    <t>Organisation name</t>
  </si>
  <si>
    <t>ORGANISATION TYPE</t>
  </si>
  <si>
    <t>Business (Large)</t>
  </si>
  <si>
    <t>Business (Medium)</t>
  </si>
  <si>
    <t>Business (Small or Micro)</t>
  </si>
  <si>
    <t>Research Organisation</t>
  </si>
  <si>
    <t>Research and Technology organisation</t>
  </si>
  <si>
    <t>Local government</t>
  </si>
  <si>
    <t>Local enterprise partnership</t>
  </si>
  <si>
    <t>Total leverage provided for state aid requirements</t>
  </si>
  <si>
    <t>Total leverage provided additional to state aid requirements</t>
  </si>
  <si>
    <t>Total leverage from organisation</t>
  </si>
  <si>
    <t>Total costs for organisation</t>
  </si>
  <si>
    <t>list</t>
  </si>
  <si>
    <t>Description of role(s)</t>
  </si>
  <si>
    <t>7. Other related funding</t>
  </si>
  <si>
    <t>TOTAL PROJECT INCOME AND COSTS</t>
  </si>
  <si>
    <t>Total income</t>
  </si>
  <si>
    <t>Total costs</t>
  </si>
  <si>
    <t>Balance</t>
  </si>
  <si>
    <t>Total project income and costs</t>
  </si>
  <si>
    <t>1.  Income for project</t>
  </si>
  <si>
    <t>2. Staffing costs detail</t>
  </si>
  <si>
    <t>3. Non-staffing operating costs detail</t>
  </si>
  <si>
    <t>4. Capital costs detail (if applicable)</t>
  </si>
  <si>
    <r>
      <t xml:space="preserve">List key relevant funding from other public or third sector bodies (national or international) that consortium members have received, or applied for, for this project </t>
    </r>
    <r>
      <rPr>
        <b/>
        <sz val="11"/>
        <color theme="1"/>
        <rFont val="Arial"/>
        <family val="2"/>
      </rPr>
      <t>or closely related projects</t>
    </r>
    <r>
      <rPr>
        <sz val="11"/>
        <color rgb="FF0B0C0C"/>
        <rFont val="Arial"/>
        <family val="2"/>
      </rPr>
      <t xml:space="preserve">. </t>
    </r>
  </si>
  <si>
    <t>FUNDING STATUS</t>
  </si>
  <si>
    <t>(e.g. 2000)</t>
  </si>
  <si>
    <t>[e.g. 20,000]</t>
  </si>
  <si>
    <t>Indirect overheads</t>
  </si>
  <si>
    <t>TOTAL PROJECT INCOME BY FUNDING TYPE</t>
  </si>
  <si>
    <t>Total project income by funding type</t>
  </si>
  <si>
    <t>Cash leverage</t>
  </si>
  <si>
    <t>In-kind contribution</t>
  </si>
  <si>
    <t>FUNDING TYPE (Costs)</t>
  </si>
  <si>
    <t>FUNDING TYPE (Income)</t>
  </si>
  <si>
    <t>(e.g. 250)</t>
  </si>
  <si>
    <t>In 'Expected end month' enter 'Ongoing' if the role is expected to continue after the SIPF funding period for this project.</t>
  </si>
  <si>
    <t>Total project income by consortium member</t>
  </si>
  <si>
    <t>TOTAL PROJECT INCOME BY CONSORTIUM MEMBER</t>
  </si>
  <si>
    <t>Total project income for organisation</t>
  </si>
  <si>
    <t>Notes:</t>
  </si>
  <si>
    <t>Sheet 0. Project &amp; consortium must be completed before staffing costs are entered.</t>
  </si>
  <si>
    <t>Notes (optional)</t>
  </si>
  <si>
    <t>For any entries where Project income type 'Other' is selected, please include a note to explain this selection (in the context of the other options).</t>
  </si>
  <si>
    <t>Add table rows above if required</t>
  </si>
  <si>
    <t>Sheet '0. Project &amp; consortium' must be completed before project income is entered.</t>
  </si>
  <si>
    <t>Sheet '0. Project &amp; consortium' must be completed before non-staff operating costs are entered.</t>
  </si>
  <si>
    <t>Sheet '0. Project &amp; consortium' must be completed before capital costs are entered.</t>
  </si>
  <si>
    <t>Please read the Guidance sheet before entering any data in the workbook.</t>
  </si>
  <si>
    <t>Guidance</t>
  </si>
  <si>
    <t>Summary of finances</t>
  </si>
  <si>
    <t>CONSORTIUM ORGANISATIONS</t>
  </si>
  <si>
    <t>If you have selected 'Other' for Funding Source or Funding Type please describe in Notes</t>
  </si>
  <si>
    <t>Method of valuation for in-kind contribution</t>
  </si>
  <si>
    <t>Cost type*</t>
  </si>
  <si>
    <t>Consortium member*</t>
  </si>
  <si>
    <t>Funding type*</t>
  </si>
  <si>
    <t>Status of leveraged funding*</t>
  </si>
  <si>
    <r>
      <t xml:space="preserve">All input cells are highlighted in blue. </t>
    </r>
    <r>
      <rPr>
        <sz val="11"/>
        <rFont val="Arial"/>
        <family val="2"/>
      </rPr>
      <t>Columns with drop-down selection for response are marked with an asterisk*</t>
    </r>
  </si>
  <si>
    <t>Organisation type*</t>
  </si>
  <si>
    <t>Project income type*</t>
  </si>
  <si>
    <t>Consortium partner*</t>
  </si>
  <si>
    <t>Funding source*</t>
  </si>
  <si>
    <t>(e.g. 10.0)</t>
  </si>
  <si>
    <t>Other organisation</t>
  </si>
  <si>
    <t>FUNDING SOURCES</t>
  </si>
  <si>
    <t>Funding Source*</t>
  </si>
  <si>
    <t>Funding source: XYZ County Council</t>
  </si>
  <si>
    <t>Example: Venue hire for workshops</t>
  </si>
  <si>
    <t>Published rates for external booking</t>
  </si>
  <si>
    <t>UKRI SIPF funding</t>
  </si>
  <si>
    <t>Other income</t>
  </si>
  <si>
    <t>Cash Leverage</t>
  </si>
  <si>
    <t>In-kind Leverage</t>
  </si>
  <si>
    <t>Staff costs</t>
  </si>
  <si>
    <t>Non-staff operating costs</t>
  </si>
  <si>
    <t>Capital costs</t>
  </si>
  <si>
    <t>(e.g. 500)</t>
  </si>
  <si>
    <t>(e.g. 4000)</t>
  </si>
  <si>
    <t>(e.g. 3000)</t>
  </si>
  <si>
    <t>(e.g. 12000)</t>
  </si>
  <si>
    <t>Overwrite the example text with your project name and consortium partners' details.</t>
  </si>
  <si>
    <t>Consortium member in receipt of / applying for the funding*</t>
  </si>
  <si>
    <t>Application stage*</t>
  </si>
  <si>
    <t>Any other costs which don't fit within designated categories. For example: training, preparation of technical reports, market assessments, licensing new technologies; patent filing costs for new IP (SMEs up to £7,500); regulatory / compliance costs.</t>
  </si>
  <si>
    <t>Please refer to the UKRI Strength in Places Fund general guidance and guidance provided alongside the application form within the Innovation Funding Service when completing this spreadsheet.</t>
  </si>
  <si>
    <r>
      <rPr>
        <b/>
        <sz val="11"/>
        <rFont val="Arial"/>
        <family val="2"/>
      </rPr>
      <t xml:space="preserve">Please start by completing the information on this sheet. </t>
    </r>
    <r>
      <rPr>
        <sz val="11"/>
        <rFont val="Arial"/>
        <family val="2"/>
      </rPr>
      <t>This will feed through to the other tabs where relevant.</t>
    </r>
  </si>
  <si>
    <t>For any in-kind contributions made by organisations outside the consortium, select the consortium partner that will manage the contribution. Use the Notes field to add the external organisation's name and any other essential information.</t>
  </si>
  <si>
    <t xml:space="preserve">All income for the project should be included on this sheet, linked to the consortium member managing that portion of the income. </t>
  </si>
  <si>
    <t xml:space="preserve">   For instance you may need to split the requested income from the UKRI Strength in Places fund across two or more rows, in order to clearly show the different consortium organisations that will use the funding.</t>
  </si>
  <si>
    <t>Status of leveraged funding must be completed where Project income type is Cash leverage or In-kind contribution.</t>
  </si>
  <si>
    <t>Costs relating to people engaged on a consultancy basis should be entered on sheet '3. Non-staff operating costs'</t>
  </si>
  <si>
    <t>Status of leveraged funding must be completed where Funding type is Cash leverage or In-kind contribution.</t>
  </si>
  <si>
    <t>Method of valuation for in-kind contributions must be completed where Funding type is In-kind contribution.</t>
  </si>
  <si>
    <t>Include travel and subsistence related to essential meetings that need to happen during the project.</t>
  </si>
  <si>
    <r>
      <rPr>
        <b/>
        <sz val="11"/>
        <color theme="1"/>
        <rFont val="Arial"/>
        <family val="2"/>
      </rPr>
      <t>Do not enter any data on this sheet</t>
    </r>
    <r>
      <rPr>
        <sz val="11"/>
        <color theme="1"/>
        <rFont val="Arial"/>
        <family val="2"/>
      </rPr>
      <t>, it will populate automatically from sheets 0-4.</t>
    </r>
  </si>
  <si>
    <t>Challenge fund (or similar delegated scheme) costs</t>
  </si>
  <si>
    <t>Amount of any competitive fund within the project. Do not include the costs of managing the competition and fund, which should be included in other categories.</t>
  </si>
  <si>
    <t>Where a Cost type of Indirect overheads is used, the Consortium member's Indirect overhead rate calculation should be stated in sheet '0. Project &amp; consortium'.</t>
  </si>
  <si>
    <t>Include all anticipated capital costs, or leave this sheet blank if your project will not incur capital costs</t>
  </si>
  <si>
    <t>For any costs funded by organisations outside the project consortium, select the Consortium member responsible for managing the related finances, Funding souce 'Other organisation', and add the external organisation's name in the Notes.</t>
  </si>
  <si>
    <t>The steady state figures should reflect likely staff and non-staff costs arising through the project that will be sustained following the end of the funding period. The figures should reflect all collaboration partners. Capital costs are not expected to form part of the steady state costs.</t>
  </si>
  <si>
    <t>Description of indirect overhead rate calculation method</t>
  </si>
  <si>
    <t>A brief description of the indirect overhead rate calculation method should be completed for any organisation for which indirect overheads are included in the project costs listed.</t>
  </si>
  <si>
    <t>Steady state figures should reflect likely staff costs arising through the project that will be sustained following the end of the funding period.</t>
  </si>
  <si>
    <t>Steady state figures should reflect likely income streams arising through the project that will be sustained following the end of the funding period.</t>
  </si>
  <si>
    <t>Steady state figures should reflect likely non-staff costs arising through the project that will be sustained following the end of the funding period.</t>
  </si>
  <si>
    <t>SIPF2019</t>
  </si>
  <si>
    <t>Locked sheets: GUIDANCE, SUMMARY, Validation</t>
  </si>
  <si>
    <t>PW FOR LOCKED SHEETS:</t>
  </si>
  <si>
    <t>Funding source</t>
  </si>
  <si>
    <t>The source of funding for the cost line being entered. For instance a member of project staff may be employed by the lead organisation but the post is funded by the Strength in Places Fund - so the correct selection from the drop-down list would be "UKRI Strength in Places Fund"</t>
  </si>
  <si>
    <t>UK Research and Innovation Strength in Places Fund - Wave 2</t>
  </si>
  <si>
    <t>Financial information for expression of interest proposals</t>
  </si>
  <si>
    <t>The lead organisation should ensure that all costs included are expected to be eligible under the applicable state aid regulations.</t>
  </si>
  <si>
    <t>Does the bid request UKRI Strength in Places funding of between £10m and £50m for the proposed project activities?</t>
  </si>
  <si>
    <t>Do the costs included reflect the activities described in the application form?</t>
  </si>
  <si>
    <t>Organisations should ensure that their approach to costing their proposal is clear and transparent.  Research organisations should follow the Transparent Approach to Costing (TRAC) principles but proposals do not have to be costed on the basis of any stated full economic costing (FEC) rate or percentage thereof. In determining the costing approach used, organisations should consider the financial sustainability of the activities being undertaken.</t>
  </si>
  <si>
    <t>Related funding</t>
  </si>
  <si>
    <r>
      <t xml:space="preserve">Key relevant funding from other public or third sector bodies (national or international) that consortium members have received, or applied for, </t>
    </r>
    <r>
      <rPr>
        <b/>
        <sz val="11"/>
        <rFont val="Arial"/>
        <family val="2"/>
      </rPr>
      <t>for this project or closely related projects</t>
    </r>
    <r>
      <rPr>
        <sz val="11"/>
        <rFont val="Arial"/>
        <family val="2"/>
      </rPr>
      <t>. This should include past funding from UKRI and its constituent Councils, but any unsuccessful applications should not be included.</t>
    </r>
  </si>
  <si>
    <t>Staffing costs should include direct overheads. Any indirect overheads should be entered on sheet '3. Non-staff operating costs' and Indirect overhead rate calculation briefly described in sheet '0. Project &amp; consortium'.</t>
  </si>
  <si>
    <t>(e.g. 50)</t>
  </si>
  <si>
    <t>Seedcorn bid development figures should reflect expected income for the full bid development period that will follow the SIPF expression of interest assessment period.</t>
  </si>
  <si>
    <t>(e.g. 0.2)</t>
  </si>
  <si>
    <t>2025-26 (FTE)</t>
  </si>
  <si>
    <t>2026-27 (FTE)</t>
  </si>
  <si>
    <t>2026-27 (£'000)</t>
  </si>
  <si>
    <t>2025-26 (£'000)</t>
  </si>
  <si>
    <t>(e.g. 10)</t>
  </si>
  <si>
    <t>Total 2021-27 (FTE)</t>
  </si>
  <si>
    <t>Total 2021-27 (£'000)</t>
  </si>
  <si>
    <t>Capital costs are not expected to be incurred during the seedcorn funded bid development period</t>
  </si>
  <si>
    <t>Seedcorn bid development period</t>
  </si>
  <si>
    <t>Does the bid request UKRI Strength in Places seedcorn funding of up to £50k for development of a full stage proposal?</t>
  </si>
  <si>
    <t>The period of up to 24 weeks during which Strength in Places Fund bids that are successful at expression of interest stage will develop their full stage bids. Up to £50,000 of seedcorn funding will be awarded by UKRI for each EOI selected to proceed. Income and costs for the seedcorn bid development period should be included on sheets 1, 2 and 3. Capital costs are not expected to be incurred during the seedcorn funded bid development period.</t>
  </si>
  <si>
    <t xml:space="preserve">If this cost will be significant (e.g. more than 5% of your staffing costs) you will need to provide strong justification in your bid for who is doing the work and why they are required. </t>
  </si>
  <si>
    <t>Total seedcorn bid development period costs</t>
  </si>
  <si>
    <t xml:space="preserve">Total seedcorn bid development period income </t>
  </si>
  <si>
    <t>The information in this financial information form should clearly support the objectives and activities described in the bid application.
It is appreciated that at expression of interest stage, amounts provided for income streams and costs may not be exact, however all information provided should be transparent, reasonable and consistent.</t>
  </si>
  <si>
    <t>Seedcorn bid development (£'000)</t>
  </si>
  <si>
    <t>TOTAL SEEDCORN BID DEVELOPMENT INCOME BY FUNDING TYPE</t>
  </si>
  <si>
    <t>TOTAL SEEDCORN BID DEVELOPMENT COSTS BY FUNDING TYPE</t>
  </si>
  <si>
    <t>Seedcorn bid development (FTE)</t>
  </si>
  <si>
    <t>Income (£'000)</t>
  </si>
  <si>
    <t>Costs (£'000)</t>
  </si>
  <si>
    <t>The template should be completed on a cash (rather than accounting) basis and must comply with the general principle that funding will not be paid in advance of need.
Financial years are used throughout.</t>
  </si>
  <si>
    <t>Method of valuation</t>
  </si>
  <si>
    <t>This version finalised 15/05/2019</t>
  </si>
  <si>
    <t xml:space="preserve">   (e.g. 20% of staff costs. For research organisations, note that SIPF proposals do not have to be costed on the basis of any stated full economic costing (fEC) rate or percentage thereof)</t>
  </si>
  <si>
    <t>Figures shown will not be accurate until sheets 0-4 have been completed, with responses provided for each drop-down selection.</t>
  </si>
  <si>
    <t>All input cells are highlighted in blue. Columns with drop-down selection for response are marked with an asterisk* and should be completed for each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</si>
</sst>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quot;£&quot;* #,##0_-;\-&quot;£&quot;* #,##0_-;_-&quot;£&quot;* &quot;-&quot;_-;_-@_-"/>
    <numFmt numFmtId="41" formatCode="_-* #,##0_-;\-* #,##0_-;_-* &quot;-&quot;_-;_-@_-"/>
    <numFmt numFmtId="44" formatCode="_-&quot;£&quot;* #,##0.00_-;\-&quot;£&quot;* #,##0.00_-;_-&quot;£&quot;* &quot;-&quot;??_-;_-@_-"/>
    <numFmt numFmtId="164" formatCode="_-[$£-809]* #,##0.00_-;\-[$£-809]* #,##0.00_-;_-[$£-809]* &quot;-&quot;??_-;_-@_-"/>
    <numFmt numFmtId="165" formatCode="_-[$£-809]* #,##0_-;\-[$£-809]* #,##0_-;_-[$£-809]* &quot;-&quot;_-;_-@_-"/>
    <numFmt numFmtId="166" formatCode="0.0"/>
    <numFmt numFmtId="167" formatCode="#,##0_ ;\-#,##0\ "/>
    <numFmt numFmtId="168" formatCode="#,##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4"/>
      <name val="Arial"/>
      <family val="2"/>
    </font>
    <font>
      <b/>
      <sz val="10.5"/>
      <name val="Arial"/>
      <family val="2"/>
    </font>
    <font>
      <sz val="10.5"/>
      <name val="Arial"/>
      <family val="2"/>
    </font>
    <font>
      <b/>
      <sz val="12"/>
      <name val="Arial"/>
      <family val="2"/>
    </font>
    <font>
      <sz val="12"/>
      <name val="Arial"/>
      <family val="2"/>
    </font>
    <font>
      <sz val="10"/>
      <color theme="0"/>
      <name val="Arial"/>
      <family val="2"/>
    </font>
    <font>
      <sz val="11"/>
      <name val="Arial"/>
      <family val="2"/>
    </font>
    <font>
      <b/>
      <sz val="11"/>
      <name val="Arial"/>
      <family val="2"/>
    </font>
    <font>
      <i/>
      <sz val="10"/>
      <name val="Arial"/>
      <family val="2"/>
    </font>
    <font>
      <sz val="11"/>
      <color rgb="FFFF0000"/>
      <name val="Arial"/>
      <family val="2"/>
    </font>
    <font>
      <sz val="10"/>
      <color rgb="FF002060"/>
      <name val="Arial"/>
      <family val="2"/>
    </font>
    <font>
      <sz val="10"/>
      <color rgb="FFFF0000"/>
      <name val="Arial"/>
      <family val="2"/>
    </font>
    <font>
      <b/>
      <sz val="12"/>
      <color rgb="FF0B0C0C"/>
      <name val="Arial"/>
      <family val="2"/>
    </font>
    <font>
      <u/>
      <sz val="11"/>
      <name val="Arial"/>
      <family val="2"/>
    </font>
    <font>
      <b/>
      <sz val="11"/>
      <color theme="1"/>
      <name val="Arial"/>
      <family val="2"/>
    </font>
    <font>
      <sz val="11"/>
      <color theme="0"/>
      <name val="Calibri"/>
      <family val="2"/>
      <scheme val="minor"/>
    </font>
    <font>
      <b/>
      <sz val="10"/>
      <color theme="0"/>
      <name val="Arial"/>
      <family val="2"/>
    </font>
    <font>
      <b/>
      <sz val="11"/>
      <color theme="0"/>
      <name val="Calibri"/>
      <family val="2"/>
      <scheme val="minor"/>
    </font>
    <font>
      <sz val="10"/>
      <color theme="1"/>
      <name val="Arial"/>
      <family val="2"/>
    </font>
    <font>
      <i/>
      <sz val="10"/>
      <color theme="1"/>
      <name val="Arial"/>
      <family val="2"/>
    </font>
    <font>
      <sz val="11"/>
      <color theme="1"/>
      <name val="Arial"/>
      <family val="2"/>
    </font>
    <font>
      <sz val="12"/>
      <color rgb="FF0B0C0C"/>
      <name val="Arial"/>
      <family val="2"/>
    </font>
    <font>
      <sz val="11"/>
      <color rgb="FF0B0C0C"/>
      <name val="Arial"/>
      <family val="2"/>
    </font>
    <font>
      <sz val="8"/>
      <color theme="1"/>
      <name val="Arial"/>
      <family val="2"/>
    </font>
    <font>
      <u/>
      <sz val="11"/>
      <color theme="1"/>
      <name val="Calibri"/>
      <family val="2"/>
      <scheme val="minor"/>
    </font>
    <font>
      <sz val="10"/>
      <name val="Arial"/>
      <family val="2"/>
    </font>
    <font>
      <i/>
      <sz val="11"/>
      <color rgb="FF00B050"/>
      <name val="Calibri"/>
      <family val="2"/>
      <scheme val="minor"/>
    </font>
    <font>
      <b/>
      <u/>
      <sz val="11"/>
      <color theme="1"/>
      <name val="Arial"/>
      <family val="2"/>
    </font>
    <font>
      <u/>
      <sz val="10.5"/>
      <name val="Arial"/>
      <family val="2"/>
    </font>
    <font>
      <u/>
      <sz val="11"/>
      <color theme="1"/>
      <name val="Arial"/>
      <family val="2"/>
    </font>
    <font>
      <sz val="11"/>
      <color rgb="FF7030A0"/>
      <name val="Arial"/>
      <family val="2"/>
    </font>
    <font>
      <sz val="12"/>
      <name val="Arial"/>
      <family val="2"/>
    </font>
    <font>
      <i/>
      <sz val="10"/>
      <color theme="1" tint="0.499984740745262"/>
      <name val="Arial"/>
      <family val="2"/>
    </font>
    <font>
      <sz val="10"/>
      <color theme="1" tint="0.499984740745262"/>
      <name val="Arial"/>
      <family val="2"/>
    </font>
    <font>
      <b/>
      <u/>
      <sz val="12"/>
      <name val="Arial"/>
      <family val="2"/>
    </font>
    <font>
      <b/>
      <i/>
      <sz val="10"/>
      <color theme="1" tint="0.499984740745262"/>
      <name val="Arial"/>
      <family val="2"/>
    </font>
    <font>
      <sz val="12"/>
      <color theme="1" tint="0.499984740745262"/>
      <name val="Arial"/>
      <family val="2"/>
    </font>
    <font>
      <sz val="10"/>
      <color rgb="FF7030A0"/>
      <name val="Arial"/>
      <family val="2"/>
    </font>
    <font>
      <u/>
      <sz val="11"/>
      <color rgb="FF7030A0"/>
      <name val="Arial"/>
      <family val="2"/>
    </font>
    <font>
      <b/>
      <u/>
      <sz val="11"/>
      <name val="Arial"/>
      <family val="2"/>
    </font>
    <font>
      <sz val="11"/>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rgb="FFFFFF00"/>
        <bgColor indexed="64"/>
      </patternFill>
    </fill>
    <fill>
      <patternFill patternType="solid">
        <fgColor theme="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theme="0" tint="-0.14999847407452621"/>
      </left>
      <right/>
      <top style="medium">
        <color theme="0" tint="-0.14999847407452621"/>
      </top>
      <bottom style="medium">
        <color theme="0" tint="-0.14999847407452621"/>
      </bottom>
      <diagonal/>
    </border>
    <border>
      <left/>
      <right/>
      <top style="medium">
        <color theme="0" tint="-0.14999847407452621"/>
      </top>
      <bottom style="medium">
        <color theme="0" tint="-0.14999847407452621"/>
      </bottom>
      <diagonal/>
    </border>
    <border>
      <left/>
      <right style="medium">
        <color theme="0" tint="-0.499984740745262"/>
      </right>
      <top/>
      <bottom/>
      <diagonal/>
    </border>
    <border>
      <left/>
      <right style="medium">
        <color theme="0" tint="-0.499984740745262"/>
      </right>
      <top style="medium">
        <color theme="0" tint="-0.14999847407452621"/>
      </top>
      <bottom/>
      <diagonal/>
    </border>
    <border>
      <left/>
      <right style="medium">
        <color theme="0"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right style="thin">
        <color theme="1" tint="0.499984740745262"/>
      </right>
      <top style="thin">
        <color theme="1" tint="0.499984740745262"/>
      </top>
      <bottom style="double">
        <color indexed="64"/>
      </bottom>
      <diagonal/>
    </border>
    <border>
      <left style="thin">
        <color theme="1" tint="0.499984740745262"/>
      </left>
      <right/>
      <top style="thin">
        <color theme="1" tint="0.499984740745262"/>
      </top>
      <bottom style="double">
        <color indexed="64"/>
      </bottom>
      <diagonal/>
    </border>
  </borders>
  <cellStyleXfs count="8">
    <xf numFmtId="0" fontId="0" fillId="0" borderId="0"/>
    <xf numFmtId="0" fontId="8" fillId="0" borderId="0"/>
    <xf numFmtId="0" fontId="7" fillId="0" borderId="0"/>
    <xf numFmtId="44" fontId="36" fillId="0" borderId="0" applyFont="0" applyFill="0" applyBorder="0" applyAlignment="0" applyProtection="0"/>
    <xf numFmtId="0" fontId="9" fillId="0" borderId="0"/>
    <xf numFmtId="0" fontId="3" fillId="0" borderId="0"/>
    <xf numFmtId="0" fontId="3" fillId="0" borderId="0"/>
    <xf numFmtId="44" fontId="9" fillId="0" borderId="0" applyFont="0" applyFill="0" applyBorder="0" applyAlignment="0" applyProtection="0"/>
  </cellStyleXfs>
  <cellXfs count="228">
    <xf numFmtId="0" fontId="0" fillId="0" borderId="0" xfId="0"/>
    <xf numFmtId="0" fontId="10" fillId="0" borderId="0" xfId="0" applyFont="1"/>
    <xf numFmtId="0" fontId="11" fillId="0" borderId="0" xfId="0" applyFont="1"/>
    <xf numFmtId="0" fontId="11" fillId="0" borderId="0" xfId="0" applyFont="1" applyAlignment="1">
      <alignment vertical="center"/>
    </xf>
    <xf numFmtId="0" fontId="12" fillId="0" borderId="0" xfId="0" applyFont="1"/>
    <xf numFmtId="0" fontId="13" fillId="0" borderId="0" xfId="0" applyFont="1" applyAlignment="1">
      <alignment horizontal="right"/>
    </xf>
    <xf numFmtId="0" fontId="13" fillId="0" borderId="0" xfId="0" applyFont="1"/>
    <xf numFmtId="0" fontId="12" fillId="0" borderId="0" xfId="0" applyFont="1" applyAlignment="1">
      <alignment vertical="center"/>
    </xf>
    <xf numFmtId="0" fontId="13" fillId="0" borderId="0" xfId="0" applyFont="1" applyAlignment="1">
      <alignment vertical="top" wrapText="1"/>
    </xf>
    <xf numFmtId="0" fontId="13" fillId="0" borderId="0" xfId="0" applyFont="1" applyAlignment="1">
      <alignment wrapText="1"/>
    </xf>
    <xf numFmtId="0" fontId="13" fillId="0" borderId="0" xfId="0" applyFont="1" applyBorder="1"/>
    <xf numFmtId="0" fontId="15" fillId="0" borderId="0" xfId="0" applyFont="1"/>
    <xf numFmtId="0" fontId="14" fillId="0" borderId="0" xfId="0" applyFont="1"/>
    <xf numFmtId="0" fontId="13" fillId="0" borderId="0" xfId="0" applyFont="1" applyAlignment="1">
      <alignment horizontal="left" vertical="center"/>
    </xf>
    <xf numFmtId="0" fontId="19" fillId="0" borderId="0" xfId="0" applyFont="1"/>
    <xf numFmtId="0" fontId="15" fillId="0" borderId="0" xfId="0" applyFont="1" applyBorder="1"/>
    <xf numFmtId="0" fontId="9" fillId="0" borderId="0" xfId="0" applyFont="1"/>
    <xf numFmtId="0" fontId="9" fillId="0" borderId="0" xfId="0" applyFont="1" applyAlignment="1">
      <alignment horizontal="right"/>
    </xf>
    <xf numFmtId="0" fontId="21" fillId="0" borderId="0" xfId="0" applyFont="1"/>
    <xf numFmtId="0" fontId="17" fillId="0" borderId="0" xfId="0" applyFont="1"/>
    <xf numFmtId="0" fontId="11" fillId="0" borderId="0" xfId="0" applyFont="1" applyAlignment="1" applyProtection="1">
      <alignment vertical="center"/>
      <protection locked="0"/>
    </xf>
    <xf numFmtId="0" fontId="12" fillId="0" borderId="0" xfId="0" applyFont="1" applyAlignment="1" applyProtection="1">
      <alignment vertical="center"/>
      <protection locked="0"/>
    </xf>
    <xf numFmtId="0" fontId="0" fillId="0" borderId="0" xfId="0" applyAlignment="1">
      <alignment wrapText="1"/>
    </xf>
    <xf numFmtId="0" fontId="11" fillId="0" borderId="0" xfId="0" applyFont="1" applyFill="1" applyAlignment="1">
      <alignment vertical="center"/>
    </xf>
    <xf numFmtId="0" fontId="14" fillId="0" borderId="0" xfId="0" applyFont="1" applyFill="1"/>
    <xf numFmtId="0" fontId="17" fillId="0" borderId="0" xfId="0" applyFont="1" applyFill="1" applyAlignment="1">
      <alignment vertical="top"/>
    </xf>
    <xf numFmtId="0" fontId="9" fillId="0" borderId="0" xfId="0" applyFont="1" applyFill="1" applyAlignment="1">
      <alignment vertical="top"/>
    </xf>
    <xf numFmtId="0" fontId="22" fillId="0" borderId="0" xfId="0" applyFont="1" applyFill="1" applyAlignment="1">
      <alignment vertical="top"/>
    </xf>
    <xf numFmtId="0" fontId="20" fillId="0" borderId="0" xfId="0" applyFont="1" applyFill="1" applyAlignment="1">
      <alignment vertical="top"/>
    </xf>
    <xf numFmtId="0" fontId="23" fillId="0" borderId="0" xfId="1" applyFont="1" applyAlignment="1">
      <alignment vertical="center"/>
    </xf>
    <xf numFmtId="0" fontId="17" fillId="0" borderId="0" xfId="0" applyFont="1" applyFill="1" applyAlignment="1">
      <alignment horizontal="right" vertical="top"/>
    </xf>
    <xf numFmtId="0" fontId="20" fillId="0" borderId="0" xfId="0" applyFont="1" applyFill="1" applyAlignment="1">
      <alignment horizontal="right" vertical="top"/>
    </xf>
    <xf numFmtId="0" fontId="14" fillId="0" borderId="0" xfId="0" applyFont="1" applyFill="1" applyAlignment="1">
      <alignment vertical="center"/>
    </xf>
    <xf numFmtId="0" fontId="18" fillId="0" borderId="0" xfId="0" applyFont="1" applyFill="1" applyAlignment="1">
      <alignment vertical="top" wrapText="1"/>
    </xf>
    <xf numFmtId="0" fontId="17" fillId="0" borderId="0" xfId="0" applyFont="1" applyFill="1" applyAlignment="1">
      <alignment vertical="top" wrapText="1"/>
    </xf>
    <xf numFmtId="0" fontId="18" fillId="0" borderId="0" xfId="0" applyFont="1" applyFill="1" applyAlignment="1">
      <alignment vertical="top"/>
    </xf>
    <xf numFmtId="0" fontId="18" fillId="0" borderId="0" xfId="0" applyFont="1"/>
    <xf numFmtId="0" fontId="25" fillId="0" borderId="0" xfId="0" applyFont="1"/>
    <xf numFmtId="0" fontId="24" fillId="0" borderId="0" xfId="0" applyFont="1"/>
    <xf numFmtId="0" fontId="28" fillId="4" borderId="0" xfId="2" applyFont="1" applyFill="1"/>
    <xf numFmtId="0" fontId="26" fillId="4" borderId="0" xfId="2" applyFont="1" applyFill="1"/>
    <xf numFmtId="0" fontId="7" fillId="0" borderId="0" xfId="2"/>
    <xf numFmtId="0" fontId="0" fillId="0" borderId="0" xfId="0" applyFont="1" applyFill="1" applyBorder="1"/>
    <xf numFmtId="0" fontId="0" fillId="0" borderId="0" xfId="0" applyFont="1" applyFill="1" applyBorder="1" applyAlignment="1">
      <alignment wrapText="1"/>
    </xf>
    <xf numFmtId="42" fontId="9" fillId="0" borderId="0" xfId="0" applyNumberFormat="1" applyFont="1" applyFill="1" applyBorder="1"/>
    <xf numFmtId="0" fontId="9" fillId="0" borderId="0" xfId="0" applyFont="1" applyFill="1" applyBorder="1" applyAlignment="1">
      <alignment wrapText="1"/>
    </xf>
    <xf numFmtId="0" fontId="0" fillId="0" borderId="0" xfId="0"/>
    <xf numFmtId="0" fontId="9" fillId="0" borderId="0" xfId="0" applyFont="1" applyAlignment="1">
      <alignment wrapText="1"/>
    </xf>
    <xf numFmtId="0" fontId="31" fillId="0" borderId="0" xfId="1" applyFont="1"/>
    <xf numFmtId="0" fontId="25" fillId="0" borderId="0" xfId="1" applyFont="1"/>
    <xf numFmtId="0" fontId="32" fillId="0" borderId="0" xfId="1" applyFont="1" applyAlignment="1">
      <alignment horizontal="left" vertical="center" indent="5"/>
    </xf>
    <xf numFmtId="0" fontId="33" fillId="0" borderId="0" xfId="1" applyFont="1" applyAlignment="1">
      <alignment horizontal="left" vertical="center" indent="5"/>
    </xf>
    <xf numFmtId="0" fontId="34" fillId="0" borderId="0" xfId="1" applyFont="1" applyAlignment="1">
      <alignment vertical="center"/>
    </xf>
    <xf numFmtId="3" fontId="31" fillId="0" borderId="0" xfId="1" applyNumberFormat="1" applyFont="1"/>
    <xf numFmtId="0" fontId="29" fillId="2" borderId="0" xfId="1" applyFont="1" applyFill="1" applyAlignment="1">
      <alignment wrapText="1"/>
    </xf>
    <xf numFmtId="0" fontId="29" fillId="0" borderId="0" xfId="1" applyFont="1"/>
    <xf numFmtId="0" fontId="16" fillId="0" borderId="0" xfId="1" applyFont="1" applyAlignment="1">
      <alignment wrapText="1"/>
    </xf>
    <xf numFmtId="3" fontId="16" fillId="0" borderId="0" xfId="1" applyNumberFormat="1" applyFont="1" applyAlignment="1">
      <alignment wrapText="1"/>
    </xf>
    <xf numFmtId="0" fontId="16" fillId="0" borderId="0" xfId="1" applyFont="1"/>
    <xf numFmtId="0" fontId="29" fillId="0" borderId="0" xfId="0" applyNumberFormat="1" applyFont="1" applyFill="1" applyBorder="1" applyAlignment="1" applyProtection="1">
      <alignment wrapText="1"/>
    </xf>
    <xf numFmtId="0" fontId="35" fillId="0" borderId="0" xfId="2" applyFont="1"/>
    <xf numFmtId="0" fontId="6" fillId="0" borderId="0" xfId="2" applyFont="1"/>
    <xf numFmtId="0" fontId="7" fillId="6" borderId="0" xfId="2" applyFill="1"/>
    <xf numFmtId="0" fontId="9" fillId="0" borderId="0" xfId="0" applyFont="1" applyAlignment="1">
      <alignment horizontal="center"/>
    </xf>
    <xf numFmtId="0" fontId="9" fillId="0" borderId="0" xfId="1" applyFont="1" applyFill="1" applyAlignment="1">
      <alignment wrapText="1"/>
    </xf>
    <xf numFmtId="42" fontId="9" fillId="0" borderId="0" xfId="0" applyNumberFormat="1" applyFont="1" applyFill="1" applyBorder="1" applyAlignment="1">
      <alignment wrapText="1"/>
    </xf>
    <xf numFmtId="0" fontId="10" fillId="0" borderId="0" xfId="0" applyFont="1" applyFill="1" applyBorder="1" applyAlignment="1">
      <alignment wrapText="1"/>
    </xf>
    <xf numFmtId="0" fontId="10" fillId="0" borderId="0" xfId="0" applyFont="1" applyFill="1" applyAlignment="1">
      <alignment wrapText="1"/>
    </xf>
    <xf numFmtId="0" fontId="10" fillId="0" borderId="0" xfId="0" applyFont="1" applyAlignment="1">
      <alignment wrapText="1"/>
    </xf>
    <xf numFmtId="0" fontId="38" fillId="0" borderId="0" xfId="0" applyFont="1"/>
    <xf numFmtId="0" fontId="9" fillId="2" borderId="0" xfId="1" applyFont="1" applyFill="1" applyAlignment="1">
      <alignment wrapText="1"/>
    </xf>
    <xf numFmtId="0" fontId="15" fillId="0" borderId="0" xfId="0" applyFont="1" applyAlignment="1">
      <alignment wrapText="1"/>
    </xf>
    <xf numFmtId="0" fontId="9" fillId="2" borderId="0" xfId="0" applyFont="1" applyFill="1" applyAlignment="1">
      <alignment horizontal="left" vertical="center" wrapText="1"/>
    </xf>
    <xf numFmtId="0" fontId="9" fillId="2" borderId="0" xfId="0" applyFont="1" applyFill="1" applyAlignment="1">
      <alignment wrapText="1"/>
    </xf>
    <xf numFmtId="166" fontId="9" fillId="2" borderId="0" xfId="0" applyNumberFormat="1" applyFont="1" applyFill="1" applyAlignment="1">
      <alignment wrapText="1"/>
    </xf>
    <xf numFmtId="166" fontId="9" fillId="0" borderId="0" xfId="0" applyNumberFormat="1" applyFont="1" applyAlignment="1">
      <alignment wrapText="1"/>
    </xf>
    <xf numFmtId="165" fontId="10" fillId="0" borderId="0" xfId="0" applyNumberFormat="1" applyFont="1" applyAlignment="1">
      <alignment wrapText="1"/>
    </xf>
    <xf numFmtId="0" fontId="0" fillId="0" borderId="0" xfId="0"/>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wrapText="1"/>
    </xf>
    <xf numFmtId="0" fontId="25" fillId="2" borderId="1" xfId="0" applyFont="1" applyFill="1" applyBorder="1" applyAlignment="1">
      <alignment wrapText="1"/>
    </xf>
    <xf numFmtId="0" fontId="27" fillId="5" borderId="1" xfId="0" applyFont="1" applyFill="1" applyBorder="1" applyAlignment="1">
      <alignment wrapText="1"/>
    </xf>
    <xf numFmtId="0" fontId="0" fillId="2" borderId="1" xfId="0" applyFill="1" applyBorder="1" applyAlignment="1">
      <alignment wrapText="1"/>
    </xf>
    <xf numFmtId="0" fontId="9" fillId="2" borderId="1" xfId="0" applyFont="1" applyFill="1" applyBorder="1" applyAlignment="1">
      <alignment wrapText="1"/>
    </xf>
    <xf numFmtId="0" fontId="11" fillId="0" borderId="0" xfId="0" applyFont="1" applyFill="1"/>
    <xf numFmtId="0" fontId="9" fillId="0" borderId="0" xfId="0" applyFont="1" applyAlignment="1">
      <alignment wrapText="1"/>
    </xf>
    <xf numFmtId="0" fontId="0" fillId="0" borderId="0" xfId="0"/>
    <xf numFmtId="0" fontId="5" fillId="0" borderId="0" xfId="2" applyFont="1"/>
    <xf numFmtId="0" fontId="0" fillId="0" borderId="0" xfId="0" applyAlignment="1">
      <alignment wrapText="1"/>
    </xf>
    <xf numFmtId="0" fontId="0" fillId="2" borderId="0" xfId="0" applyFill="1" applyAlignment="1">
      <alignment wrapText="1"/>
    </xf>
    <xf numFmtId="0" fontId="9" fillId="0" borderId="0" xfId="0" applyFont="1" applyAlignment="1">
      <alignment horizontal="left" vertical="center" wrapText="1"/>
    </xf>
    <xf numFmtId="165" fontId="9" fillId="0" borderId="0" xfId="0" applyNumberFormat="1" applyFont="1" applyAlignment="1">
      <alignment wrapText="1"/>
    </xf>
    <xf numFmtId="3" fontId="9" fillId="2" borderId="0" xfId="0" applyNumberFormat="1" applyFont="1" applyFill="1" applyAlignment="1">
      <alignment wrapText="1"/>
    </xf>
    <xf numFmtId="3" fontId="10" fillId="0" borderId="0" xfId="0" applyNumberFormat="1" applyFont="1" applyAlignment="1">
      <alignment wrapText="1"/>
    </xf>
    <xf numFmtId="0" fontId="0" fillId="0" borderId="0" xfId="1" applyFont="1" applyFill="1" applyBorder="1" applyAlignment="1">
      <alignment wrapText="1"/>
    </xf>
    <xf numFmtId="0" fontId="0" fillId="0" borderId="0" xfId="1" applyNumberFormat="1" applyFont="1" applyFill="1" applyBorder="1" applyAlignment="1">
      <alignment wrapText="1"/>
    </xf>
    <xf numFmtId="0" fontId="31" fillId="0" borderId="0" xfId="0" applyFont="1"/>
    <xf numFmtId="0" fontId="13" fillId="0" borderId="0" xfId="0" quotePrefix="1" applyFont="1" applyBorder="1" applyAlignment="1">
      <alignment vertical="top"/>
    </xf>
    <xf numFmtId="0" fontId="39" fillId="0" borderId="0" xfId="0" applyFont="1"/>
    <xf numFmtId="0" fontId="21" fillId="0" borderId="0" xfId="0" applyFont="1" applyAlignment="1">
      <alignment wrapText="1"/>
    </xf>
    <xf numFmtId="0" fontId="19" fillId="2" borderId="0" xfId="0" applyFont="1" applyFill="1" applyBorder="1" applyAlignment="1">
      <alignment wrapText="1"/>
    </xf>
    <xf numFmtId="0" fontId="24" fillId="0" borderId="0" xfId="0" applyFont="1" applyAlignment="1">
      <alignment wrapText="1"/>
    </xf>
    <xf numFmtId="0" fontId="40" fillId="0" borderId="0" xfId="0" applyFont="1"/>
    <xf numFmtId="0" fontId="37" fillId="0" borderId="0" xfId="2" applyFont="1" applyAlignment="1">
      <alignment wrapText="1"/>
    </xf>
    <xf numFmtId="0" fontId="4" fillId="0" borderId="0" xfId="2" applyFont="1"/>
    <xf numFmtId="0" fontId="41" fillId="0" borderId="0" xfId="0" applyFont="1"/>
    <xf numFmtId="165" fontId="9" fillId="2" borderId="0" xfId="0" applyNumberFormat="1" applyFont="1" applyFill="1" applyAlignment="1">
      <alignment wrapText="1"/>
    </xf>
    <xf numFmtId="0" fontId="9" fillId="2" borderId="0" xfId="0" quotePrefix="1" applyFont="1" applyFill="1" applyAlignment="1">
      <alignment horizontal="left" vertical="center" wrapText="1"/>
    </xf>
    <xf numFmtId="0" fontId="9" fillId="0" borderId="4" xfId="0" applyFont="1" applyFill="1" applyBorder="1" applyAlignment="1">
      <alignment wrapText="1"/>
    </xf>
    <xf numFmtId="0" fontId="9" fillId="2" borderId="4" xfId="0" applyFont="1" applyFill="1" applyBorder="1" applyAlignment="1">
      <alignment wrapText="1"/>
    </xf>
    <xf numFmtId="0" fontId="9" fillId="0" borderId="4" xfId="0" applyFont="1" applyBorder="1" applyAlignment="1">
      <alignment wrapText="1"/>
    </xf>
    <xf numFmtId="0" fontId="9" fillId="0" borderId="5" xfId="0" applyFont="1" applyFill="1" applyBorder="1" applyAlignment="1">
      <alignment wrapText="1"/>
    </xf>
    <xf numFmtId="0" fontId="10" fillId="0" borderId="5" xfId="0" applyFont="1" applyFill="1" applyBorder="1" applyAlignment="1">
      <alignment wrapText="1"/>
    </xf>
    <xf numFmtId="166" fontId="10" fillId="0" borderId="4" xfId="0" applyNumberFormat="1" applyFont="1" applyFill="1" applyBorder="1" applyAlignment="1">
      <alignment wrapText="1"/>
    </xf>
    <xf numFmtId="166" fontId="10" fillId="0" borderId="4" xfId="0" applyNumberFormat="1" applyFont="1" applyBorder="1" applyAlignment="1">
      <alignment wrapText="1"/>
    </xf>
    <xf numFmtId="166" fontId="42" fillId="2" borderId="0" xfId="0" applyNumberFormat="1" applyFont="1" applyFill="1" applyAlignment="1">
      <alignment wrapText="1"/>
    </xf>
    <xf numFmtId="0" fontId="43" fillId="3" borderId="0" xfId="1" applyFont="1" applyFill="1" applyAlignment="1">
      <alignment wrapText="1"/>
    </xf>
    <xf numFmtId="42" fontId="43" fillId="3" borderId="0" xfId="0" applyNumberFormat="1" applyFont="1" applyFill="1" applyBorder="1" applyAlignment="1">
      <alignment wrapText="1"/>
    </xf>
    <xf numFmtId="0" fontId="44" fillId="0" borderId="0" xfId="0" applyFont="1" applyAlignment="1">
      <alignment horizontal="center" wrapText="1"/>
    </xf>
    <xf numFmtId="3" fontId="9" fillId="0" borderId="0" xfId="1" applyNumberFormat="1" applyFont="1" applyFill="1" applyAlignment="1">
      <alignment wrapText="1"/>
    </xf>
    <xf numFmtId="3" fontId="9" fillId="0" borderId="0" xfId="0" applyNumberFormat="1" applyFont="1" applyFill="1" applyBorder="1" applyAlignment="1">
      <alignment wrapText="1"/>
    </xf>
    <xf numFmtId="3" fontId="9" fillId="0" borderId="0" xfId="0" applyNumberFormat="1" applyFont="1" applyFill="1" applyAlignment="1">
      <alignment wrapText="1"/>
    </xf>
    <xf numFmtId="0" fontId="9" fillId="0" borderId="6" xfId="0" applyFont="1" applyBorder="1" applyAlignment="1">
      <alignment wrapText="1"/>
    </xf>
    <xf numFmtId="3" fontId="9" fillId="0" borderId="4" xfId="1" applyNumberFormat="1" applyFont="1" applyFill="1" applyBorder="1" applyAlignment="1">
      <alignment wrapText="1"/>
    </xf>
    <xf numFmtId="3" fontId="9" fillId="0" borderId="4" xfId="0" applyNumberFormat="1" applyFont="1" applyFill="1" applyBorder="1" applyAlignment="1">
      <alignment wrapText="1"/>
    </xf>
    <xf numFmtId="3" fontId="9" fillId="0" borderId="0" xfId="1" applyNumberFormat="1" applyFont="1" applyFill="1" applyBorder="1" applyAlignment="1">
      <alignment wrapText="1"/>
    </xf>
    <xf numFmtId="0" fontId="9" fillId="0" borderId="7" xfId="0" applyFont="1" applyBorder="1" applyAlignment="1">
      <alignment wrapText="1"/>
    </xf>
    <xf numFmtId="3" fontId="10" fillId="0" borderId="0" xfId="0" applyNumberFormat="1" applyFont="1" applyFill="1" applyAlignment="1">
      <alignment wrapText="1"/>
    </xf>
    <xf numFmtId="0" fontId="9" fillId="2" borderId="0" xfId="0" applyFont="1" applyFill="1" applyBorder="1" applyAlignment="1">
      <alignment wrapText="1"/>
    </xf>
    <xf numFmtId="42" fontId="9" fillId="2" borderId="0" xfId="0" applyNumberFormat="1" applyFont="1" applyFill="1" applyBorder="1" applyAlignment="1">
      <alignment wrapText="1"/>
    </xf>
    <xf numFmtId="42" fontId="9" fillId="2" borderId="0" xfId="0" applyNumberFormat="1" applyFont="1" applyFill="1" applyAlignment="1">
      <alignment wrapText="1"/>
    </xf>
    <xf numFmtId="0" fontId="9" fillId="2" borderId="0" xfId="0" quotePrefix="1" applyFont="1" applyFill="1" applyAlignment="1">
      <alignment wrapText="1"/>
    </xf>
    <xf numFmtId="42" fontId="9" fillId="0" borderId="0" xfId="0" applyNumberFormat="1" applyFont="1" applyAlignment="1">
      <alignment wrapText="1"/>
    </xf>
    <xf numFmtId="3" fontId="9" fillId="0" borderId="0" xfId="0" applyNumberFormat="1" applyFont="1"/>
    <xf numFmtId="3" fontId="9" fillId="0" borderId="0" xfId="0" applyNumberFormat="1" applyFont="1" applyFill="1"/>
    <xf numFmtId="3" fontId="9" fillId="0" borderId="0" xfId="0" applyNumberFormat="1" applyFont="1" applyAlignment="1">
      <alignment wrapText="1"/>
    </xf>
    <xf numFmtId="3" fontId="10" fillId="0" borderId="0" xfId="0" applyNumberFormat="1" applyFont="1" applyFill="1" applyBorder="1" applyAlignment="1">
      <alignment wrapText="1"/>
    </xf>
    <xf numFmtId="3" fontId="10" fillId="0" borderId="4" xfId="0" applyNumberFormat="1" applyFont="1" applyFill="1" applyBorder="1" applyAlignment="1">
      <alignment wrapText="1"/>
    </xf>
    <xf numFmtId="3" fontId="9" fillId="0" borderId="0" xfId="0" applyNumberFormat="1" applyFont="1" applyAlignment="1">
      <alignment horizontal="center"/>
    </xf>
    <xf numFmtId="3" fontId="9" fillId="0" borderId="0" xfId="0" applyNumberFormat="1" applyFont="1" applyFill="1" applyBorder="1"/>
    <xf numFmtId="3" fontId="21" fillId="0" borderId="0" xfId="0" applyNumberFormat="1" applyFont="1"/>
    <xf numFmtId="3" fontId="10" fillId="0" borderId="0" xfId="0" applyNumberFormat="1" applyFont="1"/>
    <xf numFmtId="3" fontId="10" fillId="0" borderId="0" xfId="0" applyNumberFormat="1" applyFont="1" applyFill="1"/>
    <xf numFmtId="3" fontId="0" fillId="0" borderId="0" xfId="1" applyNumberFormat="1" applyFont="1" applyFill="1" applyBorder="1" applyAlignment="1">
      <alignment wrapText="1"/>
    </xf>
    <xf numFmtId="3" fontId="0" fillId="0" borderId="0" xfId="0" applyNumberFormat="1" applyFont="1" applyFill="1" applyBorder="1" applyAlignment="1">
      <alignment wrapText="1"/>
    </xf>
    <xf numFmtId="3" fontId="29" fillId="2" borderId="0" xfId="1" applyNumberFormat="1" applyFont="1" applyFill="1" applyAlignment="1">
      <alignment wrapText="1"/>
    </xf>
    <xf numFmtId="3" fontId="29" fillId="0" borderId="0" xfId="0" applyNumberFormat="1" applyFont="1" applyFill="1" applyBorder="1" applyAlignment="1" applyProtection="1">
      <alignment wrapText="1"/>
    </xf>
    <xf numFmtId="0" fontId="40" fillId="0" borderId="0" xfId="1" applyFont="1"/>
    <xf numFmtId="0" fontId="31" fillId="0" borderId="0" xfId="0" quotePrefix="1" applyFont="1"/>
    <xf numFmtId="0" fontId="17" fillId="0" borderId="0" xfId="4" applyFont="1" applyFill="1" applyAlignment="1">
      <alignment vertical="top"/>
    </xf>
    <xf numFmtId="0" fontId="17" fillId="0" borderId="0" xfId="4" applyFont="1" applyFill="1" applyAlignment="1">
      <alignment horizontal="right" vertical="top"/>
    </xf>
    <xf numFmtId="0" fontId="18" fillId="0" borderId="0" xfId="4" applyFont="1" applyFill="1" applyAlignment="1">
      <alignment vertical="top"/>
    </xf>
    <xf numFmtId="3" fontId="0" fillId="2" borderId="0" xfId="3" applyNumberFormat="1" applyFont="1" applyFill="1" applyAlignment="1">
      <alignment wrapText="1"/>
    </xf>
    <xf numFmtId="3" fontId="0" fillId="0" borderId="0" xfId="3" applyNumberFormat="1" applyFont="1" applyAlignment="1">
      <alignment wrapText="1"/>
    </xf>
    <xf numFmtId="3" fontId="0" fillId="2" borderId="0" xfId="0" applyNumberFormat="1" applyFont="1" applyFill="1" applyBorder="1" applyAlignment="1">
      <alignment wrapText="1"/>
    </xf>
    <xf numFmtId="3" fontId="0" fillId="2" borderId="0" xfId="0" applyNumberFormat="1" applyFont="1" applyFill="1" applyAlignment="1">
      <alignment wrapText="1"/>
    </xf>
    <xf numFmtId="0" fontId="19" fillId="2" borderId="0" xfId="0" applyFont="1" applyFill="1" applyAlignment="1">
      <alignment wrapText="1"/>
    </xf>
    <xf numFmtId="167" fontId="0" fillId="0" borderId="0" xfId="0" applyNumberFormat="1" applyFont="1" applyAlignment="1">
      <alignment wrapText="1"/>
    </xf>
    <xf numFmtId="3" fontId="0" fillId="0" borderId="0" xfId="0" applyNumberFormat="1" applyAlignment="1">
      <alignment wrapText="1"/>
    </xf>
    <xf numFmtId="42" fontId="0" fillId="2" borderId="0" xfId="0" applyNumberFormat="1" applyFont="1" applyFill="1" applyBorder="1" applyAlignment="1">
      <alignment wrapText="1"/>
    </xf>
    <xf numFmtId="42" fontId="0" fillId="2" borderId="0" xfId="0" applyNumberFormat="1" applyFont="1" applyFill="1" applyAlignment="1">
      <alignment wrapText="1"/>
    </xf>
    <xf numFmtId="0" fontId="17" fillId="0" borderId="0" xfId="0" applyFont="1" applyAlignment="1">
      <alignment wrapText="1"/>
    </xf>
    <xf numFmtId="0" fontId="30" fillId="2" borderId="0" xfId="1" applyFont="1" applyFill="1" applyAlignment="1">
      <alignment wrapText="1"/>
    </xf>
    <xf numFmtId="42" fontId="0" fillId="0" borderId="0" xfId="0" applyNumberFormat="1" applyAlignment="1">
      <alignment wrapText="1"/>
    </xf>
    <xf numFmtId="0" fontId="0" fillId="2" borderId="0" xfId="0" applyFont="1" applyFill="1" applyBorder="1" applyAlignment="1">
      <alignment wrapText="1"/>
    </xf>
    <xf numFmtId="42" fontId="0" fillId="0" borderId="0" xfId="0" applyNumberFormat="1" applyFont="1" applyFill="1" applyBorder="1" applyAlignment="1">
      <alignment wrapText="1"/>
    </xf>
    <xf numFmtId="0" fontId="9" fillId="0" borderId="0" xfId="0" applyFont="1" applyFill="1"/>
    <xf numFmtId="0" fontId="2" fillId="7" borderId="0" xfId="2" applyFont="1" applyFill="1"/>
    <xf numFmtId="0" fontId="7" fillId="7" borderId="0" xfId="2" applyFill="1"/>
    <xf numFmtId="3" fontId="43" fillId="3" borderId="0" xfId="1" applyNumberFormat="1" applyFont="1" applyFill="1" applyAlignment="1">
      <alignment wrapText="1"/>
    </xf>
    <xf numFmtId="0" fontId="44" fillId="0" borderId="0" xfId="0" applyFont="1" applyFill="1" applyAlignment="1">
      <alignment wrapText="1"/>
    </xf>
    <xf numFmtId="0" fontId="44" fillId="0" borderId="0" xfId="0" applyFont="1" applyFill="1"/>
    <xf numFmtId="0" fontId="43" fillId="3" borderId="4" xfId="1" applyFont="1" applyFill="1" applyBorder="1" applyAlignment="1">
      <alignment wrapText="1"/>
    </xf>
    <xf numFmtId="17" fontId="43" fillId="3" borderId="0" xfId="1" applyNumberFormat="1" applyFont="1" applyFill="1" applyAlignment="1">
      <alignment wrapText="1"/>
    </xf>
    <xf numFmtId="17" fontId="43" fillId="3" borderId="4" xfId="1" applyNumberFormat="1" applyFont="1" applyFill="1" applyBorder="1" applyAlignment="1">
      <alignment wrapText="1"/>
    </xf>
    <xf numFmtId="166" fontId="43" fillId="3" borderId="0" xfId="1" applyNumberFormat="1" applyFont="1" applyFill="1" applyAlignment="1">
      <alignment wrapText="1"/>
    </xf>
    <xf numFmtId="166" fontId="46" fillId="3" borderId="4" xfId="1" applyNumberFormat="1" applyFont="1" applyFill="1" applyBorder="1" applyAlignment="1">
      <alignment wrapText="1"/>
    </xf>
    <xf numFmtId="165" fontId="43" fillId="3" borderId="0" xfId="1" applyNumberFormat="1" applyFont="1" applyFill="1" applyAlignment="1">
      <alignment wrapText="1"/>
    </xf>
    <xf numFmtId="165" fontId="46" fillId="3" borderId="0" xfId="3" applyNumberFormat="1" applyFont="1" applyFill="1" applyAlignment="1">
      <alignment wrapText="1"/>
    </xf>
    <xf numFmtId="0" fontId="47" fillId="0" borderId="0" xfId="0" applyFont="1" applyAlignment="1">
      <alignment wrapText="1"/>
    </xf>
    <xf numFmtId="0" fontId="44" fillId="0" borderId="0" xfId="0" applyFont="1" applyAlignment="1">
      <alignment wrapText="1"/>
    </xf>
    <xf numFmtId="164" fontId="43" fillId="3" borderId="0" xfId="1" applyNumberFormat="1" applyFont="1" applyFill="1" applyAlignment="1">
      <alignment wrapText="1"/>
    </xf>
    <xf numFmtId="0" fontId="44" fillId="0" borderId="0" xfId="0" applyFont="1"/>
    <xf numFmtId="0" fontId="44" fillId="0" borderId="0" xfId="1" applyFont="1"/>
    <xf numFmtId="0" fontId="48" fillId="0" borderId="0" xfId="0" applyFont="1"/>
    <xf numFmtId="0" fontId="0" fillId="9" borderId="0" xfId="0" applyFill="1" applyAlignment="1">
      <alignment wrapText="1"/>
    </xf>
    <xf numFmtId="0" fontId="9" fillId="10" borderId="0" xfId="0" applyFont="1" applyFill="1" applyBorder="1" applyAlignment="1">
      <alignment wrapText="1"/>
    </xf>
    <xf numFmtId="17" fontId="43" fillId="3" borderId="0" xfId="1" applyNumberFormat="1" applyFont="1" applyFill="1" applyBorder="1" applyAlignment="1">
      <alignment wrapText="1"/>
    </xf>
    <xf numFmtId="166" fontId="9" fillId="9" borderId="0" xfId="0" applyNumberFormat="1" applyFont="1" applyFill="1" applyAlignment="1">
      <alignment wrapText="1"/>
    </xf>
    <xf numFmtId="165" fontId="9" fillId="9" borderId="0" xfId="0" applyNumberFormat="1" applyFont="1" applyFill="1" applyAlignment="1">
      <alignment wrapText="1"/>
    </xf>
    <xf numFmtId="0" fontId="49" fillId="0" borderId="0" xfId="0" applyFont="1"/>
    <xf numFmtId="0" fontId="50" fillId="0" borderId="0" xfId="0" applyFont="1"/>
    <xf numFmtId="0" fontId="9" fillId="0" borderId="8" xfId="1" applyNumberFormat="1" applyFont="1" applyBorder="1" applyAlignment="1">
      <alignment wrapText="1"/>
    </xf>
    <xf numFmtId="0" fontId="27" fillId="5" borderId="10" xfId="0" applyFont="1" applyFill="1" applyBorder="1" applyAlignment="1">
      <alignment wrapText="1"/>
    </xf>
    <xf numFmtId="0" fontId="27" fillId="5" borderId="11" xfId="0" applyFont="1" applyFill="1" applyBorder="1" applyAlignment="1">
      <alignment wrapText="1"/>
    </xf>
    <xf numFmtId="0" fontId="9" fillId="0" borderId="13" xfId="0" applyNumberFormat="1" applyFont="1" applyFill="1" applyBorder="1" applyAlignment="1" applyProtection="1">
      <alignment wrapText="1"/>
    </xf>
    <xf numFmtId="0" fontId="9" fillId="0" borderId="14" xfId="1" applyNumberFormat="1" applyFont="1" applyBorder="1" applyAlignment="1">
      <alignment wrapText="1"/>
    </xf>
    <xf numFmtId="168" fontId="9" fillId="0" borderId="9" xfId="1" applyNumberFormat="1" applyFont="1" applyBorder="1" applyAlignment="1">
      <alignment wrapText="1"/>
    </xf>
    <xf numFmtId="168" fontId="9" fillId="0" borderId="9" xfId="0" applyNumberFormat="1" applyFont="1" applyBorder="1" applyAlignment="1">
      <alignment wrapText="1"/>
    </xf>
    <xf numFmtId="168" fontId="9" fillId="0" borderId="15" xfId="0" applyNumberFormat="1" applyFont="1" applyBorder="1" applyAlignment="1">
      <alignment wrapText="1"/>
    </xf>
    <xf numFmtId="168" fontId="9" fillId="0" borderId="12" xfId="0" applyNumberFormat="1" applyFont="1" applyBorder="1" applyAlignment="1">
      <alignment wrapText="1"/>
    </xf>
    <xf numFmtId="168" fontId="9" fillId="0" borderId="15" xfId="1" applyNumberFormat="1" applyFont="1" applyBorder="1" applyAlignment="1">
      <alignment wrapText="1"/>
    </xf>
    <xf numFmtId="168" fontId="9" fillId="0" borderId="12" xfId="0" applyNumberFormat="1" applyFont="1" applyFill="1" applyBorder="1" applyAlignment="1" applyProtection="1">
      <alignment wrapText="1"/>
    </xf>
    <xf numFmtId="0" fontId="14" fillId="0" borderId="0" xfId="0" applyFont="1" applyFill="1" applyAlignment="1">
      <alignment vertical="top"/>
    </xf>
    <xf numFmtId="0" fontId="0" fillId="0" borderId="0" xfId="0" applyAlignment="1">
      <alignment vertical="top"/>
    </xf>
    <xf numFmtId="0" fontId="11" fillId="0" borderId="0" xfId="0" applyFont="1" applyFill="1" applyAlignment="1">
      <alignment vertical="top"/>
    </xf>
    <xf numFmtId="0" fontId="13" fillId="0" borderId="0" xfId="0" applyFont="1" applyFill="1" applyAlignment="1">
      <alignment vertical="top"/>
    </xf>
    <xf numFmtId="0" fontId="17" fillId="0" borderId="0" xfId="0" applyFont="1" applyFill="1" applyAlignment="1">
      <alignment horizontal="left" vertical="top" wrapText="1"/>
    </xf>
    <xf numFmtId="0" fontId="17" fillId="0" borderId="0" xfId="0" applyFont="1" applyFill="1" applyAlignment="1">
      <alignment horizontal="right" vertical="top" wrapText="1"/>
    </xf>
    <xf numFmtId="0" fontId="18" fillId="0" borderId="0" xfId="0" applyFont="1" applyFill="1" applyAlignment="1">
      <alignment horizontal="right" vertical="top" wrapText="1"/>
    </xf>
    <xf numFmtId="0" fontId="18" fillId="0" borderId="0" xfId="0" applyFont="1" applyFill="1" applyAlignment="1">
      <alignment horizontal="left" vertical="top" wrapText="1"/>
    </xf>
    <xf numFmtId="0" fontId="9" fillId="0" borderId="0" xfId="0" applyFont="1" applyAlignment="1">
      <alignment vertical="top"/>
    </xf>
    <xf numFmtId="0" fontId="13" fillId="0" borderId="0" xfId="0" applyFont="1" applyFill="1" applyAlignment="1">
      <alignment vertical="top" wrapText="1"/>
    </xf>
    <xf numFmtId="0" fontId="45" fillId="0" borderId="0" xfId="0" applyFont="1" applyFill="1" applyAlignment="1">
      <alignment vertical="top"/>
    </xf>
    <xf numFmtId="0" fontId="51" fillId="8" borderId="0" xfId="2" applyFont="1" applyFill="1"/>
    <xf numFmtId="0" fontId="1" fillId="11" borderId="0" xfId="2" applyFont="1" applyFill="1"/>
    <xf numFmtId="41" fontId="17" fillId="0" borderId="0" xfId="0" applyNumberFormat="1" applyFont="1"/>
    <xf numFmtId="37" fontId="0" fillId="0" borderId="0" xfId="1" applyNumberFormat="1" applyFont="1" applyFill="1" applyBorder="1" applyAlignment="1">
      <alignment wrapText="1"/>
    </xf>
    <xf numFmtId="37" fontId="10" fillId="0" borderId="0" xfId="1" applyNumberFormat="1" applyFont="1" applyFill="1" applyBorder="1" applyAlignment="1">
      <alignment wrapText="1"/>
    </xf>
    <xf numFmtId="37" fontId="0" fillId="0" borderId="0" xfId="0" applyNumberFormat="1" applyFont="1" applyFill="1" applyBorder="1" applyAlignment="1" applyProtection="1">
      <alignment wrapText="1"/>
    </xf>
    <xf numFmtId="37" fontId="10" fillId="0" borderId="0" xfId="0" applyNumberFormat="1" applyFont="1" applyFill="1" applyBorder="1" applyAlignment="1" applyProtection="1">
      <alignment wrapText="1"/>
    </xf>
    <xf numFmtId="37" fontId="9" fillId="0" borderId="0" xfId="0" applyNumberFormat="1" applyFont="1" applyFill="1" applyBorder="1"/>
    <xf numFmtId="37" fontId="10" fillId="0" borderId="0" xfId="0" applyNumberFormat="1" applyFont="1" applyFill="1"/>
    <xf numFmtId="0" fontId="17" fillId="0" borderId="0" xfId="0" applyFont="1" applyFill="1" applyAlignment="1">
      <alignment horizontal="left" vertical="top" wrapText="1"/>
    </xf>
    <xf numFmtId="0" fontId="18" fillId="2" borderId="0" xfId="0" applyFont="1" applyFill="1" applyAlignment="1">
      <alignment horizontal="left" vertical="top" wrapText="1"/>
    </xf>
    <xf numFmtId="0" fontId="27" fillId="5" borderId="2" xfId="0" applyFont="1" applyFill="1" applyBorder="1" applyAlignment="1">
      <alignment horizontal="center" wrapText="1"/>
    </xf>
    <xf numFmtId="0" fontId="27" fillId="5" borderId="3" xfId="0" applyFont="1" applyFill="1" applyBorder="1" applyAlignment="1">
      <alignment horizontal="center" wrapText="1"/>
    </xf>
  </cellXfs>
  <cellStyles count="8">
    <cellStyle name="Currency" xfId="3" builtinId="4"/>
    <cellStyle name="Currency 2" xfId="7"/>
    <cellStyle name="Normal" xfId="0" builtinId="0"/>
    <cellStyle name="Normal 2" xfId="1"/>
    <cellStyle name="Normal 2 2" xfId="5"/>
    <cellStyle name="Normal 3" xfId="2"/>
    <cellStyle name="Normal 3 2" xfId="6"/>
    <cellStyle name="Normal 4" xfId="4"/>
  </cellStyles>
  <dxfs count="347">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scheme val="none"/>
      </font>
      <alignment horizontal="general" vertical="bottom" textRotation="0" wrapText="1" indent="0" justifyLastLine="0" shrinkToFit="0" readingOrder="0"/>
    </dxf>
    <dxf>
      <font>
        <strike val="0"/>
        <outline val="0"/>
        <shadow val="0"/>
        <u val="none"/>
        <vertAlign val="baseline"/>
        <sz val="10"/>
        <color theme="1"/>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bottom" textRotation="0" wrapText="1" indent="0" justifyLastLine="0" shrinkToFit="0" readingOrder="0"/>
    </dxf>
    <dxf>
      <font>
        <strike val="0"/>
        <outline val="0"/>
        <shadow val="0"/>
        <u val="none"/>
        <vertAlign val="baseline"/>
        <sz val="11"/>
        <color theme="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solid">
          <fgColor indexed="64"/>
          <bgColor theme="8" tint="0.79998168889431442"/>
        </patternFill>
      </fill>
      <alignment horizontal="general" vertical="bottom" textRotation="0" wrapText="1" indent="0" justifyLastLine="0" shrinkToFit="0" readingOrder="0"/>
    </dxf>
    <dxf>
      <numFmt numFmtId="32" formatCode="_-&quot;£&quot;* #,##0_-;\-&quot;£&quot;* #,##0_-;_-&quot;£&quot;* &quot;-&quot;_-;_-@_-"/>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solid">
          <fgColor indexed="64"/>
          <bgColor theme="8"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solid">
          <fgColor indexed="64"/>
          <bgColor theme="8" tint="0.79998168889431442"/>
        </patternFill>
      </fill>
      <alignment vertical="bottom" textRotation="0" wrapText="1" indent="0" justifyLastLine="0" shrinkToFit="0" readingOrder="0"/>
    </dxf>
    <dxf>
      <font>
        <strike val="0"/>
        <outline val="0"/>
        <shadow val="0"/>
        <u val="none"/>
        <vertAlign val="baseline"/>
        <sz val="10"/>
        <name val="Arial"/>
        <scheme val="none"/>
      </font>
      <alignment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vertical="bottom" textRotation="0" wrapText="1" indent="0" justifyLastLine="0" shrinkToFit="0" readingOrder="0"/>
    </dxf>
    <dxf>
      <font>
        <strike val="0"/>
        <outline val="0"/>
        <shadow val="0"/>
        <u val="none"/>
        <vertAlign val="baseline"/>
        <sz val="1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alignment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fill>
        <patternFill patternType="solid">
          <fgColor indexed="64"/>
          <bgColor theme="9" tint="0.39997558519241921"/>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0"/>
        <name val="Arial"/>
        <scheme val="none"/>
      </font>
      <fill>
        <patternFill patternType="solid">
          <fgColor indexed="64"/>
          <bgColor theme="8" tint="0.79998168889431442"/>
        </patternFill>
      </fill>
      <alignment vertical="bottom" textRotation="0" wrapText="1" indent="0" justifyLastLine="0" shrinkToFit="0" readingOrder="0"/>
    </dxf>
    <dxf>
      <font>
        <strike val="0"/>
        <outline val="0"/>
        <shadow val="0"/>
        <u val="none"/>
        <vertAlign val="baseline"/>
        <sz val="10"/>
        <name val="Arial"/>
        <scheme val="none"/>
      </font>
      <alignment vertical="bottom" textRotation="0" wrapText="1" indent="0" justifyLastLine="0" shrinkToFit="0" readingOrder="0"/>
    </dxf>
    <dxf>
      <font>
        <strike val="0"/>
        <outline val="0"/>
        <shadow val="0"/>
        <u val="none"/>
        <vertAlign val="baseline"/>
        <sz val="10"/>
        <name val="Arial"/>
        <scheme val="none"/>
      </font>
      <alignment vertical="bottom" textRotation="0" wrapText="1" indent="0" justifyLastLine="0" shrinkToFit="0" readingOrder="0"/>
    </dxf>
    <dxf>
      <font>
        <strike val="0"/>
        <outline val="0"/>
        <shadow val="0"/>
        <u val="none"/>
        <vertAlign val="baseline"/>
        <sz val="10"/>
        <name val="Arial"/>
        <scheme val="none"/>
      </font>
      <alignment horizontal="general" vertical="bottom" textRotation="0" wrapText="1" indent="0" justifyLastLine="0" shrinkToFit="0" readingOrder="0"/>
    </dxf>
    <dxf>
      <numFmt numFmtId="32" formatCode="_-&quot;£&quot;* #,##0_-;\-&quot;£&quot;* #,##0_-;_-&quot;£&quot;* &quot;-&quot;_-;_-@_-"/>
      <alignment textRotation="0" wrapText="1" indent="0" justifyLastLine="0" shrinkToFit="0" readingOrder="0"/>
    </dxf>
    <dxf>
      <font>
        <b val="0"/>
        <i val="0"/>
        <strike val="0"/>
        <condense val="0"/>
        <extend val="0"/>
        <outline val="0"/>
        <shadow val="0"/>
        <u val="none"/>
        <vertAlign val="baseline"/>
        <sz val="10"/>
        <color auto="1"/>
        <name val="Arial"/>
        <scheme val="none"/>
      </font>
      <numFmt numFmtId="32" formatCode="_-&quot;£&quot;* #,##0_-;\-&quot;£&quot;* #,##0_-;_-&quot;£&quot;* &quot;-&quot;_-;_-@_-"/>
      <fill>
        <patternFill patternType="solid">
          <fgColor indexed="64"/>
          <bgColor theme="8" tint="0.79998168889431442"/>
        </patternFill>
      </fill>
      <alignment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alignment horizontal="general"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8" tint="0.79998168889431442"/>
        </patternFill>
      </fill>
      <alignment horizontal="general"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165" formatCode="_-[$£-809]* #,##0_-;\-[$£-809]* #,##0_-;_-[$£-809]* &quot;-&quot;_-;_-@_-"/>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alignment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fill>
        <patternFill patternType="solid">
          <fgColor indexed="64"/>
          <bgColor theme="9" tint="0.39997558519241921"/>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_-[$£-809]* #,##0_-;\-[$£-809]* #,##0_-;_-[$£-809]* &quot;-&quot;_-;_-@_-"/>
      <fill>
        <patternFill patternType="solid">
          <fgColor indexed="64"/>
          <bgColor theme="8"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166" formatCode="0.0"/>
      <alignment horizontal="general" vertical="bottom" textRotation="0" wrapText="1" indent="0" justifyLastLine="0" shrinkToFit="0" readingOrder="0"/>
      <border diagonalUp="0" diagonalDown="0" outline="0">
        <left/>
        <right style="medium">
          <color theme="0" tint="-0.499984740745262"/>
        </right>
        <top/>
        <bottom/>
      </border>
    </dxf>
    <dxf>
      <font>
        <b/>
        <i val="0"/>
        <strike val="0"/>
        <condense val="0"/>
        <extend val="0"/>
        <outline val="0"/>
        <shadow val="0"/>
        <u val="none"/>
        <vertAlign val="baseline"/>
        <sz val="10"/>
        <color auto="1"/>
        <name val="Arial"/>
        <scheme val="none"/>
      </font>
      <numFmt numFmtId="166" formatCode="0.0"/>
      <fill>
        <patternFill patternType="none">
          <fgColor indexed="64"/>
          <bgColor indexed="65"/>
        </patternFill>
      </fill>
      <alignment horizontal="general" vertical="bottom"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0"/>
        <color auto="1"/>
        <name val="Arial"/>
        <scheme val="none"/>
      </font>
      <numFmt numFmtId="166" formatCode="0.0"/>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6" formatCode="0.0"/>
      <fill>
        <patternFill patternType="solid">
          <fgColor indexed="64"/>
          <bgColor theme="9" tint="0.39997558519241921"/>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left" vertical="center" textRotation="0" wrapText="1" indent="0" justifyLastLine="0" shrinkToFit="0" readingOrder="0"/>
    </dxf>
    <dxf>
      <font>
        <strike val="0"/>
        <outline val="0"/>
        <shadow val="0"/>
        <u val="none"/>
        <vertAlign val="baseline"/>
        <sz val="10"/>
        <color auto="1"/>
        <name val="Arial"/>
        <scheme val="none"/>
      </font>
      <alignment textRotation="0" wrapText="1" indent="0" justifyLastLine="0" shrinkToFit="0" readingOrder="0"/>
    </dxf>
    <dxf>
      <font>
        <b val="0"/>
        <i val="0"/>
        <strike val="0"/>
        <condense val="0"/>
        <extend val="0"/>
        <outline val="0"/>
        <shadow val="0"/>
        <u val="none"/>
        <vertAlign val="baseline"/>
        <sz val="10"/>
        <color auto="1"/>
        <name val="Arial"/>
        <scheme val="none"/>
      </font>
      <alignment textRotation="0" wrapText="1" indent="0" justifyLastLine="0" shrinkToFit="0" readingOrder="0"/>
    </dxf>
    <dxf>
      <font>
        <b val="0"/>
        <i val="0"/>
        <strike val="0"/>
        <condense val="0"/>
        <extend val="0"/>
        <outline val="0"/>
        <shadow val="0"/>
        <u val="none"/>
        <vertAlign val="baseline"/>
        <sz val="10"/>
        <color auto="1"/>
        <name val="Arial"/>
        <scheme val="none"/>
      </font>
      <alignment textRotation="0" wrapText="1" indent="0" justifyLastLine="0" shrinkToFit="0" readingOrder="0"/>
    </dxf>
    <dxf>
      <numFmt numFmtId="3" formatCode="#,##0"/>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solid">
          <fgColor indexed="64"/>
          <bgColor theme="8"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7" formatCode="#,##0_ ;\-#,##0\ "/>
      <alignment horizontal="general" vertical="bottom" textRotation="0" wrapText="1" indent="0" justifyLastLine="0" shrinkToFit="0" readingOrder="0"/>
    </dxf>
    <dxf>
      <numFmt numFmtId="3" formatCode="#,##0"/>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7" formatCode="#,##0_ ;\-#,##0\ "/>
      <alignment horizontal="general" vertical="bottom" textRotation="0" wrapText="1" indent="0" justifyLastLine="0" shrinkToFit="0" readingOrder="0"/>
    </dxf>
    <dxf>
      <numFmt numFmtId="3" formatCode="#,##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7" formatCode="#,##0_ ;\-#,##0\ "/>
      <alignment horizontal="general" vertical="bottom" textRotation="0" wrapText="1" indent="0" justifyLastLine="0" shrinkToFit="0" readingOrder="0"/>
    </dxf>
    <dxf>
      <numFmt numFmtId="3" formatCode="#,##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7" formatCode="#,##0_ ;\-#,##0\ "/>
      <alignment horizontal="general" vertical="bottom" textRotation="0" wrapText="1" indent="0" justifyLastLine="0" shrinkToFit="0" readingOrder="0"/>
    </dxf>
    <dxf>
      <numFmt numFmtId="3" formatCode="#,##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7" formatCode="#,##0_ ;\-#,##0\ "/>
      <alignment horizontal="general" vertical="bottom" textRotation="0" wrapText="1" indent="0" justifyLastLine="0" shrinkToFit="0" readingOrder="0"/>
    </dxf>
    <dxf>
      <numFmt numFmtId="3" formatCode="#,##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7" formatCode="#,##0_ ;\-#,##0\ "/>
      <alignment horizontal="general" vertical="bottom" textRotation="0" wrapText="1" indent="0" justifyLastLine="0" shrinkToFit="0" readingOrder="0"/>
    </dxf>
    <dxf>
      <numFmt numFmtId="3" formatCode="#,##0"/>
      <fill>
        <patternFill patternType="solid">
          <fgColor indexed="64"/>
          <bgColor theme="8"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7" formatCode="#,##0_ ;\-#,##0\ "/>
      <alignment horizontal="general" vertical="bottom" textRotation="0" wrapText="1" indent="0" justifyLastLine="0" shrinkToFit="0" readingOrder="0"/>
    </dxf>
    <dxf>
      <numFmt numFmtId="3" formatCode="#,##0"/>
      <fill>
        <patternFill patternType="solid">
          <fgColor indexed="64"/>
          <bgColor theme="8" tint="0.79998168889431442"/>
        </patternFill>
      </fill>
      <alignment horizontal="general" vertical="bottom" textRotation="0" wrapText="1" indent="0" justifyLastLine="0" shrinkToFit="0" readingOrder="0"/>
    </dxf>
    <dxf>
      <fill>
        <patternFill patternType="solid">
          <fgColor indexed="64"/>
          <bgColor theme="9" tint="0.39997558519241921"/>
        </patternFill>
      </fill>
      <alignment horizontal="general" vertical="bottom" textRotation="0" wrapText="1" indent="0" justifyLastLine="0" shrinkToFit="0" readingOrder="0"/>
    </dxf>
    <dxf>
      <fill>
        <patternFill patternType="solid">
          <fgColor indexed="64"/>
          <bgColor theme="8"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8"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8"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8"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8"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outline="0">
        <left style="thin">
          <color theme="1" tint="0.499984740745262"/>
        </left>
        <right/>
        <top/>
        <bottom/>
      </border>
    </dxf>
    <dxf>
      <font>
        <b val="0"/>
        <i val="0"/>
        <strike val="0"/>
        <condense val="0"/>
        <extend val="0"/>
        <outline val="0"/>
        <shadow val="0"/>
        <u val="none"/>
        <vertAlign val="baseline"/>
        <sz val="10"/>
        <color auto="1"/>
        <name val="Arial"/>
        <scheme val="none"/>
      </font>
      <numFmt numFmtId="168" formatCode="#,##0.0"/>
      <alignment horizontal="general" vertical="bottom" textRotation="0" wrapText="1" indent="0" justifyLastLine="0" shrinkToFit="0" readingOrder="0"/>
      <border diagonalUp="0" diagonalDown="0" outline="0">
        <left style="thin">
          <color theme="1" tint="0.499984740745262"/>
        </left>
        <right/>
        <top style="thin">
          <color theme="1" tint="0.499984740745262"/>
        </top>
        <bottom style="thin">
          <color theme="1" tint="0.499984740745262"/>
        </bottom>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outline="0">
        <left/>
        <right style="thin">
          <color theme="1" tint="0.499984740745262"/>
        </right>
        <top/>
        <bottom/>
      </border>
    </dxf>
    <dxf>
      <font>
        <b val="0"/>
        <i val="0"/>
        <strike val="0"/>
        <condense val="0"/>
        <extend val="0"/>
        <outline val="0"/>
        <shadow val="0"/>
        <u val="none"/>
        <vertAlign val="baseline"/>
        <sz val="10"/>
        <color auto="1"/>
        <name val="Arial"/>
        <scheme val="none"/>
      </font>
      <numFmt numFmtId="0" formatCode="General"/>
      <alignment horizontal="general" vertical="bottom" textRotation="0" wrapText="1" indent="0" justifyLastLine="0" shrinkToFit="0" readingOrder="0"/>
      <border diagonalUp="0" diagonalDown="0" outline="0">
        <left/>
        <right style="thin">
          <color theme="1" tint="0.499984740745262"/>
        </right>
        <top style="thin">
          <color theme="1" tint="0.499984740745262"/>
        </top>
        <bottom style="thin">
          <color theme="1" tint="0.499984740745262"/>
        </bottom>
      </border>
    </dxf>
    <dxf>
      <border outline="0">
        <left style="thin">
          <color theme="1" tint="0.499984740745262"/>
        </left>
        <right style="thin">
          <color theme="1" tint="0.499984740745262"/>
        </right>
        <top style="thin">
          <color theme="1" tint="0.499984740745262"/>
        </top>
        <bottom style="thin">
          <color theme="1" tint="0.499984740745262"/>
        </bottom>
      </border>
    </dxf>
    <dxf>
      <border outline="0">
        <bottom style="thin">
          <color theme="1" tint="0.499984740745262"/>
        </bottom>
      </border>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theme="1" tint="0.499984740745262"/>
        </left>
        <right style="thin">
          <color theme="1" tint="0.499984740745262"/>
        </right>
        <top/>
        <bottom/>
      </border>
    </dxf>
    <dxf>
      <font>
        <b val="0"/>
        <i val="0"/>
        <strike val="0"/>
        <condense val="0"/>
        <extend val="0"/>
        <outline val="0"/>
        <shadow val="0"/>
        <u val="none"/>
        <vertAlign val="baseline"/>
        <sz val="10"/>
        <color auto="1"/>
        <name val="Arial"/>
        <scheme val="none"/>
      </font>
      <numFmt numFmtId="168" formatCode="#,##0.0"/>
      <alignment horizontal="general" vertical="bottom" textRotation="0" wrapText="1" indent="0" justifyLastLine="0" shrinkToFit="0" readingOrder="0"/>
      <border diagonalUp="0" diagonalDown="0" outline="0">
        <left style="thin">
          <color theme="1" tint="0.499984740745262"/>
        </left>
        <right/>
        <top/>
        <bottom/>
      </border>
    </dxf>
    <dxf>
      <font>
        <b val="0"/>
        <i val="0"/>
        <strike val="0"/>
        <condense val="0"/>
        <extend val="0"/>
        <outline val="0"/>
        <shadow val="0"/>
        <u val="none"/>
        <vertAlign val="baseline"/>
        <sz val="10"/>
        <color auto="1"/>
        <name val="Arial"/>
        <scheme val="none"/>
      </font>
      <numFmt numFmtId="168" formatCode="#,##0.0"/>
      <alignment horizontal="general" vertical="bottom" textRotation="0" wrapText="1" indent="0" justifyLastLine="0" shrinkToFit="0" readingOrder="0"/>
      <border diagonalUp="0" diagonalDown="0" outline="0">
        <left style="thin">
          <color theme="1" tint="0.499984740745262"/>
        </left>
        <right/>
        <top style="thin">
          <color theme="1" tint="0.499984740745262"/>
        </top>
        <bottom style="thin">
          <color theme="1" tint="0.499984740745262"/>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1" tint="0.499984740745262"/>
        </right>
        <top/>
        <bottom/>
      </border>
      <protection locked="1" hidden="0"/>
    </dxf>
    <dxf>
      <font>
        <b val="0"/>
        <i val="0"/>
        <strike val="0"/>
        <condense val="0"/>
        <extend val="0"/>
        <outline val="0"/>
        <shadow val="0"/>
        <u val="none"/>
        <vertAlign val="baseline"/>
        <sz val="10"/>
        <color auto="1"/>
        <name val="Arial"/>
        <scheme val="none"/>
      </font>
      <numFmt numFmtId="0" formatCode="General"/>
      <alignment horizontal="general" vertical="bottom" textRotation="0" wrapText="1" indent="0" justifyLastLine="0" shrinkToFit="0" readingOrder="0"/>
      <border diagonalUp="0" diagonalDown="0" outline="0">
        <left/>
        <right style="thin">
          <color theme="1" tint="0.499984740745262"/>
        </right>
        <top style="thin">
          <color theme="1" tint="0.499984740745262"/>
        </top>
        <bottom style="thin">
          <color theme="1" tint="0.499984740745262"/>
        </bottom>
      </border>
    </dxf>
    <dxf>
      <border outline="0">
        <left style="thin">
          <color theme="1" tint="0.499984740745262"/>
        </left>
        <right style="thin">
          <color theme="1" tint="0.499984740745262"/>
        </right>
        <top style="thin">
          <color theme="1" tint="0.499984740745262"/>
        </top>
        <bottom style="thin">
          <color theme="1" tint="0.499984740745262"/>
        </bottom>
      </border>
    </dxf>
    <dxf>
      <border outline="0">
        <bottom style="thin">
          <color theme="1" tint="0.499984740745262"/>
        </bottom>
      </border>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theme="1" tint="0.499984740745262"/>
        </left>
        <right style="thin">
          <color theme="1" tint="0.499984740745262"/>
        </right>
        <top/>
        <bottom/>
      </border>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1" indent="0" justifyLastLine="0" shrinkToFit="0" readingOrder="0"/>
    </dxf>
    <dxf>
      <font>
        <b/>
      </font>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dxf>
    <dxf>
      <font>
        <b/>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font>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169" formatCode="#,##0_);\(#,##0\)"/>
      <fill>
        <patternFill patternType="none">
          <fgColor indexed="64"/>
          <bgColor indexed="65"/>
        </patternFill>
      </fill>
    </dxf>
    <dxf>
      <font>
        <b val="0"/>
        <i val="0"/>
        <strike val="0"/>
        <condense val="0"/>
        <extend val="0"/>
        <outline val="0"/>
        <shadow val="0"/>
        <u val="none"/>
        <vertAlign val="baseline"/>
        <sz val="11"/>
        <color auto="1"/>
        <name val="Arial"/>
        <scheme val="none"/>
      </font>
      <numFmt numFmtId="169" formatCode="#,##0_);\(#,##0\)"/>
      <fill>
        <patternFill patternType="none">
          <fgColor indexed="64"/>
          <bgColor indexed="65"/>
        </patternFill>
      </fill>
    </dxf>
    <dxf>
      <font>
        <b/>
        <i val="0"/>
        <strike val="0"/>
        <condense val="0"/>
        <extend val="0"/>
        <outline val="0"/>
        <shadow val="0"/>
        <u val="none"/>
        <vertAlign val="baseline"/>
        <sz val="10"/>
        <color auto="1"/>
        <name val="Arial"/>
        <scheme val="none"/>
      </font>
      <numFmt numFmtId="32" formatCode="_-&quot;£&quot;* #,##0_-;\-&quot;£&quot;* #,##0_-;_-&quot;£&quot;* &quot;-&quot;_-;_-@_-"/>
      <fill>
        <patternFill patternType="none">
          <fgColor indexed="64"/>
          <bgColor indexed="65"/>
        </patternFill>
      </fill>
    </dxf>
    <dxf>
      <font>
        <b val="0"/>
        <i val="0"/>
        <strike val="0"/>
        <condense val="0"/>
        <extend val="0"/>
        <outline val="0"/>
        <shadow val="0"/>
        <u val="none"/>
        <vertAlign val="baseline"/>
        <sz val="11"/>
        <color auto="1"/>
        <name val="Arial"/>
        <scheme val="none"/>
      </font>
      <numFmt numFmtId="167" formatCode="#,##0_ ;\-#,##0\ "/>
      <fill>
        <patternFill patternType="none">
          <fgColor indexed="64"/>
          <bgColor indexed="65"/>
        </patternFill>
      </fill>
    </dxf>
    <dxf>
      <font>
        <b/>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b/>
      </font>
      <numFmt numFmtId="169" formatCode="#,##0_);\(#,##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numFmt numFmtId="169" formatCode="#,##0_);\(#,##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numFmt numFmtId="169" formatCode="#,##0_);\(#,##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numFmt numFmtId="169" formatCode="#,##0_);\(#,##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numFmt numFmtId="169" formatCode="#,##0_);\(#,##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numFmt numFmtId="169" formatCode="#,##0_);\(#,##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numFmt numFmtId="169" formatCode="#,##0_);\(#,##0\)"/>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left/>
        <right style="medium">
          <color theme="0" tint="-0.499984740745262"/>
        </right>
        <top/>
        <bottom/>
        <vertical/>
        <horizontal/>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left/>
        <right style="medium">
          <color theme="0" tint="-0.499984740745262"/>
        </right>
        <top/>
        <bottom/>
        <vertical/>
        <horizontal/>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font>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font>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dxf>
    <dxf>
      <font>
        <b/>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font>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dxf>
    <dxf>
      <font>
        <b/>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font>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numFmt numFmtId="3" formatCode="#,##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i val="0"/>
      </font>
    </dxf>
    <dxf>
      <fill>
        <patternFill>
          <bgColor theme="0" tint="-0.14996795556505021"/>
        </patternFill>
      </fill>
      <border>
        <top style="double">
          <color auto="1"/>
        </top>
      </border>
    </dxf>
    <dxf>
      <font>
        <b/>
        <i val="0"/>
        <color theme="0"/>
      </font>
      <fill>
        <patternFill>
          <bgColor theme="1" tint="0.34998626667073579"/>
        </patternFill>
      </fill>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s>
  <tableStyles count="1" defaultTableStyle="Table Style 1" defaultPivotStyle="PivotStyleLight16">
    <tableStyle name="Table Style 1" pivot="0" count="4">
      <tableStyleElement type="wholeTable" dxfId="346"/>
      <tableStyleElement type="headerRow" dxfId="345"/>
      <tableStyleElement type="totalRow" dxfId="344"/>
      <tableStyleElement type="lastColumn" dxfId="343"/>
    </tableStyle>
  </tableStyles>
  <colors>
    <mruColors>
      <color rgb="FF343434"/>
      <color rgb="FFCA00A4"/>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1" name="SUMMARY_Income_FundType" displayName="SUMMARY_Income_FundType" ref="A46:H54" totalsRowCount="1">
  <autoFilter ref="A46:H53"/>
  <tableColumns count="8">
    <tableColumn id="1" name="TOTAL PROJECT INCOME BY FUNDING TYPE" totalsRowLabel="Total" totalsRowDxfId="342">
      <calculatedColumnFormula>Validation!A4</calculatedColumnFormula>
    </tableColumn>
    <tableColumn id="2" name="2021-22 (£'000)" totalsRowFunction="sum" dataDxfId="341" totalsRowDxfId="340">
      <calculatedColumnFormula>SUMIFS(Income[2021-22 (£''000)],Income[[Project income type*]:[Project income type*]],$A47)</calculatedColumnFormula>
    </tableColumn>
    <tableColumn id="3" name="2022-23 (£'000)" totalsRowFunction="sum" dataDxfId="339" totalsRowDxfId="338">
      <calculatedColumnFormula>SUMIFS(Income[2022-23 (£''000)],Income[[Project income type*]:[Project income type*]],$A47)</calculatedColumnFormula>
    </tableColumn>
    <tableColumn id="4" name="2023-24 (£'000)" totalsRowFunction="sum" dataDxfId="337" totalsRowDxfId="336">
      <calculatedColumnFormula>SUMIFS(Income[2023-24 (£''000)],Income[[Project income type*]:[Project income type*]],$A47)</calculatedColumnFormula>
    </tableColumn>
    <tableColumn id="5" name="2024-25 (£'000)" totalsRowFunction="sum" dataDxfId="335" totalsRowDxfId="334">
      <calculatedColumnFormula>SUMIFS(Income[2024-25 (£''000)],Income[[Project income type*]:[Project income type*]],$A47)</calculatedColumnFormula>
    </tableColumn>
    <tableColumn id="6" name="2025-26 (£'000)" totalsRowFunction="sum" dataDxfId="333" totalsRowDxfId="332">
      <calculatedColumnFormula>SUMIFS(Income[2025-26 (£''000)],Income[[Project income type*]:[Project income type*]],$A47)</calculatedColumnFormula>
    </tableColumn>
    <tableColumn id="7" name="2026-27 (£'000)" totalsRowFunction="sum" dataDxfId="331" totalsRowDxfId="330">
      <calculatedColumnFormula>SUMIFS(Income[2026-27 (£''000)],Income[[Project income type*]:[Project income type*]],$A47)</calculatedColumnFormula>
    </tableColumn>
    <tableColumn id="8" name="Total 2021-27 (£'000)" totalsRowFunction="sum" dataDxfId="329" totalsRowDxfId="328">
      <calculatedColumnFormula>SUM(SUMMARY_Income_FundType[[#This Row],[2021-22 (£''000)]:[2026-27 (£''000)]])</calculatedColumnFormula>
    </tableColumn>
  </tableColumns>
  <tableStyleInfo name="Table Style 1" showFirstColumn="0" showLastColumn="0" showRowStripes="1" showColumnStripes="0"/>
</table>
</file>

<file path=xl/tables/table10.xml><?xml version="1.0" encoding="utf-8"?>
<table xmlns="http://schemas.openxmlformats.org/spreadsheetml/2006/main" id="21" name="SUMMARY_Costs_FundTypeSS" displayName="SUMMARY_Costs_FundTypeSS" ref="J58:J64" totalsRowCount="1" headerRowDxfId="221" dataDxfId="220" totalsRowDxfId="219">
  <autoFilter ref="J58:J63"/>
  <tableColumns count="1">
    <tableColumn id="1" name="Steady State (£'000)" totalsRowFunction="sum" dataDxfId="218" totalsRowDxfId="217">
      <calculatedColumnFormula>(SUMIFS(Staff_Costs_SS[Steady State (£''000)],Staff_Costs[[Funding type*]:[Funding type*]],$A59))+(SUMIFS(NonStaff_Op_Costs_SS[Steady State (£''000)],NonStaff_Op_Costs[[Funding type*]:[Funding type*]],$A59))</calculatedColumnFormula>
    </tableColumn>
  </tableColumns>
  <tableStyleInfo name="Table Style 1" showFirstColumn="0" showLastColumn="0" showRowStripes="1" showColumnStripes="0"/>
</table>
</file>

<file path=xl/tables/table11.xml><?xml version="1.0" encoding="utf-8"?>
<table xmlns="http://schemas.openxmlformats.org/spreadsheetml/2006/main" id="22" name="SUMMARY_ConsortiumMembCosts" displayName="SUMMARY_ConsortiumMembCosts" ref="A123:E144" totalsRowCount="1" headerRowDxfId="216" dataDxfId="215" totalsRowDxfId="214">
  <autoFilter ref="A123:E143"/>
  <tableColumns count="5">
    <tableColumn id="1" name="TOTAL PROJECT COSTS BY CONSORTIUM MEMBER" totalsRowLabel="Total" dataDxfId="213" totalsRowDxfId="212">
      <calculatedColumnFormula>'0. Project &amp; consortium'!B17</calculatedColumnFormula>
    </tableColumn>
    <tableColumn id="3" name="Staff costs" totalsRowFunction="sum" dataDxfId="211" totalsRowDxfId="210">
      <calculatedColumnFormula>SUMIFS(Staff_Costs[Total 2021-27 (£''000)],Staff_Costs[Consortium member*],$A124)</calculatedColumnFormula>
    </tableColumn>
    <tableColumn id="4" name="Non-staff operating costs" totalsRowFunction="sum" dataDxfId="209" totalsRowDxfId="208">
      <calculatedColumnFormula>SUMIFS(NonStaff_Op_Costs[Total 2021-27 (£''000)],NonStaff_Op_Costs[Consortium member*],$A124)</calculatedColumnFormula>
    </tableColumn>
    <tableColumn id="5" name="Capital costs" totalsRowFunction="sum" dataDxfId="207" totalsRowDxfId="206">
      <calculatedColumnFormula>SUMIFS(Capital_Costs[Total 2021-27 (£''000)],Capital_Costs[Consortium member*],$A124)</calculatedColumnFormula>
    </tableColumn>
    <tableColumn id="9" name="Total costs for organisation" totalsRowFunction="sum" dataDxfId="205" totalsRowDxfId="204">
      <calculatedColumnFormula>SUM(SUMMARY_ConsortiumMembCosts[[#This Row],[Staff costs]:[Capital costs]])</calculatedColumnFormula>
    </tableColumn>
  </tableColumns>
  <tableStyleInfo name="Table Style 1" showFirstColumn="0" showLastColumn="0" showRowStripes="1" showColumnStripes="0"/>
</table>
</file>

<file path=xl/tables/table12.xml><?xml version="1.0" encoding="utf-8"?>
<table xmlns="http://schemas.openxmlformats.org/spreadsheetml/2006/main" id="18" name="SUMMARY_ConsortiumMembIncomeSS" displayName="SUMMARY_ConsortiumMembIncomeSS" ref="L97:L118" totalsRowCount="1" headerRowDxfId="203" dataDxfId="202">
  <autoFilter ref="L97:L117"/>
  <tableColumns count="1">
    <tableColumn id="1" name="Steady State (£'000)" totalsRowFunction="sum" dataDxfId="201" totalsRowDxfId="200">
      <calculatedColumnFormula>SUMIFS(Income_SS[Steady State (£''000)],Income[[Consortium partner*]:[Consortium partner*]],$A98)</calculatedColumnFormula>
    </tableColumn>
  </tableColumns>
  <tableStyleInfo name="Table Style 1" showFirstColumn="0" showLastColumn="0" showRowStripes="1" showColumnStripes="0"/>
</table>
</file>

<file path=xl/tables/table13.xml><?xml version="1.0" encoding="utf-8"?>
<table xmlns="http://schemas.openxmlformats.org/spreadsheetml/2006/main" id="23" name="SUMMARY_ConsortiumMembCostsSS" displayName="SUMMARY_ConsortiumMembCostsSS" ref="G123:G144" totalsRowCount="1" headerRowDxfId="199" dataDxfId="198">
  <autoFilter ref="G123:G143"/>
  <tableColumns count="1">
    <tableColumn id="1" name="Steady State (£'000)" totalsRowFunction="sum" dataDxfId="197" totalsRowDxfId="196">
      <calculatedColumnFormula>(SUMIFS(Staff_Costs_SS[Steady State (£''000)],Staff_Costs[Consortium member*],$A124))+(SUMIFS(NonStaff_Op_Costs_SS[Steady State (£''000)],NonStaff_Op_Costs[Consortium member*],$A124))</calculatedColumnFormula>
    </tableColumn>
  </tableColumns>
  <tableStyleInfo name="Table Style 1" showFirstColumn="0" showLastColumn="0" showRowStripes="1" showColumnStripes="0"/>
</table>
</file>

<file path=xl/tables/table14.xml><?xml version="1.0" encoding="utf-8"?>
<table xmlns="http://schemas.openxmlformats.org/spreadsheetml/2006/main" id="26" name="SUMMARY_Seedcorn_Income" displayName="SUMMARY_Seedcorn_Income" ref="A17:B25" totalsRowCount="1" headerRowDxfId="195" headerRowBorderDxfId="194" tableBorderDxfId="193">
  <autoFilter ref="A17:B24"/>
  <tableColumns count="2">
    <tableColumn id="1" name="TOTAL SEEDCORN BID DEVELOPMENT INCOME BY FUNDING TYPE" totalsRowLabel="Total" dataDxfId="192" totalsRowDxfId="191" dataCellStyle="Normal 2">
      <calculatedColumnFormula>Validation!A4</calculatedColumnFormula>
    </tableColumn>
    <tableColumn id="2" name="Income (£'000)" totalsRowFunction="sum" dataDxfId="190" totalsRowDxfId="189">
      <calculatedColumnFormula>SUMIFS(Income[Seedcorn bid development (£''000)],Income[[Project income type*]:[Project income type*]],$A18)</calculatedColumnFormula>
    </tableColumn>
  </tableColumns>
  <tableStyleInfo name="Table Style 1" showFirstColumn="0" showLastColumn="0" showRowStripes="1" showColumnStripes="0"/>
</table>
</file>

<file path=xl/tables/table15.xml><?xml version="1.0" encoding="utf-8"?>
<table xmlns="http://schemas.openxmlformats.org/spreadsheetml/2006/main" id="1" name="SUMMARY_Seedcorn_Costs" displayName="SUMMARY_Seedcorn_Costs" ref="A29:B35" totalsRowCount="1" headerRowDxfId="188" headerRowBorderDxfId="187" tableBorderDxfId="186">
  <autoFilter ref="A29:B34"/>
  <tableColumns count="2">
    <tableColumn id="1" name="TOTAL SEEDCORN BID DEVELOPMENT COSTS BY FUNDING TYPE" totalsRowLabel="Total" dataDxfId="185" totalsRowDxfId="184" dataCellStyle="Normal 2"/>
    <tableColumn id="2" name="Costs (£'000)" totalsRowFunction="sum" dataDxfId="183" totalsRowDxfId="182" dataCellStyle="Normal 2"/>
  </tableColumns>
  <tableStyleInfo name="Table Style 1" showFirstColumn="0" showLastColumn="0" showRowStripes="1" showColumnStripes="0"/>
</table>
</file>

<file path=xl/tables/table16.xml><?xml version="1.0" encoding="utf-8"?>
<table xmlns="http://schemas.openxmlformats.org/spreadsheetml/2006/main" id="4" name="Income" displayName="Income" ref="A22:L38" totalsRowCount="1" headerRowDxfId="181" dataDxfId="180" totalsRowDxfId="179">
  <autoFilter ref="A22:L37"/>
  <tableColumns count="12">
    <tableColumn id="1" name="Consortium partner*" totalsRowLabel="Total" dataDxfId="178" totalsRowDxfId="177"/>
    <tableColumn id="9" name="Project income type*" dataDxfId="176" totalsRowDxfId="175"/>
    <tableColumn id="2" name="Status of leveraged funding*" dataDxfId="174" totalsRowDxfId="173"/>
    <tableColumn id="11" name="Notes (optional)" dataDxfId="172" totalsRowDxfId="171"/>
    <tableColumn id="3" name="Seedcorn bid development (£'000)" totalsRowFunction="sum" dataDxfId="170" totalsRowDxfId="169"/>
    <tableColumn id="12" name="2021-22 (£'000)" totalsRowFunction="sum" dataDxfId="168" totalsRowDxfId="167" dataCellStyle="Currency"/>
    <tableColumn id="13" name="2022-23 (£'000)" totalsRowFunction="sum" dataDxfId="166" totalsRowDxfId="165" dataCellStyle="Currency"/>
    <tableColumn id="14" name="2023-24 (£'000)" totalsRowFunction="sum" dataDxfId="164" totalsRowDxfId="163" dataCellStyle="Currency"/>
    <tableColumn id="15" name="2024-25 (£'000)" totalsRowFunction="sum" dataDxfId="162" totalsRowDxfId="161" dataCellStyle="Currency"/>
    <tableColumn id="16" name="2025-26 (£'000)" totalsRowFunction="sum" dataDxfId="160" totalsRowDxfId="159" dataCellStyle="Currency"/>
    <tableColumn id="17" name="2026-27 (£'000)" totalsRowFunction="sum" dataDxfId="158" totalsRowDxfId="157" dataCellStyle="Currency"/>
    <tableColumn id="18" name="Total 2021-27 (£'000)" totalsRowFunction="sum" dataDxfId="156" totalsRowDxfId="155" dataCellStyle="Currency">
      <calculatedColumnFormula>SUM(Income[[#This Row],[2021-22 (£''000)]:[2026-27 (£''000)]])</calculatedColumnFormula>
    </tableColumn>
  </tableColumns>
  <tableStyleInfo name="Table Style 1" showFirstColumn="0" showLastColumn="0" showRowStripes="1" showColumnStripes="0"/>
</table>
</file>

<file path=xl/tables/table17.xml><?xml version="1.0" encoding="utf-8"?>
<table xmlns="http://schemas.openxmlformats.org/spreadsheetml/2006/main" id="10" name="Income_SS" displayName="Income_SS" ref="N22:N38" totalsRowCount="1" headerRowDxfId="154" dataDxfId="153" totalsRowDxfId="152">
  <autoFilter ref="N22:N37"/>
  <tableColumns count="1">
    <tableColumn id="1" name="Steady State (£'000)" totalsRowFunction="sum" dataDxfId="151" totalsRowDxfId="150"/>
  </tableColumns>
  <tableStyleInfo name="Table Style 1" showFirstColumn="0" showLastColumn="0" showRowStripes="1" showColumnStripes="0"/>
</table>
</file>

<file path=xl/tables/table18.xml><?xml version="1.0" encoding="utf-8"?>
<table xmlns="http://schemas.openxmlformats.org/spreadsheetml/2006/main" id="15" name="Staff_Costs" displayName="Staff_Costs" ref="A20:X44" totalsRowCount="1" headerRowDxfId="149" dataDxfId="148" totalsRowDxfId="147">
  <autoFilter ref="A20:X43"/>
  <tableColumns count="24">
    <tableColumn id="1" name="Description of role(s)" totalsRowLabel="Total" dataDxfId="146" totalsRowDxfId="145"/>
    <tableColumn id="22" name="Consortium member*" dataDxfId="144" totalsRowDxfId="143"/>
    <tableColumn id="2" name="Funding source*" dataDxfId="142" totalsRowDxfId="141"/>
    <tableColumn id="3" name="Funding type*" dataDxfId="140" totalsRowDxfId="139"/>
    <tableColumn id="24" name="Status of leveraged funding*" dataDxfId="138" totalsRowDxfId="137"/>
    <tableColumn id="4" name="Notes (optional)" dataDxfId="136" totalsRowDxfId="135"/>
    <tableColumn id="13" name="Expected start month" dataDxfId="134" totalsRowDxfId="133"/>
    <tableColumn id="12" name="Expected end month" dataDxfId="132" totalsRowDxfId="131"/>
    <tableColumn id="23" name="Seedcorn bid development (FTE)" totalsRowFunction="sum" dataDxfId="130" totalsRowDxfId="129"/>
    <tableColumn id="19" name="2021-22 (FTE)" totalsRowFunction="sum" dataDxfId="128" totalsRowDxfId="127"/>
    <tableColumn id="17" name="2022-23 (FTE)" totalsRowFunction="sum" dataDxfId="126" totalsRowDxfId="125"/>
    <tableColumn id="15" name="2023-24 (FTE)" totalsRowFunction="sum" dataDxfId="124" totalsRowDxfId="123"/>
    <tableColumn id="5" name="2024-25 (FTE)" totalsRowFunction="sum" dataDxfId="122" totalsRowDxfId="121"/>
    <tableColumn id="7" name="2025-26 (FTE)" totalsRowFunction="sum" dataDxfId="120" totalsRowDxfId="119"/>
    <tableColumn id="9" name="2026-27 (FTE)" totalsRowFunction="sum" dataDxfId="118" totalsRowDxfId="117"/>
    <tableColumn id="20" name="Total 2021-27 (FTE)" totalsRowFunction="sum" dataDxfId="116" totalsRowDxfId="115">
      <calculatedColumnFormula>SUM(Staff_Costs[[#This Row],[2021-22 (FTE)]:[2026-27 (FTE)]])</calculatedColumnFormula>
    </tableColumn>
    <tableColumn id="26" name="Seedcorn bid development (£'000)" totalsRowFunction="sum" dataDxfId="114" totalsRowDxfId="113"/>
    <tableColumn id="18" name="2021-22 (£'000)" totalsRowFunction="sum" dataDxfId="112" totalsRowDxfId="111"/>
    <tableColumn id="16" name="2022-23 (£'000)" totalsRowFunction="sum" dataDxfId="110" totalsRowDxfId="109"/>
    <tableColumn id="14" name="2023-24 (£'000)" totalsRowFunction="sum" dataDxfId="108" totalsRowDxfId="107"/>
    <tableColumn id="6" name="2024-25 (£'000)" totalsRowFunction="sum" dataDxfId="106" totalsRowDxfId="105"/>
    <tableColumn id="8" name="2025-26 (£'000)" totalsRowFunction="sum" dataDxfId="104" totalsRowDxfId="103"/>
    <tableColumn id="10" name="2026-27 (£'000)" totalsRowFunction="sum" dataDxfId="102" totalsRowDxfId="101"/>
    <tableColumn id="11" name="Total 2021-27 (£'000)" totalsRowFunction="sum" dataDxfId="100" totalsRowDxfId="99">
      <calculatedColumnFormula>SUM(Staff_Costs[[#This Row],[2021-22 (£''000)]:[2026-27 (£''000)]])</calculatedColumnFormula>
    </tableColumn>
  </tableColumns>
  <tableStyleInfo name="Table Style 1" showFirstColumn="0" showLastColumn="0" showRowStripes="1" showColumnStripes="0"/>
</table>
</file>

<file path=xl/tables/table19.xml><?xml version="1.0" encoding="utf-8"?>
<table xmlns="http://schemas.openxmlformats.org/spreadsheetml/2006/main" id="16" name="Staff_Costs_SS" displayName="Staff_Costs_SS" ref="Z20:AA44" totalsRowCount="1" headerRowDxfId="98" dataDxfId="97" totalsRowDxfId="96">
  <autoFilter ref="Z20:AA43"/>
  <tableColumns count="2">
    <tableColumn id="2" name="Steady state (FTE)" totalsRowFunction="sum" dataDxfId="95" totalsRowDxfId="94"/>
    <tableColumn id="1" name="Steady State (£'000)" totalsRowFunction="sum" dataDxfId="93" totalsRowDxfId="92"/>
  </tableColumns>
  <tableStyleInfo name="Table Style 1" showFirstColumn="0" showLastColumn="0" showRowStripes="1" showColumnStripes="0"/>
</table>
</file>

<file path=xl/tables/table2.xml><?xml version="1.0" encoding="utf-8"?>
<table xmlns="http://schemas.openxmlformats.org/spreadsheetml/2006/main" id="12" name="SUMMARY_Income_FundTypeSS" displayName="SUMMARY_Income_FundTypeSS" ref="J46:J54" totalsRowCount="1" headerRowDxfId="327" dataDxfId="326" totalsRowDxfId="325">
  <autoFilter ref="J46:J53"/>
  <tableColumns count="1">
    <tableColumn id="1" name="Steady State (£'000)" totalsRowFunction="sum" dataDxfId="324" totalsRowDxfId="323">
      <calculatedColumnFormula>SUMIFS(Income_SS[Steady State (£''000)],Income[[Project income type*]:[Project income type*]],$A47)</calculatedColumnFormula>
    </tableColumn>
  </tableColumns>
  <tableStyleInfo name="Table Style 1" showFirstColumn="0" showLastColumn="0" showRowStripes="1" showColumnStripes="0"/>
</table>
</file>

<file path=xl/tables/table20.xml><?xml version="1.0" encoding="utf-8"?>
<table xmlns="http://schemas.openxmlformats.org/spreadsheetml/2006/main" id="7" name="NonStaff_Op_Costs" displayName="NonStaff_Op_Costs" ref="A21:P55" totalsRowCount="1" headerRowDxfId="91" dataDxfId="90" totalsRowDxfId="89">
  <autoFilter ref="A21:P54"/>
  <tableColumns count="16">
    <tableColumn id="1" name="Description" totalsRowLabel="Total" dataDxfId="88" totalsRowDxfId="87"/>
    <tableColumn id="2" name="Cost type*" dataDxfId="86" totalsRowDxfId="85"/>
    <tableColumn id="3" name="Consortium member*" dataDxfId="84" totalsRowDxfId="83"/>
    <tableColumn id="15" name="Funding Source*" dataDxfId="82" totalsRowDxfId="81"/>
    <tableColumn id="4" name="Funding type*" dataDxfId="80" totalsRowDxfId="79"/>
    <tableColumn id="14" name="Method of valuation for in-kind contribution" dataDxfId="78" totalsRowDxfId="77"/>
    <tableColumn id="11" name="Status of leveraged funding*" dataDxfId="76" totalsRowDxfId="75"/>
    <tableColumn id="13" name="Notes (optional)" dataDxfId="74" totalsRowDxfId="73"/>
    <tableColumn id="16" name="Seedcorn bid development (£'000)" totalsRowFunction="custom" dataDxfId="72" totalsRowDxfId="71">
      <totalsRowFormula>SUBTOTAL(109,Staff_Costs[Seedcorn bid development (£''000)])</totalsRowFormula>
    </tableColumn>
    <tableColumn id="5" name="2021-22 (£'000)" totalsRowFunction="sum" dataDxfId="70" totalsRowDxfId="69"/>
    <tableColumn id="6" name="2022-23 (£'000)" totalsRowFunction="sum" dataDxfId="68" totalsRowDxfId="67"/>
    <tableColumn id="7" name="2023-24 (£'000)" totalsRowFunction="sum" dataDxfId="66" totalsRowDxfId="65"/>
    <tableColumn id="8" name="2024-25 (£'000)" totalsRowFunction="sum" dataDxfId="64" totalsRowDxfId="63"/>
    <tableColumn id="12" name="2025-26 (£'000)" totalsRowFunction="sum" dataDxfId="62" totalsRowDxfId="61"/>
    <tableColumn id="9" name="2026-27 (£'000)" totalsRowFunction="sum" dataDxfId="60" totalsRowDxfId="59"/>
    <tableColumn id="10" name="Total 2021-27 (£'000)" totalsRowFunction="sum" dataDxfId="58" totalsRowDxfId="57">
      <calculatedColumnFormula>SUM(NonStaff_Op_Costs[[#This Row],[2021-22 (£''000)]:[2026-27 (£''000)]])</calculatedColumnFormula>
    </tableColumn>
  </tableColumns>
  <tableStyleInfo name="Table Style 1" showFirstColumn="0" showLastColumn="0" showRowStripes="1" showColumnStripes="0"/>
</table>
</file>

<file path=xl/tables/table21.xml><?xml version="1.0" encoding="utf-8"?>
<table xmlns="http://schemas.openxmlformats.org/spreadsheetml/2006/main" id="8" name="NonStaff_Op_Costs_SS" displayName="NonStaff_Op_Costs_SS" ref="R21:R55" totalsRowCount="1" headerRowDxfId="56" dataDxfId="55" totalsRowDxfId="54">
  <autoFilter ref="R21:R54"/>
  <tableColumns count="1">
    <tableColumn id="1" name="Steady State (£'000)" totalsRowFunction="sum" dataDxfId="53" totalsRowDxfId="52"/>
  </tableColumns>
  <tableStyleInfo name="Table Style 1" showFirstColumn="0" showLastColumn="0" showRowStripes="1" showColumnStripes="0"/>
</table>
</file>

<file path=xl/tables/table22.xml><?xml version="1.0" encoding="utf-8"?>
<table xmlns="http://schemas.openxmlformats.org/spreadsheetml/2006/main" id="6" name="Capital_Costs" displayName="Capital_Costs" ref="A21:O33" totalsRowCount="1" headerRowDxfId="51" dataDxfId="50" totalsRowDxfId="49">
  <autoFilter ref="A21:O32"/>
  <tableColumns count="15">
    <tableColumn id="1" name="Description" totalsRowLabel="Total" dataDxfId="48" totalsRowDxfId="47"/>
    <tableColumn id="2" name="Cost type*" dataDxfId="46" totalsRowDxfId="45"/>
    <tableColumn id="15" name="Consortium member*" dataDxfId="44" totalsRowDxfId="43"/>
    <tableColumn id="3" name="Funding source*" dataDxfId="42" totalsRowDxfId="41"/>
    <tableColumn id="4" name="Funding type*" dataDxfId="40" totalsRowDxfId="39"/>
    <tableColumn id="11" name="Method of valuation for in-kind contributions" dataDxfId="38" totalsRowDxfId="37"/>
    <tableColumn id="14" name="Status of leveraged funding*" dataDxfId="36" totalsRowDxfId="35"/>
    <tableColumn id="13" name="Notes (optional)" dataDxfId="34" totalsRowDxfId="33"/>
    <tableColumn id="5" name="2021-22 (£'000)" totalsRowFunction="sum" dataDxfId="32" totalsRowDxfId="31"/>
    <tableColumn id="6" name="2022-23 (£'000)" totalsRowFunction="sum" dataDxfId="30" totalsRowDxfId="29"/>
    <tableColumn id="7" name="2023-24 (£'000)" totalsRowFunction="sum" dataDxfId="28" totalsRowDxfId="27"/>
    <tableColumn id="8" name="2024-25 (£'000)" totalsRowFunction="sum" dataDxfId="26" totalsRowDxfId="25"/>
    <tableColumn id="12" name="2025-26 (£'000)" totalsRowFunction="sum" dataDxfId="24" totalsRowDxfId="23"/>
    <tableColumn id="9" name="2026-27 (£'000)" totalsRowFunction="sum" dataDxfId="22" totalsRowDxfId="21"/>
    <tableColumn id="10" name="Total 2021-27 (£'000)" totalsRowFunction="sum" dataDxfId="20" totalsRowDxfId="19">
      <calculatedColumnFormula>SUM(Capital_Costs[[#This Row],[2021-22 (£''000)]:[2026-27 (£''000)]])</calculatedColumnFormula>
    </tableColumn>
  </tableColumns>
  <tableStyleInfo name="Table Style 1" showFirstColumn="0" showLastColumn="0" showRowStripes="1" showColumnStripes="0"/>
</table>
</file>

<file path=xl/tables/table23.xml><?xml version="1.0" encoding="utf-8"?>
<table xmlns="http://schemas.openxmlformats.org/spreadsheetml/2006/main" id="3" name="Related_Funding" displayName="Related_Funding" ref="A17:H27" totalsRowCount="1" headerRowDxfId="18" dataDxfId="17" totalsRowDxfId="16">
  <autoFilter ref="A17:H26"/>
  <tableColumns count="8">
    <tableColumn id="4" name="Consortium member in receipt of / applying for the funding*" totalsRowLabel="Total" dataDxfId="15" totalsRowDxfId="14" dataCellStyle="Normal 2"/>
    <tableColumn id="1" name="Funding body" dataDxfId="13" totalsRowDxfId="12" dataCellStyle="Normal 2"/>
    <tableColumn id="2" name="Programme or scheme" dataDxfId="11" totalsRowDxfId="10" dataCellStyle="Normal 2"/>
    <tableColumn id="5" name="Grant reference number_x000a_(UKRI councils' awards only)" dataDxfId="9" totalsRowDxfId="8" dataCellStyle="Normal 2"/>
    <tableColumn id="7" name="Application stage*" dataDxfId="7" totalsRowDxfId="6" dataCellStyle="Normal 2"/>
    <tableColumn id="8" name="Activity period_x000a_(financial years)" dataDxfId="5" totalsRowDxfId="4" dataCellStyle="Normal 2"/>
    <tableColumn id="6" name="Briefly, describe how this funding is related to your SIPF proposal" dataDxfId="3" totalsRowDxfId="2" dataCellStyle="Normal 2"/>
    <tableColumn id="3" name="Amount of the award_x000a_(£'000)" totalsRowFunction="sum" dataDxfId="1" totalsRowDxfId="0" dataCellStyle="Normal 2"/>
  </tableColumns>
  <tableStyleInfo name="Table Style 1" showFirstColumn="0" showLastColumn="0" showRowStripes="1" showColumnStripes="0"/>
</table>
</file>

<file path=xl/tables/table3.xml><?xml version="1.0" encoding="utf-8"?>
<table xmlns="http://schemas.openxmlformats.org/spreadsheetml/2006/main" id="13" name="SUMMARY_OpCostType" displayName="SUMMARY_OpCostType" ref="A70:H81" totalsRowCount="1" headerRowDxfId="322" dataDxfId="321" totalsRowDxfId="320">
  <autoFilter ref="A70:H80"/>
  <tableColumns count="8">
    <tableColumn id="1" name="OPERATING COSTS BY CATEGORY" totalsRowLabel="Total" dataDxfId="319" totalsRowDxfId="318"/>
    <tableColumn id="2" name="2021-22 (£'000)" totalsRowFunction="sum" dataDxfId="317" totalsRowDxfId="316"/>
    <tableColumn id="3" name="2022-23 (£'000)" totalsRowFunction="sum" dataDxfId="315" totalsRowDxfId="314"/>
    <tableColumn id="4" name="2023-24 (£'000)" totalsRowFunction="sum" dataDxfId="313" totalsRowDxfId="312"/>
    <tableColumn id="5" name="2024-25 (£'000)" totalsRowFunction="sum" dataDxfId="311" totalsRowDxfId="310"/>
    <tableColumn id="6" name="2025-26 (£'000)" totalsRowFunction="sum" dataDxfId="309" totalsRowDxfId="308"/>
    <tableColumn id="7" name="2026-27 (£'000)" totalsRowFunction="sum" dataDxfId="307" totalsRowDxfId="306"/>
    <tableColumn id="8" name="Total 2021-27 (£'000)" totalsRowFunction="sum" dataDxfId="305" totalsRowDxfId="304">
      <calculatedColumnFormula>SUM(SUMMARY_OpCostType[[#This Row],[2021-22 (£''000)]:[2026-27 (£''000)]])</calculatedColumnFormula>
    </tableColumn>
  </tableColumns>
  <tableStyleInfo name="Table Style 1" showFirstColumn="0" showLastColumn="0" showRowStripes="1" showColumnStripes="0"/>
</table>
</file>

<file path=xl/tables/table4.xml><?xml version="1.0" encoding="utf-8"?>
<table xmlns="http://schemas.openxmlformats.org/spreadsheetml/2006/main" id="14" name="SUMMARY_OpCostTypeSS" displayName="SUMMARY_OpCostTypeSS" ref="J70:J81" totalsRowCount="1" headerRowDxfId="303" dataDxfId="302" totalsRowDxfId="301">
  <autoFilter ref="J70:J80"/>
  <tableColumns count="1">
    <tableColumn id="1" name="Steady State (£'000)" totalsRowFunction="sum" dataDxfId="300" totalsRowDxfId="299"/>
  </tableColumns>
  <tableStyleInfo name="Table Style 1" showFirstColumn="0" showLastColumn="0" showRowStripes="1" showColumnStripes="0"/>
</table>
</file>

<file path=xl/tables/table5.xml><?xml version="1.0" encoding="utf-8"?>
<table xmlns="http://schemas.openxmlformats.org/spreadsheetml/2006/main" id="17" name="SUMMARY_CapCostType" displayName="SUMMARY_CapCostType" ref="A86:H92" totalsRowCount="1" headerRowDxfId="298" dataDxfId="297" totalsRowDxfId="296">
  <autoFilter ref="A86:H91"/>
  <tableColumns count="8">
    <tableColumn id="1" name="CAPITAL COSTS BY CATEGORY" totalsRowLabel="Total" dataDxfId="295" totalsRowDxfId="294">
      <calculatedColumnFormula>Validation!A14</calculatedColumnFormula>
    </tableColumn>
    <tableColumn id="2" name="2021-22 (£'000)" totalsRowFunction="sum" dataDxfId="293" totalsRowDxfId="292">
      <calculatedColumnFormula>SUMIFS(Capital_Costs[2021-22 (£''000)],Capital_Costs[[Cost type*]:[Cost type*]],$A87)</calculatedColumnFormula>
    </tableColumn>
    <tableColumn id="3" name="2022-23 (£'000)" totalsRowFunction="sum" dataDxfId="291" totalsRowDxfId="290">
      <calculatedColumnFormula>SUMIFS(Capital_Costs[2022-23 (£''000)],Capital_Costs[[Cost type*]:[Cost type*]],$A87)</calculatedColumnFormula>
    </tableColumn>
    <tableColumn id="4" name="2023-24 (£'000)" totalsRowFunction="sum" dataDxfId="289" totalsRowDxfId="288">
      <calculatedColumnFormula>SUMIFS(Capital_Costs[2023-24 (£''000)],Capital_Costs[[Cost type*]:[Cost type*]],$A87)</calculatedColumnFormula>
    </tableColumn>
    <tableColumn id="5" name="2024-25 (£'000)" totalsRowFunction="sum" dataDxfId="287" totalsRowDxfId="286">
      <calculatedColumnFormula>SUMIFS(Capital_Costs[2024-25 (£''000)],Capital_Costs[[Cost type*]:[Cost type*]],$A87)</calculatedColumnFormula>
    </tableColumn>
    <tableColumn id="6" name="2025-26 (£'000)" totalsRowFunction="sum" dataDxfId="285" totalsRowDxfId="284">
      <calculatedColumnFormula>SUMIFS(Capital_Costs[2025-26 (£''000)],Capital_Costs[[Cost type*]:[Cost type*]],$A87)</calculatedColumnFormula>
    </tableColumn>
    <tableColumn id="7" name="2026-27 (£'000)" totalsRowFunction="sum" dataDxfId="283" totalsRowDxfId="282">
      <calculatedColumnFormula>SUMIFS(Capital_Costs[2026-27 (£''000)],Capital_Costs[[Cost type*]:[Cost type*]],$A87)</calculatedColumnFormula>
    </tableColumn>
    <tableColumn id="8" name="Total 2021-27 (£'000)" totalsRowFunction="sum" dataDxfId="281" totalsRowDxfId="280">
      <calculatedColumnFormula>SUM(SUMMARY_CapCostType[[#This Row],[2021-22 (£''000)]:[2026-27 (£''000)]])</calculatedColumnFormula>
    </tableColumn>
  </tableColumns>
  <tableStyleInfo name="Table Style 1" showFirstColumn="0" showLastColumn="0" showRowStripes="1" showColumnStripes="0"/>
</table>
</file>

<file path=xl/tables/table6.xml><?xml version="1.0" encoding="utf-8"?>
<table xmlns="http://schemas.openxmlformats.org/spreadsheetml/2006/main" id="19" name="SUMMARY_ConsortiumMembIncome" displayName="SUMMARY_ConsortiumMembIncome" ref="A97:J118" totalsRowCount="1" headerRowDxfId="279" dataDxfId="278" totalsRowDxfId="277">
  <autoFilter ref="A97:J117"/>
  <tableColumns count="10">
    <tableColumn id="1" name="TOTAL PROJECT INCOME BY CONSORTIUM MEMBER" totalsRowLabel="Total" dataDxfId="276" totalsRowDxfId="275"/>
    <tableColumn id="3" name="UKRI SIPF funding" totalsRowFunction="sum" dataDxfId="274" totalsRowDxfId="273">
      <calculatedColumnFormula>SUMIFS(Income[Total 2021-27 (£''000)],Income[[Project income type*]:[Project income type*]],Validation!$A$4,Income[[Consortium partner*]:[Consortium partner*]],$A98)</calculatedColumnFormula>
    </tableColumn>
    <tableColumn id="4" name="Cash Leverage" totalsRowFunction="sum" dataDxfId="272" totalsRowDxfId="271">
      <calculatedColumnFormula>(SUMIFS(Income[Total 2021-27 (£''000)],Income[[Project income type*]:[Project income type*]],Validation!$A$5,Income[[Consortium partner*]:[Consortium partner*]],$A98))+(SUMIFS(Income[Total 2021-27 (£''000)],Income[[Project income type*]:[Project income type*]],Validation!$A$6,Income[[Consortium partner*]:[Consortium partner*]],$A98))</calculatedColumnFormula>
    </tableColumn>
    <tableColumn id="5" name="In-kind Leverage" totalsRowFunction="sum" dataDxfId="270" totalsRowDxfId="269">
      <calculatedColumnFormula>(SUMIFS(Income[Total 2021-27 (£''000)],Income[[Project income type*]:[Project income type*]],Validation!$A$7,Income[[Consortium partner*]:[Consortium partner*]],$A98))+(SUMIFS(Income[Total 2021-27 (£''000)],Income[[Project income type*]:[Project income type*]],Validation!$A$8,Income[[Consortium partner*]:[Consortium partner*]],$A98))</calculatedColumnFormula>
    </tableColumn>
    <tableColumn id="12" name="Generated income" totalsRowFunction="sum" dataDxfId="268" totalsRowDxfId="267">
      <calculatedColumnFormula>SUMIFS(Income[Total 2021-27 (£''000)],Income[[Project income type*]:[Project income type*]],Validation!$A$9,Income[[Consortium partner*]:[Consortium partner*]],$A98)</calculatedColumnFormula>
    </tableColumn>
    <tableColumn id="11" name="Other income" totalsRowFunction="sum" dataDxfId="266" totalsRowDxfId="265">
      <calculatedColumnFormula>SUMIFS(Income[Total 2021-27 (£''000)],Income[[Project income type*]:[Project income type*]],Validation!$A$10,Income[[Consortium partner*]:[Consortium partner*]],$A98)</calculatedColumnFormula>
    </tableColumn>
    <tableColumn id="6" name="Total leverage provided for state aid requirements" totalsRowFunction="sum" dataDxfId="264" totalsRowDxfId="263">
      <calculatedColumnFormula>(SUMIFS(Income[Total 2021-27 (£''000)],Income[[Project income type*]:[Project income type*]],Validation!$A$5,Income[[Consortium partner*]:[Consortium partner*]],$A98))+(SUMIFS(Income[Total 2021-27 (£''000)],Income[[Project income type*]:[Project income type*]],Validation!$A$7,Income[[Consortium partner*]:[Consortium partner*]],$A98))</calculatedColumnFormula>
    </tableColumn>
    <tableColumn id="7" name="Total leverage provided additional to state aid requirements" totalsRowFunction="sum" dataDxfId="262" totalsRowDxfId="261">
      <calculatedColumnFormula>(SUMIFS(Income[Total 2021-27 (£''000)],Income[[Project income type*]:[Project income type*]],Validation!$A$6,Income[[Consortium partner*]:[Consortium partner*]],$A98))+(SUMIFS(Income[Total 2021-27 (£''000)],Income[[Project income type*]:[Project income type*]],Validation!$A$8,Income[[Consortium partner*]:[Consortium partner*]],$A98))</calculatedColumnFormula>
    </tableColumn>
    <tableColumn id="8" name="Total leverage from organisation" totalsRowFunction="sum" dataDxfId="260" totalsRowDxfId="259">
      <calculatedColumnFormula>SUM(SUMMARY_ConsortiumMembIncome[[#This Row],[Total leverage provided for state aid requirements]:[Total leverage provided additional to state aid requirements]])</calculatedColumnFormula>
    </tableColumn>
    <tableColumn id="9" name="Total project income for organisation" totalsRowFunction="sum" dataDxfId="258" totalsRowDxfId="257">
      <calculatedColumnFormula>SUM(SUMMARY_ConsortiumMembIncome[[#This Row],[UKRI SIPF funding]:[Other income]])</calculatedColumnFormula>
    </tableColumn>
  </tableColumns>
  <tableStyleInfo name="Table Style 1" showFirstColumn="0" showLastColumn="0" showRowStripes="1" showColumnStripes="0"/>
</table>
</file>

<file path=xl/tables/table7.xml><?xml version="1.0" encoding="utf-8"?>
<table xmlns="http://schemas.openxmlformats.org/spreadsheetml/2006/main" id="5" name="SUMMARY_Total_IncomeAndCosts" displayName="SUMMARY_Total_IncomeAndCosts" ref="A39:H42" totalsRowCount="1">
  <autoFilter ref="A39:H41"/>
  <tableColumns count="8">
    <tableColumn id="1" name="TOTAL PROJECT INCOME AND COSTS" totalsRowLabel="Balance" totalsRowDxfId="256"/>
    <tableColumn id="2" name="2021-22 (£'000)" totalsRowFunction="sum" dataDxfId="255" totalsRowDxfId="254">
      <calculatedColumnFormula>(SUMMARY_Income_FundType[[#Totals],[2021-22 (£''000)]])*-1</calculatedColumnFormula>
    </tableColumn>
    <tableColumn id="3" name="2022-23 (£'000)" totalsRowFunction="sum" dataDxfId="253" totalsRowDxfId="252"/>
    <tableColumn id="4" name="2023-24 (£'000)" totalsRowFunction="sum" dataDxfId="251" totalsRowDxfId="250"/>
    <tableColumn id="5" name="2024-25 (£'000)" totalsRowFunction="sum" dataDxfId="249" totalsRowDxfId="248"/>
    <tableColumn id="6" name="2025-26 (£'000)" totalsRowFunction="sum" dataDxfId="247" totalsRowDxfId="246"/>
    <tableColumn id="7" name="2026-27 (£'000)" totalsRowFunction="sum" dataDxfId="245" totalsRowDxfId="244"/>
    <tableColumn id="8" name="Total 2021-27 (£'000)" totalsRowFunction="sum" dataDxfId="243" totalsRowDxfId="242">
      <calculatedColumnFormula>SUM(SUMMARY_Total_IncomeAndCosts[[#This Row],[2021-22 (£''000)]:[2026-27 (£''000)]])</calculatedColumnFormula>
    </tableColumn>
  </tableColumns>
  <tableStyleInfo name="Table Style 1" showFirstColumn="0" showLastColumn="0" showRowStripes="1" showColumnStripes="0"/>
</table>
</file>

<file path=xl/tables/table8.xml><?xml version="1.0" encoding="utf-8"?>
<table xmlns="http://schemas.openxmlformats.org/spreadsheetml/2006/main" id="9" name="SUMMARY_Total_IncomeAndCostsSS" displayName="SUMMARY_Total_IncomeAndCostsSS" ref="J39:J42" totalsRowCount="1" headerRowDxfId="241" dataDxfId="240" totalsRowDxfId="239">
  <autoFilter ref="J39:J41"/>
  <tableColumns count="1">
    <tableColumn id="1" name="Steady State (£'000)" totalsRowFunction="sum" dataDxfId="238" totalsRowDxfId="237"/>
  </tableColumns>
  <tableStyleInfo name="Table Style 1" showFirstColumn="0" showLastColumn="0" showRowStripes="1" showColumnStripes="0"/>
</table>
</file>

<file path=xl/tables/table9.xml><?xml version="1.0" encoding="utf-8"?>
<table xmlns="http://schemas.openxmlformats.org/spreadsheetml/2006/main" id="20" name="SUMMARY_Costs_FundType" displayName="SUMMARY_Costs_FundType" ref="A58:H64" totalsRowCount="1">
  <autoFilter ref="A58:H63"/>
  <tableColumns count="8">
    <tableColumn id="1" name="TOTAL PROJECT COSTS BY FUNDING TYPE" totalsRowLabel="Total" totalsRowDxfId="236">
      <calculatedColumnFormula>Validation!O4</calculatedColumnFormula>
    </tableColumn>
    <tableColumn id="2" name="2021-22 (£'000)" totalsRowFunction="sum" dataDxfId="235" totalsRowDxfId="234">
      <calculatedColumnFormula>(SUMIFS(Staff_Costs[2021-22 (£''000)],Staff_Costs[[Funding type*]:[Funding type*]],$A59))+(SUMIFS(NonStaff_Op_Costs[2021-22 (£''000)],NonStaff_Op_Costs[[Funding type*]:[Funding type*]],$A59))+(SUMIFS(Capital_Costs[2021-22 (£''000)],Capital_Costs[[Funding type*]:[Funding type*]],$A59))</calculatedColumnFormula>
    </tableColumn>
    <tableColumn id="3" name="2022-23 (£'000)" totalsRowFunction="sum" dataDxfId="233" totalsRowDxfId="232">
      <calculatedColumnFormula>(SUMIFS(Staff_Costs[2022-23 (£''000)],Staff_Costs[[Funding type*]:[Funding type*]],$A59))+(SUMIFS(NonStaff_Op_Costs[2022-23 (£''000)],NonStaff_Op_Costs[[Funding type*]:[Funding type*]],$A59))+(SUMIFS(Capital_Costs[2022-23 (£''000)],Capital_Costs[[Funding type*]:[Funding type*]],$A59))</calculatedColumnFormula>
    </tableColumn>
    <tableColumn id="4" name="2023-24 (£'000)" totalsRowFunction="sum" dataDxfId="231" totalsRowDxfId="230">
      <calculatedColumnFormula>(SUMIFS(Staff_Costs[2023-24 (£''000)],Staff_Costs[[Funding type*]:[Funding type*]],$A59))+(SUMIFS(NonStaff_Op_Costs[2023-24 (£''000)],NonStaff_Op_Costs[[Funding type*]:[Funding type*]],$A59))+(SUMIFS(Capital_Costs[2023-24 (£''000)],Capital_Costs[[Funding type*]:[Funding type*]],$A59))</calculatedColumnFormula>
    </tableColumn>
    <tableColumn id="5" name="2024-25 (£'000)" totalsRowFunction="sum" dataDxfId="229" totalsRowDxfId="228">
      <calculatedColumnFormula>(SUMIFS(Staff_Costs[2024-25 (£''000)],Staff_Costs[[Funding type*]:[Funding type*]],$A59))+(SUMIFS(NonStaff_Op_Costs[2024-25 (£''000)],NonStaff_Op_Costs[[Funding type*]:[Funding type*]],$A59))+(SUMIFS(Capital_Costs[2024-25 (£''000)],Capital_Costs[[Funding type*]:[Funding type*]],$A59))</calculatedColumnFormula>
    </tableColumn>
    <tableColumn id="6" name="2025-26 (£'000)" totalsRowFunction="sum" dataDxfId="227" totalsRowDxfId="226">
      <calculatedColumnFormula>(SUMIFS(Staff_Costs[2025-26 (£''000)],Staff_Costs[[Funding type*]:[Funding type*]],$A59))+(SUMIFS(NonStaff_Op_Costs[2025-26 (£''000)],NonStaff_Op_Costs[[Funding type*]:[Funding type*]],$A59))+(SUMIFS(Capital_Costs[2025-26 (£''000)],Capital_Costs[[Funding type*]:[Funding type*]],$A59))</calculatedColumnFormula>
    </tableColumn>
    <tableColumn id="7" name="2026-27 (£'000)" totalsRowFunction="sum" dataDxfId="225" totalsRowDxfId="224">
      <calculatedColumnFormula>(SUMIFS(Staff_Costs[2026-27 (£''000)],Staff_Costs[[Funding type*]:[Funding type*]],$A59))+(SUMIFS(NonStaff_Op_Costs[2026-27 (£''000)],NonStaff_Op_Costs[[Funding type*]:[Funding type*]],$A59))+(SUMIFS(Capital_Costs[2026-27 (£''000)],Capital_Costs[[Funding type*]:[Funding type*]],$A59))</calculatedColumnFormula>
    </tableColumn>
    <tableColumn id="8" name="Total 2021-27 (£'000)" totalsRowFunction="sum" dataDxfId="223" totalsRowDxfId="222">
      <calculatedColumnFormula>SUM(SUMMARY_Costs_FundType[[#This Row],[2021-22 (£''000)]:[2026-27 (£''000)]])</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F69"/>
  <sheetViews>
    <sheetView showZeros="0" tabSelected="1" workbookViewId="0"/>
  </sheetViews>
  <sheetFormatPr defaultColWidth="9.21875" defaultRowHeight="13.8" x14ac:dyDescent="0.25"/>
  <cols>
    <col min="1" max="1" width="20.77734375" style="26" customWidth="1"/>
    <col min="2" max="2" width="3.44140625" style="30" customWidth="1"/>
    <col min="3" max="3" width="94.21875" style="25" customWidth="1"/>
    <col min="4" max="4" width="9.21875" style="25"/>
    <col min="5" max="5" width="9.21875" style="205" bestFit="1" customWidth="1"/>
    <col min="6" max="6" width="10.21875" style="25" bestFit="1" customWidth="1"/>
    <col min="7" max="7" width="15.21875" style="25" customWidth="1"/>
    <col min="8" max="16384" width="9.21875" style="25"/>
  </cols>
  <sheetData>
    <row r="1" spans="1:6" ht="15.6" x14ac:dyDescent="0.25">
      <c r="A1" s="204" t="s">
        <v>240</v>
      </c>
    </row>
    <row r="2" spans="1:6" ht="15.6" x14ac:dyDescent="0.25">
      <c r="A2" s="204" t="s">
        <v>241</v>
      </c>
    </row>
    <row r="3" spans="1:6" ht="17.399999999999999" x14ac:dyDescent="0.25">
      <c r="A3" s="206"/>
    </row>
    <row r="4" spans="1:6" ht="17.399999999999999" x14ac:dyDescent="0.25">
      <c r="A4" s="206" t="s">
        <v>177</v>
      </c>
    </row>
    <row r="5" spans="1:6" ht="60" customHeight="1" x14ac:dyDescent="0.25">
      <c r="A5" s="224" t="s">
        <v>266</v>
      </c>
      <c r="B5" s="224"/>
      <c r="C5" s="224"/>
    </row>
    <row r="6" spans="1:6" x14ac:dyDescent="0.25">
      <c r="C6" s="34"/>
      <c r="F6" s="207"/>
    </row>
    <row r="7" spans="1:6" ht="45" customHeight="1" x14ac:dyDescent="0.25">
      <c r="A7" s="224" t="s">
        <v>273</v>
      </c>
      <c r="B7" s="224"/>
      <c r="C7" s="224"/>
      <c r="F7" s="207"/>
    </row>
    <row r="8" spans="1:6" x14ac:dyDescent="0.25">
      <c r="C8" s="34"/>
      <c r="F8" s="207"/>
    </row>
    <row r="9" spans="1:6" x14ac:dyDescent="0.25">
      <c r="A9" s="224" t="s">
        <v>242</v>
      </c>
      <c r="B9" s="224"/>
      <c r="C9" s="224"/>
      <c r="F9" s="207"/>
    </row>
    <row r="10" spans="1:6" x14ac:dyDescent="0.25">
      <c r="A10" s="208"/>
      <c r="B10" s="209"/>
      <c r="C10" s="208"/>
      <c r="F10" s="207"/>
    </row>
    <row r="11" spans="1:6" ht="14.25" customHeight="1" x14ac:dyDescent="0.25">
      <c r="A11" s="225" t="s">
        <v>186</v>
      </c>
      <c r="B11" s="225"/>
      <c r="C11" s="225"/>
    </row>
    <row r="12" spans="1:6" ht="14.25" customHeight="1" x14ac:dyDescent="0.25">
      <c r="A12" s="208"/>
      <c r="B12" s="210"/>
      <c r="C12" s="211"/>
    </row>
    <row r="13" spans="1:6" x14ac:dyDescent="0.25">
      <c r="C13" s="34"/>
    </row>
    <row r="14" spans="1:6" ht="29.25" customHeight="1" x14ac:dyDescent="0.25">
      <c r="A14" s="224" t="s">
        <v>213</v>
      </c>
      <c r="B14" s="224"/>
      <c r="C14" s="224"/>
    </row>
    <row r="15" spans="1:6" ht="15.75" customHeight="1" x14ac:dyDescent="0.25">
      <c r="C15" s="34"/>
      <c r="D15" s="28"/>
    </row>
    <row r="16" spans="1:6" x14ac:dyDescent="0.25">
      <c r="A16" s="224" t="s">
        <v>7</v>
      </c>
      <c r="B16" s="224"/>
      <c r="C16" s="224"/>
      <c r="D16" s="28"/>
    </row>
    <row r="17" spans="1:5" x14ac:dyDescent="0.25">
      <c r="C17" s="34"/>
      <c r="E17" s="212"/>
    </row>
    <row r="18" spans="1:5" x14ac:dyDescent="0.25">
      <c r="A18" s="26">
        <v>1</v>
      </c>
      <c r="C18" s="213" t="s">
        <v>18</v>
      </c>
      <c r="E18" s="212"/>
    </row>
    <row r="19" spans="1:5" x14ac:dyDescent="0.25">
      <c r="C19" s="34"/>
      <c r="E19" s="212"/>
    </row>
    <row r="20" spans="1:5" ht="27.6" x14ac:dyDescent="0.25">
      <c r="A20" s="26">
        <v>2</v>
      </c>
      <c r="C20" s="213" t="s">
        <v>19</v>
      </c>
      <c r="E20" s="212"/>
    </row>
    <row r="21" spans="1:5" x14ac:dyDescent="0.25">
      <c r="B21" s="30" t="s">
        <v>20</v>
      </c>
      <c r="C21" s="213" t="s">
        <v>22</v>
      </c>
      <c r="E21" s="212"/>
    </row>
    <row r="22" spans="1:5" ht="41.4" x14ac:dyDescent="0.25">
      <c r="B22" s="30" t="s">
        <v>24</v>
      </c>
      <c r="C22" s="213" t="s">
        <v>23</v>
      </c>
      <c r="E22" s="212"/>
    </row>
    <row r="23" spans="1:5" ht="27.6" x14ac:dyDescent="0.25">
      <c r="B23" s="30" t="s">
        <v>21</v>
      </c>
      <c r="C23" s="213" t="s">
        <v>25</v>
      </c>
      <c r="E23" s="212"/>
    </row>
    <row r="24" spans="1:5" x14ac:dyDescent="0.25">
      <c r="A24" s="25"/>
      <c r="C24" s="34"/>
      <c r="E24" s="212"/>
    </row>
    <row r="25" spans="1:5" ht="27.6" x14ac:dyDescent="0.25">
      <c r="A25" s="25">
        <v>3</v>
      </c>
      <c r="C25" s="34" t="s">
        <v>243</v>
      </c>
      <c r="E25" s="212"/>
    </row>
    <row r="26" spans="1:5" x14ac:dyDescent="0.25">
      <c r="A26" s="25"/>
      <c r="C26" s="34"/>
      <c r="E26" s="212"/>
    </row>
    <row r="27" spans="1:5" x14ac:dyDescent="0.25">
      <c r="A27" s="25">
        <v>4</v>
      </c>
      <c r="C27" s="213" t="s">
        <v>244</v>
      </c>
      <c r="E27" s="212"/>
    </row>
    <row r="28" spans="1:5" x14ac:dyDescent="0.25">
      <c r="A28" s="25"/>
      <c r="E28" s="212"/>
    </row>
    <row r="29" spans="1:5" ht="55.2" x14ac:dyDescent="0.25">
      <c r="A29" s="25">
        <v>5</v>
      </c>
      <c r="C29" s="213" t="s">
        <v>29</v>
      </c>
      <c r="E29" s="212"/>
    </row>
    <row r="30" spans="1:5" x14ac:dyDescent="0.25">
      <c r="A30" s="25"/>
      <c r="C30" s="213"/>
      <c r="E30" s="212"/>
    </row>
    <row r="31" spans="1:5" ht="27.6" x14ac:dyDescent="0.25">
      <c r="A31" s="25">
        <v>6</v>
      </c>
      <c r="C31" s="213" t="s">
        <v>261</v>
      </c>
      <c r="E31" s="212"/>
    </row>
    <row r="32" spans="1:5" x14ac:dyDescent="0.25">
      <c r="E32" s="212"/>
    </row>
    <row r="33" spans="1:5" ht="26.7" customHeight="1" x14ac:dyDescent="0.25">
      <c r="A33" s="214" t="s">
        <v>11</v>
      </c>
      <c r="E33" s="212"/>
    </row>
    <row r="34" spans="1:5" x14ac:dyDescent="0.25">
      <c r="A34" s="33"/>
      <c r="E34" s="212"/>
    </row>
    <row r="35" spans="1:5" ht="27.6" x14ac:dyDescent="0.25">
      <c r="A35" s="33" t="s">
        <v>27</v>
      </c>
      <c r="C35" s="34" t="s">
        <v>28</v>
      </c>
      <c r="E35" s="212"/>
    </row>
    <row r="36" spans="1:5" x14ac:dyDescent="0.25">
      <c r="A36" s="35"/>
      <c r="E36" s="212"/>
    </row>
    <row r="37" spans="1:5" ht="41.4" x14ac:dyDescent="0.25">
      <c r="A37" s="33" t="s">
        <v>224</v>
      </c>
      <c r="C37" s="34" t="s">
        <v>225</v>
      </c>
      <c r="E37" s="212"/>
    </row>
    <row r="38" spans="1:5" x14ac:dyDescent="0.25">
      <c r="A38" s="35"/>
      <c r="C38" s="34"/>
      <c r="E38" s="212"/>
    </row>
    <row r="39" spans="1:5" ht="69" x14ac:dyDescent="0.25">
      <c r="A39" s="35" t="s">
        <v>30</v>
      </c>
      <c r="C39" s="34" t="s">
        <v>245</v>
      </c>
      <c r="E39" s="212"/>
    </row>
    <row r="40" spans="1:5" x14ac:dyDescent="0.25">
      <c r="A40" s="35"/>
      <c r="C40" s="34"/>
      <c r="E40" s="212"/>
    </row>
    <row r="41" spans="1:5" ht="41.4" x14ac:dyDescent="0.25">
      <c r="A41" s="33" t="s">
        <v>238</v>
      </c>
      <c r="C41" s="34" t="s">
        <v>239</v>
      </c>
      <c r="E41" s="212"/>
    </row>
    <row r="42" spans="1:5" x14ac:dyDescent="0.25">
      <c r="A42" s="33"/>
      <c r="C42" s="34"/>
      <c r="E42" s="212"/>
    </row>
    <row r="43" spans="1:5" ht="27.6" x14ac:dyDescent="0.25">
      <c r="A43" s="33" t="s">
        <v>41</v>
      </c>
      <c r="C43" s="34" t="s">
        <v>35</v>
      </c>
      <c r="E43" s="212"/>
    </row>
    <row r="44" spans="1:5" x14ac:dyDescent="0.25">
      <c r="A44" s="33"/>
      <c r="C44" s="34"/>
      <c r="E44" s="212"/>
    </row>
    <row r="45" spans="1:5" ht="41.4" x14ac:dyDescent="0.25">
      <c r="A45" s="33" t="s">
        <v>274</v>
      </c>
      <c r="C45" s="34" t="s">
        <v>23</v>
      </c>
      <c r="E45" s="212"/>
    </row>
    <row r="46" spans="1:5" x14ac:dyDescent="0.25">
      <c r="A46" s="33"/>
      <c r="C46" s="34"/>
      <c r="E46" s="212"/>
    </row>
    <row r="47" spans="1:5" ht="41.4" x14ac:dyDescent="0.25">
      <c r="A47" s="33" t="s">
        <v>42</v>
      </c>
      <c r="C47" s="34" t="s">
        <v>212</v>
      </c>
      <c r="E47" s="212"/>
    </row>
    <row r="48" spans="1:5" x14ac:dyDescent="0.25">
      <c r="A48" s="35"/>
      <c r="E48" s="212"/>
    </row>
    <row r="49" spans="1:5" x14ac:dyDescent="0.25">
      <c r="A49" s="35" t="s">
        <v>31</v>
      </c>
      <c r="C49" s="25" t="s">
        <v>32</v>
      </c>
      <c r="E49" s="212"/>
    </row>
    <row r="50" spans="1:5" ht="27.6" x14ac:dyDescent="0.25">
      <c r="A50" s="33" t="s">
        <v>34</v>
      </c>
      <c r="C50" s="34" t="s">
        <v>45</v>
      </c>
      <c r="E50" s="212"/>
    </row>
    <row r="51" spans="1:5" ht="105.75" customHeight="1" x14ac:dyDescent="0.25">
      <c r="A51" s="33" t="s">
        <v>33</v>
      </c>
      <c r="C51" s="34" t="s">
        <v>46</v>
      </c>
      <c r="E51" s="212"/>
    </row>
    <row r="52" spans="1:5" x14ac:dyDescent="0.25">
      <c r="A52" s="25"/>
      <c r="E52" s="212"/>
    </row>
    <row r="53" spans="1:5" x14ac:dyDescent="0.25">
      <c r="A53" s="33" t="s">
        <v>38</v>
      </c>
      <c r="C53" s="25" t="s">
        <v>39</v>
      </c>
      <c r="E53" s="212"/>
    </row>
    <row r="54" spans="1:5" x14ac:dyDescent="0.25">
      <c r="A54" s="35"/>
      <c r="E54" s="212"/>
    </row>
    <row r="55" spans="1:5" ht="55.2" x14ac:dyDescent="0.25">
      <c r="A55" s="33" t="s">
        <v>246</v>
      </c>
      <c r="C55" s="34" t="s">
        <v>247</v>
      </c>
      <c r="E55" s="212"/>
    </row>
    <row r="56" spans="1:5" x14ac:dyDescent="0.25">
      <c r="A56" s="35"/>
      <c r="E56" s="212"/>
    </row>
    <row r="57" spans="1:5" x14ac:dyDescent="0.25">
      <c r="A57" s="152" t="s">
        <v>36</v>
      </c>
      <c r="B57" s="151"/>
      <c r="C57" s="150" t="s">
        <v>43</v>
      </c>
      <c r="E57" s="212"/>
    </row>
    <row r="58" spans="1:5" x14ac:dyDescent="0.25">
      <c r="A58" s="152"/>
      <c r="B58" s="151"/>
      <c r="C58" s="150"/>
      <c r="E58" s="212"/>
    </row>
    <row r="59" spans="1:5" ht="69" x14ac:dyDescent="0.25">
      <c r="A59" s="33" t="s">
        <v>260</v>
      </c>
      <c r="C59" s="34" t="s">
        <v>262</v>
      </c>
      <c r="E59" s="212"/>
    </row>
    <row r="60" spans="1:5" x14ac:dyDescent="0.25">
      <c r="A60" s="33"/>
      <c r="E60" s="212"/>
    </row>
    <row r="61" spans="1:5" ht="41.4" x14ac:dyDescent="0.25">
      <c r="A61" s="33" t="s">
        <v>26</v>
      </c>
      <c r="C61" s="34" t="s">
        <v>229</v>
      </c>
      <c r="E61" s="212"/>
    </row>
    <row r="62" spans="1:5" x14ac:dyDescent="0.25">
      <c r="A62" s="33"/>
      <c r="E62" s="212"/>
    </row>
    <row r="63" spans="1:5" ht="27.6" x14ac:dyDescent="0.25">
      <c r="A63" s="33" t="s">
        <v>44</v>
      </c>
      <c r="C63" s="34" t="s">
        <v>263</v>
      </c>
      <c r="E63" s="212"/>
    </row>
    <row r="64" spans="1:5" x14ac:dyDescent="0.25">
      <c r="E64" s="212"/>
    </row>
    <row r="65" spans="1:5" ht="27.6" x14ac:dyDescent="0.25">
      <c r="A65" s="33" t="s">
        <v>40</v>
      </c>
      <c r="C65" s="34" t="s">
        <v>222</v>
      </c>
      <c r="E65" s="212"/>
    </row>
    <row r="66" spans="1:5" x14ac:dyDescent="0.25">
      <c r="E66" s="212"/>
    </row>
    <row r="67" spans="1:5" x14ac:dyDescent="0.25">
      <c r="E67" s="212"/>
    </row>
    <row r="68" spans="1:5" x14ac:dyDescent="0.25">
      <c r="A68" s="27"/>
      <c r="B68" s="31"/>
      <c r="C68" s="28"/>
    </row>
    <row r="69" spans="1:5" x14ac:dyDescent="0.25">
      <c r="A69" s="27"/>
      <c r="B69" s="31"/>
      <c r="C69" s="28"/>
    </row>
  </sheetData>
  <sheetProtection algorithmName="SHA-512" hashValue="cKVXA0DcJxPQmOOwQ5b5xvydm6cMAnx/Aym9Nq2n/G4Q8aymF41knn4n4OJfegzv5z4OMe3PwyqRW+FTzBGm/A==" saltValue="hn3J0T5FzYVXy5vVcrbbIg==" spinCount="100000" sheet="1" objects="1" scenarios="1"/>
  <mergeCells count="6">
    <mergeCell ref="A5:C5"/>
    <mergeCell ref="A7:C7"/>
    <mergeCell ref="A11:C11"/>
    <mergeCell ref="A14:C14"/>
    <mergeCell ref="A16:C16"/>
    <mergeCell ref="A9:C9"/>
  </mergeCells>
  <pageMargins left="0.7" right="0.7" top="0.75" bottom="0.75" header="0.3" footer="0.3"/>
  <pageSetup paperSize="9"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M144"/>
  <sheetViews>
    <sheetView showZeros="0" workbookViewId="0"/>
  </sheetViews>
  <sheetFormatPr defaultColWidth="9.21875" defaultRowHeight="13.2" x14ac:dyDescent="0.25"/>
  <cols>
    <col min="1" max="1" width="51.21875" style="16" customWidth="1"/>
    <col min="2" max="7" width="12.21875" style="16" customWidth="1"/>
    <col min="8" max="8" width="13.5546875" style="16" customWidth="1"/>
    <col min="9" max="10" width="13" style="16" customWidth="1"/>
    <col min="11" max="11" width="9.21875" style="16"/>
    <col min="12" max="12" width="10.21875" style="16" customWidth="1"/>
    <col min="13" max="16384" width="9.21875" style="16"/>
  </cols>
  <sheetData>
    <row r="1" spans="1:13" ht="15.6" x14ac:dyDescent="0.25">
      <c r="A1" s="32" t="str">
        <f>GUIDANCE!A1</f>
        <v>UK Research and Innovation Strength in Places Fund - Wave 2</v>
      </c>
    </row>
    <row r="2" spans="1:13" ht="15.6" x14ac:dyDescent="0.25">
      <c r="A2" s="32" t="str">
        <f>GUIDANCE!A2</f>
        <v>Financial information for expression of interest proposals</v>
      </c>
      <c r="J2"/>
      <c r="K2"/>
      <c r="L2"/>
      <c r="M2"/>
    </row>
    <row r="3" spans="1:13" ht="17.399999999999999" x14ac:dyDescent="0.25">
      <c r="A3" s="23"/>
      <c r="J3"/>
      <c r="K3"/>
      <c r="L3"/>
      <c r="M3"/>
    </row>
    <row r="4" spans="1:13" ht="17.399999999999999" x14ac:dyDescent="0.3">
      <c r="A4" s="2" t="s">
        <v>178</v>
      </c>
    </row>
    <row r="5" spans="1:13" ht="15.6" x14ac:dyDescent="0.3">
      <c r="A5" s="24"/>
    </row>
    <row r="6" spans="1:13" s="19" customFormat="1" ht="13.8" x14ac:dyDescent="0.25">
      <c r="A6" s="37" t="s">
        <v>2</v>
      </c>
      <c r="B6" s="38" t="str">
        <f>'0. Project &amp; consortium'!B14</f>
        <v>Project ABCDE</v>
      </c>
      <c r="C6" s="38"/>
      <c r="D6" s="38"/>
      <c r="E6" s="38"/>
      <c r="F6" s="38"/>
    </row>
    <row r="7" spans="1:13" s="19" customFormat="1" ht="13.8" x14ac:dyDescent="0.25">
      <c r="A7" s="37"/>
      <c r="B7" s="36"/>
    </row>
    <row r="8" spans="1:13" s="19" customFormat="1" ht="13.8" x14ac:dyDescent="0.25">
      <c r="A8" s="37" t="s">
        <v>12</v>
      </c>
      <c r="B8" s="38" t="str">
        <f>'0. Project &amp; consortium'!B17</f>
        <v>E.g. ABC Ltd or University X</v>
      </c>
    </row>
    <row r="9" spans="1:13" s="19" customFormat="1" ht="13.8" x14ac:dyDescent="0.25">
      <c r="A9" s="37"/>
      <c r="B9" s="38"/>
    </row>
    <row r="10" spans="1:13" s="19" customFormat="1" ht="13.8" x14ac:dyDescent="0.25">
      <c r="A10" s="103" t="s">
        <v>168</v>
      </c>
      <c r="B10" s="38"/>
    </row>
    <row r="11" spans="1:13" s="19" customFormat="1" ht="13.8" x14ac:dyDescent="0.25">
      <c r="A11" s="97" t="s">
        <v>176</v>
      </c>
      <c r="B11" s="38"/>
    </row>
    <row r="12" spans="1:13" s="19" customFormat="1" ht="13.8" x14ac:dyDescent="0.25">
      <c r="A12" s="97" t="s">
        <v>223</v>
      </c>
      <c r="B12" s="38"/>
    </row>
    <row r="13" spans="1:13" s="19" customFormat="1" ht="13.8" x14ac:dyDescent="0.25">
      <c r="A13" s="97" t="s">
        <v>277</v>
      </c>
      <c r="B13" s="38"/>
    </row>
    <row r="14" spans="1:13" s="19" customFormat="1" ht="13.8" x14ac:dyDescent="0.25">
      <c r="A14" s="97"/>
      <c r="B14" s="38"/>
    </row>
    <row r="15" spans="1:13" s="19" customFormat="1" ht="13.8" x14ac:dyDescent="0.25">
      <c r="A15" s="192" t="s">
        <v>265</v>
      </c>
      <c r="B15" s="191"/>
      <c r="C15" s="106"/>
    </row>
    <row r="16" spans="1:13" x14ac:dyDescent="0.25">
      <c r="A16" s="185"/>
      <c r="B16" s="185"/>
      <c r="C16" s="185"/>
      <c r="I16"/>
      <c r="J16"/>
      <c r="K16"/>
    </row>
    <row r="17" spans="1:11" ht="26.4" x14ac:dyDescent="0.25">
      <c r="A17" s="194" t="s">
        <v>268</v>
      </c>
      <c r="B17" s="195" t="s">
        <v>271</v>
      </c>
      <c r="C17" s="185"/>
      <c r="I17" s="87"/>
      <c r="J17" s="87"/>
      <c r="K17" s="87"/>
    </row>
    <row r="18" spans="1:11" x14ac:dyDescent="0.25">
      <c r="A18" s="193" t="str">
        <f>Validation!A4</f>
        <v>UKRI SIPF</v>
      </c>
      <c r="B18" s="198">
        <f>SUMIFS(Income[Seedcorn bid development (£''000)],Income[[Project income type*]:[Project income type*]],$A18)</f>
        <v>0</v>
      </c>
      <c r="C18" s="185"/>
      <c r="I18" s="87"/>
      <c r="J18" s="87"/>
      <c r="K18" s="87"/>
    </row>
    <row r="19" spans="1:11" x14ac:dyDescent="0.25">
      <c r="A19" s="193" t="str">
        <f>Validation!A5</f>
        <v>Cash leverage: required for state aid match</v>
      </c>
      <c r="B19" s="199">
        <f>SUMIFS(Income[Seedcorn bid development (£''000)],Income[[Project income type*]:[Project income type*]],$A19)</f>
        <v>0</v>
      </c>
      <c r="C19" s="185"/>
      <c r="I19" s="87"/>
      <c r="J19" s="87"/>
      <c r="K19" s="87"/>
    </row>
    <row r="20" spans="1:11" x14ac:dyDescent="0.25">
      <c r="A20" s="193" t="str">
        <f>Validation!A6</f>
        <v>Cash leverage: additional to any state aid requirements</v>
      </c>
      <c r="B20" s="199">
        <f>SUMIFS(Income[Seedcorn bid development (£''000)],Income[[Project income type*]:[Project income type*]],$A20)</f>
        <v>0</v>
      </c>
      <c r="C20" s="185"/>
      <c r="I20" s="87"/>
      <c r="J20" s="87"/>
      <c r="K20" s="87"/>
    </row>
    <row r="21" spans="1:11" x14ac:dyDescent="0.25">
      <c r="A21" s="193" t="str">
        <f>Validation!A7</f>
        <v>In-kind contribution: required for state aid match</v>
      </c>
      <c r="B21" s="199">
        <f>SUMIFS(Income[Seedcorn bid development (£''000)],Income[[Project income type*]:[Project income type*]],$A21)</f>
        <v>0</v>
      </c>
      <c r="C21" s="185"/>
      <c r="I21" s="87"/>
      <c r="J21" s="87"/>
      <c r="K21" s="87"/>
    </row>
    <row r="22" spans="1:11" x14ac:dyDescent="0.25">
      <c r="A22" s="193" t="str">
        <f>Validation!A8</f>
        <v>In-kind contribution: additional to any state aid requirements</v>
      </c>
      <c r="B22" s="199">
        <f>SUMIFS(Income[Seedcorn bid development (£''000)],Income[[Project income type*]:[Project income type*]],$A22)</f>
        <v>0</v>
      </c>
      <c r="C22" s="185"/>
      <c r="I22" s="87"/>
      <c r="J22" s="87"/>
      <c r="K22" s="87"/>
    </row>
    <row r="23" spans="1:11" x14ac:dyDescent="0.25">
      <c r="A23" s="193" t="str">
        <f>Validation!A9</f>
        <v>Generated income</v>
      </c>
      <c r="B23" s="199">
        <f>SUMIFS(Income[Seedcorn bid development (£''000)],Income[[Project income type*]:[Project income type*]],$A23)</f>
        <v>0</v>
      </c>
      <c r="C23" s="185"/>
      <c r="I23" s="87"/>
      <c r="J23" s="87"/>
      <c r="K23" s="87"/>
    </row>
    <row r="24" spans="1:11" ht="13.8" thickBot="1" x14ac:dyDescent="0.3">
      <c r="A24" s="197" t="str">
        <f>Validation!A10</f>
        <v>Other</v>
      </c>
      <c r="B24" s="200">
        <f>SUMIFS(Income[Seedcorn bid development (£''000)],Income[[Project income type*]:[Project income type*]],$A24)</f>
        <v>0</v>
      </c>
      <c r="C24" s="185"/>
      <c r="I24" s="87"/>
      <c r="J24" s="87"/>
      <c r="K24" s="87"/>
    </row>
    <row r="25" spans="1:11" ht="13.8" thickTop="1" x14ac:dyDescent="0.25">
      <c r="A25" s="196" t="s">
        <v>1</v>
      </c>
      <c r="B25" s="201">
        <f>SUBTOTAL(109,SUMMARY_Seedcorn_Income[Income (£''000)])</f>
        <v>0</v>
      </c>
      <c r="C25" s="185"/>
      <c r="I25" s="87"/>
      <c r="J25" s="87"/>
      <c r="K25" s="87"/>
    </row>
    <row r="26" spans="1:11" s="19" customFormat="1" ht="13.8" x14ac:dyDescent="0.25">
      <c r="B26" s="191"/>
      <c r="C26" s="106"/>
    </row>
    <row r="27" spans="1:11" ht="13.8" x14ac:dyDescent="0.25">
      <c r="A27" s="192" t="s">
        <v>264</v>
      </c>
      <c r="B27" s="185"/>
      <c r="C27" s="185"/>
      <c r="I27" s="87"/>
      <c r="J27" s="87"/>
      <c r="K27" s="87"/>
    </row>
    <row r="28" spans="1:11" x14ac:dyDescent="0.25">
      <c r="A28" s="185"/>
      <c r="B28" s="185"/>
      <c r="C28" s="185"/>
      <c r="I28" s="87"/>
      <c r="J28" s="87"/>
      <c r="K28" s="87"/>
    </row>
    <row r="29" spans="1:11" ht="26.4" x14ac:dyDescent="0.25">
      <c r="A29" s="194" t="s">
        <v>269</v>
      </c>
      <c r="B29" s="195" t="s">
        <v>272</v>
      </c>
      <c r="C29" s="185"/>
      <c r="I29" s="87"/>
      <c r="J29" s="87"/>
      <c r="K29" s="87"/>
    </row>
    <row r="30" spans="1:11" x14ac:dyDescent="0.25">
      <c r="A30" s="193" t="str">
        <f>Validation!O4</f>
        <v>UKRI SIPF</v>
      </c>
      <c r="B30" s="198">
        <f>(SUMIFS(Staff_Costs[Seedcorn bid development (£''000)],Staff_Costs[[Funding type*]:[Funding type*]],$A30))+(SUMIFS(NonStaff_Op_Costs[Seedcorn bid development (£''000)],NonStaff_Op_Costs[[Funding type*]:[Funding type*]],$A30))</f>
        <v>0</v>
      </c>
      <c r="C30" s="185"/>
      <c r="I30" s="87"/>
      <c r="J30" s="87"/>
      <c r="K30" s="87"/>
    </row>
    <row r="31" spans="1:11" x14ac:dyDescent="0.25">
      <c r="A31" s="193" t="str">
        <f>Validation!O5</f>
        <v>Cash leverage</v>
      </c>
      <c r="B31" s="198">
        <f>(SUMIFS(Staff_Costs[Seedcorn bid development (£''000)],Staff_Costs[[Funding type*]:[Funding type*]],$A31))+(SUMIFS(NonStaff_Op_Costs[Seedcorn bid development (£''000)],NonStaff_Op_Costs[[Funding type*]:[Funding type*]],$A31))</f>
        <v>0</v>
      </c>
      <c r="C31" s="185"/>
      <c r="I31" s="87"/>
      <c r="J31" s="87"/>
      <c r="K31" s="87"/>
    </row>
    <row r="32" spans="1:11" x14ac:dyDescent="0.25">
      <c r="A32" s="193" t="str">
        <f>Validation!O6</f>
        <v>In-kind contribution</v>
      </c>
      <c r="B32" s="198">
        <f>(SUMIFS(Staff_Costs[Seedcorn bid development (£''000)],Staff_Costs[[Funding type*]:[Funding type*]],$A32))+(SUMIFS(NonStaff_Op_Costs[Seedcorn bid development (£''000)],NonStaff_Op_Costs[[Funding type*]:[Funding type*]],$A32))</f>
        <v>0</v>
      </c>
      <c r="C32" s="185"/>
      <c r="I32" s="87"/>
      <c r="J32" s="87"/>
      <c r="K32" s="87"/>
    </row>
    <row r="33" spans="1:11" x14ac:dyDescent="0.25">
      <c r="A33" s="193" t="str">
        <f>Validation!O7</f>
        <v>Generated income</v>
      </c>
      <c r="B33" s="198">
        <f>(SUMIFS(Staff_Costs[Seedcorn bid development (£''000)],Staff_Costs[[Funding type*]:[Funding type*]],$A33))+(SUMIFS(NonStaff_Op_Costs[Seedcorn bid development (£''000)],NonStaff_Op_Costs[[Funding type*]:[Funding type*]],$A33))</f>
        <v>0</v>
      </c>
      <c r="C33" s="185"/>
      <c r="I33" s="87"/>
      <c r="J33" s="87"/>
      <c r="K33" s="87"/>
    </row>
    <row r="34" spans="1:11" ht="13.8" thickBot="1" x14ac:dyDescent="0.3">
      <c r="A34" s="197" t="str">
        <f>Validation!O8</f>
        <v>Other</v>
      </c>
      <c r="B34" s="202">
        <f>(SUMIFS(Staff_Costs[Seedcorn bid development (£''000)],Staff_Costs[[Funding type*]:[Funding type*]],$A34))+(SUMIFS(NonStaff_Op_Costs[Seedcorn bid development (£''000)],NonStaff_Op_Costs[[Funding type*]:[Funding type*]],$A34))</f>
        <v>0</v>
      </c>
      <c r="C34" s="185"/>
      <c r="I34" s="87"/>
      <c r="J34" s="87"/>
      <c r="K34" s="87"/>
    </row>
    <row r="35" spans="1:11" ht="13.8" thickTop="1" x14ac:dyDescent="0.25">
      <c r="A35" s="196" t="s">
        <v>1</v>
      </c>
      <c r="B35" s="203">
        <f>SUBTOTAL(109,SUMMARY_Seedcorn_Costs[Costs (£''000)])</f>
        <v>0</v>
      </c>
      <c r="C35" s="185"/>
      <c r="I35" s="87"/>
      <c r="J35" s="87"/>
      <c r="K35" s="87"/>
    </row>
    <row r="36" spans="1:11" x14ac:dyDescent="0.25">
      <c r="I36"/>
      <c r="J36"/>
      <c r="K36"/>
    </row>
    <row r="37" spans="1:11" s="19" customFormat="1" ht="13.8" x14ac:dyDescent="0.25">
      <c r="A37" s="69" t="s">
        <v>147</v>
      </c>
      <c r="B37" s="38"/>
      <c r="I37"/>
      <c r="J37"/>
      <c r="K37"/>
    </row>
    <row r="38" spans="1:11" s="19" customFormat="1" ht="13.8" x14ac:dyDescent="0.25">
      <c r="A38" s="37"/>
      <c r="B38" s="38"/>
    </row>
    <row r="39" spans="1:11" s="19" customFormat="1" ht="26.4" x14ac:dyDescent="0.25">
      <c r="A39" s="43" t="s">
        <v>143</v>
      </c>
      <c r="B39" s="45" t="s">
        <v>71</v>
      </c>
      <c r="C39" s="45" t="s">
        <v>72</v>
      </c>
      <c r="D39" s="45" t="s">
        <v>73</v>
      </c>
      <c r="E39" s="45" t="s">
        <v>74</v>
      </c>
      <c r="F39" s="45" t="s">
        <v>255</v>
      </c>
      <c r="G39" s="45" t="s">
        <v>254</v>
      </c>
      <c r="H39" s="66" t="s">
        <v>258</v>
      </c>
      <c r="J39" s="68" t="s">
        <v>93</v>
      </c>
    </row>
    <row r="40" spans="1:11" s="19" customFormat="1" ht="13.8" x14ac:dyDescent="0.25">
      <c r="A40" s="96" t="s">
        <v>144</v>
      </c>
      <c r="B40" s="218">
        <f>SUMMARY_Income_FundType[[#Totals],[2021-22 (£''000)]]</f>
        <v>0</v>
      </c>
      <c r="C40" s="218">
        <f>SUMMARY_Income_FundType[[#Totals],[2022-23 (£''000)]]</f>
        <v>0</v>
      </c>
      <c r="D40" s="218">
        <f>SUMMARY_Income_FundType[[#Totals],[2023-24 (£''000)]]</f>
        <v>0</v>
      </c>
      <c r="E40" s="218">
        <f>SUMMARY_Income_FundType[[#Totals],[2024-25 (£''000)]]</f>
        <v>0</v>
      </c>
      <c r="F40" s="218">
        <f>SUMMARY_Income_FundType[[#Totals],[2025-26 (£''000)]]</f>
        <v>0</v>
      </c>
      <c r="G40" s="218">
        <f>SUMMARY_Income_FundType[[#Totals],[2026-27 (£''000)]]</f>
        <v>0</v>
      </c>
      <c r="H40" s="219">
        <f>SUM(SUMMARY_Total_IncomeAndCosts[[#This Row],[2021-22 (£''000)]:[2026-27 (£''000)]])</f>
        <v>0</v>
      </c>
      <c r="I40" s="217"/>
      <c r="J40" s="222">
        <f>SUMMARY_Income_FundTypeSS[[#Totals],[Steady State (£''000)]]</f>
        <v>0</v>
      </c>
    </row>
    <row r="41" spans="1:11" s="19" customFormat="1" ht="13.8" x14ac:dyDescent="0.25">
      <c r="A41" s="43" t="s">
        <v>145</v>
      </c>
      <c r="B41" s="218">
        <f>(SUMMARY_Costs_FundType[[#Totals],[2021-22 (£''000)]])*-1</f>
        <v>0</v>
      </c>
      <c r="C41" s="218">
        <f>(SUMMARY_Costs_FundType[[#Totals],[2022-23 (£''000)]])*-1</f>
        <v>0</v>
      </c>
      <c r="D41" s="218">
        <f>(SUMMARY_Costs_FundType[[#Totals],[2023-24 (£''000)]])*-1</f>
        <v>0</v>
      </c>
      <c r="E41" s="218">
        <f>(SUMMARY_Costs_FundType[[#Totals],[2024-25 (£''000)]])*-1</f>
        <v>0</v>
      </c>
      <c r="F41" s="218">
        <f>(SUMMARY_Costs_FundType[[#Totals],[2025-26 (£''000)]])*-1</f>
        <v>0</v>
      </c>
      <c r="G41" s="218">
        <f>(SUMMARY_Costs_FundType[[#Totals],[2026-27 (£''000)]])*-1</f>
        <v>0</v>
      </c>
      <c r="H41" s="219">
        <f>SUM(SUMMARY_Total_IncomeAndCosts[[#This Row],[2021-22 (£''000)]:[2026-27 (£''000)]])</f>
        <v>0</v>
      </c>
      <c r="I41" s="217"/>
      <c r="J41" s="222">
        <f>(SUMMARY_Costs_FundTypeSS[[#Totals],[Steady State (£''000)]])*-1</f>
        <v>0</v>
      </c>
    </row>
    <row r="42" spans="1:11" s="19" customFormat="1" ht="13.8" x14ac:dyDescent="0.25">
      <c r="A42" s="42" t="s">
        <v>146</v>
      </c>
      <c r="B42" s="220">
        <f>SUBTOTAL(109,SUMMARY_Total_IncomeAndCosts[2021-22 (£''000)])</f>
        <v>0</v>
      </c>
      <c r="C42" s="220">
        <f>SUBTOTAL(109,SUMMARY_Total_IncomeAndCosts[2022-23 (£''000)])</f>
        <v>0</v>
      </c>
      <c r="D42" s="220">
        <f>SUBTOTAL(109,SUMMARY_Total_IncomeAndCosts[2023-24 (£''000)])</f>
        <v>0</v>
      </c>
      <c r="E42" s="220">
        <f>SUBTOTAL(109,SUMMARY_Total_IncomeAndCosts[2024-25 (£''000)])</f>
        <v>0</v>
      </c>
      <c r="F42" s="220">
        <f>SUBTOTAL(109,SUMMARY_Total_IncomeAndCosts[2025-26 (£''000)])</f>
        <v>0</v>
      </c>
      <c r="G42" s="220">
        <f>SUBTOTAL(109,SUMMARY_Total_IncomeAndCosts[2026-27 (£''000)])</f>
        <v>0</v>
      </c>
      <c r="H42" s="221">
        <f>SUBTOTAL(109,SUMMARY_Total_IncomeAndCosts[Total 2021-27 (£''000)])</f>
        <v>0</v>
      </c>
      <c r="I42" s="217"/>
      <c r="J42" s="223">
        <f>SUBTOTAL(109,SUMMARY_Total_IncomeAndCostsSS[Steady State (£''000)])</f>
        <v>0</v>
      </c>
    </row>
    <row r="43" spans="1:11" s="19" customFormat="1" ht="13.8" x14ac:dyDescent="0.25">
      <c r="A43" s="37"/>
    </row>
    <row r="44" spans="1:11" s="19" customFormat="1" ht="13.8" x14ac:dyDescent="0.25">
      <c r="A44" s="69" t="s">
        <v>158</v>
      </c>
      <c r="B44" s="38"/>
    </row>
    <row r="46" spans="1:11" s="1" customFormat="1" ht="26.4" x14ac:dyDescent="0.25">
      <c r="A46" s="43" t="s">
        <v>157</v>
      </c>
      <c r="B46" s="45" t="s">
        <v>71</v>
      </c>
      <c r="C46" s="45" t="s">
        <v>72</v>
      </c>
      <c r="D46" s="45" t="s">
        <v>73</v>
      </c>
      <c r="E46" s="45" t="s">
        <v>74</v>
      </c>
      <c r="F46" s="45" t="s">
        <v>255</v>
      </c>
      <c r="G46" s="45" t="s">
        <v>254</v>
      </c>
      <c r="H46" s="66" t="s">
        <v>258</v>
      </c>
      <c r="J46" s="68" t="s">
        <v>93</v>
      </c>
    </row>
    <row r="47" spans="1:11" x14ac:dyDescent="0.25">
      <c r="A47" s="95" t="str">
        <f>Validation!A4</f>
        <v>UKRI SIPF</v>
      </c>
      <c r="B47" s="144">
        <f>SUMIFS(Income[2021-22 (£''000)],Income[[Project income type*]:[Project income type*]],$A47)</f>
        <v>0</v>
      </c>
      <c r="C47" s="144">
        <f>SUMIFS(Income[2022-23 (£''000)],Income[[Project income type*]:[Project income type*]],$A47)</f>
        <v>0</v>
      </c>
      <c r="D47" s="144">
        <f>SUMIFS(Income[2023-24 (£''000)],Income[[Project income type*]:[Project income type*]],$A47)</f>
        <v>0</v>
      </c>
      <c r="E47" s="144">
        <f>SUMIFS(Income[2024-25 (£''000)],Income[[Project income type*]:[Project income type*]],$A47)</f>
        <v>0</v>
      </c>
      <c r="F47" s="144">
        <f>SUMIFS(Income[2025-26 (£''000)],Income[[Project income type*]:[Project income type*]],$A47)</f>
        <v>0</v>
      </c>
      <c r="G47" s="144">
        <f>SUMIFS(Income[2026-27 (£''000)],Income[[Project income type*]:[Project income type*]],$A47)</f>
        <v>0</v>
      </c>
      <c r="H47" s="137">
        <f>SUM(SUMMARY_Income_FundType[[#This Row],[2021-22 (£''000)]:[2026-27 (£''000)]])</f>
        <v>0</v>
      </c>
      <c r="I47" s="139"/>
      <c r="J47" s="140">
        <f>SUMIFS(Income_SS[Steady State (£''000)],Income[[Project income type*]:[Project income type*]],$A47)</f>
        <v>0</v>
      </c>
    </row>
    <row r="48" spans="1:11" x14ac:dyDescent="0.25">
      <c r="A48" s="95" t="str">
        <f>Validation!A5</f>
        <v>Cash leverage: required for state aid match</v>
      </c>
      <c r="B48" s="145">
        <f>SUMIFS(Income[2021-22 (£''000)],Income[[Project income type*]:[Project income type*]],$A48)</f>
        <v>0</v>
      </c>
      <c r="C48" s="144">
        <f>SUMIFS(Income[2022-23 (£''000)],Income[[Project income type*]:[Project income type*]],$A48)</f>
        <v>0</v>
      </c>
      <c r="D48" s="144">
        <f>SUMIFS(Income[2023-24 (£''000)],Income[[Project income type*]:[Project income type*]],$A48)</f>
        <v>0</v>
      </c>
      <c r="E48" s="144">
        <f>SUMIFS(Income[2024-25 (£''000)],Income[[Project income type*]:[Project income type*]],$A48)</f>
        <v>0</v>
      </c>
      <c r="F48" s="144">
        <f>SUMIFS(Income[2025-26 (£''000)],Income[[Project income type*]:[Project income type*]],$A48)</f>
        <v>0</v>
      </c>
      <c r="G48" s="144">
        <f>SUMIFS(Income[2026-27 (£''000)],Income[[Project income type*]:[Project income type*]],$A48)</f>
        <v>0</v>
      </c>
      <c r="H48" s="137">
        <f>SUM(SUMMARY_Income_FundType[[#This Row],[2021-22 (£''000)]:[2026-27 (£''000)]])</f>
        <v>0</v>
      </c>
      <c r="I48" s="134"/>
      <c r="J48" s="140">
        <f>SUMIFS(Income_SS[Steady State (£''000)],Income[[Project income type*]:[Project income type*]],$A48)</f>
        <v>0</v>
      </c>
    </row>
    <row r="49" spans="1:10" x14ac:dyDescent="0.25">
      <c r="A49" s="95" t="str">
        <f>Validation!A6</f>
        <v>Cash leverage: additional to any state aid requirements</v>
      </c>
      <c r="B49" s="145">
        <f>SUMIFS(Income[2021-22 (£''000)],Income[[Project income type*]:[Project income type*]],$A49)</f>
        <v>0</v>
      </c>
      <c r="C49" s="144">
        <f>SUMIFS(Income[2022-23 (£''000)],Income[[Project income type*]:[Project income type*]],$A49)</f>
        <v>0</v>
      </c>
      <c r="D49" s="144">
        <f>SUMIFS(Income[2023-24 (£''000)],Income[[Project income type*]:[Project income type*]],$A49)</f>
        <v>0</v>
      </c>
      <c r="E49" s="144">
        <f>SUMIFS(Income[2024-25 (£''000)],Income[[Project income type*]:[Project income type*]],$A49)</f>
        <v>0</v>
      </c>
      <c r="F49" s="144">
        <f>SUMIFS(Income[2025-26 (£''000)],Income[[Project income type*]:[Project income type*]],$A49)</f>
        <v>0</v>
      </c>
      <c r="G49" s="144">
        <f>SUMIFS(Income[2026-27 (£''000)],Income[[Project income type*]:[Project income type*]],$A49)</f>
        <v>0</v>
      </c>
      <c r="H49" s="137">
        <f>SUM(SUMMARY_Income_FundType[[#This Row],[2021-22 (£''000)]:[2026-27 (£''000)]])</f>
        <v>0</v>
      </c>
      <c r="I49" s="134"/>
      <c r="J49" s="140">
        <f>SUMIFS(Income_SS[Steady State (£''000)],Income[[Project income type*]:[Project income type*]],$A49)</f>
        <v>0</v>
      </c>
    </row>
    <row r="50" spans="1:10" x14ac:dyDescent="0.25">
      <c r="A50" s="95" t="str">
        <f>Validation!A7</f>
        <v>In-kind contribution: required for state aid match</v>
      </c>
      <c r="B50" s="145">
        <f>SUMIFS(Income[2021-22 (£''000)],Income[[Project income type*]:[Project income type*]],$A50)</f>
        <v>0</v>
      </c>
      <c r="C50" s="144">
        <f>SUMIFS(Income[2022-23 (£''000)],Income[[Project income type*]:[Project income type*]],$A50)</f>
        <v>0</v>
      </c>
      <c r="D50" s="144">
        <f>SUMIFS(Income[2023-24 (£''000)],Income[[Project income type*]:[Project income type*]],$A50)</f>
        <v>0</v>
      </c>
      <c r="E50" s="144">
        <f>SUMIFS(Income[2024-25 (£''000)],Income[[Project income type*]:[Project income type*]],$A50)</f>
        <v>0</v>
      </c>
      <c r="F50" s="144">
        <f>SUMIFS(Income[2025-26 (£''000)],Income[[Project income type*]:[Project income type*]],$A50)</f>
        <v>0</v>
      </c>
      <c r="G50" s="144">
        <f>SUMIFS(Income[2026-27 (£''000)],Income[[Project income type*]:[Project income type*]],$A50)</f>
        <v>0</v>
      </c>
      <c r="H50" s="137">
        <f>SUM(SUMMARY_Income_FundType[[#This Row],[2021-22 (£''000)]:[2026-27 (£''000)]])</f>
        <v>0</v>
      </c>
      <c r="I50" s="141"/>
      <c r="J50" s="140">
        <f>SUMIFS(Income_SS[Steady State (£''000)],Income[[Project income type*]:[Project income type*]],$A50)</f>
        <v>0</v>
      </c>
    </row>
    <row r="51" spans="1:10" x14ac:dyDescent="0.25">
      <c r="A51" s="95" t="str">
        <f>Validation!A8</f>
        <v>In-kind contribution: additional to any state aid requirements</v>
      </c>
      <c r="B51" s="145">
        <f>SUMIFS(Income[2021-22 (£''000)],Income[[Project income type*]:[Project income type*]],$A51)</f>
        <v>0</v>
      </c>
      <c r="C51" s="144">
        <f>SUMIFS(Income[2022-23 (£''000)],Income[[Project income type*]:[Project income type*]],$A51)</f>
        <v>0</v>
      </c>
      <c r="D51" s="144">
        <f>SUMIFS(Income[2023-24 (£''000)],Income[[Project income type*]:[Project income type*]],$A51)</f>
        <v>0</v>
      </c>
      <c r="E51" s="144">
        <f>SUMIFS(Income[2024-25 (£''000)],Income[[Project income type*]:[Project income type*]],$A51)</f>
        <v>0</v>
      </c>
      <c r="F51" s="144">
        <f>SUMIFS(Income[2025-26 (£''000)],Income[[Project income type*]:[Project income type*]],$A51)</f>
        <v>0</v>
      </c>
      <c r="G51" s="144">
        <f>SUMIFS(Income[2026-27 (£''000)],Income[[Project income type*]:[Project income type*]],$A51)</f>
        <v>0</v>
      </c>
      <c r="H51" s="137">
        <f>SUM(SUMMARY_Income_FundType[[#This Row],[2021-22 (£''000)]:[2026-27 (£''000)]])</f>
        <v>0</v>
      </c>
      <c r="I51" s="134"/>
      <c r="J51" s="140">
        <f>SUMIFS(Income_SS[Steady State (£''000)],Income[[Project income type*]:[Project income type*]],$A51)</f>
        <v>0</v>
      </c>
    </row>
    <row r="52" spans="1:10" x14ac:dyDescent="0.25">
      <c r="A52" s="95" t="str">
        <f>Validation!A9</f>
        <v>Generated income</v>
      </c>
      <c r="B52" s="145">
        <f>SUMIFS(Income[2021-22 (£''000)],Income[[Project income type*]:[Project income type*]],$A52)</f>
        <v>0</v>
      </c>
      <c r="C52" s="144">
        <f>SUMIFS(Income[2022-23 (£''000)],Income[[Project income type*]:[Project income type*]],$A52)</f>
        <v>0</v>
      </c>
      <c r="D52" s="144">
        <f>SUMIFS(Income[2023-24 (£''000)],Income[[Project income type*]:[Project income type*]],$A52)</f>
        <v>0</v>
      </c>
      <c r="E52" s="144">
        <f>SUMIFS(Income[2024-25 (£''000)],Income[[Project income type*]:[Project income type*]],$A52)</f>
        <v>0</v>
      </c>
      <c r="F52" s="144">
        <f>SUMIFS(Income[2025-26 (£''000)],Income[[Project income type*]:[Project income type*]],$A52)</f>
        <v>0</v>
      </c>
      <c r="G52" s="144">
        <f>SUMIFS(Income[2026-27 (£''000)],Income[[Project income type*]:[Project income type*]],$A52)</f>
        <v>0</v>
      </c>
      <c r="H52" s="137">
        <f>SUM(SUMMARY_Income_FundType[[#This Row],[2021-22 (£''000)]:[2026-27 (£''000)]])</f>
        <v>0</v>
      </c>
      <c r="I52" s="134"/>
      <c r="J52" s="140">
        <f>SUMIFS(Income_SS[Steady State (£''000)],Income[[Project income type*]:[Project income type*]],$A52)</f>
        <v>0</v>
      </c>
    </row>
    <row r="53" spans="1:10" x14ac:dyDescent="0.25">
      <c r="A53" s="95" t="str">
        <f>Validation!A10</f>
        <v>Other</v>
      </c>
      <c r="B53" s="145">
        <f>SUMIFS(Income[2021-22 (£''000)],Income[[Project income type*]:[Project income type*]],$A53)</f>
        <v>0</v>
      </c>
      <c r="C53" s="144">
        <f>SUMIFS(Income[2022-23 (£''000)],Income[[Project income type*]:[Project income type*]],$A53)</f>
        <v>0</v>
      </c>
      <c r="D53" s="144">
        <f>SUMIFS(Income[2023-24 (£''000)],Income[[Project income type*]:[Project income type*]],$A53)</f>
        <v>0</v>
      </c>
      <c r="E53" s="144">
        <f>SUMIFS(Income[2024-25 (£''000)],Income[[Project income type*]:[Project income type*]],$A53)</f>
        <v>0</v>
      </c>
      <c r="F53" s="144">
        <f>SUMIFS(Income[2025-26 (£''000)],Income[[Project income type*]:[Project income type*]],$A53)</f>
        <v>0</v>
      </c>
      <c r="G53" s="144">
        <f>SUMIFS(Income[2026-27 (£''000)],Income[[Project income type*]:[Project income type*]],$A53)</f>
        <v>0</v>
      </c>
      <c r="H53" s="137">
        <f>SUM(SUMMARY_Income_FundType[[#This Row],[2021-22 (£''000)]:[2026-27 (£''000)]])</f>
        <v>0</v>
      </c>
      <c r="I53" s="134"/>
      <c r="J53" s="140">
        <f>SUMIFS(Income_SS[Steady State (£''000)],Income[[Project income type*]:[Project income type*]],$A53)</f>
        <v>0</v>
      </c>
    </row>
    <row r="54" spans="1:10" s="1" customFormat="1" x14ac:dyDescent="0.25">
      <c r="A54" s="43" t="s">
        <v>1</v>
      </c>
      <c r="B54" s="145">
        <f>SUBTOTAL(109,SUMMARY_Income_FundType[2021-22 (£''000)])</f>
        <v>0</v>
      </c>
      <c r="C54" s="145">
        <f>SUBTOTAL(109,SUMMARY_Income_FundType[2022-23 (£''000)])</f>
        <v>0</v>
      </c>
      <c r="D54" s="145">
        <f>SUBTOTAL(109,SUMMARY_Income_FundType[2023-24 (£''000)])</f>
        <v>0</v>
      </c>
      <c r="E54" s="145">
        <f>SUBTOTAL(109,SUMMARY_Income_FundType[2024-25 (£''000)])</f>
        <v>0</v>
      </c>
      <c r="F54" s="145">
        <f>SUBTOTAL(109,SUMMARY_Income_FundType[2025-26 (£''000)])</f>
        <v>0</v>
      </c>
      <c r="G54" s="145">
        <f>SUBTOTAL(109,SUMMARY_Income_FundType[2026-27 (£''000)])</f>
        <v>0</v>
      </c>
      <c r="H54" s="137">
        <f>SUBTOTAL(109,SUMMARY_Income_FundType[Total 2021-27 (£''000)])</f>
        <v>0</v>
      </c>
      <c r="I54" s="142"/>
      <c r="J54" s="143">
        <f>SUBTOTAL(109,SUMMARY_Income_FundTypeSS[Steady State (£''000)])</f>
        <v>0</v>
      </c>
    </row>
    <row r="56" spans="1:10" ht="13.8" x14ac:dyDescent="0.25">
      <c r="A56" s="69" t="s">
        <v>100</v>
      </c>
    </row>
    <row r="58" spans="1:10" ht="26.4" x14ac:dyDescent="0.25">
      <c r="A58" s="43" t="s">
        <v>99</v>
      </c>
      <c r="B58" s="45" t="s">
        <v>71</v>
      </c>
      <c r="C58" s="45" t="s">
        <v>72</v>
      </c>
      <c r="D58" s="45" t="s">
        <v>73</v>
      </c>
      <c r="E58" s="45" t="s">
        <v>74</v>
      </c>
      <c r="F58" s="45" t="s">
        <v>255</v>
      </c>
      <c r="G58" s="45" t="s">
        <v>254</v>
      </c>
      <c r="H58" s="66" t="s">
        <v>258</v>
      </c>
      <c r="J58" s="68" t="s">
        <v>93</v>
      </c>
    </row>
    <row r="59" spans="1:10" x14ac:dyDescent="0.25">
      <c r="A59" s="96" t="str">
        <f>Validation!O4</f>
        <v>UKRI SIPF</v>
      </c>
      <c r="B59" s="144">
        <f>(SUMIFS(Staff_Costs[2021-22 (£''000)],Staff_Costs[[Funding type*]:[Funding type*]],$A59))+(SUMIFS(NonStaff_Op_Costs[2021-22 (£''000)],NonStaff_Op_Costs[[Funding type*]:[Funding type*]],$A59))+(SUMIFS(Capital_Costs[2021-22 (£''000)],Capital_Costs[[Funding type*]:[Funding type*]],$A59))</f>
        <v>0</v>
      </c>
      <c r="C59" s="144">
        <f>(SUMIFS(Staff_Costs[2022-23 (£''000)],Staff_Costs[[Funding type*]:[Funding type*]],$A59))+(SUMIFS(NonStaff_Op_Costs[2022-23 (£''000)],NonStaff_Op_Costs[[Funding type*]:[Funding type*]],$A59))+(SUMIFS(Capital_Costs[2022-23 (£''000)],Capital_Costs[[Funding type*]:[Funding type*]],$A59))</f>
        <v>0</v>
      </c>
      <c r="D59" s="144">
        <f>(SUMIFS(Staff_Costs[2023-24 (£''000)],Staff_Costs[[Funding type*]:[Funding type*]],$A59))+(SUMIFS(NonStaff_Op_Costs[2023-24 (£''000)],NonStaff_Op_Costs[[Funding type*]:[Funding type*]],$A59))+(SUMIFS(Capital_Costs[2023-24 (£''000)],Capital_Costs[[Funding type*]:[Funding type*]],$A59))</f>
        <v>0</v>
      </c>
      <c r="E59" s="144">
        <f>(SUMIFS(Staff_Costs[2024-25 (£''000)],Staff_Costs[[Funding type*]:[Funding type*]],$A59))+(SUMIFS(NonStaff_Op_Costs[2024-25 (£''000)],NonStaff_Op_Costs[[Funding type*]:[Funding type*]],$A59))+(SUMIFS(Capital_Costs[2024-25 (£''000)],Capital_Costs[[Funding type*]:[Funding type*]],$A59))</f>
        <v>0</v>
      </c>
      <c r="F59" s="144">
        <f>(SUMIFS(Staff_Costs[2025-26 (£''000)],Staff_Costs[[Funding type*]:[Funding type*]],$A59))+(SUMIFS(NonStaff_Op_Costs[2025-26 (£''000)],NonStaff_Op_Costs[[Funding type*]:[Funding type*]],$A59))+(SUMIFS(Capital_Costs[2025-26 (£''000)],Capital_Costs[[Funding type*]:[Funding type*]],$A59))</f>
        <v>0</v>
      </c>
      <c r="G59" s="144">
        <f>(SUMIFS(Staff_Costs[2026-27 (£''000)],Staff_Costs[[Funding type*]:[Funding type*]],$A59))+(SUMIFS(NonStaff_Op_Costs[2026-27 (£''000)],NonStaff_Op_Costs[[Funding type*]:[Funding type*]],$A59))+(SUMIFS(Capital_Costs[2026-27 (£''000)],Capital_Costs[[Funding type*]:[Funding type*]],$A59))</f>
        <v>0</v>
      </c>
      <c r="H59" s="137">
        <f>SUM(SUMMARY_Costs_FundType[[#This Row],[2021-22 (£''000)]:[2026-27 (£''000)]])</f>
        <v>0</v>
      </c>
      <c r="I59" s="134"/>
      <c r="J59" s="140">
        <f>(SUMIFS(Staff_Costs_SS[Steady State (£''000)],Staff_Costs[[Funding type*]:[Funding type*]],$A59))+(SUMIFS(NonStaff_Op_Costs_SS[Steady State (£''000)],NonStaff_Op_Costs[[Funding type*]:[Funding type*]],$A59))</f>
        <v>0</v>
      </c>
    </row>
    <row r="60" spans="1:10" x14ac:dyDescent="0.25">
      <c r="A60" s="96" t="str">
        <f>Validation!O5</f>
        <v>Cash leverage</v>
      </c>
      <c r="B60" s="144">
        <f>(SUMIFS(Staff_Costs[2021-22 (£''000)],Staff_Costs[[Funding type*]:[Funding type*]],$A60))+(SUMIFS(NonStaff_Op_Costs[2021-22 (£''000)],NonStaff_Op_Costs[[Funding type*]:[Funding type*]],$A60))+(SUMIFS(Capital_Costs[2021-22 (£''000)],Capital_Costs[[Funding type*]:[Funding type*]],$A60))</f>
        <v>0</v>
      </c>
      <c r="C60" s="144">
        <f>(SUMIFS(Staff_Costs[2022-23 (£''000)],Staff_Costs[[Funding type*]:[Funding type*]],$A60))+(SUMIFS(NonStaff_Op_Costs[2022-23 (£''000)],NonStaff_Op_Costs[[Funding type*]:[Funding type*]],$A60))+(SUMIFS(Capital_Costs[2022-23 (£''000)],Capital_Costs[[Funding type*]:[Funding type*]],$A60))</f>
        <v>0</v>
      </c>
      <c r="D60" s="144">
        <f>(SUMIFS(Staff_Costs[2023-24 (£''000)],Staff_Costs[[Funding type*]:[Funding type*]],$A60))+(SUMIFS(NonStaff_Op_Costs[2023-24 (£''000)],NonStaff_Op_Costs[[Funding type*]:[Funding type*]],$A60))+(SUMIFS(Capital_Costs[2023-24 (£''000)],Capital_Costs[[Funding type*]:[Funding type*]],$A60))</f>
        <v>0</v>
      </c>
      <c r="E60" s="144">
        <f>(SUMIFS(Staff_Costs[2024-25 (£''000)],Staff_Costs[[Funding type*]:[Funding type*]],$A60))+(SUMIFS(NonStaff_Op_Costs[2024-25 (£''000)],NonStaff_Op_Costs[[Funding type*]:[Funding type*]],$A60))+(SUMIFS(Capital_Costs[2024-25 (£''000)],Capital_Costs[[Funding type*]:[Funding type*]],$A60))</f>
        <v>0</v>
      </c>
      <c r="F60" s="144">
        <f>(SUMIFS(Staff_Costs[2025-26 (£''000)],Staff_Costs[[Funding type*]:[Funding type*]],$A60))+(SUMIFS(NonStaff_Op_Costs[2025-26 (£''000)],NonStaff_Op_Costs[[Funding type*]:[Funding type*]],$A60))+(SUMIFS(Capital_Costs[2025-26 (£''000)],Capital_Costs[[Funding type*]:[Funding type*]],$A60))</f>
        <v>0</v>
      </c>
      <c r="G60" s="144">
        <f>(SUMIFS(Staff_Costs[2026-27 (£''000)],Staff_Costs[[Funding type*]:[Funding type*]],$A60))+(SUMIFS(NonStaff_Op_Costs[2026-27 (£''000)],NonStaff_Op_Costs[[Funding type*]:[Funding type*]],$A60))+(SUMIFS(Capital_Costs[2026-27 (£''000)],Capital_Costs[[Funding type*]:[Funding type*]],$A60))</f>
        <v>0</v>
      </c>
      <c r="H60" s="137">
        <f>SUM(SUMMARY_Costs_FundType[[#This Row],[2021-22 (£''000)]:[2026-27 (£''000)]])</f>
        <v>0</v>
      </c>
      <c r="I60" s="134"/>
      <c r="J60" s="140">
        <f>(SUMIFS(Staff_Costs_SS[Steady State (£''000)],Staff_Costs[[Funding type*]:[Funding type*]],$A60))+(SUMIFS(NonStaff_Op_Costs_SS[Steady State (£''000)],NonStaff_Op_Costs[[Funding type*]:[Funding type*]],$A60))</f>
        <v>0</v>
      </c>
    </row>
    <row r="61" spans="1:10" x14ac:dyDescent="0.25">
      <c r="A61" s="96" t="str">
        <f>Validation!O6</f>
        <v>In-kind contribution</v>
      </c>
      <c r="B61" s="144">
        <f>(SUMIFS(Staff_Costs[2021-22 (£''000)],Staff_Costs[[Funding type*]:[Funding type*]],$A61))+(SUMIFS(NonStaff_Op_Costs[2021-22 (£''000)],NonStaff_Op_Costs[[Funding type*]:[Funding type*]],$A61))+(SUMIFS(Capital_Costs[2021-22 (£''000)],Capital_Costs[[Funding type*]:[Funding type*]],$A61))</f>
        <v>0</v>
      </c>
      <c r="C61" s="144">
        <f>(SUMIFS(Staff_Costs[2022-23 (£''000)],Staff_Costs[[Funding type*]:[Funding type*]],$A61))+(SUMIFS(NonStaff_Op_Costs[2022-23 (£''000)],NonStaff_Op_Costs[[Funding type*]:[Funding type*]],$A61))+(SUMIFS(Capital_Costs[2022-23 (£''000)],Capital_Costs[[Funding type*]:[Funding type*]],$A61))</f>
        <v>0</v>
      </c>
      <c r="D61" s="144">
        <f>(SUMIFS(Staff_Costs[2023-24 (£''000)],Staff_Costs[[Funding type*]:[Funding type*]],$A61))+(SUMIFS(NonStaff_Op_Costs[2023-24 (£''000)],NonStaff_Op_Costs[[Funding type*]:[Funding type*]],$A61))+(SUMIFS(Capital_Costs[2023-24 (£''000)],Capital_Costs[[Funding type*]:[Funding type*]],$A61))</f>
        <v>0</v>
      </c>
      <c r="E61" s="144">
        <f>(SUMIFS(Staff_Costs[2024-25 (£''000)],Staff_Costs[[Funding type*]:[Funding type*]],$A61))+(SUMIFS(NonStaff_Op_Costs[2024-25 (£''000)],NonStaff_Op_Costs[[Funding type*]:[Funding type*]],$A61))+(SUMIFS(Capital_Costs[2024-25 (£''000)],Capital_Costs[[Funding type*]:[Funding type*]],$A61))</f>
        <v>0</v>
      </c>
      <c r="F61" s="144">
        <f>(SUMIFS(Staff_Costs[2025-26 (£''000)],Staff_Costs[[Funding type*]:[Funding type*]],$A61))+(SUMIFS(NonStaff_Op_Costs[2025-26 (£''000)],NonStaff_Op_Costs[[Funding type*]:[Funding type*]],$A61))+(SUMIFS(Capital_Costs[2025-26 (£''000)],Capital_Costs[[Funding type*]:[Funding type*]],$A61))</f>
        <v>0</v>
      </c>
      <c r="G61" s="144">
        <f>(SUMIFS(Staff_Costs[2026-27 (£''000)],Staff_Costs[[Funding type*]:[Funding type*]],$A61))+(SUMIFS(NonStaff_Op_Costs[2026-27 (£''000)],NonStaff_Op_Costs[[Funding type*]:[Funding type*]],$A61))+(SUMIFS(Capital_Costs[2026-27 (£''000)],Capital_Costs[[Funding type*]:[Funding type*]],$A61))</f>
        <v>0</v>
      </c>
      <c r="H61" s="137">
        <f>SUM(SUMMARY_Costs_FundType[[#This Row],[2021-22 (£''000)]:[2026-27 (£''000)]])</f>
        <v>0</v>
      </c>
      <c r="I61" s="134"/>
      <c r="J61" s="140">
        <f>(SUMIFS(Staff_Costs_SS[Steady State (£''000)],Staff_Costs[[Funding type*]:[Funding type*]],$A61))+(SUMIFS(NonStaff_Op_Costs_SS[Steady State (£''000)],NonStaff_Op_Costs[[Funding type*]:[Funding type*]],$A61))</f>
        <v>0</v>
      </c>
    </row>
    <row r="62" spans="1:10" x14ac:dyDescent="0.25">
      <c r="A62" s="96" t="str">
        <f>Validation!O7</f>
        <v>Generated income</v>
      </c>
      <c r="B62" s="144">
        <f>(SUMIFS(Staff_Costs[2021-22 (£''000)],Staff_Costs[[Funding type*]:[Funding type*]],$A62))+(SUMIFS(NonStaff_Op_Costs[2021-22 (£''000)],NonStaff_Op_Costs[[Funding type*]:[Funding type*]],$A62))+(SUMIFS(Capital_Costs[2021-22 (£''000)],Capital_Costs[[Funding type*]:[Funding type*]],$A62))</f>
        <v>0</v>
      </c>
      <c r="C62" s="144">
        <f>(SUMIFS(Staff_Costs[2022-23 (£''000)],Staff_Costs[[Funding type*]:[Funding type*]],$A62))+(SUMIFS(NonStaff_Op_Costs[2022-23 (£''000)],NonStaff_Op_Costs[[Funding type*]:[Funding type*]],$A62))+(SUMIFS(Capital_Costs[2022-23 (£''000)],Capital_Costs[[Funding type*]:[Funding type*]],$A62))</f>
        <v>0</v>
      </c>
      <c r="D62" s="144">
        <f>(SUMIFS(Staff_Costs[2023-24 (£''000)],Staff_Costs[[Funding type*]:[Funding type*]],$A62))+(SUMIFS(NonStaff_Op_Costs[2023-24 (£''000)],NonStaff_Op_Costs[[Funding type*]:[Funding type*]],$A62))+(SUMIFS(Capital_Costs[2023-24 (£''000)],Capital_Costs[[Funding type*]:[Funding type*]],$A62))</f>
        <v>0</v>
      </c>
      <c r="E62" s="144">
        <f>(SUMIFS(Staff_Costs[2024-25 (£''000)],Staff_Costs[[Funding type*]:[Funding type*]],$A62))+(SUMIFS(NonStaff_Op_Costs[2024-25 (£''000)],NonStaff_Op_Costs[[Funding type*]:[Funding type*]],$A62))+(SUMIFS(Capital_Costs[2024-25 (£''000)],Capital_Costs[[Funding type*]:[Funding type*]],$A62))</f>
        <v>0</v>
      </c>
      <c r="F62" s="144">
        <f>(SUMIFS(Staff_Costs[2025-26 (£''000)],Staff_Costs[[Funding type*]:[Funding type*]],$A62))+(SUMIFS(NonStaff_Op_Costs[2025-26 (£''000)],NonStaff_Op_Costs[[Funding type*]:[Funding type*]],$A62))+(SUMIFS(Capital_Costs[2025-26 (£''000)],Capital_Costs[[Funding type*]:[Funding type*]],$A62))</f>
        <v>0</v>
      </c>
      <c r="G62" s="144">
        <f>(SUMIFS(Staff_Costs[2026-27 (£''000)],Staff_Costs[[Funding type*]:[Funding type*]],$A62))+(SUMIFS(NonStaff_Op_Costs[2026-27 (£''000)],NonStaff_Op_Costs[[Funding type*]:[Funding type*]],$A62))+(SUMIFS(Capital_Costs[2026-27 (£''000)],Capital_Costs[[Funding type*]:[Funding type*]],$A62))</f>
        <v>0</v>
      </c>
      <c r="H62" s="137">
        <f>SUM(SUMMARY_Costs_FundType[[#This Row],[2021-22 (£''000)]:[2026-27 (£''000)]])</f>
        <v>0</v>
      </c>
      <c r="I62" s="134"/>
      <c r="J62" s="140">
        <f>(SUMIFS(Staff_Costs_SS[Steady State (£''000)],Staff_Costs[[Funding type*]:[Funding type*]],$A62))+(SUMIFS(NonStaff_Op_Costs_SS[Steady State (£''000)],NonStaff_Op_Costs[[Funding type*]:[Funding type*]],$A62))</f>
        <v>0</v>
      </c>
    </row>
    <row r="63" spans="1:10" x14ac:dyDescent="0.25">
      <c r="A63" s="96" t="str">
        <f>Validation!O8</f>
        <v>Other</v>
      </c>
      <c r="B63" s="144">
        <f>(SUMIFS(Staff_Costs[2021-22 (£''000)],Staff_Costs[[Funding type*]:[Funding type*]],$A63))+(SUMIFS(NonStaff_Op_Costs[2021-22 (£''000)],NonStaff_Op_Costs[[Funding type*]:[Funding type*]],$A63))+(SUMIFS(Capital_Costs[2021-22 (£''000)],Capital_Costs[[Funding type*]:[Funding type*]],$A63))</f>
        <v>0</v>
      </c>
      <c r="C63" s="144">
        <f>(SUMIFS(Staff_Costs[2022-23 (£''000)],Staff_Costs[[Funding type*]:[Funding type*]],$A63))+(SUMIFS(NonStaff_Op_Costs[2022-23 (£''000)],NonStaff_Op_Costs[[Funding type*]:[Funding type*]],$A63))+(SUMIFS(Capital_Costs[2022-23 (£''000)],Capital_Costs[[Funding type*]:[Funding type*]],$A63))</f>
        <v>0</v>
      </c>
      <c r="D63" s="144">
        <f>(SUMIFS(Staff_Costs[2023-24 (£''000)],Staff_Costs[[Funding type*]:[Funding type*]],$A63))+(SUMIFS(NonStaff_Op_Costs[2023-24 (£''000)],NonStaff_Op_Costs[[Funding type*]:[Funding type*]],$A63))+(SUMIFS(Capital_Costs[2023-24 (£''000)],Capital_Costs[[Funding type*]:[Funding type*]],$A63))</f>
        <v>0</v>
      </c>
      <c r="E63" s="144">
        <f>(SUMIFS(Staff_Costs[2024-25 (£''000)],Staff_Costs[[Funding type*]:[Funding type*]],$A63))+(SUMIFS(NonStaff_Op_Costs[2024-25 (£''000)],NonStaff_Op_Costs[[Funding type*]:[Funding type*]],$A63))+(SUMIFS(Capital_Costs[2024-25 (£''000)],Capital_Costs[[Funding type*]:[Funding type*]],$A63))</f>
        <v>0</v>
      </c>
      <c r="F63" s="144">
        <f>(SUMIFS(Staff_Costs[2025-26 (£''000)],Staff_Costs[[Funding type*]:[Funding type*]],$A63))+(SUMIFS(NonStaff_Op_Costs[2025-26 (£''000)],NonStaff_Op_Costs[[Funding type*]:[Funding type*]],$A63))+(SUMIFS(Capital_Costs[2025-26 (£''000)],Capital_Costs[[Funding type*]:[Funding type*]],$A63))</f>
        <v>0</v>
      </c>
      <c r="G63" s="144">
        <f>(SUMIFS(Staff_Costs[2026-27 (£''000)],Staff_Costs[[Funding type*]:[Funding type*]],$A63))+(SUMIFS(NonStaff_Op_Costs[2026-27 (£''000)],NonStaff_Op_Costs[[Funding type*]:[Funding type*]],$A63))+(SUMIFS(Capital_Costs[2026-27 (£''000)],Capital_Costs[[Funding type*]:[Funding type*]],$A63))</f>
        <v>0</v>
      </c>
      <c r="H63" s="137">
        <f>SUM(SUMMARY_Costs_FundType[[#This Row],[2021-22 (£''000)]:[2026-27 (£''000)]])</f>
        <v>0</v>
      </c>
      <c r="I63" s="134"/>
      <c r="J63" s="140">
        <f>(SUMIFS(Staff_Costs_SS[Steady State (£''000)],Staff_Costs[[Funding type*]:[Funding type*]],$A63))+(SUMIFS(NonStaff_Op_Costs_SS[Steady State (£''000)],NonStaff_Op_Costs[[Funding type*]:[Funding type*]],$A63))</f>
        <v>0</v>
      </c>
    </row>
    <row r="64" spans="1:10" x14ac:dyDescent="0.25">
      <c r="A64" s="43" t="s">
        <v>1</v>
      </c>
      <c r="B64" s="145">
        <f>SUBTOTAL(109,SUMMARY_Costs_FundType[2021-22 (£''000)])</f>
        <v>0</v>
      </c>
      <c r="C64" s="145">
        <f>SUBTOTAL(109,SUMMARY_Costs_FundType[2022-23 (£''000)])</f>
        <v>0</v>
      </c>
      <c r="D64" s="145">
        <f>SUBTOTAL(109,SUMMARY_Costs_FundType[2023-24 (£''000)])</f>
        <v>0</v>
      </c>
      <c r="E64" s="145">
        <f>SUBTOTAL(109,SUMMARY_Costs_FundType[2024-25 (£''000)])</f>
        <v>0</v>
      </c>
      <c r="F64" s="145">
        <f>SUBTOTAL(109,SUMMARY_Costs_FundType[2025-26 (£''000)])</f>
        <v>0</v>
      </c>
      <c r="G64" s="145">
        <f>SUBTOTAL(109,SUMMARY_Costs_FundType[2026-27 (£''000)])</f>
        <v>0</v>
      </c>
      <c r="H64" s="137">
        <f>SUBTOTAL(109,SUMMARY_Costs_FundType[Total 2021-27 (£''000)])</f>
        <v>0</v>
      </c>
      <c r="I64" s="134"/>
      <c r="J64" s="143">
        <f>SUBTOTAL(109,SUMMARY_Costs_FundTypeSS[Steady State (£''000)])</f>
        <v>0</v>
      </c>
    </row>
    <row r="68" spans="1:10" ht="13.8" x14ac:dyDescent="0.25">
      <c r="A68" s="69" t="s">
        <v>101</v>
      </c>
    </row>
    <row r="70" spans="1:10" ht="26.4" x14ac:dyDescent="0.25">
      <c r="A70" s="66" t="s">
        <v>102</v>
      </c>
      <c r="B70" s="45" t="s">
        <v>71</v>
      </c>
      <c r="C70" s="45" t="s">
        <v>72</v>
      </c>
      <c r="D70" s="45" t="s">
        <v>73</v>
      </c>
      <c r="E70" s="45" t="s">
        <v>74</v>
      </c>
      <c r="F70" s="45" t="s">
        <v>255</v>
      </c>
      <c r="G70" s="45" t="s">
        <v>254</v>
      </c>
      <c r="H70" s="66" t="s">
        <v>258</v>
      </c>
      <c r="I70" s="1"/>
      <c r="J70" s="68" t="s">
        <v>93</v>
      </c>
    </row>
    <row r="71" spans="1:10" x14ac:dyDescent="0.25">
      <c r="A71" s="64" t="s">
        <v>3</v>
      </c>
      <c r="B71" s="120">
        <f>Staff_Costs[[#Totals],[2021-22 (£''000)]]</f>
        <v>0</v>
      </c>
      <c r="C71" s="120">
        <f>Staff_Costs[[#Totals],[2022-23 (£''000)]]</f>
        <v>0</v>
      </c>
      <c r="D71" s="120">
        <f>Staff_Costs[[#Totals],[2023-24 (£''000)]]</f>
        <v>0</v>
      </c>
      <c r="E71" s="120">
        <f>Staff_Costs[[#Totals],[2024-25 (£''000)]]</f>
        <v>0</v>
      </c>
      <c r="F71" s="120">
        <f>Staff_Costs[[#Totals],[2025-26 (£''000)]]</f>
        <v>0</v>
      </c>
      <c r="G71" s="120">
        <f>Staff_Costs[[#Totals],[2026-27 (£''000)]]</f>
        <v>0</v>
      </c>
      <c r="H71" s="137">
        <f>SUM(SUMMARY_OpCostType[[#This Row],[2021-22 (£''000)]:[2026-27 (£''000)]])</f>
        <v>0</v>
      </c>
      <c r="I71" s="139"/>
      <c r="J71" s="140">
        <f>Staff_Costs_SS[[#Totals],[Steady State (£''000)]]</f>
        <v>0</v>
      </c>
    </row>
    <row r="72" spans="1:10" x14ac:dyDescent="0.25">
      <c r="A72" s="45" t="str">
        <f>Validation!G12</f>
        <v>Travel and subsistence</v>
      </c>
      <c r="B72" s="121">
        <f>SUMIFS(NonStaff_Op_Costs[2021-22 (£''000)],NonStaff_Op_Costs[[Cost type*]:[Cost type*]],$A72)</f>
        <v>0</v>
      </c>
      <c r="C72" s="121">
        <f>SUMIFS(NonStaff_Op_Costs[2022-23 (£''000)],NonStaff_Op_Costs[[Cost type*]:[Cost type*]],$A72)</f>
        <v>0</v>
      </c>
      <c r="D72" s="121">
        <f>SUMIFS(NonStaff_Op_Costs[2023-24 (£''000)],NonStaff_Op_Costs[[Cost type*]:[Cost type*]],$A72)</f>
        <v>0</v>
      </c>
      <c r="E72" s="121">
        <f>SUMIFS(NonStaff_Op_Costs[2024-25 (£''000)],NonStaff_Op_Costs[[Cost type*]:[Cost type*]],$A72)</f>
        <v>0</v>
      </c>
      <c r="F72" s="121">
        <f>SUMIFS(NonStaff_Op_Costs[2025-26 (£''000)],NonStaff_Op_Costs[[Cost type*]:[Cost type*]],$A72)</f>
        <v>0</v>
      </c>
      <c r="G72" s="121">
        <f>SUMIFS(NonStaff_Op_Costs[2026-27 (£''000)],NonStaff_Op_Costs[[Cost type*]:[Cost type*]],$A72)</f>
        <v>0</v>
      </c>
      <c r="H72" s="137">
        <f>SUM(SUMMARY_OpCostType[[#This Row],[2021-22 (£''000)]:[2026-27 (£''000)]])</f>
        <v>0</v>
      </c>
      <c r="I72" s="134"/>
      <c r="J72" s="140">
        <f>SUMIFS(NonStaff_Op_Costs_SS[Steady State (£''000)],NonStaff_Op_Costs[[Cost type*]:[Cost type*]],$A72)</f>
        <v>0</v>
      </c>
    </row>
    <row r="73" spans="1:10" x14ac:dyDescent="0.25">
      <c r="A73" s="45" t="str">
        <f>Validation!G13</f>
        <v>IT costs</v>
      </c>
      <c r="B73" s="121">
        <f>SUMIFS(NonStaff_Op_Costs[2021-22 (£''000)],NonStaff_Op_Costs[[Cost type*]:[Cost type*]],$A73)</f>
        <v>0</v>
      </c>
      <c r="C73" s="121">
        <f>SUMIFS(NonStaff_Op_Costs[2022-23 (£''000)],NonStaff_Op_Costs[[Cost type*]:[Cost type*]],$A73)</f>
        <v>0</v>
      </c>
      <c r="D73" s="121">
        <f>SUMIFS(NonStaff_Op_Costs[2023-24 (£''000)],NonStaff_Op_Costs[[Cost type*]:[Cost type*]],$A73)</f>
        <v>0</v>
      </c>
      <c r="E73" s="121">
        <f>SUMIFS(NonStaff_Op_Costs[2024-25 (£''000)],NonStaff_Op_Costs[[Cost type*]:[Cost type*]],$A73)</f>
        <v>0</v>
      </c>
      <c r="F73" s="121">
        <f>SUMIFS(NonStaff_Op_Costs[2025-26 (£''000)],NonStaff_Op_Costs[[Cost type*]:[Cost type*]],$A73)</f>
        <v>0</v>
      </c>
      <c r="G73" s="121">
        <f>SUMIFS(NonStaff_Op_Costs[2026-27 (£''000)],NonStaff_Op_Costs[[Cost type*]:[Cost type*]],$A73)</f>
        <v>0</v>
      </c>
      <c r="H73" s="137">
        <f>SUM(SUMMARY_OpCostType[[#This Row],[2021-22 (£''000)]:[2026-27 (£''000)]])</f>
        <v>0</v>
      </c>
      <c r="I73" s="134"/>
      <c r="J73" s="140">
        <f>SUMIFS(NonStaff_Op_Costs_SS[Steady State (£''000)],NonStaff_Op_Costs[[Cost type*]:[Cost type*]],$A73)</f>
        <v>0</v>
      </c>
    </row>
    <row r="74" spans="1:10" x14ac:dyDescent="0.25">
      <c r="A74" s="45" t="str">
        <f>Validation!G14</f>
        <v>Indirect overheads</v>
      </c>
      <c r="B74" s="121">
        <f>SUMIFS(NonStaff_Op_Costs[2021-22 (£''000)],NonStaff_Op_Costs[[Cost type*]:[Cost type*]],$A74)</f>
        <v>0</v>
      </c>
      <c r="C74" s="121">
        <f>SUMIFS(NonStaff_Op_Costs[2022-23 (£''000)],NonStaff_Op_Costs[[Cost type*]:[Cost type*]],$A74)</f>
        <v>0</v>
      </c>
      <c r="D74" s="121">
        <f>SUMIFS(NonStaff_Op_Costs[2023-24 (£''000)],NonStaff_Op_Costs[[Cost type*]:[Cost type*]],$A74)</f>
        <v>0</v>
      </c>
      <c r="E74" s="121">
        <f>SUMIFS(NonStaff_Op_Costs[2024-25 (£''000)],NonStaff_Op_Costs[[Cost type*]:[Cost type*]],$A74)</f>
        <v>0</v>
      </c>
      <c r="F74" s="121">
        <f>SUMIFS(NonStaff_Op_Costs[2025-26 (£''000)],NonStaff_Op_Costs[[Cost type*]:[Cost type*]],$A74)</f>
        <v>0</v>
      </c>
      <c r="G74" s="121">
        <f>SUMIFS(NonStaff_Op_Costs[2026-27 (£''000)],NonStaff_Op_Costs[[Cost type*]:[Cost type*]],$A74)</f>
        <v>0</v>
      </c>
      <c r="H74" s="137">
        <f>SUM(SUMMARY_OpCostType[[#This Row],[2021-22 (£''000)]:[2026-27 (£''000)]])</f>
        <v>0</v>
      </c>
      <c r="I74" s="141"/>
      <c r="J74" s="140">
        <f>SUMIFS(NonStaff_Op_Costs_SS[Steady State (£''000)],NonStaff_Op_Costs[[Cost type*]:[Cost type*]],$A74)</f>
        <v>0</v>
      </c>
    </row>
    <row r="75" spans="1:10" x14ac:dyDescent="0.25">
      <c r="A75" s="45" t="str">
        <f>Validation!G15</f>
        <v>Activities and events</v>
      </c>
      <c r="B75" s="121">
        <f>SUMIFS(NonStaff_Op_Costs[2021-22 (£''000)],NonStaff_Op_Costs[[Cost type*]:[Cost type*]],$A75)</f>
        <v>0</v>
      </c>
      <c r="C75" s="121">
        <f>SUMIFS(NonStaff_Op_Costs[2022-23 (£''000)],NonStaff_Op_Costs[[Cost type*]:[Cost type*]],$A75)</f>
        <v>0</v>
      </c>
      <c r="D75" s="121">
        <f>SUMIFS(NonStaff_Op_Costs[2023-24 (£''000)],NonStaff_Op_Costs[[Cost type*]:[Cost type*]],$A75)</f>
        <v>0</v>
      </c>
      <c r="E75" s="121">
        <f>SUMIFS(NonStaff_Op_Costs[2024-25 (£''000)],NonStaff_Op_Costs[[Cost type*]:[Cost type*]],$A75)</f>
        <v>0</v>
      </c>
      <c r="F75" s="121">
        <f>SUMIFS(NonStaff_Op_Costs[2025-26 (£''000)],NonStaff_Op_Costs[[Cost type*]:[Cost type*]],$A75)</f>
        <v>0</v>
      </c>
      <c r="G75" s="121">
        <f>SUMIFS(NonStaff_Op_Costs[2026-27 (£''000)],NonStaff_Op_Costs[[Cost type*]:[Cost type*]],$A75)</f>
        <v>0</v>
      </c>
      <c r="H75" s="137">
        <f>SUM(SUMMARY_OpCostType[[#This Row],[2021-22 (£''000)]:[2026-27 (£''000)]])</f>
        <v>0</v>
      </c>
      <c r="I75" s="134"/>
      <c r="J75" s="140">
        <f>SUMIFS(NonStaff_Op_Costs_SS[Steady State (£''000)],NonStaff_Op_Costs[[Cost type*]:[Cost type*]],$A75)</f>
        <v>0</v>
      </c>
    </row>
    <row r="76" spans="1:10" x14ac:dyDescent="0.25">
      <c r="A76" s="45" t="str">
        <f>Validation!G16</f>
        <v>Material and equipment costs</v>
      </c>
      <c r="B76" s="121">
        <f>SUMIFS(NonStaff_Op_Costs[2021-22 (£''000)],NonStaff_Op_Costs[[Cost type*]:[Cost type*]],$A76)</f>
        <v>0</v>
      </c>
      <c r="C76" s="121">
        <f>SUMIFS(NonStaff_Op_Costs[2022-23 (£''000)],NonStaff_Op_Costs[[Cost type*]:[Cost type*]],$A76)</f>
        <v>0</v>
      </c>
      <c r="D76" s="121">
        <f>SUMIFS(NonStaff_Op_Costs[2023-24 (£''000)],NonStaff_Op_Costs[[Cost type*]:[Cost type*]],$A76)</f>
        <v>0</v>
      </c>
      <c r="E76" s="121">
        <f>SUMIFS(NonStaff_Op_Costs[2024-25 (£''000)],NonStaff_Op_Costs[[Cost type*]:[Cost type*]],$A76)</f>
        <v>0</v>
      </c>
      <c r="F76" s="121">
        <f>SUMIFS(NonStaff_Op_Costs[2025-26 (£''000)],NonStaff_Op_Costs[[Cost type*]:[Cost type*]],$A76)</f>
        <v>0</v>
      </c>
      <c r="G76" s="121">
        <f>SUMIFS(NonStaff_Op_Costs[2026-27 (£''000)],NonStaff_Op_Costs[[Cost type*]:[Cost type*]],$A76)</f>
        <v>0</v>
      </c>
      <c r="H76" s="137">
        <f>SUM(SUMMARY_OpCostType[[#This Row],[2021-22 (£''000)]:[2026-27 (£''000)]])</f>
        <v>0</v>
      </c>
      <c r="I76" s="134"/>
      <c r="J76" s="140">
        <f>SUMIFS(NonStaff_Op_Costs_SS[Steady State (£''000)],NonStaff_Op_Costs[[Cost type*]:[Cost type*]],$A76)</f>
        <v>0</v>
      </c>
    </row>
    <row r="77" spans="1:10" x14ac:dyDescent="0.25">
      <c r="A77" s="45" t="str">
        <f>Validation!G17</f>
        <v>Professional fees (legal, consultancy, etc.)</v>
      </c>
      <c r="B77" s="121">
        <f>SUMIFS(NonStaff_Op_Costs[2021-22 (£''000)],NonStaff_Op_Costs[[Cost type*]:[Cost type*]],$A77)</f>
        <v>0</v>
      </c>
      <c r="C77" s="121">
        <f>SUMIFS(NonStaff_Op_Costs[2022-23 (£''000)],NonStaff_Op_Costs[[Cost type*]:[Cost type*]],$A77)</f>
        <v>0</v>
      </c>
      <c r="D77" s="121">
        <f>SUMIFS(NonStaff_Op_Costs[2023-24 (£''000)],NonStaff_Op_Costs[[Cost type*]:[Cost type*]],$A77)</f>
        <v>0</v>
      </c>
      <c r="E77" s="121">
        <f>SUMIFS(NonStaff_Op_Costs[2024-25 (£''000)],NonStaff_Op_Costs[[Cost type*]:[Cost type*]],$A77)</f>
        <v>0</v>
      </c>
      <c r="F77" s="121">
        <f>SUMIFS(NonStaff_Op_Costs[2025-26 (£''000)],NonStaff_Op_Costs[[Cost type*]:[Cost type*]],$A77)</f>
        <v>0</v>
      </c>
      <c r="G77" s="121">
        <f>SUMIFS(NonStaff_Op_Costs[2026-27 (£''000)],NonStaff_Op_Costs[[Cost type*]:[Cost type*]],$A77)</f>
        <v>0</v>
      </c>
      <c r="H77" s="137">
        <f>SUM(SUMMARY_OpCostType[[#This Row],[2021-22 (£''000)]:[2026-27 (£''000)]])</f>
        <v>0</v>
      </c>
      <c r="I77" s="134"/>
      <c r="J77" s="140">
        <f>SUMIFS(NonStaff_Op_Costs_SS[Steady State (£''000)],NonStaff_Op_Costs[[Cost type*]:[Cost type*]],$A77)</f>
        <v>0</v>
      </c>
    </row>
    <row r="78" spans="1:10" x14ac:dyDescent="0.25">
      <c r="A78" s="45" t="str">
        <f>Validation!G18</f>
        <v>Challenge fund (or similar delegated scheme)</v>
      </c>
      <c r="B78" s="121">
        <f>SUMIFS(NonStaff_Op_Costs[2021-22 (£''000)],NonStaff_Op_Costs[[Cost type*]:[Cost type*]],$A78)</f>
        <v>0</v>
      </c>
      <c r="C78" s="121">
        <f>SUMIFS(NonStaff_Op_Costs[2022-23 (£''000)],NonStaff_Op_Costs[[Cost type*]:[Cost type*]],$A78)</f>
        <v>0</v>
      </c>
      <c r="D78" s="121">
        <f>SUMIFS(NonStaff_Op_Costs[2023-24 (£''000)],NonStaff_Op_Costs[[Cost type*]:[Cost type*]],$A78)</f>
        <v>0</v>
      </c>
      <c r="E78" s="121">
        <f>SUMIFS(NonStaff_Op_Costs[2024-25 (£''000)],NonStaff_Op_Costs[[Cost type*]:[Cost type*]],$A78)</f>
        <v>0</v>
      </c>
      <c r="F78" s="121">
        <f>SUMIFS(NonStaff_Op_Costs[2025-26 (£''000)],NonStaff_Op_Costs[[Cost type*]:[Cost type*]],$A78)</f>
        <v>0</v>
      </c>
      <c r="G78" s="121">
        <f>SUMIFS(NonStaff_Op_Costs[2026-27 (£''000)],NonStaff_Op_Costs[[Cost type*]:[Cost type*]],$A78)</f>
        <v>0</v>
      </c>
      <c r="H78" s="128">
        <f>SUM(SUMMARY_OpCostType[[#This Row],[2021-22 (£''000)]:[2026-27 (£''000)]])</f>
        <v>0</v>
      </c>
      <c r="I78" s="142"/>
      <c r="J78" s="140">
        <f>SUMIFS(NonStaff_Op_Costs_SS[Steady State (£''000)],NonStaff_Op_Costs[[Cost type*]:[Cost type*]],$A78)</f>
        <v>0</v>
      </c>
    </row>
    <row r="79" spans="1:10" x14ac:dyDescent="0.25">
      <c r="A79" s="45" t="str">
        <f>Validation!G19</f>
        <v>Non-capital property costs</v>
      </c>
      <c r="B79" s="121">
        <f>SUMIFS(NonStaff_Op_Costs[2021-22 (£''000)],NonStaff_Op_Costs[[Cost type*]:[Cost type*]],$A79)</f>
        <v>0</v>
      </c>
      <c r="C79" s="121">
        <f>SUMIFS(NonStaff_Op_Costs[2022-23 (£''000)],NonStaff_Op_Costs[[Cost type*]:[Cost type*]],$A79)</f>
        <v>0</v>
      </c>
      <c r="D79" s="121">
        <f>SUMIFS(NonStaff_Op_Costs[2023-24 (£''000)],NonStaff_Op_Costs[[Cost type*]:[Cost type*]],$A79)</f>
        <v>0</v>
      </c>
      <c r="E79" s="121">
        <f>SUMIFS(NonStaff_Op_Costs[2024-25 (£''000)],NonStaff_Op_Costs[[Cost type*]:[Cost type*]],$A79)</f>
        <v>0</v>
      </c>
      <c r="F79" s="121">
        <f>SUMIFS(NonStaff_Op_Costs[2025-26 (£''000)],NonStaff_Op_Costs[[Cost type*]:[Cost type*]],$A79)</f>
        <v>0</v>
      </c>
      <c r="G79" s="121">
        <f>SUMIFS(NonStaff_Op_Costs[2026-27 (£''000)],NonStaff_Op_Costs[[Cost type*]:[Cost type*]],$A79)</f>
        <v>0</v>
      </c>
      <c r="H79" s="128">
        <f>SUM(SUMMARY_OpCostType[[#This Row],[2021-22 (£''000)]:[2026-27 (£''000)]])</f>
        <v>0</v>
      </c>
      <c r="I79" s="134"/>
      <c r="J79" s="140">
        <f>SUMIFS(NonStaff_Op_Costs_SS[Steady State (£''000)],NonStaff_Op_Costs[[Cost type*]:[Cost type*]],$A79)</f>
        <v>0</v>
      </c>
    </row>
    <row r="80" spans="1:10" x14ac:dyDescent="0.25">
      <c r="A80" s="45" t="str">
        <f>Validation!G20</f>
        <v>Other</v>
      </c>
      <c r="B80" s="121">
        <f>SUMIFS(NonStaff_Op_Costs[2021-22 (£''000)],NonStaff_Op_Costs[[Cost type*]:[Cost type*]],$A80)</f>
        <v>0</v>
      </c>
      <c r="C80" s="121">
        <f>SUMIFS(NonStaff_Op_Costs[2022-23 (£''000)],NonStaff_Op_Costs[[Cost type*]:[Cost type*]],$A80)</f>
        <v>0</v>
      </c>
      <c r="D80" s="121">
        <f>SUMIFS(NonStaff_Op_Costs[2023-24 (£''000)],NonStaff_Op_Costs[[Cost type*]:[Cost type*]],$A80)</f>
        <v>0</v>
      </c>
      <c r="E80" s="121">
        <f>SUMIFS(NonStaff_Op_Costs[2024-25 (£''000)],NonStaff_Op_Costs[[Cost type*]:[Cost type*]],$A80)</f>
        <v>0</v>
      </c>
      <c r="F80" s="121">
        <f>SUMIFS(NonStaff_Op_Costs[2025-26 (£''000)],NonStaff_Op_Costs[[Cost type*]:[Cost type*]],$A80)</f>
        <v>0</v>
      </c>
      <c r="G80" s="121">
        <f>SUMIFS(NonStaff_Op_Costs[2026-27 (£''000)],NonStaff_Op_Costs[[Cost type*]:[Cost type*]],$A80)</f>
        <v>0</v>
      </c>
      <c r="H80" s="128">
        <f>SUM(SUMMARY_OpCostType[[#This Row],[2021-22 (£''000)]:[2026-27 (£''000)]])</f>
        <v>0</v>
      </c>
      <c r="I80" s="134"/>
      <c r="J80" s="140">
        <f>SUMIFS(NonStaff_Op_Costs_SS[Steady State (£''000)],NonStaff_Op_Costs[[Cost type*]:[Cost type*]],$A80)</f>
        <v>0</v>
      </c>
    </row>
    <row r="81" spans="1:10" x14ac:dyDescent="0.25">
      <c r="A81" s="67" t="s">
        <v>1</v>
      </c>
      <c r="B81" s="128">
        <f>SUBTOTAL(109,SUMMARY_OpCostType[2021-22 (£''000)])</f>
        <v>0</v>
      </c>
      <c r="C81" s="128">
        <f>SUBTOTAL(109,SUMMARY_OpCostType[2022-23 (£''000)])</f>
        <v>0</v>
      </c>
      <c r="D81" s="128">
        <f>SUBTOTAL(109,SUMMARY_OpCostType[2023-24 (£''000)])</f>
        <v>0</v>
      </c>
      <c r="E81" s="128">
        <f>SUBTOTAL(109,SUMMARY_OpCostType[2024-25 (£''000)])</f>
        <v>0</v>
      </c>
      <c r="F81" s="128">
        <f>SUBTOTAL(109,SUMMARY_OpCostType[2025-26 (£''000)])</f>
        <v>0</v>
      </c>
      <c r="G81" s="128">
        <f>SUBTOTAL(109,SUMMARY_OpCostType[2026-27 (£''000)])</f>
        <v>0</v>
      </c>
      <c r="H81" s="128">
        <f>SUBTOTAL(109,SUMMARY_OpCostType[Total 2021-27 (£''000)])</f>
        <v>0</v>
      </c>
      <c r="I81" s="134"/>
      <c r="J81" s="143">
        <f>SUBTOTAL(109,SUMMARY_OpCostTypeSS[Steady State (£''000)])</f>
        <v>0</v>
      </c>
    </row>
    <row r="84" spans="1:10" ht="13.8" x14ac:dyDescent="0.25">
      <c r="A84" s="69" t="s">
        <v>123</v>
      </c>
    </row>
    <row r="86" spans="1:10" ht="26.4" x14ac:dyDescent="0.25">
      <c r="A86" s="66" t="s">
        <v>124</v>
      </c>
      <c r="B86" s="45" t="s">
        <v>71</v>
      </c>
      <c r="C86" s="45" t="s">
        <v>72</v>
      </c>
      <c r="D86" s="45" t="s">
        <v>73</v>
      </c>
      <c r="E86" s="45" t="s">
        <v>74</v>
      </c>
      <c r="F86" s="45" t="s">
        <v>255</v>
      </c>
      <c r="G86" s="45" t="s">
        <v>254</v>
      </c>
      <c r="H86" s="66" t="s">
        <v>258</v>
      </c>
      <c r="I86" s="1"/>
      <c r="J86"/>
    </row>
    <row r="87" spans="1:10" x14ac:dyDescent="0.25">
      <c r="A87" s="64" t="str">
        <f>Validation!A14</f>
        <v>Property purchase</v>
      </c>
      <c r="B87" s="120">
        <f>SUMIFS(Capital_Costs[2021-22 (£''000)],Capital_Costs[[Cost type*]:[Cost type*]],$A87)</f>
        <v>0</v>
      </c>
      <c r="C87" s="120">
        <f>SUMIFS(Capital_Costs[2022-23 (£''000)],Capital_Costs[[Cost type*]:[Cost type*]],$A87)</f>
        <v>0</v>
      </c>
      <c r="D87" s="120">
        <f>SUMIFS(Capital_Costs[2023-24 (£''000)],Capital_Costs[[Cost type*]:[Cost type*]],$A87)</f>
        <v>0</v>
      </c>
      <c r="E87" s="120">
        <f>SUMIFS(Capital_Costs[2024-25 (£''000)],Capital_Costs[[Cost type*]:[Cost type*]],$A87)</f>
        <v>0</v>
      </c>
      <c r="F87" s="120">
        <f>SUMIFS(Capital_Costs[2025-26 (£''000)],Capital_Costs[[Cost type*]:[Cost type*]],$A87)</f>
        <v>0</v>
      </c>
      <c r="G87" s="120">
        <f>SUMIFS(Capital_Costs[2026-27 (£''000)],Capital_Costs[[Cost type*]:[Cost type*]],$A87)</f>
        <v>0</v>
      </c>
      <c r="H87" s="137">
        <f>SUM(SUMMARY_CapCostType[[#This Row],[2021-22 (£''000)]:[2026-27 (£''000)]])</f>
        <v>0</v>
      </c>
      <c r="I87" s="63"/>
      <c r="J87"/>
    </row>
    <row r="88" spans="1:10" x14ac:dyDescent="0.25">
      <c r="A88" s="64" t="str">
        <f>Validation!A15</f>
        <v>Capital refurbishment</v>
      </c>
      <c r="B88" s="121">
        <f>SUMIFS(Capital_Costs[2021-22 (£''000)],Capital_Costs[[Cost type*]:[Cost type*]],$A88)</f>
        <v>0</v>
      </c>
      <c r="C88" s="121">
        <f>SUMIFS(Capital_Costs[2022-23 (£''000)],Capital_Costs[[Cost type*]:[Cost type*]],$A88)</f>
        <v>0</v>
      </c>
      <c r="D88" s="121">
        <f>SUMIFS(Capital_Costs[2023-24 (£''000)],Capital_Costs[[Cost type*]:[Cost type*]],$A88)</f>
        <v>0</v>
      </c>
      <c r="E88" s="121">
        <f>SUMIFS(Capital_Costs[2024-25 (£''000)],Capital_Costs[[Cost type*]:[Cost type*]],$A88)</f>
        <v>0</v>
      </c>
      <c r="F88" s="121">
        <f>SUMIFS(Capital_Costs[2025-26 (£''000)],Capital_Costs[[Cost type*]:[Cost type*]],$A88)</f>
        <v>0</v>
      </c>
      <c r="G88" s="121">
        <f>SUMIFS(Capital_Costs[2026-27 (£''000)],Capital_Costs[[Cost type*]:[Cost type*]],$A88)</f>
        <v>0</v>
      </c>
      <c r="H88" s="137">
        <f>SUM(SUMMARY_CapCostType[[#This Row],[2021-22 (£''000)]:[2026-27 (£''000)]])</f>
        <v>0</v>
      </c>
      <c r="J88"/>
    </row>
    <row r="89" spans="1:10" x14ac:dyDescent="0.25">
      <c r="A89" s="64" t="str">
        <f>Validation!A16</f>
        <v>Equipment &amp; materials</v>
      </c>
      <c r="B89" s="121">
        <f>SUMIFS(Capital_Costs[2021-22 (£''000)],Capital_Costs[[Cost type*]:[Cost type*]],$A89)</f>
        <v>0</v>
      </c>
      <c r="C89" s="121">
        <f>SUMIFS(Capital_Costs[2022-23 (£''000)],Capital_Costs[[Cost type*]:[Cost type*]],$A89)</f>
        <v>0</v>
      </c>
      <c r="D89" s="121">
        <f>SUMIFS(Capital_Costs[2023-24 (£''000)],Capital_Costs[[Cost type*]:[Cost type*]],$A89)</f>
        <v>0</v>
      </c>
      <c r="E89" s="121">
        <f>SUMIFS(Capital_Costs[2024-25 (£''000)],Capital_Costs[[Cost type*]:[Cost type*]],$A89)</f>
        <v>0</v>
      </c>
      <c r="F89" s="121">
        <f>SUMIFS(Capital_Costs[2025-26 (£''000)],Capital_Costs[[Cost type*]:[Cost type*]],$A89)</f>
        <v>0</v>
      </c>
      <c r="G89" s="121">
        <f>SUMIFS(Capital_Costs[2026-27 (£''000)],Capital_Costs[[Cost type*]:[Cost type*]],$A89)</f>
        <v>0</v>
      </c>
      <c r="H89" s="137">
        <f>SUM(SUMMARY_CapCostType[[#This Row],[2021-22 (£''000)]:[2026-27 (£''000)]])</f>
        <v>0</v>
      </c>
      <c r="J89"/>
    </row>
    <row r="90" spans="1:10" x14ac:dyDescent="0.25">
      <c r="A90" s="64" t="str">
        <f>Validation!A17</f>
        <v>Construction costs</v>
      </c>
      <c r="B90" s="121">
        <f>SUMIFS(Capital_Costs[2021-22 (£''000)],Capital_Costs[[Cost type*]:[Cost type*]],$A90)</f>
        <v>0</v>
      </c>
      <c r="C90" s="121">
        <f>SUMIFS(Capital_Costs[2022-23 (£''000)],Capital_Costs[[Cost type*]:[Cost type*]],$A90)</f>
        <v>0</v>
      </c>
      <c r="D90" s="121">
        <f>SUMIFS(Capital_Costs[2023-24 (£''000)],Capital_Costs[[Cost type*]:[Cost type*]],$A90)</f>
        <v>0</v>
      </c>
      <c r="E90" s="121">
        <f>SUMIFS(Capital_Costs[2024-25 (£''000)],Capital_Costs[[Cost type*]:[Cost type*]],$A90)</f>
        <v>0</v>
      </c>
      <c r="F90" s="121">
        <f>SUMIFS(Capital_Costs[2025-26 (£''000)],Capital_Costs[[Cost type*]:[Cost type*]],$A90)</f>
        <v>0</v>
      </c>
      <c r="G90" s="121">
        <f>SUMIFS(Capital_Costs[2026-27 (£''000)],Capital_Costs[[Cost type*]:[Cost type*]],$A90)</f>
        <v>0</v>
      </c>
      <c r="H90" s="137">
        <f>SUM(SUMMARY_CapCostType[[#This Row],[2021-22 (£''000)]:[2026-27 (£''000)]])</f>
        <v>0</v>
      </c>
      <c r="I90" s="18"/>
      <c r="J90"/>
    </row>
    <row r="91" spans="1:10" x14ac:dyDescent="0.25">
      <c r="A91" s="64" t="str">
        <f>Validation!A18</f>
        <v>Other</v>
      </c>
      <c r="B91" s="121">
        <f>SUMIFS(Capital_Costs[2021-22 (£''000)],Capital_Costs[[Cost type*]:[Cost type*]],$A91)</f>
        <v>0</v>
      </c>
      <c r="C91" s="121">
        <f>SUMIFS(Capital_Costs[2022-23 (£''000)],Capital_Costs[[Cost type*]:[Cost type*]],$A91)</f>
        <v>0</v>
      </c>
      <c r="D91" s="121">
        <f>SUMIFS(Capital_Costs[2023-24 (£''000)],Capital_Costs[[Cost type*]:[Cost type*]],$A91)</f>
        <v>0</v>
      </c>
      <c r="E91" s="121">
        <f>SUMIFS(Capital_Costs[2024-25 (£''000)],Capital_Costs[[Cost type*]:[Cost type*]],$A91)</f>
        <v>0</v>
      </c>
      <c r="F91" s="121">
        <f>SUMIFS(Capital_Costs[2025-26 (£''000)],Capital_Costs[[Cost type*]:[Cost type*]],$A91)</f>
        <v>0</v>
      </c>
      <c r="G91" s="121">
        <f>SUMIFS(Capital_Costs[2026-27 (£''000)],Capital_Costs[[Cost type*]:[Cost type*]],$A91)</f>
        <v>0</v>
      </c>
      <c r="H91" s="137">
        <f>SUM(SUMMARY_CapCostType[[#This Row],[2021-22 (£''000)]:[2026-27 (£''000)]])</f>
        <v>0</v>
      </c>
      <c r="J91"/>
    </row>
    <row r="92" spans="1:10" x14ac:dyDescent="0.25">
      <c r="A92" s="67" t="s">
        <v>1</v>
      </c>
      <c r="B92" s="128">
        <f>SUBTOTAL(109,SUMMARY_CapCostType[2021-22 (£''000)])</f>
        <v>0</v>
      </c>
      <c r="C92" s="128">
        <f>SUBTOTAL(109,SUMMARY_CapCostType[2022-23 (£''000)])</f>
        <v>0</v>
      </c>
      <c r="D92" s="128">
        <f>SUBTOTAL(109,SUMMARY_CapCostType[2023-24 (£''000)])</f>
        <v>0</v>
      </c>
      <c r="E92" s="128">
        <f>SUBTOTAL(109,SUMMARY_CapCostType[2024-25 (£''000)])</f>
        <v>0</v>
      </c>
      <c r="F92" s="128">
        <f>SUBTOTAL(109,SUMMARY_CapCostType[2025-26 (£''000)])</f>
        <v>0</v>
      </c>
      <c r="G92" s="128">
        <f>SUBTOTAL(109,SUMMARY_CapCostType[2026-27 (£''000)])</f>
        <v>0</v>
      </c>
      <c r="H92" s="128">
        <f>SUBTOTAL(109,SUMMARY_CapCostType[Total 2021-27 (£''000)])</f>
        <v>0</v>
      </c>
      <c r="J92"/>
    </row>
    <row r="93" spans="1:10" x14ac:dyDescent="0.25">
      <c r="A93"/>
      <c r="B93"/>
      <c r="C93"/>
      <c r="D93"/>
      <c r="E93"/>
      <c r="F93"/>
      <c r="G93"/>
      <c r="H93"/>
      <c r="J93" s="44"/>
    </row>
    <row r="94" spans="1:10" x14ac:dyDescent="0.25">
      <c r="A94" s="46"/>
      <c r="B94" s="46"/>
      <c r="C94" s="46"/>
      <c r="D94" s="46"/>
      <c r="E94" s="46"/>
      <c r="F94" s="46"/>
      <c r="G94" s="46"/>
      <c r="H94" s="46"/>
      <c r="J94" s="44"/>
    </row>
    <row r="95" spans="1:10" ht="13.8" x14ac:dyDescent="0.25">
      <c r="A95" s="69" t="s">
        <v>165</v>
      </c>
      <c r="B95" s="38"/>
      <c r="C95" s="19"/>
      <c r="D95" s="19"/>
      <c r="E95" s="19"/>
      <c r="F95" s="19"/>
      <c r="G95" s="19"/>
      <c r="H95" s="19"/>
      <c r="I95" s="19"/>
      <c r="J95" s="19"/>
    </row>
    <row r="96" spans="1:10" x14ac:dyDescent="0.25">
      <c r="E96"/>
      <c r="F96"/>
      <c r="G96"/>
      <c r="H96"/>
      <c r="I96"/>
    </row>
    <row r="97" spans="1:12" s="86" customFormat="1" ht="79.5" customHeight="1" x14ac:dyDescent="0.25">
      <c r="A97" s="66" t="s">
        <v>166</v>
      </c>
      <c r="B97" s="86" t="s">
        <v>198</v>
      </c>
      <c r="C97" s="86" t="s">
        <v>200</v>
      </c>
      <c r="D97" s="127" t="s">
        <v>201</v>
      </c>
      <c r="E97" s="86" t="s">
        <v>50</v>
      </c>
      <c r="F97" s="111" t="s">
        <v>199</v>
      </c>
      <c r="G97" s="86" t="s">
        <v>136</v>
      </c>
      <c r="H97" s="123" t="s">
        <v>137</v>
      </c>
      <c r="I97" s="86" t="s">
        <v>138</v>
      </c>
      <c r="J97" s="67" t="s">
        <v>167</v>
      </c>
      <c r="L97" s="86" t="s">
        <v>93</v>
      </c>
    </row>
    <row r="98" spans="1:12" x14ac:dyDescent="0.25">
      <c r="A98" s="64" t="str">
        <f>'0. Project &amp; consortium'!B17</f>
        <v>E.g. ABC Ltd or University X</v>
      </c>
      <c r="B98" s="120">
        <f>SUMIFS(Income[Total 2021-27 (£''000)],Income[[Project income type*]:[Project income type*]],Validation!$A$4,Income[[Consortium partner*]:[Consortium partner*]],$A98)</f>
        <v>0</v>
      </c>
      <c r="C98" s="120">
        <f>(SUMIFS(Income[Total 2021-27 (£''000)],Income[[Project income type*]:[Project income type*]],Validation!$A$5,Income[[Consortium partner*]:[Consortium partner*]],$A98))+(SUMIFS(Income[Total 2021-27 (£''000)],Income[[Project income type*]:[Project income type*]],Validation!$A$6,Income[[Consortium partner*]:[Consortium partner*]],$A98))</f>
        <v>0</v>
      </c>
      <c r="D98" s="126">
        <f>(SUMIFS(Income[Total 2021-27 (£''000)],Income[[Project income type*]:[Project income type*]],Validation!$A$7,Income[[Consortium partner*]:[Consortium partner*]],$A98))+(SUMIFS(Income[Total 2021-27 (£''000)],Income[[Project income type*]:[Project income type*]],Validation!$A$8,Income[[Consortium partner*]:[Consortium partner*]],$A98))</f>
        <v>0</v>
      </c>
      <c r="E98" s="120">
        <f>SUMIFS(Income[Total 2021-27 (£''000)],Income[[Project income type*]:[Project income type*]],Validation!$A$9,Income[[Consortium partner*]:[Consortium partner*]],$A98)</f>
        <v>0</v>
      </c>
      <c r="F98" s="125">
        <f>SUMIFS(Income[Total 2021-27 (£''000)],Income[[Project income type*]:[Project income type*]],Validation!$A$10,Income[[Consortium partner*]:[Consortium partner*]],$A98)</f>
        <v>0</v>
      </c>
      <c r="G98" s="120">
        <f>(SUMIFS(Income[Total 2021-27 (£''000)],Income[[Project income type*]:[Project income type*]],Validation!$A$5,Income[[Consortium partner*]:[Consortium partner*]],$A98))+(SUMIFS(Income[Total 2021-27 (£''000)],Income[[Project income type*]:[Project income type*]],Validation!$A$7,Income[[Consortium partner*]:[Consortium partner*]],$A98))</f>
        <v>0</v>
      </c>
      <c r="H98" s="124">
        <f>(SUMIFS(Income[Total 2021-27 (£''000)],Income[[Project income type*]:[Project income type*]],Validation!$A$6,Income[[Consortium partner*]:[Consortium partner*]],$A98))+(SUMIFS(Income[Total 2021-27 (£''000)],Income[[Project income type*]:[Project income type*]],Validation!$A$8,Income[[Consortium partner*]:[Consortium partner*]],$A98))</f>
        <v>0</v>
      </c>
      <c r="I98" s="121">
        <f>SUM(SUMMARY_ConsortiumMembIncome[[#This Row],[Total leverage provided for state aid requirements]:[Total leverage provided additional to state aid requirements]])</f>
        <v>0</v>
      </c>
      <c r="J98" s="128">
        <f>SUM(SUMMARY_ConsortiumMembIncome[[#This Row],[UKRI SIPF funding]:[Other income]])</f>
        <v>0</v>
      </c>
      <c r="K98" s="134"/>
      <c r="L98" s="134">
        <f>SUMIFS(Income_SS[Steady State (£''000)],Income[[Consortium partner*]:[Consortium partner*]],$A98)</f>
        <v>0</v>
      </c>
    </row>
    <row r="99" spans="1:12" x14ac:dyDescent="0.25">
      <c r="A99" s="45" t="str">
        <f>'0. Project &amp; consortium'!B18</f>
        <v>Enter</v>
      </c>
      <c r="B99" s="121">
        <f>SUMIFS(Income[Total 2021-27 (£''000)],Income[[Project income type*]:[Project income type*]],Validation!$A$4,Income[[Consortium partner*]:[Consortium partner*]],$A99)</f>
        <v>0</v>
      </c>
      <c r="C99" s="121">
        <f>(SUMIFS(Income[Total 2021-27 (£''000)],Income[[Project income type*]:[Project income type*]],Validation!$A$5,Income[[Consortium partner*]:[Consortium partner*]],$A99))+(SUMIFS(Income[Total 2021-27 (£''000)],Income[[Project income type*]:[Project income type*]],Validation!$A$6,Income[[Consortium partner*]:[Consortium partner*]],$A99))</f>
        <v>0</v>
      </c>
      <c r="D99" s="121">
        <f>(SUMIFS(Income[Total 2021-27 (£''000)],Income[[Project income type*]:[Project income type*]],Validation!$A$7,Income[[Consortium partner*]:[Consortium partner*]],$A99))+(SUMIFS(Income[Total 2021-27 (£''000)],Income[[Project income type*]:[Project income type*]],Validation!$A$8,Income[[Consortium partner*]:[Consortium partner*]],$A99))</f>
        <v>0</v>
      </c>
      <c r="E99" s="121">
        <f>SUMIFS(Income[Total 2021-27 (£''000)],Income[[Project income type*]:[Project income type*]],Validation!$A$9,Income[[Consortium partner*]:[Consortium partner*]],$A99)</f>
        <v>0</v>
      </c>
      <c r="F99" s="125">
        <f>SUMIFS(Income[Total 2021-27 (£''000)],Income[[Project income type*]:[Project income type*]],Validation!$A$10,Income[[Consortium partner*]:[Consortium partner*]],$A99)</f>
        <v>0</v>
      </c>
      <c r="G99" s="121">
        <f>(SUMIFS(Income[Total 2021-27 (£''000)],Income[[Project income type*]:[Project income type*]],Validation!$A$5,Income[[Consortium partner*]:[Consortium partner*]],$A99))+(SUMIFS(Income[Total 2021-27 (£''000)],Income[[Project income type*]:[Project income type*]],Validation!$A$7,Income[[Consortium partner*]:[Consortium partner*]],$A99))</f>
        <v>0</v>
      </c>
      <c r="H99" s="125">
        <f>(SUMIFS(Income[Total 2021-27 (£''000)],Income[[Project income type*]:[Project income type*]],Validation!$A$6,Income[[Consortium partner*]:[Consortium partner*]],$A99))+(SUMIFS(Income[Total 2021-27 (£''000)],Income[[Project income type*]:[Project income type*]],Validation!$A$8,Income[[Consortium partner*]:[Consortium partner*]],$A99))</f>
        <v>0</v>
      </c>
      <c r="I99" s="121">
        <f>SUM(SUMMARY_ConsortiumMembIncome[[#This Row],[Total leverage provided for state aid requirements]:[Total leverage provided additional to state aid requirements]])</f>
        <v>0</v>
      </c>
      <c r="J99" s="128">
        <f>SUM(SUMMARY_ConsortiumMembIncome[[#This Row],[UKRI SIPF funding]:[Other income]])</f>
        <v>0</v>
      </c>
      <c r="K99" s="134"/>
      <c r="L99" s="134">
        <f>SUMIFS(Income_SS[Steady State (£''000)],Income[[Consortium partner*]:[Consortium partner*]],$A99)</f>
        <v>0</v>
      </c>
    </row>
    <row r="100" spans="1:12" x14ac:dyDescent="0.25">
      <c r="A100" s="45" t="str">
        <f>'0. Project &amp; consortium'!B19</f>
        <v>information</v>
      </c>
      <c r="B100" s="121">
        <f>SUMIFS(Income[Total 2021-27 (£''000)],Income[[Project income type*]:[Project income type*]],Validation!$A$4,Income[[Consortium partner*]:[Consortium partner*]],$A100)</f>
        <v>0</v>
      </c>
      <c r="C100" s="121">
        <f>(SUMIFS(Income[Total 2021-27 (£''000)],Income[[Project income type*]:[Project income type*]],Validation!$A$5,Income[[Consortium partner*]:[Consortium partner*]],$A100))+(SUMIFS(Income[Total 2021-27 (£''000)],Income[[Project income type*]:[Project income type*]],Validation!$A$6,Income[[Consortium partner*]:[Consortium partner*]],$A100))</f>
        <v>0</v>
      </c>
      <c r="D100" s="121">
        <f>(SUMIFS(Income[Total 2021-27 (£''000)],Income[[Project income type*]:[Project income type*]],Validation!$A$7,Income[[Consortium partner*]:[Consortium partner*]],$A100))+(SUMIFS(Income[Total 2021-27 (£''000)],Income[[Project income type*]:[Project income type*]],Validation!$A$8,Income[[Consortium partner*]:[Consortium partner*]],$A100))</f>
        <v>0</v>
      </c>
      <c r="E100" s="121">
        <f>SUMIFS(Income[Total 2021-27 (£''000)],Income[[Project income type*]:[Project income type*]],Validation!$A$9,Income[[Consortium partner*]:[Consortium partner*]],$A100)</f>
        <v>0</v>
      </c>
      <c r="F100" s="125">
        <f>SUMIFS(Income[Total 2021-27 (£''000)],Income[[Project income type*]:[Project income type*]],Validation!$A$10,Income[[Consortium partner*]:[Consortium partner*]],$A100)</f>
        <v>0</v>
      </c>
      <c r="G100" s="121">
        <f>(SUMIFS(Income[Total 2021-27 (£''000)],Income[[Project income type*]:[Project income type*]],Validation!$A$5,Income[[Consortium partner*]:[Consortium partner*]],$A100))+(SUMIFS(Income[Total 2021-27 (£''000)],Income[[Project income type*]:[Project income type*]],Validation!$A$7,Income[[Consortium partner*]:[Consortium partner*]],$A100))</f>
        <v>0</v>
      </c>
      <c r="H100" s="125">
        <f>(SUMIFS(Income[Total 2021-27 (£''000)],Income[[Project income type*]:[Project income type*]],Validation!$A$6,Income[[Consortium partner*]:[Consortium partner*]],$A100))+(SUMIFS(Income[Total 2021-27 (£''000)],Income[[Project income type*]:[Project income type*]],Validation!$A$8,Income[[Consortium partner*]:[Consortium partner*]],$A100))</f>
        <v>0</v>
      </c>
      <c r="I100" s="121">
        <f>SUM(SUMMARY_ConsortiumMembIncome[[#This Row],[Total leverage provided for state aid requirements]:[Total leverage provided additional to state aid requirements]])</f>
        <v>0</v>
      </c>
      <c r="J100" s="128">
        <f>SUM(SUMMARY_ConsortiumMembIncome[[#This Row],[UKRI SIPF funding]:[Other income]])</f>
        <v>0</v>
      </c>
      <c r="K100" s="134"/>
      <c r="L100" s="134">
        <f>SUMIFS(Income_SS[Steady State (£''000)],Income[[Consortium partner*]:[Consortium partner*]],$A100)</f>
        <v>0</v>
      </c>
    </row>
    <row r="101" spans="1:12" x14ac:dyDescent="0.25">
      <c r="A101" s="45" t="str">
        <f>'0. Project &amp; consortium'!B20</f>
        <v>in tab 0</v>
      </c>
      <c r="B101" s="121">
        <f>SUMIFS(Income[Total 2021-27 (£''000)],Income[[Project income type*]:[Project income type*]],Validation!$A$4,Income[[Consortium partner*]:[Consortium partner*]],$A101)</f>
        <v>0</v>
      </c>
      <c r="C101" s="121">
        <f>(SUMIFS(Income[Total 2021-27 (£''000)],Income[[Project income type*]:[Project income type*]],Validation!$A$5,Income[[Consortium partner*]:[Consortium partner*]],$A101))+(SUMIFS(Income[Total 2021-27 (£''000)],Income[[Project income type*]:[Project income type*]],Validation!$A$6,Income[[Consortium partner*]:[Consortium partner*]],$A101))</f>
        <v>0</v>
      </c>
      <c r="D101" s="121">
        <f>(SUMIFS(Income[Total 2021-27 (£''000)],Income[[Project income type*]:[Project income type*]],Validation!$A$7,Income[[Consortium partner*]:[Consortium partner*]],$A101))+(SUMIFS(Income[Total 2021-27 (£''000)],Income[[Project income type*]:[Project income type*]],Validation!$A$8,Income[[Consortium partner*]:[Consortium partner*]],$A101))</f>
        <v>0</v>
      </c>
      <c r="E101" s="121">
        <f>SUMIFS(Income[Total 2021-27 (£''000)],Income[[Project income type*]:[Project income type*]],Validation!$A$9,Income[[Consortium partner*]:[Consortium partner*]],$A101)</f>
        <v>0</v>
      </c>
      <c r="F101" s="125">
        <f>SUMIFS(Income[Total 2021-27 (£''000)],Income[[Project income type*]:[Project income type*]],Validation!$A$10,Income[[Consortium partner*]:[Consortium partner*]],$A101)</f>
        <v>0</v>
      </c>
      <c r="G101" s="121">
        <f>(SUMIFS(Income[Total 2021-27 (£''000)],Income[[Project income type*]:[Project income type*]],Validation!$A$5,Income[[Consortium partner*]:[Consortium partner*]],$A101))+(SUMIFS(Income[Total 2021-27 (£''000)],Income[[Project income type*]:[Project income type*]],Validation!$A$7,Income[[Consortium partner*]:[Consortium partner*]],$A101))</f>
        <v>0</v>
      </c>
      <c r="H101" s="125">
        <f>(SUMIFS(Income[Total 2021-27 (£''000)],Income[[Project income type*]:[Project income type*]],Validation!$A$6,Income[[Consortium partner*]:[Consortium partner*]],$A101))+(SUMIFS(Income[Total 2021-27 (£''000)],Income[[Project income type*]:[Project income type*]],Validation!$A$8,Income[[Consortium partner*]:[Consortium partner*]],$A101))</f>
        <v>0</v>
      </c>
      <c r="I101" s="121">
        <f>SUM(SUMMARY_ConsortiumMembIncome[[#This Row],[Total leverage provided for state aid requirements]:[Total leverage provided additional to state aid requirements]])</f>
        <v>0</v>
      </c>
      <c r="J101" s="128">
        <f>SUM(SUMMARY_ConsortiumMembIncome[[#This Row],[UKRI SIPF funding]:[Other income]])</f>
        <v>0</v>
      </c>
      <c r="K101" s="134"/>
      <c r="L101" s="134">
        <f>SUMIFS(Income_SS[Steady State (£''000)],Income[[Consortium partner*]:[Consortium partner*]],$A101)</f>
        <v>0</v>
      </c>
    </row>
    <row r="102" spans="1:12" x14ac:dyDescent="0.25">
      <c r="A102" s="45" t="str">
        <f>'0. Project &amp; consortium'!B21</f>
        <v>to populate</v>
      </c>
      <c r="B102" s="121">
        <f>SUMIFS(Income[Total 2021-27 (£''000)],Income[[Project income type*]:[Project income type*]],Validation!$A$4,Income[[Consortium partner*]:[Consortium partner*]],$A102)</f>
        <v>0</v>
      </c>
      <c r="C102" s="121">
        <f>(SUMIFS(Income[Total 2021-27 (£''000)],Income[[Project income type*]:[Project income type*]],Validation!$A$5,Income[[Consortium partner*]:[Consortium partner*]],$A102))+(SUMIFS(Income[Total 2021-27 (£''000)],Income[[Project income type*]:[Project income type*]],Validation!$A$6,Income[[Consortium partner*]:[Consortium partner*]],$A102))</f>
        <v>0</v>
      </c>
      <c r="D102" s="121">
        <f>(SUMIFS(Income[Total 2021-27 (£''000)],Income[[Project income type*]:[Project income type*]],Validation!$A$7,Income[[Consortium partner*]:[Consortium partner*]],$A102))+(SUMIFS(Income[Total 2021-27 (£''000)],Income[[Project income type*]:[Project income type*]],Validation!$A$8,Income[[Consortium partner*]:[Consortium partner*]],$A102))</f>
        <v>0</v>
      </c>
      <c r="E102" s="121">
        <f>SUMIFS(Income[Total 2021-27 (£''000)],Income[[Project income type*]:[Project income type*]],Validation!$A$9,Income[[Consortium partner*]:[Consortium partner*]],$A102)</f>
        <v>0</v>
      </c>
      <c r="F102" s="125">
        <f>SUMIFS(Income[Total 2021-27 (£''000)],Income[[Project income type*]:[Project income type*]],Validation!$A$10,Income[[Consortium partner*]:[Consortium partner*]],$A102)</f>
        <v>0</v>
      </c>
      <c r="G102" s="121">
        <f>(SUMIFS(Income[Total 2021-27 (£''000)],Income[[Project income type*]:[Project income type*]],Validation!$A$5,Income[[Consortium partner*]:[Consortium partner*]],$A102))+(SUMIFS(Income[Total 2021-27 (£''000)],Income[[Project income type*]:[Project income type*]],Validation!$A$7,Income[[Consortium partner*]:[Consortium partner*]],$A102))</f>
        <v>0</v>
      </c>
      <c r="H102" s="125">
        <f>(SUMIFS(Income[Total 2021-27 (£''000)],Income[[Project income type*]:[Project income type*]],Validation!$A$6,Income[[Consortium partner*]:[Consortium partner*]],$A102))+(SUMIFS(Income[Total 2021-27 (£''000)],Income[[Project income type*]:[Project income type*]],Validation!$A$8,Income[[Consortium partner*]:[Consortium partner*]],$A102))</f>
        <v>0</v>
      </c>
      <c r="I102" s="121">
        <f>SUM(SUMMARY_ConsortiumMembIncome[[#This Row],[Total leverage provided for state aid requirements]:[Total leverage provided additional to state aid requirements]])</f>
        <v>0</v>
      </c>
      <c r="J102" s="128">
        <f>SUM(SUMMARY_ConsortiumMembIncome[[#This Row],[UKRI SIPF funding]:[Other income]])</f>
        <v>0</v>
      </c>
      <c r="K102" s="134"/>
      <c r="L102" s="134">
        <f>SUMIFS(Income_SS[Steady State (£''000)],Income[[Consortium partner*]:[Consortium partner*]],$A102)</f>
        <v>0</v>
      </c>
    </row>
    <row r="103" spans="1:12" x14ac:dyDescent="0.25">
      <c r="A103" s="45" t="str">
        <f>'0. Project &amp; consortium'!B22</f>
        <v>this</v>
      </c>
      <c r="B103" s="121">
        <f>SUMIFS(Income[Total 2021-27 (£''000)],Income[[Project income type*]:[Project income type*]],Validation!$A$4,Income[[Consortium partner*]:[Consortium partner*]],$A103)</f>
        <v>0</v>
      </c>
      <c r="C103" s="121">
        <f>(SUMIFS(Income[Total 2021-27 (£''000)],Income[[Project income type*]:[Project income type*]],Validation!$A$5,Income[[Consortium partner*]:[Consortium partner*]],$A103))+(SUMIFS(Income[Total 2021-27 (£''000)],Income[[Project income type*]:[Project income type*]],Validation!$A$6,Income[[Consortium partner*]:[Consortium partner*]],$A103))</f>
        <v>0</v>
      </c>
      <c r="D103" s="121">
        <f>(SUMIFS(Income[Total 2021-27 (£''000)],Income[[Project income type*]:[Project income type*]],Validation!$A$7,Income[[Consortium partner*]:[Consortium partner*]],$A103))+(SUMIFS(Income[Total 2021-27 (£''000)],Income[[Project income type*]:[Project income type*]],Validation!$A$8,Income[[Consortium partner*]:[Consortium partner*]],$A103))</f>
        <v>0</v>
      </c>
      <c r="E103" s="121">
        <f>SUMIFS(Income[Total 2021-27 (£''000)],Income[[Project income type*]:[Project income type*]],Validation!$A$9,Income[[Consortium partner*]:[Consortium partner*]],$A103)</f>
        <v>0</v>
      </c>
      <c r="F103" s="125">
        <f>SUMIFS(Income[Total 2021-27 (£''000)],Income[[Project income type*]:[Project income type*]],Validation!$A$10,Income[[Consortium partner*]:[Consortium partner*]],$A103)</f>
        <v>0</v>
      </c>
      <c r="G103" s="121">
        <f>(SUMIFS(Income[Total 2021-27 (£''000)],Income[[Project income type*]:[Project income type*]],Validation!$A$5,Income[[Consortium partner*]:[Consortium partner*]],$A103))+(SUMIFS(Income[Total 2021-27 (£''000)],Income[[Project income type*]:[Project income type*]],Validation!$A$7,Income[[Consortium partner*]:[Consortium partner*]],$A103))</f>
        <v>0</v>
      </c>
      <c r="H103" s="125">
        <f>(SUMIFS(Income[Total 2021-27 (£''000)],Income[[Project income type*]:[Project income type*]],Validation!$A$6,Income[[Consortium partner*]:[Consortium partner*]],$A103))+(SUMIFS(Income[Total 2021-27 (£''000)],Income[[Project income type*]:[Project income type*]],Validation!$A$8,Income[[Consortium partner*]:[Consortium partner*]],$A103))</f>
        <v>0</v>
      </c>
      <c r="I103" s="121">
        <f>SUM(SUMMARY_ConsortiumMembIncome[[#This Row],[Total leverage provided for state aid requirements]:[Total leverage provided additional to state aid requirements]])</f>
        <v>0</v>
      </c>
      <c r="J103" s="128">
        <f>SUM(SUMMARY_ConsortiumMembIncome[[#This Row],[UKRI SIPF funding]:[Other income]])</f>
        <v>0</v>
      </c>
      <c r="K103" s="134"/>
      <c r="L103" s="134">
        <f>SUMIFS(Income_SS[Steady State (£''000)],Income[[Consortium partner*]:[Consortium partner*]],$A103)</f>
        <v>0</v>
      </c>
    </row>
    <row r="104" spans="1:12" x14ac:dyDescent="0.25">
      <c r="A104" s="45" t="str">
        <f>'0. Project &amp; consortium'!B23</f>
        <v>list</v>
      </c>
      <c r="B104" s="121">
        <f>SUMIFS(Income[Total 2021-27 (£''000)],Income[[Project income type*]:[Project income type*]],Validation!$A$4,Income[[Consortium partner*]:[Consortium partner*]],$A104)</f>
        <v>0</v>
      </c>
      <c r="C104" s="121">
        <f>(SUMIFS(Income[Total 2021-27 (£''000)],Income[[Project income type*]:[Project income type*]],Validation!$A$5,Income[[Consortium partner*]:[Consortium partner*]],$A104))+(SUMIFS(Income[Total 2021-27 (£''000)],Income[[Project income type*]:[Project income type*]],Validation!$A$6,Income[[Consortium partner*]:[Consortium partner*]],$A104))</f>
        <v>0</v>
      </c>
      <c r="D104" s="121">
        <f>(SUMIFS(Income[Total 2021-27 (£''000)],Income[[Project income type*]:[Project income type*]],Validation!$A$7,Income[[Consortium partner*]:[Consortium partner*]],$A104))+(SUMIFS(Income[Total 2021-27 (£''000)],Income[[Project income type*]:[Project income type*]],Validation!$A$8,Income[[Consortium partner*]:[Consortium partner*]],$A104))</f>
        <v>0</v>
      </c>
      <c r="E104" s="121">
        <f>SUMIFS(Income[Total 2021-27 (£''000)],Income[[Project income type*]:[Project income type*]],Validation!$A$9,Income[[Consortium partner*]:[Consortium partner*]],$A104)</f>
        <v>0</v>
      </c>
      <c r="F104" s="125">
        <f>SUMIFS(Income[Total 2021-27 (£''000)],Income[[Project income type*]:[Project income type*]],Validation!$A$10,Income[[Consortium partner*]:[Consortium partner*]],$A104)</f>
        <v>0</v>
      </c>
      <c r="G104" s="121">
        <f>(SUMIFS(Income[Total 2021-27 (£''000)],Income[[Project income type*]:[Project income type*]],Validation!$A$5,Income[[Consortium partner*]:[Consortium partner*]],$A104))+(SUMIFS(Income[Total 2021-27 (£''000)],Income[[Project income type*]:[Project income type*]],Validation!$A$7,Income[[Consortium partner*]:[Consortium partner*]],$A104))</f>
        <v>0</v>
      </c>
      <c r="H104" s="125">
        <f>(SUMIFS(Income[Total 2021-27 (£''000)],Income[[Project income type*]:[Project income type*]],Validation!$A$6,Income[[Consortium partner*]:[Consortium partner*]],$A104))+(SUMIFS(Income[Total 2021-27 (£''000)],Income[[Project income type*]:[Project income type*]],Validation!$A$8,Income[[Consortium partner*]:[Consortium partner*]],$A104))</f>
        <v>0</v>
      </c>
      <c r="I104" s="121">
        <f>SUM(SUMMARY_ConsortiumMembIncome[[#This Row],[Total leverage provided for state aid requirements]:[Total leverage provided additional to state aid requirements]])</f>
        <v>0</v>
      </c>
      <c r="J104" s="128">
        <f>SUM(SUMMARY_ConsortiumMembIncome[[#This Row],[UKRI SIPF funding]:[Other income]])</f>
        <v>0</v>
      </c>
      <c r="K104" s="134"/>
      <c r="L104" s="134">
        <f>SUMIFS(Income_SS[Steady State (£''000)],Income[[Consortium partner*]:[Consortium partner*]],$A104)</f>
        <v>0</v>
      </c>
    </row>
    <row r="105" spans="1:12" x14ac:dyDescent="0.25">
      <c r="A105" s="45">
        <f>'0. Project &amp; consortium'!B24</f>
        <v>0</v>
      </c>
      <c r="B105" s="122">
        <f>SUMIFS(Income[Total 2021-27 (£''000)],Income[[Project income type*]:[Project income type*]],Validation!$A$4,Income[[Consortium partner*]:[Consortium partner*]],$A105)</f>
        <v>0</v>
      </c>
      <c r="C105" s="122">
        <f>(SUMIFS(Income[Total 2021-27 (£''000)],Income[[Project income type*]:[Project income type*]],Validation!$A$5,Income[[Consortium partner*]:[Consortium partner*]],$A105))+(SUMIFS(Income[Total 2021-27 (£''000)],Income[[Project income type*]:[Project income type*]],Validation!$A$6,Income[[Consortium partner*]:[Consortium partner*]],$A105))</f>
        <v>0</v>
      </c>
      <c r="D105" s="121">
        <f>(SUMIFS(Income[Total 2021-27 (£''000)],Income[[Project income type*]:[Project income type*]],Validation!$A$7,Income[[Consortium partner*]:[Consortium partner*]],$A105))+(SUMIFS(Income[Total 2021-27 (£''000)],Income[[Project income type*]:[Project income type*]],Validation!$A$8,Income[[Consortium partner*]:[Consortium partner*]],$A105))</f>
        <v>0</v>
      </c>
      <c r="E105" s="122">
        <f>SUMIFS(Income[Total 2021-27 (£''000)],Income[[Project income type*]:[Project income type*]],Validation!$A$9,Income[[Consortium partner*]:[Consortium partner*]],$A105)</f>
        <v>0</v>
      </c>
      <c r="F105" s="125">
        <f>SUMIFS(Income[Total 2021-27 (£''000)],Income[[Project income type*]:[Project income type*]],Validation!$A$10,Income[[Consortium partner*]:[Consortium partner*]],$A105)</f>
        <v>0</v>
      </c>
      <c r="G105" s="122">
        <f>(SUMIFS(Income[Total 2021-27 (£''000)],Income[[Project income type*]:[Project income type*]],Validation!$A$5,Income[[Consortium partner*]:[Consortium partner*]],$A105))+(SUMIFS(Income[Total 2021-27 (£''000)],Income[[Project income type*]:[Project income type*]],Validation!$A$7,Income[[Consortium partner*]:[Consortium partner*]],$A105))</f>
        <v>0</v>
      </c>
      <c r="H105" s="125">
        <f>(SUMIFS(Income[Total 2021-27 (£''000)],Income[[Project income type*]:[Project income type*]],Validation!$A$6,Income[[Consortium partner*]:[Consortium partner*]],$A105))+(SUMIFS(Income[Total 2021-27 (£''000)],Income[[Project income type*]:[Project income type*]],Validation!$A$8,Income[[Consortium partner*]:[Consortium partner*]],$A105))</f>
        <v>0</v>
      </c>
      <c r="I105" s="122">
        <f>SUM(SUMMARY_ConsortiumMembIncome[[#This Row],[Total leverage provided for state aid requirements]:[Total leverage provided additional to state aid requirements]])</f>
        <v>0</v>
      </c>
      <c r="J105" s="128">
        <f>SUM(SUMMARY_ConsortiumMembIncome[[#This Row],[UKRI SIPF funding]:[Other income]])</f>
        <v>0</v>
      </c>
      <c r="K105" s="134"/>
      <c r="L105" s="134">
        <f>SUMIFS(Income_SS[Steady State (£''000)],Income[[Consortium partner*]:[Consortium partner*]],$A105)</f>
        <v>0</v>
      </c>
    </row>
    <row r="106" spans="1:12" x14ac:dyDescent="0.25">
      <c r="A106" s="45">
        <f>'0. Project &amp; consortium'!B25</f>
        <v>0</v>
      </c>
      <c r="B106" s="122">
        <f>SUMIFS(Income[Total 2021-27 (£''000)],Income[[Project income type*]:[Project income type*]],Validation!$A$4,Income[[Consortium partner*]:[Consortium partner*]],$A106)</f>
        <v>0</v>
      </c>
      <c r="C106" s="122">
        <f>(SUMIFS(Income[Total 2021-27 (£''000)],Income[[Project income type*]:[Project income type*]],Validation!$A$5,Income[[Consortium partner*]:[Consortium partner*]],$A106))+(SUMIFS(Income[Total 2021-27 (£''000)],Income[[Project income type*]:[Project income type*]],Validation!$A$6,Income[[Consortium partner*]:[Consortium partner*]],$A106))</f>
        <v>0</v>
      </c>
      <c r="D106" s="121">
        <f>(SUMIFS(Income[Total 2021-27 (£''000)],Income[[Project income type*]:[Project income type*]],Validation!$A$7,Income[[Consortium partner*]:[Consortium partner*]],$A106))+(SUMIFS(Income[Total 2021-27 (£''000)],Income[[Project income type*]:[Project income type*]],Validation!$A$8,Income[[Consortium partner*]:[Consortium partner*]],$A106))</f>
        <v>0</v>
      </c>
      <c r="E106" s="122">
        <f>SUMIFS(Income[Total 2021-27 (£''000)],Income[[Project income type*]:[Project income type*]],Validation!$A$9,Income[[Consortium partner*]:[Consortium partner*]],$A106)</f>
        <v>0</v>
      </c>
      <c r="F106" s="125">
        <f>SUMIFS(Income[Total 2021-27 (£''000)],Income[[Project income type*]:[Project income type*]],Validation!$A$10,Income[[Consortium partner*]:[Consortium partner*]],$A106)</f>
        <v>0</v>
      </c>
      <c r="G106" s="122">
        <f>(SUMIFS(Income[Total 2021-27 (£''000)],Income[[Project income type*]:[Project income type*]],Validation!$A$5,Income[[Consortium partner*]:[Consortium partner*]],$A106))+(SUMIFS(Income[Total 2021-27 (£''000)],Income[[Project income type*]:[Project income type*]],Validation!$A$7,Income[[Consortium partner*]:[Consortium partner*]],$A106))</f>
        <v>0</v>
      </c>
      <c r="H106" s="125">
        <f>(SUMIFS(Income[Total 2021-27 (£''000)],Income[[Project income type*]:[Project income type*]],Validation!$A$6,Income[[Consortium partner*]:[Consortium partner*]],$A106))+(SUMIFS(Income[Total 2021-27 (£''000)],Income[[Project income type*]:[Project income type*]],Validation!$A$8,Income[[Consortium partner*]:[Consortium partner*]],$A106))</f>
        <v>0</v>
      </c>
      <c r="I106" s="122">
        <f>SUM(SUMMARY_ConsortiumMembIncome[[#This Row],[Total leverage provided for state aid requirements]:[Total leverage provided additional to state aid requirements]])</f>
        <v>0</v>
      </c>
      <c r="J106" s="128">
        <f>SUM(SUMMARY_ConsortiumMembIncome[[#This Row],[UKRI SIPF funding]:[Other income]])</f>
        <v>0</v>
      </c>
      <c r="K106" s="135"/>
      <c r="L106" s="134">
        <f>SUMIFS(Income_SS[Steady State (£''000)],Income[[Consortium partner*]:[Consortium partner*]],$A106)</f>
        <v>0</v>
      </c>
    </row>
    <row r="107" spans="1:12" x14ac:dyDescent="0.25">
      <c r="A107" s="45">
        <f>'0. Project &amp; consortium'!B26</f>
        <v>0</v>
      </c>
      <c r="B107" s="122">
        <f>SUMIFS(Income[Total 2021-27 (£''000)],Income[[Project income type*]:[Project income type*]],Validation!$A$4,Income[[Consortium partner*]:[Consortium partner*]],$A107)</f>
        <v>0</v>
      </c>
      <c r="C107" s="122">
        <f>(SUMIFS(Income[Total 2021-27 (£''000)],Income[[Project income type*]:[Project income type*]],Validation!$A$5,Income[[Consortium partner*]:[Consortium partner*]],$A107))+(SUMIFS(Income[Total 2021-27 (£''000)],Income[[Project income type*]:[Project income type*]],Validation!$A$6,Income[[Consortium partner*]:[Consortium partner*]],$A107))</f>
        <v>0</v>
      </c>
      <c r="D107" s="121">
        <f>(SUMIFS(Income[Total 2021-27 (£''000)],Income[[Project income type*]:[Project income type*]],Validation!$A$7,Income[[Consortium partner*]:[Consortium partner*]],$A107))+(SUMIFS(Income[Total 2021-27 (£''000)],Income[[Project income type*]:[Project income type*]],Validation!$A$8,Income[[Consortium partner*]:[Consortium partner*]],$A107))</f>
        <v>0</v>
      </c>
      <c r="E107" s="122">
        <f>SUMIFS(Income[Total 2021-27 (£''000)],Income[[Project income type*]:[Project income type*]],Validation!$A$9,Income[[Consortium partner*]:[Consortium partner*]],$A107)</f>
        <v>0</v>
      </c>
      <c r="F107" s="125">
        <f>SUMIFS(Income[Total 2021-27 (£''000)],Income[[Project income type*]:[Project income type*]],Validation!$A$10,Income[[Consortium partner*]:[Consortium partner*]],$A107)</f>
        <v>0</v>
      </c>
      <c r="G107" s="122">
        <f>(SUMIFS(Income[Total 2021-27 (£''000)],Income[[Project income type*]:[Project income type*]],Validation!$A$5,Income[[Consortium partner*]:[Consortium partner*]],$A107))+(SUMIFS(Income[Total 2021-27 (£''000)],Income[[Project income type*]:[Project income type*]],Validation!$A$7,Income[[Consortium partner*]:[Consortium partner*]],$A107))</f>
        <v>0</v>
      </c>
      <c r="H107" s="125">
        <f>(SUMIFS(Income[Total 2021-27 (£''000)],Income[[Project income type*]:[Project income type*]],Validation!$A$6,Income[[Consortium partner*]:[Consortium partner*]],$A107))+(SUMIFS(Income[Total 2021-27 (£''000)],Income[[Project income type*]:[Project income type*]],Validation!$A$8,Income[[Consortium partner*]:[Consortium partner*]],$A107))</f>
        <v>0</v>
      </c>
      <c r="I107" s="122">
        <f>SUM(SUMMARY_ConsortiumMembIncome[[#This Row],[Total leverage provided for state aid requirements]:[Total leverage provided additional to state aid requirements]])</f>
        <v>0</v>
      </c>
      <c r="J107" s="128">
        <f>SUM(SUMMARY_ConsortiumMembIncome[[#This Row],[UKRI SIPF funding]:[Other income]])</f>
        <v>0</v>
      </c>
      <c r="K107" s="135"/>
      <c r="L107" s="134">
        <f>SUMIFS(Income_SS[Steady State (£''000)],Income[[Consortium partner*]:[Consortium partner*]],$A107)</f>
        <v>0</v>
      </c>
    </row>
    <row r="108" spans="1:12" x14ac:dyDescent="0.25">
      <c r="A108" s="45">
        <f>'0. Project &amp; consortium'!B27</f>
        <v>0</v>
      </c>
      <c r="B108" s="122">
        <f>SUMIFS(Income[Total 2021-27 (£''000)],Income[[Project income type*]:[Project income type*]],Validation!$A$4,Income[[Consortium partner*]:[Consortium partner*]],$A108)</f>
        <v>0</v>
      </c>
      <c r="C108" s="122">
        <f>(SUMIFS(Income[Total 2021-27 (£''000)],Income[[Project income type*]:[Project income type*]],Validation!$A$5,Income[[Consortium partner*]:[Consortium partner*]],$A108))+(SUMIFS(Income[Total 2021-27 (£''000)],Income[[Project income type*]:[Project income type*]],Validation!$A$6,Income[[Consortium partner*]:[Consortium partner*]],$A108))</f>
        <v>0</v>
      </c>
      <c r="D108" s="121">
        <f>(SUMIFS(Income[Total 2021-27 (£''000)],Income[[Project income type*]:[Project income type*]],Validation!$A$7,Income[[Consortium partner*]:[Consortium partner*]],$A108))+(SUMIFS(Income[Total 2021-27 (£''000)],Income[[Project income type*]:[Project income type*]],Validation!$A$8,Income[[Consortium partner*]:[Consortium partner*]],$A108))</f>
        <v>0</v>
      </c>
      <c r="E108" s="122">
        <f>SUMIFS(Income[Total 2021-27 (£''000)],Income[[Project income type*]:[Project income type*]],Validation!$A$9,Income[[Consortium partner*]:[Consortium partner*]],$A108)</f>
        <v>0</v>
      </c>
      <c r="F108" s="125">
        <f>SUMIFS(Income[Total 2021-27 (£''000)],Income[[Project income type*]:[Project income type*]],Validation!$A$10,Income[[Consortium partner*]:[Consortium partner*]],$A108)</f>
        <v>0</v>
      </c>
      <c r="G108" s="122">
        <f>(SUMIFS(Income[Total 2021-27 (£''000)],Income[[Project income type*]:[Project income type*]],Validation!$A$5,Income[[Consortium partner*]:[Consortium partner*]],$A108))+(SUMIFS(Income[Total 2021-27 (£''000)],Income[[Project income type*]:[Project income type*]],Validation!$A$7,Income[[Consortium partner*]:[Consortium partner*]],$A108))</f>
        <v>0</v>
      </c>
      <c r="H108" s="125">
        <f>(SUMIFS(Income[Total 2021-27 (£''000)],Income[[Project income type*]:[Project income type*]],Validation!$A$6,Income[[Consortium partner*]:[Consortium partner*]],$A108))+(SUMIFS(Income[Total 2021-27 (£''000)],Income[[Project income type*]:[Project income type*]],Validation!$A$8,Income[[Consortium partner*]:[Consortium partner*]],$A108))</f>
        <v>0</v>
      </c>
      <c r="I108" s="122">
        <f>SUM(SUMMARY_ConsortiumMembIncome[[#This Row],[Total leverage provided for state aid requirements]:[Total leverage provided additional to state aid requirements]])</f>
        <v>0</v>
      </c>
      <c r="J108" s="128">
        <f>SUM(SUMMARY_ConsortiumMembIncome[[#This Row],[UKRI SIPF funding]:[Other income]])</f>
        <v>0</v>
      </c>
      <c r="K108" s="134"/>
      <c r="L108" s="134">
        <f>SUMIFS(Income_SS[Steady State (£''000)],Income[[Consortium partner*]:[Consortium partner*]],$A108)</f>
        <v>0</v>
      </c>
    </row>
    <row r="109" spans="1:12" x14ac:dyDescent="0.25">
      <c r="A109" s="45">
        <f>'0. Project &amp; consortium'!B28</f>
        <v>0</v>
      </c>
      <c r="B109" s="122">
        <f>SUMIFS(Income[Total 2021-27 (£''000)],Income[[Project income type*]:[Project income type*]],Validation!$A$4,Income[[Consortium partner*]:[Consortium partner*]],$A109)</f>
        <v>0</v>
      </c>
      <c r="C109" s="122">
        <f>(SUMIFS(Income[Total 2021-27 (£''000)],Income[[Project income type*]:[Project income type*]],Validation!$A$5,Income[[Consortium partner*]:[Consortium partner*]],$A109))+(SUMIFS(Income[Total 2021-27 (£''000)],Income[[Project income type*]:[Project income type*]],Validation!$A$6,Income[[Consortium partner*]:[Consortium partner*]],$A109))</f>
        <v>0</v>
      </c>
      <c r="D109" s="121">
        <f>(SUMIFS(Income[Total 2021-27 (£''000)],Income[[Project income type*]:[Project income type*]],Validation!$A$7,Income[[Consortium partner*]:[Consortium partner*]],$A109))+(SUMIFS(Income[Total 2021-27 (£''000)],Income[[Project income type*]:[Project income type*]],Validation!$A$8,Income[[Consortium partner*]:[Consortium partner*]],$A109))</f>
        <v>0</v>
      </c>
      <c r="E109" s="122">
        <f>SUMIFS(Income[Total 2021-27 (£''000)],Income[[Project income type*]:[Project income type*]],Validation!$A$9,Income[[Consortium partner*]:[Consortium partner*]],$A109)</f>
        <v>0</v>
      </c>
      <c r="F109" s="125">
        <f>SUMIFS(Income[Total 2021-27 (£''000)],Income[[Project income type*]:[Project income type*]],Validation!$A$10,Income[[Consortium partner*]:[Consortium partner*]],$A109)</f>
        <v>0</v>
      </c>
      <c r="G109" s="122">
        <f>(SUMIFS(Income[Total 2021-27 (£''000)],Income[[Project income type*]:[Project income type*]],Validation!$A$5,Income[[Consortium partner*]:[Consortium partner*]],$A109))+(SUMIFS(Income[Total 2021-27 (£''000)],Income[[Project income type*]:[Project income type*]],Validation!$A$7,Income[[Consortium partner*]:[Consortium partner*]],$A109))</f>
        <v>0</v>
      </c>
      <c r="H109" s="125">
        <f>(SUMIFS(Income[Total 2021-27 (£''000)],Income[[Project income type*]:[Project income type*]],Validation!$A$6,Income[[Consortium partner*]:[Consortium partner*]],$A109))+(SUMIFS(Income[Total 2021-27 (£''000)],Income[[Project income type*]:[Project income type*]],Validation!$A$8,Income[[Consortium partner*]:[Consortium partner*]],$A109))</f>
        <v>0</v>
      </c>
      <c r="I109" s="122">
        <f>SUM(SUMMARY_ConsortiumMembIncome[[#This Row],[Total leverage provided for state aid requirements]:[Total leverage provided additional to state aid requirements]])</f>
        <v>0</v>
      </c>
      <c r="J109" s="128">
        <f>SUM(SUMMARY_ConsortiumMembIncome[[#This Row],[UKRI SIPF funding]:[Other income]])</f>
        <v>0</v>
      </c>
      <c r="K109" s="134"/>
      <c r="L109" s="134">
        <f>SUMIFS(Income_SS[Steady State (£''000)],Income[[Consortium partner*]:[Consortium partner*]],$A109)</f>
        <v>0</v>
      </c>
    </row>
    <row r="110" spans="1:12" x14ac:dyDescent="0.25">
      <c r="A110" s="45">
        <f>'0. Project &amp; consortium'!B29</f>
        <v>0</v>
      </c>
      <c r="B110" s="122">
        <f>SUMIFS(Income[Total 2021-27 (£''000)],Income[[Project income type*]:[Project income type*]],Validation!$A$4,Income[[Consortium partner*]:[Consortium partner*]],$A110)</f>
        <v>0</v>
      </c>
      <c r="C110" s="122">
        <f>(SUMIFS(Income[Total 2021-27 (£''000)],Income[[Project income type*]:[Project income type*]],Validation!$A$5,Income[[Consortium partner*]:[Consortium partner*]],$A110))+(SUMIFS(Income[Total 2021-27 (£''000)],Income[[Project income type*]:[Project income type*]],Validation!$A$6,Income[[Consortium partner*]:[Consortium partner*]],$A110))</f>
        <v>0</v>
      </c>
      <c r="D110" s="121">
        <f>(SUMIFS(Income[Total 2021-27 (£''000)],Income[[Project income type*]:[Project income type*]],Validation!$A$7,Income[[Consortium partner*]:[Consortium partner*]],$A110))+(SUMIFS(Income[Total 2021-27 (£''000)],Income[[Project income type*]:[Project income type*]],Validation!$A$8,Income[[Consortium partner*]:[Consortium partner*]],$A110))</f>
        <v>0</v>
      </c>
      <c r="E110" s="122">
        <f>SUMIFS(Income[Total 2021-27 (£''000)],Income[[Project income type*]:[Project income type*]],Validation!$A$9,Income[[Consortium partner*]:[Consortium partner*]],$A110)</f>
        <v>0</v>
      </c>
      <c r="F110" s="125">
        <f>SUMIFS(Income[Total 2021-27 (£''000)],Income[[Project income type*]:[Project income type*]],Validation!$A$10,Income[[Consortium partner*]:[Consortium partner*]],$A110)</f>
        <v>0</v>
      </c>
      <c r="G110" s="122">
        <f>(SUMIFS(Income[Total 2021-27 (£''000)],Income[[Project income type*]:[Project income type*]],Validation!$A$5,Income[[Consortium partner*]:[Consortium partner*]],$A110))+(SUMIFS(Income[Total 2021-27 (£''000)],Income[[Project income type*]:[Project income type*]],Validation!$A$7,Income[[Consortium partner*]:[Consortium partner*]],$A110))</f>
        <v>0</v>
      </c>
      <c r="H110" s="125">
        <f>(SUMIFS(Income[Total 2021-27 (£''000)],Income[[Project income type*]:[Project income type*]],Validation!$A$6,Income[[Consortium partner*]:[Consortium partner*]],$A110))+(SUMIFS(Income[Total 2021-27 (£''000)],Income[[Project income type*]:[Project income type*]],Validation!$A$8,Income[[Consortium partner*]:[Consortium partner*]],$A110))</f>
        <v>0</v>
      </c>
      <c r="I110" s="122">
        <f>SUM(SUMMARY_ConsortiumMembIncome[[#This Row],[Total leverage provided for state aid requirements]:[Total leverage provided additional to state aid requirements]])</f>
        <v>0</v>
      </c>
      <c r="J110" s="128">
        <f>SUM(SUMMARY_ConsortiumMembIncome[[#This Row],[UKRI SIPF funding]:[Other income]])</f>
        <v>0</v>
      </c>
      <c r="K110" s="134"/>
      <c r="L110" s="136">
        <f>SUMIFS(Income_SS[Steady State (£''000)],Income[[Consortium partner*]:[Consortium partner*]],$A110)</f>
        <v>0</v>
      </c>
    </row>
    <row r="111" spans="1:12" x14ac:dyDescent="0.25">
      <c r="A111" s="45">
        <f>'0. Project &amp; consortium'!B30</f>
        <v>0</v>
      </c>
      <c r="B111" s="122">
        <f>SUMIFS(Income[Total 2021-27 (£''000)],Income[[Project income type*]:[Project income type*]],Validation!$A$4,Income[[Consortium partner*]:[Consortium partner*]],$A111)</f>
        <v>0</v>
      </c>
      <c r="C111" s="122">
        <f>(SUMIFS(Income[Total 2021-27 (£''000)],Income[[Project income type*]:[Project income type*]],Validation!$A$5,Income[[Consortium partner*]:[Consortium partner*]],$A111))+(SUMIFS(Income[Total 2021-27 (£''000)],Income[[Project income type*]:[Project income type*]],Validation!$A$6,Income[[Consortium partner*]:[Consortium partner*]],$A111))</f>
        <v>0</v>
      </c>
      <c r="D111" s="121">
        <f>(SUMIFS(Income[Total 2021-27 (£''000)],Income[[Project income type*]:[Project income type*]],Validation!$A$7,Income[[Consortium partner*]:[Consortium partner*]],$A111))+(SUMIFS(Income[Total 2021-27 (£''000)],Income[[Project income type*]:[Project income type*]],Validation!$A$8,Income[[Consortium partner*]:[Consortium partner*]],$A111))</f>
        <v>0</v>
      </c>
      <c r="E111" s="122">
        <f>SUMIFS(Income[Total 2021-27 (£''000)],Income[[Project income type*]:[Project income type*]],Validation!$A$9,Income[[Consortium partner*]:[Consortium partner*]],$A111)</f>
        <v>0</v>
      </c>
      <c r="F111" s="125">
        <f>SUMIFS(Income[Total 2021-27 (£''000)],Income[[Project income type*]:[Project income type*]],Validation!$A$10,Income[[Consortium partner*]:[Consortium partner*]],$A111)</f>
        <v>0</v>
      </c>
      <c r="G111" s="122">
        <f>(SUMIFS(Income[Total 2021-27 (£''000)],Income[[Project income type*]:[Project income type*]],Validation!$A$5,Income[[Consortium partner*]:[Consortium partner*]],$A111))+(SUMIFS(Income[Total 2021-27 (£''000)],Income[[Project income type*]:[Project income type*]],Validation!$A$7,Income[[Consortium partner*]:[Consortium partner*]],$A111))</f>
        <v>0</v>
      </c>
      <c r="H111" s="125">
        <f>(SUMIFS(Income[Total 2021-27 (£''000)],Income[[Project income type*]:[Project income type*]],Validation!$A$6,Income[[Consortium partner*]:[Consortium partner*]],$A111))+(SUMIFS(Income[Total 2021-27 (£''000)],Income[[Project income type*]:[Project income type*]],Validation!$A$8,Income[[Consortium partner*]:[Consortium partner*]],$A111))</f>
        <v>0</v>
      </c>
      <c r="I111" s="122">
        <f>SUM(SUMMARY_ConsortiumMembIncome[[#This Row],[Total leverage provided for state aid requirements]:[Total leverage provided additional to state aid requirements]])</f>
        <v>0</v>
      </c>
      <c r="J111" s="128">
        <f>SUM(SUMMARY_ConsortiumMembIncome[[#This Row],[UKRI SIPF funding]:[Other income]])</f>
        <v>0</v>
      </c>
      <c r="K111" s="134"/>
      <c r="L111" s="134">
        <f>SUMIFS(Income_SS[Steady State (£''000)],Income[[Consortium partner*]:[Consortium partner*]],$A111)</f>
        <v>0</v>
      </c>
    </row>
    <row r="112" spans="1:12" x14ac:dyDescent="0.25">
      <c r="A112" s="45">
        <f>'0. Project &amp; consortium'!B31</f>
        <v>0</v>
      </c>
      <c r="B112" s="122">
        <f>SUMIFS(Income[Total 2021-27 (£''000)],Income[[Project income type*]:[Project income type*]],Validation!$A$4,Income[[Consortium partner*]:[Consortium partner*]],$A112)</f>
        <v>0</v>
      </c>
      <c r="C112" s="122">
        <f>(SUMIFS(Income[Total 2021-27 (£''000)],Income[[Project income type*]:[Project income type*]],Validation!$A$5,Income[[Consortium partner*]:[Consortium partner*]],$A112))+(SUMIFS(Income[Total 2021-27 (£''000)],Income[[Project income type*]:[Project income type*]],Validation!$A$6,Income[[Consortium partner*]:[Consortium partner*]],$A112))</f>
        <v>0</v>
      </c>
      <c r="D112" s="121">
        <f>(SUMIFS(Income[Total 2021-27 (£''000)],Income[[Project income type*]:[Project income type*]],Validation!$A$7,Income[[Consortium partner*]:[Consortium partner*]],$A112))+(SUMIFS(Income[Total 2021-27 (£''000)],Income[[Project income type*]:[Project income type*]],Validation!$A$8,Income[[Consortium partner*]:[Consortium partner*]],$A112))</f>
        <v>0</v>
      </c>
      <c r="E112" s="122">
        <f>SUMIFS(Income[Total 2021-27 (£''000)],Income[[Project income type*]:[Project income type*]],Validation!$A$9,Income[[Consortium partner*]:[Consortium partner*]],$A112)</f>
        <v>0</v>
      </c>
      <c r="F112" s="125">
        <f>SUMIFS(Income[Total 2021-27 (£''000)],Income[[Project income type*]:[Project income type*]],Validation!$A$10,Income[[Consortium partner*]:[Consortium partner*]],$A112)</f>
        <v>0</v>
      </c>
      <c r="G112" s="122">
        <f>(SUMIFS(Income[Total 2021-27 (£''000)],Income[[Project income type*]:[Project income type*]],Validation!$A$5,Income[[Consortium partner*]:[Consortium partner*]],$A112))+(SUMIFS(Income[Total 2021-27 (£''000)],Income[[Project income type*]:[Project income type*]],Validation!$A$7,Income[[Consortium partner*]:[Consortium partner*]],$A112))</f>
        <v>0</v>
      </c>
      <c r="H112" s="125">
        <f>(SUMIFS(Income[Total 2021-27 (£''000)],Income[[Project income type*]:[Project income type*]],Validation!$A$6,Income[[Consortium partner*]:[Consortium partner*]],$A112))+(SUMIFS(Income[Total 2021-27 (£''000)],Income[[Project income type*]:[Project income type*]],Validation!$A$8,Income[[Consortium partner*]:[Consortium partner*]],$A112))</f>
        <v>0</v>
      </c>
      <c r="I112" s="122">
        <f>SUM(SUMMARY_ConsortiumMembIncome[[#This Row],[Total leverage provided for state aid requirements]:[Total leverage provided additional to state aid requirements]])</f>
        <v>0</v>
      </c>
      <c r="J112" s="128">
        <f>SUM(SUMMARY_ConsortiumMembIncome[[#This Row],[UKRI SIPF funding]:[Other income]])</f>
        <v>0</v>
      </c>
      <c r="K112" s="134"/>
      <c r="L112" s="134">
        <f>SUMIFS(Income_SS[Steady State (£''000)],Income[[Consortium partner*]:[Consortium partner*]],$A112)</f>
        <v>0</v>
      </c>
    </row>
    <row r="113" spans="1:12" x14ac:dyDescent="0.25">
      <c r="A113" s="45">
        <f>'0. Project &amp; consortium'!B32</f>
        <v>0</v>
      </c>
      <c r="B113" s="122">
        <f>SUMIFS(Income[Total 2021-27 (£''000)],Income[[Project income type*]:[Project income type*]],Validation!$A$4,Income[[Consortium partner*]:[Consortium partner*]],$A113)</f>
        <v>0</v>
      </c>
      <c r="C113" s="122">
        <f>(SUMIFS(Income[Total 2021-27 (£''000)],Income[[Project income type*]:[Project income type*]],Validation!$A$5,Income[[Consortium partner*]:[Consortium partner*]],$A113))+(SUMIFS(Income[Total 2021-27 (£''000)],Income[[Project income type*]:[Project income type*]],Validation!$A$6,Income[[Consortium partner*]:[Consortium partner*]],$A113))</f>
        <v>0</v>
      </c>
      <c r="D113" s="121">
        <f>(SUMIFS(Income[Total 2021-27 (£''000)],Income[[Project income type*]:[Project income type*]],Validation!$A$7,Income[[Consortium partner*]:[Consortium partner*]],$A113))+(SUMIFS(Income[Total 2021-27 (£''000)],Income[[Project income type*]:[Project income type*]],Validation!$A$8,Income[[Consortium partner*]:[Consortium partner*]],$A113))</f>
        <v>0</v>
      </c>
      <c r="E113" s="122">
        <f>SUMIFS(Income[Total 2021-27 (£''000)],Income[[Project income type*]:[Project income type*]],Validation!$A$9,Income[[Consortium partner*]:[Consortium partner*]],$A113)</f>
        <v>0</v>
      </c>
      <c r="F113" s="125">
        <f>SUMIFS(Income[Total 2021-27 (£''000)],Income[[Project income type*]:[Project income type*]],Validation!$A$10,Income[[Consortium partner*]:[Consortium partner*]],$A113)</f>
        <v>0</v>
      </c>
      <c r="G113" s="122">
        <f>(SUMIFS(Income[Total 2021-27 (£''000)],Income[[Project income type*]:[Project income type*]],Validation!$A$5,Income[[Consortium partner*]:[Consortium partner*]],$A113))+(SUMIFS(Income[Total 2021-27 (£''000)],Income[[Project income type*]:[Project income type*]],Validation!$A$7,Income[[Consortium partner*]:[Consortium partner*]],$A113))</f>
        <v>0</v>
      </c>
      <c r="H113" s="125">
        <f>(SUMIFS(Income[Total 2021-27 (£''000)],Income[[Project income type*]:[Project income type*]],Validation!$A$6,Income[[Consortium partner*]:[Consortium partner*]],$A113))+(SUMIFS(Income[Total 2021-27 (£''000)],Income[[Project income type*]:[Project income type*]],Validation!$A$8,Income[[Consortium partner*]:[Consortium partner*]],$A113))</f>
        <v>0</v>
      </c>
      <c r="I113" s="122">
        <f>SUM(SUMMARY_ConsortiumMembIncome[[#This Row],[Total leverage provided for state aid requirements]:[Total leverage provided additional to state aid requirements]])</f>
        <v>0</v>
      </c>
      <c r="J113" s="128">
        <f>SUM(SUMMARY_ConsortiumMembIncome[[#This Row],[UKRI SIPF funding]:[Other income]])</f>
        <v>0</v>
      </c>
      <c r="K113" s="134"/>
      <c r="L113" s="134">
        <f>SUMIFS(Income_SS[Steady State (£''000)],Income[[Consortium partner*]:[Consortium partner*]],$A113)</f>
        <v>0</v>
      </c>
    </row>
    <row r="114" spans="1:12" x14ac:dyDescent="0.25">
      <c r="A114" s="45">
        <f>'0. Project &amp; consortium'!B33</f>
        <v>0</v>
      </c>
      <c r="B114" s="122">
        <f>SUMIFS(Income[Total 2021-27 (£''000)],Income[[Project income type*]:[Project income type*]],Validation!$A$4,Income[[Consortium partner*]:[Consortium partner*]],$A114)</f>
        <v>0</v>
      </c>
      <c r="C114" s="122">
        <f>(SUMIFS(Income[Total 2021-27 (£''000)],Income[[Project income type*]:[Project income type*]],Validation!$A$5,Income[[Consortium partner*]:[Consortium partner*]],$A114))+(SUMIFS(Income[Total 2021-27 (£''000)],Income[[Project income type*]:[Project income type*]],Validation!$A$6,Income[[Consortium partner*]:[Consortium partner*]],$A114))</f>
        <v>0</v>
      </c>
      <c r="D114" s="121">
        <f>(SUMIFS(Income[Total 2021-27 (£''000)],Income[[Project income type*]:[Project income type*]],Validation!$A$7,Income[[Consortium partner*]:[Consortium partner*]],$A114))+(SUMIFS(Income[Total 2021-27 (£''000)],Income[[Project income type*]:[Project income type*]],Validation!$A$8,Income[[Consortium partner*]:[Consortium partner*]],$A114))</f>
        <v>0</v>
      </c>
      <c r="E114" s="122">
        <f>SUMIFS(Income[Total 2021-27 (£''000)],Income[[Project income type*]:[Project income type*]],Validation!$A$9,Income[[Consortium partner*]:[Consortium partner*]],$A114)</f>
        <v>0</v>
      </c>
      <c r="F114" s="125">
        <f>SUMIFS(Income[Total 2021-27 (£''000)],Income[[Project income type*]:[Project income type*]],Validation!$A$10,Income[[Consortium partner*]:[Consortium partner*]],$A114)</f>
        <v>0</v>
      </c>
      <c r="G114" s="122">
        <f>(SUMIFS(Income[Total 2021-27 (£''000)],Income[[Project income type*]:[Project income type*]],Validation!$A$5,Income[[Consortium partner*]:[Consortium partner*]],$A114))+(SUMIFS(Income[Total 2021-27 (£''000)],Income[[Project income type*]:[Project income type*]],Validation!$A$7,Income[[Consortium partner*]:[Consortium partner*]],$A114))</f>
        <v>0</v>
      </c>
      <c r="H114" s="125">
        <f>(SUMIFS(Income[Total 2021-27 (£''000)],Income[[Project income type*]:[Project income type*]],Validation!$A$6,Income[[Consortium partner*]:[Consortium partner*]],$A114))+(SUMIFS(Income[Total 2021-27 (£''000)],Income[[Project income type*]:[Project income type*]],Validation!$A$8,Income[[Consortium partner*]:[Consortium partner*]],$A114))</f>
        <v>0</v>
      </c>
      <c r="I114" s="122">
        <f>SUM(SUMMARY_ConsortiumMembIncome[[#This Row],[Total leverage provided for state aid requirements]:[Total leverage provided additional to state aid requirements]])</f>
        <v>0</v>
      </c>
      <c r="J114" s="128">
        <f>SUM(SUMMARY_ConsortiumMembIncome[[#This Row],[UKRI SIPF funding]:[Other income]])</f>
        <v>0</v>
      </c>
      <c r="K114" s="134"/>
      <c r="L114" s="134">
        <f>SUMIFS(Income_SS[Steady State (£''000)],Income[[Consortium partner*]:[Consortium partner*]],$A114)</f>
        <v>0</v>
      </c>
    </row>
    <row r="115" spans="1:12" x14ac:dyDescent="0.25">
      <c r="A115" s="45">
        <f>'0. Project &amp; consortium'!B34</f>
        <v>0</v>
      </c>
      <c r="B115" s="122">
        <f>SUMIFS(Income[Total 2021-27 (£''000)],Income[[Project income type*]:[Project income type*]],Validation!$A$4,Income[[Consortium partner*]:[Consortium partner*]],$A115)</f>
        <v>0</v>
      </c>
      <c r="C115" s="122">
        <f>(SUMIFS(Income[Total 2021-27 (£''000)],Income[[Project income type*]:[Project income type*]],Validation!$A$5,Income[[Consortium partner*]:[Consortium partner*]],$A115))+(SUMIFS(Income[Total 2021-27 (£''000)],Income[[Project income type*]:[Project income type*]],Validation!$A$6,Income[[Consortium partner*]:[Consortium partner*]],$A115))</f>
        <v>0</v>
      </c>
      <c r="D115" s="121">
        <f>(SUMIFS(Income[Total 2021-27 (£''000)],Income[[Project income type*]:[Project income type*]],Validation!$A$7,Income[[Consortium partner*]:[Consortium partner*]],$A115))+(SUMIFS(Income[Total 2021-27 (£''000)],Income[[Project income type*]:[Project income type*]],Validation!$A$8,Income[[Consortium partner*]:[Consortium partner*]],$A115))</f>
        <v>0</v>
      </c>
      <c r="E115" s="122">
        <f>SUMIFS(Income[Total 2021-27 (£''000)],Income[[Project income type*]:[Project income type*]],Validation!$A$9,Income[[Consortium partner*]:[Consortium partner*]],$A115)</f>
        <v>0</v>
      </c>
      <c r="F115" s="125">
        <f>SUMIFS(Income[Total 2021-27 (£''000)],Income[[Project income type*]:[Project income type*]],Validation!$A$10,Income[[Consortium partner*]:[Consortium partner*]],$A115)</f>
        <v>0</v>
      </c>
      <c r="G115" s="122">
        <f>(SUMIFS(Income[Total 2021-27 (£''000)],Income[[Project income type*]:[Project income type*]],Validation!$A$5,Income[[Consortium partner*]:[Consortium partner*]],$A115))+(SUMIFS(Income[Total 2021-27 (£''000)],Income[[Project income type*]:[Project income type*]],Validation!$A$7,Income[[Consortium partner*]:[Consortium partner*]],$A115))</f>
        <v>0</v>
      </c>
      <c r="H115" s="125">
        <f>(SUMIFS(Income[Total 2021-27 (£''000)],Income[[Project income type*]:[Project income type*]],Validation!$A$6,Income[[Consortium partner*]:[Consortium partner*]],$A115))+(SUMIFS(Income[Total 2021-27 (£''000)],Income[[Project income type*]:[Project income type*]],Validation!$A$8,Income[[Consortium partner*]:[Consortium partner*]],$A115))</f>
        <v>0</v>
      </c>
      <c r="I115" s="122">
        <f>SUM(SUMMARY_ConsortiumMembIncome[[#This Row],[Total leverage provided for state aid requirements]:[Total leverage provided additional to state aid requirements]])</f>
        <v>0</v>
      </c>
      <c r="J115" s="128">
        <f>SUM(SUMMARY_ConsortiumMembIncome[[#This Row],[UKRI SIPF funding]:[Other income]])</f>
        <v>0</v>
      </c>
      <c r="K115" s="134"/>
      <c r="L115" s="134">
        <f>SUMIFS(Income_SS[Steady State (£''000)],Income[[Consortium partner*]:[Consortium partner*]],$A115)</f>
        <v>0</v>
      </c>
    </row>
    <row r="116" spans="1:12" x14ac:dyDescent="0.25">
      <c r="A116" s="45">
        <f>'0. Project &amp; consortium'!B35</f>
        <v>0</v>
      </c>
      <c r="B116" s="122">
        <f>SUMIFS(Income[Total 2021-27 (£''000)],Income[[Project income type*]:[Project income type*]],Validation!$A$4,Income[[Consortium partner*]:[Consortium partner*]],$A116)</f>
        <v>0</v>
      </c>
      <c r="C116" s="122">
        <f>(SUMIFS(Income[Total 2021-27 (£''000)],Income[[Project income type*]:[Project income type*]],Validation!$A$5,Income[[Consortium partner*]:[Consortium partner*]],$A116))+(SUMIFS(Income[Total 2021-27 (£''000)],Income[[Project income type*]:[Project income type*]],Validation!$A$6,Income[[Consortium partner*]:[Consortium partner*]],$A116))</f>
        <v>0</v>
      </c>
      <c r="D116" s="121">
        <f>(SUMIFS(Income[Total 2021-27 (£''000)],Income[[Project income type*]:[Project income type*]],Validation!$A$7,Income[[Consortium partner*]:[Consortium partner*]],$A116))+(SUMIFS(Income[Total 2021-27 (£''000)],Income[[Project income type*]:[Project income type*]],Validation!$A$8,Income[[Consortium partner*]:[Consortium partner*]],$A116))</f>
        <v>0</v>
      </c>
      <c r="E116" s="122">
        <f>SUMIFS(Income[Total 2021-27 (£''000)],Income[[Project income type*]:[Project income type*]],Validation!$A$9,Income[[Consortium partner*]:[Consortium partner*]],$A116)</f>
        <v>0</v>
      </c>
      <c r="F116" s="125">
        <f>SUMIFS(Income[Total 2021-27 (£''000)],Income[[Project income type*]:[Project income type*]],Validation!$A$10,Income[[Consortium partner*]:[Consortium partner*]],$A116)</f>
        <v>0</v>
      </c>
      <c r="G116" s="122">
        <f>(SUMIFS(Income[Total 2021-27 (£''000)],Income[[Project income type*]:[Project income type*]],Validation!$A$5,Income[[Consortium partner*]:[Consortium partner*]],$A116))+(SUMIFS(Income[Total 2021-27 (£''000)],Income[[Project income type*]:[Project income type*]],Validation!$A$7,Income[[Consortium partner*]:[Consortium partner*]],$A116))</f>
        <v>0</v>
      </c>
      <c r="H116" s="125">
        <f>(SUMIFS(Income[Total 2021-27 (£''000)],Income[[Project income type*]:[Project income type*]],Validation!$A$6,Income[[Consortium partner*]:[Consortium partner*]],$A116))+(SUMIFS(Income[Total 2021-27 (£''000)],Income[[Project income type*]:[Project income type*]],Validation!$A$8,Income[[Consortium partner*]:[Consortium partner*]],$A116))</f>
        <v>0</v>
      </c>
      <c r="I116" s="122">
        <f>SUM(SUMMARY_ConsortiumMembIncome[[#This Row],[Total leverage provided for state aid requirements]:[Total leverage provided additional to state aid requirements]])</f>
        <v>0</v>
      </c>
      <c r="J116" s="128">
        <f>SUM(SUMMARY_ConsortiumMembIncome[[#This Row],[UKRI SIPF funding]:[Other income]])</f>
        <v>0</v>
      </c>
      <c r="K116" s="134"/>
      <c r="L116" s="134">
        <f>SUMIFS(Income_SS[Steady State (£''000)],Income[[Consortium partner*]:[Consortium partner*]],$A116)</f>
        <v>0</v>
      </c>
    </row>
    <row r="117" spans="1:12" x14ac:dyDescent="0.25">
      <c r="A117" s="45">
        <f>'0. Project &amp; consortium'!B36</f>
        <v>0</v>
      </c>
      <c r="B117" s="122">
        <f>SUMIFS(Income[Total 2021-27 (£''000)],Income[[Project income type*]:[Project income type*]],Validation!$A$4,Income[[Consortium partner*]:[Consortium partner*]],$A117)</f>
        <v>0</v>
      </c>
      <c r="C117" s="122">
        <f>(SUMIFS(Income[Total 2021-27 (£''000)],Income[[Project income type*]:[Project income type*]],Validation!$A$5,Income[[Consortium partner*]:[Consortium partner*]],$A117))+(SUMIFS(Income[Total 2021-27 (£''000)],Income[[Project income type*]:[Project income type*]],Validation!$A$6,Income[[Consortium partner*]:[Consortium partner*]],$A117))</f>
        <v>0</v>
      </c>
      <c r="D117" s="121">
        <f>(SUMIFS(Income[Total 2021-27 (£''000)],Income[[Project income type*]:[Project income type*]],Validation!$A$7,Income[[Consortium partner*]:[Consortium partner*]],$A117))+(SUMIFS(Income[Total 2021-27 (£''000)],Income[[Project income type*]:[Project income type*]],Validation!$A$8,Income[[Consortium partner*]:[Consortium partner*]],$A117))</f>
        <v>0</v>
      </c>
      <c r="E117" s="122">
        <f>SUMIFS(Income[Total 2021-27 (£''000)],Income[[Project income type*]:[Project income type*]],Validation!$A$9,Income[[Consortium partner*]:[Consortium partner*]],$A117)</f>
        <v>0</v>
      </c>
      <c r="F117" s="125">
        <f>SUMIFS(Income[Total 2021-27 (£''000)],Income[[Project income type*]:[Project income type*]],Validation!$A$10,Income[[Consortium partner*]:[Consortium partner*]],$A117)</f>
        <v>0</v>
      </c>
      <c r="G117" s="122">
        <f>(SUMIFS(Income[Total 2021-27 (£''000)],Income[[Project income type*]:[Project income type*]],Validation!$A$5,Income[[Consortium partner*]:[Consortium partner*]],$A117))+(SUMIFS(Income[Total 2021-27 (£''000)],Income[[Project income type*]:[Project income type*]],Validation!$A$7,Income[[Consortium partner*]:[Consortium partner*]],$A117))</f>
        <v>0</v>
      </c>
      <c r="H117" s="125">
        <f>(SUMIFS(Income[Total 2021-27 (£''000)],Income[[Project income type*]:[Project income type*]],Validation!$A$6,Income[[Consortium partner*]:[Consortium partner*]],$A117))+(SUMIFS(Income[Total 2021-27 (£''000)],Income[[Project income type*]:[Project income type*]],Validation!$A$8,Income[[Consortium partner*]:[Consortium partner*]],$A117))</f>
        <v>0</v>
      </c>
      <c r="I117" s="122">
        <f>SUM(SUMMARY_ConsortiumMembIncome[[#This Row],[Total leverage provided for state aid requirements]:[Total leverage provided additional to state aid requirements]])</f>
        <v>0</v>
      </c>
      <c r="J117" s="128">
        <f>SUM(SUMMARY_ConsortiumMembIncome[[#This Row],[UKRI SIPF funding]:[Other income]])</f>
        <v>0</v>
      </c>
      <c r="K117" s="134"/>
      <c r="L117" s="134">
        <f>SUMIFS(Income_SS[Steady State (£''000)],Income[[Consortium partner*]:[Consortium partner*]],$A117)</f>
        <v>0</v>
      </c>
    </row>
    <row r="118" spans="1:12" x14ac:dyDescent="0.25">
      <c r="A118" s="67" t="s">
        <v>1</v>
      </c>
      <c r="B118" s="128">
        <f>SUBTOTAL(109,SUMMARY_ConsortiumMembIncome[UKRI SIPF funding])</f>
        <v>0</v>
      </c>
      <c r="C118" s="128">
        <f>SUBTOTAL(109,SUMMARY_ConsortiumMembIncome[Cash Leverage])</f>
        <v>0</v>
      </c>
      <c r="D118" s="137">
        <f>SUBTOTAL(109,SUMMARY_ConsortiumMembIncome[In-kind Leverage])</f>
        <v>0</v>
      </c>
      <c r="E118" s="128">
        <f>SUBTOTAL(109,SUMMARY_ConsortiumMembIncome[Generated income])</f>
        <v>0</v>
      </c>
      <c r="F118" s="138">
        <f>SUBTOTAL(109,SUMMARY_ConsortiumMembIncome[Other income])</f>
        <v>0</v>
      </c>
      <c r="G118" s="128">
        <f>SUBTOTAL(109,SUMMARY_ConsortiumMembIncome[Total leverage provided for state aid requirements])</f>
        <v>0</v>
      </c>
      <c r="H118" s="138">
        <f>SUBTOTAL(109,SUMMARY_ConsortiumMembIncome[Total leverage provided additional to state aid requirements])</f>
        <v>0</v>
      </c>
      <c r="I118" s="128">
        <f>SUBTOTAL(109,SUMMARY_ConsortiumMembIncome[Total leverage from organisation])</f>
        <v>0</v>
      </c>
      <c r="J118" s="128">
        <f>SUBTOTAL(109,SUMMARY_ConsortiumMembIncome[Total project income for organisation])</f>
        <v>0</v>
      </c>
      <c r="K118" s="134"/>
      <c r="L118" s="134">
        <f>SUBTOTAL(109,SUMMARY_ConsortiumMembIncomeSS[Steady State (£''000)])</f>
        <v>0</v>
      </c>
    </row>
    <row r="121" spans="1:12" ht="13.8" x14ac:dyDescent="0.25">
      <c r="A121" s="69" t="s">
        <v>125</v>
      </c>
      <c r="B121" s="38"/>
      <c r="C121" s="19"/>
      <c r="D121" s="19"/>
      <c r="E121" s="19"/>
      <c r="F121" s="19"/>
      <c r="G121" s="19"/>
      <c r="H121" s="19"/>
      <c r="I121" s="19"/>
    </row>
    <row r="122" spans="1:12" x14ac:dyDescent="0.25">
      <c r="C122"/>
      <c r="D122"/>
      <c r="E122"/>
      <c r="F122"/>
      <c r="G122"/>
    </row>
    <row r="123" spans="1:12" ht="39.6" x14ac:dyDescent="0.25">
      <c r="A123" s="66" t="s">
        <v>126</v>
      </c>
      <c r="B123" s="16" t="s">
        <v>202</v>
      </c>
      <c r="C123" s="86" t="s">
        <v>203</v>
      </c>
      <c r="D123" s="86" t="s">
        <v>204</v>
      </c>
      <c r="E123" s="67" t="s">
        <v>139</v>
      </c>
      <c r="G123" s="86" t="s">
        <v>93</v>
      </c>
    </row>
    <row r="124" spans="1:12" x14ac:dyDescent="0.25">
      <c r="A124" s="64" t="str">
        <f>'0. Project &amp; consortium'!B17</f>
        <v>E.g. ABC Ltd or University X</v>
      </c>
      <c r="B124" s="120">
        <f>SUMIFS(Staff_Costs[Total 2021-27 (£''000)],Staff_Costs[Consortium member*],$A124)</f>
        <v>0</v>
      </c>
      <c r="C124" s="120">
        <f>SUMIFS(NonStaff_Op_Costs[Total 2021-27 (£''000)],NonStaff_Op_Costs[Consortium member*],$A124)</f>
        <v>0</v>
      </c>
      <c r="D124" s="120">
        <f>SUMIFS(Capital_Costs[Total 2021-27 (£''000)],Capital_Costs[Consortium member*],$A124)</f>
        <v>0</v>
      </c>
      <c r="E124" s="122">
        <f>SUM(SUMMARY_ConsortiumMembCosts[[#This Row],[Staff costs]:[Capital costs]])</f>
        <v>0</v>
      </c>
      <c r="G124" s="134">
        <f>(SUMIFS(Staff_Costs_SS[Steady State (£''000)],Staff_Costs[Consortium member*],$A124))+(SUMIFS(NonStaff_Op_Costs_SS[Steady State (£''000)],NonStaff_Op_Costs[Consortium member*],$A124))</f>
        <v>0</v>
      </c>
    </row>
    <row r="125" spans="1:12" x14ac:dyDescent="0.25">
      <c r="A125" s="45" t="str">
        <f>'0. Project &amp; consortium'!B18</f>
        <v>Enter</v>
      </c>
      <c r="B125" s="121">
        <f>SUMIFS(Staff_Costs[Total 2021-27 (£''000)],Staff_Costs[Consortium member*],$A125)</f>
        <v>0</v>
      </c>
      <c r="C125" s="121">
        <f>SUMIFS(NonStaff_Op_Costs[Total 2021-27 (£''000)],NonStaff_Op_Costs[Consortium member*],$A125)</f>
        <v>0</v>
      </c>
      <c r="D125" s="121">
        <f>SUMIFS(Capital_Costs[Total 2021-27 (£''000)],Capital_Costs[Consortium member*],$A125)</f>
        <v>0</v>
      </c>
      <c r="E125" s="122">
        <f>SUM(SUMMARY_ConsortiumMembCosts[[#This Row],[Staff costs]:[Capital costs]])</f>
        <v>0</v>
      </c>
      <c r="G125" s="134">
        <f>(SUMIFS(Staff_Costs_SS[Steady State (£''000)],Staff_Costs[Consortium member*],$A125))+(SUMIFS(NonStaff_Op_Costs_SS[Steady State (£''000)],NonStaff_Op_Costs[Consortium member*],$A125))</f>
        <v>0</v>
      </c>
    </row>
    <row r="126" spans="1:12" x14ac:dyDescent="0.25">
      <c r="A126" s="45" t="str">
        <f>'0. Project &amp; consortium'!B19</f>
        <v>information</v>
      </c>
      <c r="B126" s="121">
        <f>SUMIFS(Staff_Costs[Total 2021-27 (£''000)],Staff_Costs[Consortium member*],$A126)</f>
        <v>0</v>
      </c>
      <c r="C126" s="121">
        <f>SUMIFS(NonStaff_Op_Costs[Total 2021-27 (£''000)],NonStaff_Op_Costs[Consortium member*],$A126)</f>
        <v>0</v>
      </c>
      <c r="D126" s="121">
        <f>SUMIFS(Capital_Costs[Total 2021-27 (£''000)],Capital_Costs[Consortium member*],$A126)</f>
        <v>0</v>
      </c>
      <c r="E126" s="122">
        <f>SUM(SUMMARY_ConsortiumMembCosts[[#This Row],[Staff costs]:[Capital costs]])</f>
        <v>0</v>
      </c>
      <c r="G126" s="134">
        <f>(SUMIFS(Staff_Costs_SS[Steady State (£''000)],Staff_Costs[Consortium member*],$A126))+(SUMIFS(NonStaff_Op_Costs_SS[Steady State (£''000)],NonStaff_Op_Costs[Consortium member*],$A126))</f>
        <v>0</v>
      </c>
    </row>
    <row r="127" spans="1:12" x14ac:dyDescent="0.25">
      <c r="A127" s="45" t="str">
        <f>'0. Project &amp; consortium'!B20</f>
        <v>in tab 0</v>
      </c>
      <c r="B127" s="121">
        <f>SUMIFS(Staff_Costs[Total 2021-27 (£''000)],Staff_Costs[Consortium member*],$A127)</f>
        <v>0</v>
      </c>
      <c r="C127" s="121">
        <f>SUMIFS(NonStaff_Op_Costs[Total 2021-27 (£''000)],NonStaff_Op_Costs[Consortium member*],$A127)</f>
        <v>0</v>
      </c>
      <c r="D127" s="121">
        <f>SUMIFS(Capital_Costs[Total 2021-27 (£''000)],Capital_Costs[Consortium member*],$A127)</f>
        <v>0</v>
      </c>
      <c r="E127" s="122">
        <f>SUM(SUMMARY_ConsortiumMembCosts[[#This Row],[Staff costs]:[Capital costs]])</f>
        <v>0</v>
      </c>
      <c r="G127" s="134">
        <f>(SUMIFS(Staff_Costs_SS[Steady State (£''000)],Staff_Costs[Consortium member*],$A127))+(SUMIFS(NonStaff_Op_Costs_SS[Steady State (£''000)],NonStaff_Op_Costs[Consortium member*],$A127))</f>
        <v>0</v>
      </c>
    </row>
    <row r="128" spans="1:12" x14ac:dyDescent="0.25">
      <c r="A128" s="45" t="str">
        <f>'0. Project &amp; consortium'!B21</f>
        <v>to populate</v>
      </c>
      <c r="B128" s="121">
        <f>SUMIFS(Staff_Costs[Total 2021-27 (£''000)],Staff_Costs[Consortium member*],$A128)</f>
        <v>0</v>
      </c>
      <c r="C128" s="121">
        <f>SUMIFS(NonStaff_Op_Costs[Total 2021-27 (£''000)],NonStaff_Op_Costs[Consortium member*],$A128)</f>
        <v>0</v>
      </c>
      <c r="D128" s="121">
        <f>SUMIFS(Capital_Costs[Total 2021-27 (£''000)],Capital_Costs[Consortium member*],$A128)</f>
        <v>0</v>
      </c>
      <c r="E128" s="122">
        <f>SUM(SUMMARY_ConsortiumMembCosts[[#This Row],[Staff costs]:[Capital costs]])</f>
        <v>0</v>
      </c>
      <c r="G128" s="134">
        <f>(SUMIFS(Staff_Costs_SS[Steady State (£''000)],Staff_Costs[Consortium member*],$A128))+(SUMIFS(NonStaff_Op_Costs_SS[Steady State (£''000)],NonStaff_Op_Costs[Consortium member*],$A128))</f>
        <v>0</v>
      </c>
    </row>
    <row r="129" spans="1:7" x14ac:dyDescent="0.25">
      <c r="A129" s="45" t="str">
        <f>'0. Project &amp; consortium'!B22</f>
        <v>this</v>
      </c>
      <c r="B129" s="121">
        <f>SUMIFS(Staff_Costs[Total 2021-27 (£''000)],Staff_Costs[Consortium member*],$A129)</f>
        <v>0</v>
      </c>
      <c r="C129" s="121">
        <f>SUMIFS(NonStaff_Op_Costs[Total 2021-27 (£''000)],NonStaff_Op_Costs[Consortium member*],$A129)</f>
        <v>0</v>
      </c>
      <c r="D129" s="121">
        <f>SUMIFS(Capital_Costs[Total 2021-27 (£''000)],Capital_Costs[Consortium member*],$A129)</f>
        <v>0</v>
      </c>
      <c r="E129" s="122">
        <f>SUM(SUMMARY_ConsortiumMembCosts[[#This Row],[Staff costs]:[Capital costs]])</f>
        <v>0</v>
      </c>
      <c r="G129" s="134">
        <f>(SUMIFS(Staff_Costs_SS[Steady State (£''000)],Staff_Costs[Consortium member*],$A129))+(SUMIFS(NonStaff_Op_Costs_SS[Steady State (£''000)],NonStaff_Op_Costs[Consortium member*],$A129))</f>
        <v>0</v>
      </c>
    </row>
    <row r="130" spans="1:7" x14ac:dyDescent="0.25">
      <c r="A130" s="45" t="str">
        <f>'0. Project &amp; consortium'!B23</f>
        <v>list</v>
      </c>
      <c r="B130" s="121">
        <f>SUMIFS(Staff_Costs[Total 2021-27 (£''000)],Staff_Costs[Consortium member*],$A130)</f>
        <v>0</v>
      </c>
      <c r="C130" s="121">
        <f>SUMIFS(NonStaff_Op_Costs[Total 2021-27 (£''000)],NonStaff_Op_Costs[Consortium member*],$A130)</f>
        <v>0</v>
      </c>
      <c r="D130" s="121">
        <f>SUMIFS(Capital_Costs[Total 2021-27 (£''000)],Capital_Costs[Consortium member*],$A130)</f>
        <v>0</v>
      </c>
      <c r="E130" s="122">
        <f>SUM(SUMMARY_ConsortiumMembCosts[[#This Row],[Staff costs]:[Capital costs]])</f>
        <v>0</v>
      </c>
      <c r="G130" s="134">
        <f>(SUMIFS(Staff_Costs_SS[Steady State (£''000)],Staff_Costs[Consortium member*],$A130))+(SUMIFS(NonStaff_Op_Costs_SS[Steady State (£''000)],NonStaff_Op_Costs[Consortium member*],$A130))</f>
        <v>0</v>
      </c>
    </row>
    <row r="131" spans="1:7" x14ac:dyDescent="0.25">
      <c r="A131" s="45">
        <f>'0. Project &amp; consortium'!B24</f>
        <v>0</v>
      </c>
      <c r="B131" s="122">
        <f>SUMIFS(Staff_Costs[Total 2021-27 (£''000)],Staff_Costs[Consortium member*],$A131)</f>
        <v>0</v>
      </c>
      <c r="C131" s="122">
        <f>SUMIFS(NonStaff_Op_Costs[Total 2021-27 (£''000)],NonStaff_Op_Costs[Consortium member*],$A131)</f>
        <v>0</v>
      </c>
      <c r="D131" s="122">
        <f>SUMIFS(Capital_Costs[Total 2021-27 (£''000)],Capital_Costs[Consortium member*],$A131)</f>
        <v>0</v>
      </c>
      <c r="E131" s="122">
        <f>SUM(SUMMARY_ConsortiumMembCosts[[#This Row],[Staff costs]:[Capital costs]])</f>
        <v>0</v>
      </c>
      <c r="G131" s="134">
        <f>(SUMIFS(Staff_Costs_SS[Steady State (£''000)],Staff_Costs[Consortium member*],$A131))+(SUMIFS(NonStaff_Op_Costs_SS[Steady State (£''000)],NonStaff_Op_Costs[Consortium member*],$A131))</f>
        <v>0</v>
      </c>
    </row>
    <row r="132" spans="1:7" x14ac:dyDescent="0.25">
      <c r="A132" s="45">
        <f>'0. Project &amp; consortium'!B25</f>
        <v>0</v>
      </c>
      <c r="B132" s="122">
        <f>SUMIFS(Staff_Costs[Total 2021-27 (£''000)],Staff_Costs[Consortium member*],$A132)</f>
        <v>0</v>
      </c>
      <c r="C132" s="122">
        <f>SUMIFS(NonStaff_Op_Costs[Total 2021-27 (£''000)],NonStaff_Op_Costs[Consortium member*],$A132)</f>
        <v>0</v>
      </c>
      <c r="D132" s="122">
        <f>SUMIFS(Capital_Costs[Total 2021-27 (£''000)],Capital_Costs[Consortium member*],$A132)</f>
        <v>0</v>
      </c>
      <c r="E132" s="122">
        <f>SUM(SUMMARY_ConsortiumMembCosts[[#This Row],[Staff costs]:[Capital costs]])</f>
        <v>0</v>
      </c>
      <c r="G132" s="134">
        <f>(SUMIFS(Staff_Costs_SS[Steady State (£''000)],Staff_Costs[Consortium member*],$A132))+(SUMIFS(NonStaff_Op_Costs_SS[Steady State (£''000)],NonStaff_Op_Costs[Consortium member*],$A132))</f>
        <v>0</v>
      </c>
    </row>
    <row r="133" spans="1:7" x14ac:dyDescent="0.25">
      <c r="A133" s="45">
        <f>'0. Project &amp; consortium'!B26</f>
        <v>0</v>
      </c>
      <c r="B133" s="122">
        <f>SUMIFS(Staff_Costs[Total 2021-27 (£''000)],Staff_Costs[Consortium member*],$A133)</f>
        <v>0</v>
      </c>
      <c r="C133" s="122">
        <f>SUMIFS(NonStaff_Op_Costs[Total 2021-27 (£''000)],NonStaff_Op_Costs[Consortium member*],$A133)</f>
        <v>0</v>
      </c>
      <c r="D133" s="122">
        <f>SUMIFS(Capital_Costs[Total 2021-27 (£''000)],Capital_Costs[Consortium member*],$A133)</f>
        <v>0</v>
      </c>
      <c r="E133" s="122">
        <f>SUM(SUMMARY_ConsortiumMembCosts[[#This Row],[Staff costs]:[Capital costs]])</f>
        <v>0</v>
      </c>
      <c r="G133" s="134">
        <f>(SUMIFS(Staff_Costs_SS[Steady State (£''000)],Staff_Costs[Consortium member*],$A133))+(SUMIFS(NonStaff_Op_Costs_SS[Steady State (£''000)],NonStaff_Op_Costs[Consortium member*],$A133))</f>
        <v>0</v>
      </c>
    </row>
    <row r="134" spans="1:7" x14ac:dyDescent="0.25">
      <c r="A134" s="45">
        <f>'0. Project &amp; consortium'!B27</f>
        <v>0</v>
      </c>
      <c r="B134" s="122">
        <f>SUMIFS(Staff_Costs[Total 2021-27 (£''000)],Staff_Costs[Consortium member*],$A134)</f>
        <v>0</v>
      </c>
      <c r="C134" s="122">
        <f>SUMIFS(NonStaff_Op_Costs[Total 2021-27 (£''000)],NonStaff_Op_Costs[Consortium member*],$A134)</f>
        <v>0</v>
      </c>
      <c r="D134" s="122">
        <f>SUMIFS(Capital_Costs[Total 2021-27 (£''000)],Capital_Costs[Consortium member*],$A134)</f>
        <v>0</v>
      </c>
      <c r="E134" s="122">
        <f>SUM(SUMMARY_ConsortiumMembCosts[[#This Row],[Staff costs]:[Capital costs]])</f>
        <v>0</v>
      </c>
      <c r="G134" s="134">
        <f>(SUMIFS(Staff_Costs_SS[Steady State (£''000)],Staff_Costs[Consortium member*],$A134))+(SUMIFS(NonStaff_Op_Costs_SS[Steady State (£''000)],NonStaff_Op_Costs[Consortium member*],$A134))</f>
        <v>0</v>
      </c>
    </row>
    <row r="135" spans="1:7" x14ac:dyDescent="0.25">
      <c r="A135" s="45">
        <f>'0. Project &amp; consortium'!B28</f>
        <v>0</v>
      </c>
      <c r="B135" s="122">
        <f>SUMIFS(Staff_Costs[Total 2021-27 (£''000)],Staff_Costs[Consortium member*],$A135)</f>
        <v>0</v>
      </c>
      <c r="C135" s="122">
        <f>SUMIFS(NonStaff_Op_Costs[Total 2021-27 (£''000)],NonStaff_Op_Costs[Consortium member*],$A135)</f>
        <v>0</v>
      </c>
      <c r="D135" s="122">
        <f>SUMIFS(Capital_Costs[Total 2021-27 (£''000)],Capital_Costs[Consortium member*],$A135)</f>
        <v>0</v>
      </c>
      <c r="E135" s="122">
        <f>SUM(SUMMARY_ConsortiumMembCosts[[#This Row],[Staff costs]:[Capital costs]])</f>
        <v>0</v>
      </c>
      <c r="G135" s="134">
        <f>(SUMIFS(Staff_Costs_SS[Steady State (£''000)],Staff_Costs[Consortium member*],$A135))+(SUMIFS(NonStaff_Op_Costs_SS[Steady State (£''000)],NonStaff_Op_Costs[Consortium member*],$A135))</f>
        <v>0</v>
      </c>
    </row>
    <row r="136" spans="1:7" x14ac:dyDescent="0.25">
      <c r="A136" s="45">
        <f>'0. Project &amp; consortium'!B29</f>
        <v>0</v>
      </c>
      <c r="B136" s="122">
        <f>SUMIFS(Staff_Costs[Total 2021-27 (£''000)],Staff_Costs[Consortium member*],$A136)</f>
        <v>0</v>
      </c>
      <c r="C136" s="122">
        <f>SUMIFS(NonStaff_Op_Costs[Total 2021-27 (£''000)],NonStaff_Op_Costs[Consortium member*],$A136)</f>
        <v>0</v>
      </c>
      <c r="D136" s="122">
        <f>SUMIFS(Capital_Costs[Total 2021-27 (£''000)],Capital_Costs[Consortium member*],$A136)</f>
        <v>0</v>
      </c>
      <c r="E136" s="122">
        <f>SUM(SUMMARY_ConsortiumMembCosts[[#This Row],[Staff costs]:[Capital costs]])</f>
        <v>0</v>
      </c>
      <c r="G136" s="134">
        <f>(SUMIFS(Staff_Costs_SS[Steady State (£''000)],Staff_Costs[Consortium member*],$A136))+(SUMIFS(NonStaff_Op_Costs_SS[Steady State (£''000)],NonStaff_Op_Costs[Consortium member*],$A136))</f>
        <v>0</v>
      </c>
    </row>
    <row r="137" spans="1:7" x14ac:dyDescent="0.25">
      <c r="A137" s="45">
        <f>'0. Project &amp; consortium'!B30</f>
        <v>0</v>
      </c>
      <c r="B137" s="122">
        <f>SUMIFS(Staff_Costs[Total 2021-27 (£''000)],Staff_Costs[Consortium member*],$A137)</f>
        <v>0</v>
      </c>
      <c r="C137" s="122">
        <f>SUMIFS(NonStaff_Op_Costs[Total 2021-27 (£''000)],NonStaff_Op_Costs[Consortium member*],$A137)</f>
        <v>0</v>
      </c>
      <c r="D137" s="122">
        <f>SUMIFS(Capital_Costs[Total 2021-27 (£''000)],Capital_Costs[Consortium member*],$A137)</f>
        <v>0</v>
      </c>
      <c r="E137" s="122">
        <f>SUM(SUMMARY_ConsortiumMembCosts[[#This Row],[Staff costs]:[Capital costs]])</f>
        <v>0</v>
      </c>
      <c r="G137" s="134">
        <f>(SUMIFS(Staff_Costs_SS[Steady State (£''000)],Staff_Costs[Consortium member*],$A137))+(SUMIFS(NonStaff_Op_Costs_SS[Steady State (£''000)],NonStaff_Op_Costs[Consortium member*],$A137))</f>
        <v>0</v>
      </c>
    </row>
    <row r="138" spans="1:7" x14ac:dyDescent="0.25">
      <c r="A138" s="45">
        <f>'0. Project &amp; consortium'!B31</f>
        <v>0</v>
      </c>
      <c r="B138" s="122">
        <f>SUMIFS(Staff_Costs[Total 2021-27 (£''000)],Staff_Costs[Consortium member*],$A138)</f>
        <v>0</v>
      </c>
      <c r="C138" s="122">
        <f>SUMIFS(NonStaff_Op_Costs[Total 2021-27 (£''000)],NonStaff_Op_Costs[Consortium member*],$A138)</f>
        <v>0</v>
      </c>
      <c r="D138" s="122">
        <f>SUMIFS(Capital_Costs[Total 2021-27 (£''000)],Capital_Costs[Consortium member*],$A138)</f>
        <v>0</v>
      </c>
      <c r="E138" s="122">
        <f>SUM(SUMMARY_ConsortiumMembCosts[[#This Row],[Staff costs]:[Capital costs]])</f>
        <v>0</v>
      </c>
      <c r="G138" s="134">
        <f>(SUMIFS(Staff_Costs_SS[Steady State (£''000)],Staff_Costs[Consortium member*],$A138))+(SUMIFS(NonStaff_Op_Costs_SS[Steady State (£''000)],NonStaff_Op_Costs[Consortium member*],$A138))</f>
        <v>0</v>
      </c>
    </row>
    <row r="139" spans="1:7" x14ac:dyDescent="0.25">
      <c r="A139" s="45">
        <f>'0. Project &amp; consortium'!B32</f>
        <v>0</v>
      </c>
      <c r="B139" s="122">
        <f>SUMIFS(Staff_Costs[Total 2021-27 (£''000)],Staff_Costs[Consortium member*],$A139)</f>
        <v>0</v>
      </c>
      <c r="C139" s="122">
        <f>SUMIFS(NonStaff_Op_Costs[Total 2021-27 (£''000)],NonStaff_Op_Costs[Consortium member*],$A139)</f>
        <v>0</v>
      </c>
      <c r="D139" s="122">
        <f>SUMIFS(Capital_Costs[Total 2021-27 (£''000)],Capital_Costs[Consortium member*],$A139)</f>
        <v>0</v>
      </c>
      <c r="E139" s="122">
        <f>SUM(SUMMARY_ConsortiumMembCosts[[#This Row],[Staff costs]:[Capital costs]])</f>
        <v>0</v>
      </c>
      <c r="G139" s="134">
        <f>(SUMIFS(Staff_Costs_SS[Steady State (£''000)],Staff_Costs[Consortium member*],$A139))+(SUMIFS(NonStaff_Op_Costs_SS[Steady State (£''000)],NonStaff_Op_Costs[Consortium member*],$A139))</f>
        <v>0</v>
      </c>
    </row>
    <row r="140" spans="1:7" x14ac:dyDescent="0.25">
      <c r="A140" s="45">
        <f>'0. Project &amp; consortium'!B33</f>
        <v>0</v>
      </c>
      <c r="B140" s="122">
        <f>SUMIFS(Staff_Costs[Total 2021-27 (£''000)],Staff_Costs[Consortium member*],$A140)</f>
        <v>0</v>
      </c>
      <c r="C140" s="122">
        <f>SUMIFS(NonStaff_Op_Costs[Total 2021-27 (£''000)],NonStaff_Op_Costs[Consortium member*],$A140)</f>
        <v>0</v>
      </c>
      <c r="D140" s="122">
        <f>SUMIFS(Capital_Costs[Total 2021-27 (£''000)],Capital_Costs[Consortium member*],$A140)</f>
        <v>0</v>
      </c>
      <c r="E140" s="122">
        <f>SUM(SUMMARY_ConsortiumMembCosts[[#This Row],[Staff costs]:[Capital costs]])</f>
        <v>0</v>
      </c>
      <c r="G140" s="134">
        <f>(SUMIFS(Staff_Costs_SS[Steady State (£''000)],Staff_Costs[Consortium member*],$A140))+(SUMIFS(NonStaff_Op_Costs_SS[Steady State (£''000)],NonStaff_Op_Costs[Consortium member*],$A140))</f>
        <v>0</v>
      </c>
    </row>
    <row r="141" spans="1:7" x14ac:dyDescent="0.25">
      <c r="A141" s="45">
        <f>'0. Project &amp; consortium'!B34</f>
        <v>0</v>
      </c>
      <c r="B141" s="122">
        <f>SUMIFS(Staff_Costs[Total 2021-27 (£''000)],Staff_Costs[Consortium member*],$A141)</f>
        <v>0</v>
      </c>
      <c r="C141" s="122">
        <f>SUMIFS(NonStaff_Op_Costs[Total 2021-27 (£''000)],NonStaff_Op_Costs[Consortium member*],$A141)</f>
        <v>0</v>
      </c>
      <c r="D141" s="122">
        <f>SUMIFS(Capital_Costs[Total 2021-27 (£''000)],Capital_Costs[Consortium member*],$A141)</f>
        <v>0</v>
      </c>
      <c r="E141" s="122">
        <f>SUM(SUMMARY_ConsortiumMembCosts[[#This Row],[Staff costs]:[Capital costs]])</f>
        <v>0</v>
      </c>
      <c r="G141" s="134">
        <f>(SUMIFS(Staff_Costs_SS[Steady State (£''000)],Staff_Costs[Consortium member*],$A141))+(SUMIFS(NonStaff_Op_Costs_SS[Steady State (£''000)],NonStaff_Op_Costs[Consortium member*],$A141))</f>
        <v>0</v>
      </c>
    </row>
    <row r="142" spans="1:7" x14ac:dyDescent="0.25">
      <c r="A142" s="45">
        <f>'0. Project &amp; consortium'!B35</f>
        <v>0</v>
      </c>
      <c r="B142" s="122">
        <f>SUMIFS(Staff_Costs[Total 2021-27 (£''000)],Staff_Costs[Consortium member*],$A142)</f>
        <v>0</v>
      </c>
      <c r="C142" s="122">
        <f>SUMIFS(NonStaff_Op_Costs[Total 2021-27 (£''000)],NonStaff_Op_Costs[Consortium member*],$A142)</f>
        <v>0</v>
      </c>
      <c r="D142" s="122">
        <f>SUMIFS(Capital_Costs[Total 2021-27 (£''000)],Capital_Costs[Consortium member*],$A142)</f>
        <v>0</v>
      </c>
      <c r="E142" s="122">
        <f>SUM(SUMMARY_ConsortiumMembCosts[[#This Row],[Staff costs]:[Capital costs]])</f>
        <v>0</v>
      </c>
      <c r="G142" s="134">
        <f>(SUMIFS(Staff_Costs_SS[Steady State (£''000)],Staff_Costs[Consortium member*],$A142))+(SUMIFS(NonStaff_Op_Costs_SS[Steady State (£''000)],NonStaff_Op_Costs[Consortium member*],$A142))</f>
        <v>0</v>
      </c>
    </row>
    <row r="143" spans="1:7" x14ac:dyDescent="0.25">
      <c r="A143" s="45">
        <f>'0. Project &amp; consortium'!B36</f>
        <v>0</v>
      </c>
      <c r="B143" s="122">
        <f>SUMIFS(Staff_Costs[Total 2021-27 (£''000)],Staff_Costs[Consortium member*],$A143)</f>
        <v>0</v>
      </c>
      <c r="C143" s="122">
        <f>SUMIFS(NonStaff_Op_Costs[Total 2021-27 (£''000)],NonStaff_Op_Costs[Consortium member*],$A143)</f>
        <v>0</v>
      </c>
      <c r="D143" s="122">
        <f>SUMIFS(Capital_Costs[Total 2021-27 (£''000)],Capital_Costs[Consortium member*],$A143)</f>
        <v>0</v>
      </c>
      <c r="E143" s="122">
        <f>SUM(SUMMARY_ConsortiumMembCosts[[#This Row],[Staff costs]:[Capital costs]])</f>
        <v>0</v>
      </c>
      <c r="G143" s="134">
        <f>(SUMIFS(Staff_Costs_SS[Steady State (£''000)],Staff_Costs[Consortium member*],$A143))+(SUMIFS(NonStaff_Op_Costs_SS[Steady State (£''000)],NonStaff_Op_Costs[Consortium member*],$A143))</f>
        <v>0</v>
      </c>
    </row>
    <row r="144" spans="1:7" x14ac:dyDescent="0.25">
      <c r="A144" s="67" t="s">
        <v>1</v>
      </c>
      <c r="B144" s="128">
        <f>SUBTOTAL(109,SUMMARY_ConsortiumMembCosts[Staff costs])</f>
        <v>0</v>
      </c>
      <c r="C144" s="128">
        <f>SUBTOTAL(109,SUMMARY_ConsortiumMembCosts[Non-staff operating costs])</f>
        <v>0</v>
      </c>
      <c r="D144" s="128">
        <f>SUBTOTAL(109,SUMMARY_ConsortiumMembCosts[Capital costs])</f>
        <v>0</v>
      </c>
      <c r="E144" s="128">
        <f>SUBTOTAL(109,SUMMARY_ConsortiumMembCosts[Total costs for organisation])</f>
        <v>0</v>
      </c>
      <c r="G144" s="134">
        <f>SUBTOTAL(109,SUMMARY_ConsortiumMembCostsSS[Steady State (£''000)])</f>
        <v>0</v>
      </c>
    </row>
  </sheetData>
  <sheetProtection algorithmName="SHA-512" hashValue="pwfVhbNbMXC8jU5g3EzTeEmMPCxm7jCAjyI8fYYjo5u+zKF3tueNsn7snFcLKcba0gzKKfe64jvoaaXRv8PF5g==" saltValue="1QwQ1atzOTFq22Vgt2i+vA==" spinCount="100000" sheet="1" objects="1" scenarios="1"/>
  <pageMargins left="0.7" right="0.7" top="0.75" bottom="0.75" header="0.3" footer="0.3"/>
  <pageSetup paperSize="9" orientation="portrait" r:id="rId1"/>
  <ignoredErrors>
    <ignoredError sqref="B40:B41" calculatedColumn="1"/>
  </ignoredErrors>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36"/>
  <sheetViews>
    <sheetView showZeros="0" workbookViewId="0"/>
  </sheetViews>
  <sheetFormatPr defaultRowHeight="13.2" x14ac:dyDescent="0.25"/>
  <cols>
    <col min="1" max="1" width="60.77734375" customWidth="1"/>
    <col min="2" max="2" width="52.21875" style="89" customWidth="1"/>
    <col min="3" max="3" width="27.21875" style="89" customWidth="1"/>
    <col min="4" max="4" width="27.77734375" style="89" customWidth="1"/>
  </cols>
  <sheetData>
    <row r="1" spans="1:4" ht="17.399999999999999" x14ac:dyDescent="0.25">
      <c r="A1" s="32" t="str">
        <f>GUIDANCE!A1</f>
        <v>UK Research and Innovation Strength in Places Fund - Wave 2</v>
      </c>
      <c r="B1" s="78"/>
    </row>
    <row r="2" spans="1:4" ht="17.399999999999999" x14ac:dyDescent="0.25">
      <c r="A2" s="32" t="str">
        <f>GUIDANCE!A2</f>
        <v>Financial information for expression of interest proposals</v>
      </c>
      <c r="B2" s="78"/>
    </row>
    <row r="3" spans="1:4" ht="13.8" x14ac:dyDescent="0.25">
      <c r="A3" s="7"/>
      <c r="B3" s="79"/>
    </row>
    <row r="4" spans="1:4" ht="17.399999999999999" x14ac:dyDescent="0.3">
      <c r="A4" s="2" t="s">
        <v>90</v>
      </c>
      <c r="B4" s="80"/>
    </row>
    <row r="5" spans="1:4" ht="17.399999999999999" x14ac:dyDescent="0.3">
      <c r="A5" s="2"/>
      <c r="B5" s="80"/>
    </row>
    <row r="6" spans="1:4" s="87" customFormat="1" ht="17.399999999999999" x14ac:dyDescent="0.3">
      <c r="A6" s="38" t="s">
        <v>0</v>
      </c>
      <c r="B6" s="80"/>
      <c r="C6" s="89"/>
      <c r="D6" s="89"/>
    </row>
    <row r="7" spans="1:4" s="87" customFormat="1" ht="17.399999999999999" x14ac:dyDescent="0.3">
      <c r="A7" s="97" t="s">
        <v>214</v>
      </c>
      <c r="B7" s="80"/>
      <c r="C7" s="89"/>
      <c r="D7" s="89"/>
    </row>
    <row r="8" spans="1:4" s="16" customFormat="1" ht="13.8" x14ac:dyDescent="0.25">
      <c r="A8" s="97" t="s">
        <v>278</v>
      </c>
      <c r="B8" s="167"/>
    </row>
    <row r="9" spans="1:4" s="16" customFormat="1" ht="13.8" x14ac:dyDescent="0.25">
      <c r="A9" s="37" t="s">
        <v>209</v>
      </c>
    </row>
    <row r="10" spans="1:4" s="16" customFormat="1" ht="13.8" x14ac:dyDescent="0.25">
      <c r="A10" s="97" t="s">
        <v>231</v>
      </c>
    </row>
    <row r="11" spans="1:4" s="16" customFormat="1" ht="13.8" x14ac:dyDescent="0.25">
      <c r="A11" s="19" t="s">
        <v>276</v>
      </c>
    </row>
    <row r="12" spans="1:4" ht="17.399999999999999" x14ac:dyDescent="0.3">
      <c r="A12" s="97"/>
      <c r="B12" s="80"/>
    </row>
    <row r="13" spans="1:4" ht="13.8" x14ac:dyDescent="0.25">
      <c r="A13" s="4"/>
    </row>
    <row r="14" spans="1:4" ht="13.8" x14ac:dyDescent="0.25">
      <c r="A14" s="37" t="s">
        <v>2</v>
      </c>
      <c r="B14" s="81" t="s">
        <v>92</v>
      </c>
    </row>
    <row r="16" spans="1:4" ht="39.6" x14ac:dyDescent="0.25">
      <c r="A16" s="37"/>
      <c r="B16" s="82" t="s">
        <v>127</v>
      </c>
      <c r="C16" s="82" t="s">
        <v>187</v>
      </c>
      <c r="D16" s="82" t="s">
        <v>230</v>
      </c>
    </row>
    <row r="17" spans="1:4" ht="26.4" x14ac:dyDescent="0.25">
      <c r="A17" s="37" t="s">
        <v>12</v>
      </c>
      <c r="B17" s="81" t="s">
        <v>86</v>
      </c>
      <c r="C17" s="83" t="s">
        <v>133</v>
      </c>
      <c r="D17" s="84"/>
    </row>
    <row r="18" spans="1:4" ht="13.8" x14ac:dyDescent="0.25">
      <c r="A18" s="37" t="s">
        <v>82</v>
      </c>
      <c r="B18" s="84" t="s">
        <v>94</v>
      </c>
      <c r="C18" s="83"/>
      <c r="D18" s="83"/>
    </row>
    <row r="19" spans="1:4" x14ac:dyDescent="0.25">
      <c r="A19" s="14" t="s">
        <v>83</v>
      </c>
      <c r="B19" s="84" t="s">
        <v>95</v>
      </c>
      <c r="C19" s="83"/>
      <c r="D19" s="83"/>
    </row>
    <row r="20" spans="1:4" x14ac:dyDescent="0.25">
      <c r="B20" s="84" t="s">
        <v>96</v>
      </c>
      <c r="C20" s="83"/>
      <c r="D20" s="83"/>
    </row>
    <row r="21" spans="1:4" x14ac:dyDescent="0.25">
      <c r="B21" s="84" t="s">
        <v>97</v>
      </c>
      <c r="C21" s="83"/>
      <c r="D21" s="83"/>
    </row>
    <row r="22" spans="1:4" x14ac:dyDescent="0.25">
      <c r="B22" s="84" t="s">
        <v>98</v>
      </c>
      <c r="C22" s="83"/>
      <c r="D22" s="83"/>
    </row>
    <row r="23" spans="1:4" x14ac:dyDescent="0.25">
      <c r="B23" s="84" t="s">
        <v>140</v>
      </c>
      <c r="C23" s="83"/>
      <c r="D23" s="83"/>
    </row>
    <row r="24" spans="1:4" x14ac:dyDescent="0.25">
      <c r="B24" s="83"/>
      <c r="C24" s="83"/>
      <c r="D24" s="83"/>
    </row>
    <row r="25" spans="1:4" x14ac:dyDescent="0.25">
      <c r="B25" s="83"/>
      <c r="C25" s="83"/>
      <c r="D25" s="83"/>
    </row>
    <row r="26" spans="1:4" x14ac:dyDescent="0.25">
      <c r="B26" s="83"/>
      <c r="C26" s="83"/>
      <c r="D26" s="83"/>
    </row>
    <row r="27" spans="1:4" x14ac:dyDescent="0.25">
      <c r="B27" s="83"/>
      <c r="C27" s="83"/>
      <c r="D27" s="83"/>
    </row>
    <row r="28" spans="1:4" x14ac:dyDescent="0.25">
      <c r="B28" s="83"/>
      <c r="C28" s="83"/>
      <c r="D28" s="83"/>
    </row>
    <row r="29" spans="1:4" x14ac:dyDescent="0.25">
      <c r="B29" s="83"/>
      <c r="C29" s="83"/>
      <c r="D29" s="83"/>
    </row>
    <row r="30" spans="1:4" x14ac:dyDescent="0.25">
      <c r="B30" s="83"/>
      <c r="C30" s="83"/>
      <c r="D30" s="83"/>
    </row>
    <row r="31" spans="1:4" x14ac:dyDescent="0.25">
      <c r="B31" s="83"/>
      <c r="C31" s="83"/>
      <c r="D31" s="83"/>
    </row>
    <row r="32" spans="1:4" x14ac:dyDescent="0.25">
      <c r="B32" s="83"/>
      <c r="C32" s="83"/>
      <c r="D32" s="83"/>
    </row>
    <row r="33" spans="2:4" x14ac:dyDescent="0.25">
      <c r="B33" s="83"/>
      <c r="C33" s="83"/>
      <c r="D33" s="83"/>
    </row>
    <row r="34" spans="2:4" x14ac:dyDescent="0.25">
      <c r="B34" s="83"/>
      <c r="C34" s="83"/>
      <c r="D34" s="83"/>
    </row>
    <row r="35" spans="2:4" x14ac:dyDescent="0.25">
      <c r="B35" s="83"/>
      <c r="C35" s="83"/>
      <c r="D35" s="83"/>
    </row>
    <row r="36" spans="2:4" x14ac:dyDescent="0.25">
      <c r="B36" s="84"/>
      <c r="C36" s="83"/>
      <c r="D36" s="8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Validation!$K$4:$K$11</xm:f>
          </x14:formula1>
          <xm:sqref>C17:C36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8"/>
  <sheetViews>
    <sheetView workbookViewId="0"/>
  </sheetViews>
  <sheetFormatPr defaultRowHeight="13.2" x14ac:dyDescent="0.25"/>
  <cols>
    <col min="1" max="1" width="26.21875" customWidth="1"/>
    <col min="2" max="2" width="31.44140625" customWidth="1"/>
    <col min="3" max="3" width="26.21875" customWidth="1"/>
    <col min="4" max="4" width="20.21875" customWidth="1"/>
    <col min="5" max="5" width="14.77734375" customWidth="1"/>
    <col min="6" max="13" width="9.21875" customWidth="1"/>
    <col min="14" max="14" width="12.21875" customWidth="1"/>
    <col min="15" max="15" width="14.77734375" bestFit="1" customWidth="1"/>
    <col min="16" max="18" width="12.21875" customWidth="1"/>
  </cols>
  <sheetData>
    <row r="1" spans="1:6" ht="15.6" x14ac:dyDescent="0.25">
      <c r="A1" s="32" t="str">
        <f>GUIDANCE!A1</f>
        <v>UK Research and Innovation Strength in Places Fund - Wave 2</v>
      </c>
      <c r="B1" s="77"/>
    </row>
    <row r="2" spans="1:6" ht="15.6" x14ac:dyDescent="0.25">
      <c r="A2" s="32" t="str">
        <f>GUIDANCE!A2</f>
        <v>Financial information for expression of interest proposals</v>
      </c>
      <c r="B2" s="77"/>
    </row>
    <row r="3" spans="1:6" ht="17.399999999999999" x14ac:dyDescent="0.25">
      <c r="A3" s="3"/>
      <c r="B3" s="77"/>
    </row>
    <row r="4" spans="1:6" ht="17.399999999999999" x14ac:dyDescent="0.3">
      <c r="A4" s="85" t="s">
        <v>148</v>
      </c>
      <c r="B4" s="6"/>
    </row>
    <row r="5" spans="1:6" ht="13.8" x14ac:dyDescent="0.25">
      <c r="A5" s="4"/>
      <c r="B5" s="6"/>
    </row>
    <row r="6" spans="1:6" ht="13.8" x14ac:dyDescent="0.25">
      <c r="A6" s="37" t="s">
        <v>2</v>
      </c>
      <c r="B6" s="38" t="str">
        <f>'0. Project &amp; consortium'!B14</f>
        <v>Project ABCDE</v>
      </c>
    </row>
    <row r="7" spans="1:6" ht="13.8" x14ac:dyDescent="0.25">
      <c r="A7" s="37"/>
      <c r="B7" s="36"/>
      <c r="F7" s="37"/>
    </row>
    <row r="8" spans="1:6" ht="13.8" x14ac:dyDescent="0.25">
      <c r="A8" s="37" t="s">
        <v>12</v>
      </c>
      <c r="B8" s="38" t="str">
        <f>'0. Project &amp; consortium'!B17</f>
        <v>E.g. ABC Ltd or University X</v>
      </c>
    </row>
    <row r="9" spans="1:6" x14ac:dyDescent="0.25">
      <c r="A9" s="77"/>
      <c r="B9" s="77"/>
    </row>
    <row r="10" spans="1:6" ht="13.8" x14ac:dyDescent="0.25">
      <c r="A10" s="38" t="s">
        <v>0</v>
      </c>
      <c r="B10" s="77"/>
    </row>
    <row r="11" spans="1:6" s="16" customFormat="1" ht="13.8" x14ac:dyDescent="0.25">
      <c r="A11" s="37" t="s">
        <v>173</v>
      </c>
    </row>
    <row r="12" spans="1:6" s="16" customFormat="1" ht="13.8" x14ac:dyDescent="0.25">
      <c r="A12" s="97" t="s">
        <v>278</v>
      </c>
    </row>
    <row r="13" spans="1:6" s="16" customFormat="1" ht="13.8" x14ac:dyDescent="0.25">
      <c r="A13" s="97" t="s">
        <v>216</v>
      </c>
    </row>
    <row r="14" spans="1:6" s="16" customFormat="1" ht="13.8" x14ac:dyDescent="0.25">
      <c r="A14" s="149" t="s">
        <v>217</v>
      </c>
    </row>
    <row r="15" spans="1:6" s="16" customFormat="1" ht="13.8" x14ac:dyDescent="0.25">
      <c r="A15" s="97" t="s">
        <v>215</v>
      </c>
    </row>
    <row r="16" spans="1:6" s="16" customFormat="1" ht="13.8" x14ac:dyDescent="0.25">
      <c r="A16" s="19" t="s">
        <v>171</v>
      </c>
    </row>
    <row r="17" spans="1:14" s="16" customFormat="1" ht="13.8" x14ac:dyDescent="0.25">
      <c r="A17" s="19" t="s">
        <v>218</v>
      </c>
    </row>
    <row r="18" spans="1:14" s="16" customFormat="1" ht="13.8" x14ac:dyDescent="0.25">
      <c r="A18" s="19" t="s">
        <v>233</v>
      </c>
    </row>
    <row r="19" spans="1:14" s="16" customFormat="1" ht="13.8" x14ac:dyDescent="0.25">
      <c r="A19" s="19" t="s">
        <v>250</v>
      </c>
    </row>
    <row r="20" spans="1:14" s="16" customFormat="1" x14ac:dyDescent="0.25"/>
    <row r="22" spans="1:14" ht="39.6" x14ac:dyDescent="0.25">
      <c r="A22" s="86" t="s">
        <v>189</v>
      </c>
      <c r="B22" s="45" t="s">
        <v>188</v>
      </c>
      <c r="C22" s="45" t="s">
        <v>185</v>
      </c>
      <c r="D22" s="45" t="s">
        <v>170</v>
      </c>
      <c r="E22" s="187" t="s">
        <v>267</v>
      </c>
      <c r="F22" s="45" t="s">
        <v>71</v>
      </c>
      <c r="G22" s="45" t="s">
        <v>72</v>
      </c>
      <c r="H22" s="45" t="s">
        <v>73</v>
      </c>
      <c r="I22" s="45" t="s">
        <v>74</v>
      </c>
      <c r="J22" s="45" t="s">
        <v>255</v>
      </c>
      <c r="K22" s="45" t="s">
        <v>254</v>
      </c>
      <c r="L22" s="43" t="s">
        <v>258</v>
      </c>
      <c r="M22" s="89"/>
      <c r="N22" s="86" t="s">
        <v>93</v>
      </c>
    </row>
    <row r="23" spans="1:14" s="172" customFormat="1" ht="26.4" x14ac:dyDescent="0.25">
      <c r="A23" s="117" t="s">
        <v>86</v>
      </c>
      <c r="B23" s="117" t="s">
        <v>77</v>
      </c>
      <c r="C23" s="117" t="s">
        <v>59</v>
      </c>
      <c r="D23" s="117"/>
      <c r="E23" s="117" t="s">
        <v>249</v>
      </c>
      <c r="F23" s="170" t="s">
        <v>205</v>
      </c>
      <c r="G23" s="170" t="s">
        <v>154</v>
      </c>
      <c r="H23" s="170" t="s">
        <v>206</v>
      </c>
      <c r="I23" s="170" t="s">
        <v>207</v>
      </c>
      <c r="J23" s="170" t="s">
        <v>154</v>
      </c>
      <c r="K23" s="170" t="s">
        <v>205</v>
      </c>
      <c r="L23" s="170" t="s">
        <v>208</v>
      </c>
      <c r="M23" s="171"/>
      <c r="N23" s="170" t="s">
        <v>163</v>
      </c>
    </row>
    <row r="24" spans="1:14" x14ac:dyDescent="0.25">
      <c r="A24" s="90"/>
      <c r="B24" s="90"/>
      <c r="C24" s="90"/>
      <c r="D24" s="90"/>
      <c r="E24" s="90"/>
      <c r="F24" s="153"/>
      <c r="G24" s="153"/>
      <c r="H24" s="153"/>
      <c r="I24" s="153"/>
      <c r="J24" s="153"/>
      <c r="K24" s="153"/>
      <c r="L24" s="154">
        <f>SUM(Income[[#This Row],[2021-22 (£''000)]:[2026-27 (£''000)]])</f>
        <v>0</v>
      </c>
      <c r="M24" s="89"/>
      <c r="N24" s="155"/>
    </row>
    <row r="25" spans="1:14" x14ac:dyDescent="0.25">
      <c r="A25" s="90"/>
      <c r="B25" s="90"/>
      <c r="C25" s="90"/>
      <c r="D25" s="90"/>
      <c r="E25" s="90"/>
      <c r="F25" s="153"/>
      <c r="G25" s="153"/>
      <c r="H25" s="153"/>
      <c r="I25" s="153"/>
      <c r="J25" s="153"/>
      <c r="K25" s="153"/>
      <c r="L25" s="154">
        <f>SUM(Income[[#This Row],[2021-22 (£''000)]:[2026-27 (£''000)]])</f>
        <v>0</v>
      </c>
      <c r="M25" s="89"/>
      <c r="N25" s="155"/>
    </row>
    <row r="26" spans="1:14" x14ac:dyDescent="0.25">
      <c r="A26" s="90"/>
      <c r="B26" s="90"/>
      <c r="C26" s="90"/>
      <c r="D26" s="90"/>
      <c r="E26" s="90"/>
      <c r="F26" s="153"/>
      <c r="G26" s="153"/>
      <c r="H26" s="153"/>
      <c r="I26" s="153"/>
      <c r="J26" s="153"/>
      <c r="K26" s="153"/>
      <c r="L26" s="154">
        <f>SUM(Income[[#This Row],[2021-22 (£''000)]:[2026-27 (£''000)]])</f>
        <v>0</v>
      </c>
      <c r="M26" s="89"/>
      <c r="N26" s="155"/>
    </row>
    <row r="27" spans="1:14" x14ac:dyDescent="0.25">
      <c r="A27" s="90"/>
      <c r="B27" s="90"/>
      <c r="C27" s="90"/>
      <c r="D27" s="90"/>
      <c r="E27" s="90"/>
      <c r="F27" s="153"/>
      <c r="G27" s="153"/>
      <c r="H27" s="153"/>
      <c r="I27" s="153"/>
      <c r="J27" s="153"/>
      <c r="K27" s="153"/>
      <c r="L27" s="154">
        <f>SUM(Income[[#This Row],[2021-22 (£''000)]:[2026-27 (£''000)]])</f>
        <v>0</v>
      </c>
      <c r="M27" s="89"/>
      <c r="N27" s="155"/>
    </row>
    <row r="28" spans="1:14" x14ac:dyDescent="0.25">
      <c r="A28" s="90"/>
      <c r="B28" s="90"/>
      <c r="C28" s="90"/>
      <c r="D28" s="90"/>
      <c r="E28" s="90"/>
      <c r="F28" s="153"/>
      <c r="G28" s="153"/>
      <c r="H28" s="153"/>
      <c r="I28" s="153"/>
      <c r="J28" s="153"/>
      <c r="K28" s="153"/>
      <c r="L28" s="154">
        <f>SUM(Income[[#This Row],[2021-22 (£''000)]:[2026-27 (£''000)]])</f>
        <v>0</v>
      </c>
      <c r="M28" s="89"/>
      <c r="N28" s="155"/>
    </row>
    <row r="29" spans="1:14" x14ac:dyDescent="0.25">
      <c r="A29" s="90"/>
      <c r="B29" s="90"/>
      <c r="C29" s="90"/>
      <c r="D29" s="90"/>
      <c r="E29" s="90"/>
      <c r="F29" s="153"/>
      <c r="G29" s="153"/>
      <c r="H29" s="153"/>
      <c r="I29" s="153"/>
      <c r="J29" s="153"/>
      <c r="K29" s="153"/>
      <c r="L29" s="154">
        <f>SUM(Income[[#This Row],[2021-22 (£''000)]:[2026-27 (£''000)]])</f>
        <v>0</v>
      </c>
      <c r="M29" s="89"/>
      <c r="N29" s="155"/>
    </row>
    <row r="30" spans="1:14" x14ac:dyDescent="0.25">
      <c r="A30" s="90"/>
      <c r="B30" s="90"/>
      <c r="C30" s="90"/>
      <c r="D30" s="90"/>
      <c r="E30" s="90"/>
      <c r="F30" s="153"/>
      <c r="G30" s="153"/>
      <c r="H30" s="153"/>
      <c r="I30" s="153"/>
      <c r="J30" s="153"/>
      <c r="K30" s="153"/>
      <c r="L30" s="154">
        <f>SUM(Income[[#This Row],[2021-22 (£''000)]:[2026-27 (£''000)]])</f>
        <v>0</v>
      </c>
      <c r="M30" s="89"/>
      <c r="N30" s="155"/>
    </row>
    <row r="31" spans="1:14" x14ac:dyDescent="0.25">
      <c r="A31" s="90"/>
      <c r="B31" s="90"/>
      <c r="C31" s="90"/>
      <c r="D31" s="90"/>
      <c r="E31" s="90"/>
      <c r="F31" s="153"/>
      <c r="G31" s="153"/>
      <c r="H31" s="153"/>
      <c r="I31" s="153"/>
      <c r="J31" s="153"/>
      <c r="K31" s="153"/>
      <c r="L31" s="154">
        <f>SUM(Income[[#This Row],[2021-22 (£''000)]:[2026-27 (£''000)]])</f>
        <v>0</v>
      </c>
      <c r="M31" s="89"/>
      <c r="N31" s="155"/>
    </row>
    <row r="32" spans="1:14" x14ac:dyDescent="0.25">
      <c r="A32" s="90"/>
      <c r="B32" s="90"/>
      <c r="C32" s="90"/>
      <c r="D32" s="90"/>
      <c r="E32" s="90"/>
      <c r="F32" s="153"/>
      <c r="G32" s="153"/>
      <c r="H32" s="153"/>
      <c r="I32" s="153"/>
      <c r="J32" s="153"/>
      <c r="K32" s="153"/>
      <c r="L32" s="154">
        <f>SUM(Income[[#This Row],[2021-22 (£''000)]:[2026-27 (£''000)]])</f>
        <v>0</v>
      </c>
      <c r="M32" s="89"/>
      <c r="N32" s="155"/>
    </row>
    <row r="33" spans="1:14" x14ac:dyDescent="0.25">
      <c r="A33" s="90"/>
      <c r="B33" s="90"/>
      <c r="C33" s="90"/>
      <c r="D33" s="90"/>
      <c r="E33" s="90"/>
      <c r="F33" s="153"/>
      <c r="G33" s="153"/>
      <c r="H33" s="153"/>
      <c r="I33" s="153"/>
      <c r="J33" s="153"/>
      <c r="K33" s="153"/>
      <c r="L33" s="154">
        <f>SUM(Income[[#This Row],[2021-22 (£''000)]:[2026-27 (£''000)]])</f>
        <v>0</v>
      </c>
      <c r="M33" s="89"/>
      <c r="N33" s="155"/>
    </row>
    <row r="34" spans="1:14" x14ac:dyDescent="0.25">
      <c r="A34" s="90"/>
      <c r="B34" s="90"/>
      <c r="C34" s="90"/>
      <c r="D34" s="90"/>
      <c r="E34" s="90"/>
      <c r="F34" s="153"/>
      <c r="G34" s="153"/>
      <c r="H34" s="153"/>
      <c r="I34" s="153"/>
      <c r="J34" s="153"/>
      <c r="K34" s="153"/>
      <c r="L34" s="154">
        <f>SUM(Income[[#This Row],[2021-22 (£''000)]:[2026-27 (£''000)]])</f>
        <v>0</v>
      </c>
      <c r="M34" s="89"/>
      <c r="N34" s="156"/>
    </row>
    <row r="35" spans="1:14" x14ac:dyDescent="0.25">
      <c r="A35" s="90"/>
      <c r="B35" s="90"/>
      <c r="C35" s="90"/>
      <c r="D35" s="90"/>
      <c r="E35" s="90"/>
      <c r="F35" s="153"/>
      <c r="G35" s="153"/>
      <c r="H35" s="153"/>
      <c r="I35" s="153"/>
      <c r="J35" s="153"/>
      <c r="K35" s="153"/>
      <c r="L35" s="154">
        <f>SUM(Income[[#This Row],[2021-22 (£''000)]:[2026-27 (£''000)]])</f>
        <v>0</v>
      </c>
      <c r="M35" s="89"/>
      <c r="N35" s="156"/>
    </row>
    <row r="36" spans="1:14" x14ac:dyDescent="0.25">
      <c r="A36" s="90"/>
      <c r="B36" s="90"/>
      <c r="C36" s="90"/>
      <c r="D36" s="90"/>
      <c r="E36" s="90"/>
      <c r="F36" s="153"/>
      <c r="G36" s="153"/>
      <c r="H36" s="153"/>
      <c r="I36" s="153"/>
      <c r="J36" s="153"/>
      <c r="K36" s="153"/>
      <c r="L36" s="154">
        <f>SUM(Income[[#This Row],[2021-22 (£''000)]:[2026-27 (£''000)]])</f>
        <v>0</v>
      </c>
      <c r="M36" s="89"/>
      <c r="N36" s="156"/>
    </row>
    <row r="37" spans="1:14" x14ac:dyDescent="0.25">
      <c r="A37" s="157" t="s">
        <v>75</v>
      </c>
      <c r="B37" s="90"/>
      <c r="C37" s="90"/>
      <c r="D37" s="90"/>
      <c r="E37" s="90"/>
      <c r="F37" s="153"/>
      <c r="G37" s="153"/>
      <c r="H37" s="153"/>
      <c r="I37" s="153"/>
      <c r="J37" s="153"/>
      <c r="K37" s="153"/>
      <c r="L37" s="154">
        <f>SUM(Income[[#This Row],[2021-22 (£''000)]:[2026-27 (£''000)]])</f>
        <v>0</v>
      </c>
      <c r="M37" s="89"/>
      <c r="N37" s="156"/>
    </row>
    <row r="38" spans="1:14" x14ac:dyDescent="0.25">
      <c r="A38" s="89" t="s">
        <v>1</v>
      </c>
      <c r="B38" s="89"/>
      <c r="C38" s="89"/>
      <c r="D38" s="89"/>
      <c r="E38" s="186">
        <f>SUBTOTAL(109,Income[Seedcorn bid development (£''000)])</f>
        <v>0</v>
      </c>
      <c r="F38" s="158">
        <f>SUBTOTAL(109,Income[2021-22 (£''000)])</f>
        <v>0</v>
      </c>
      <c r="G38" s="158">
        <f>SUBTOTAL(109,Income[2022-23 (£''000)])</f>
        <v>0</v>
      </c>
      <c r="H38" s="158">
        <f>SUBTOTAL(109,Income[2023-24 (£''000)])</f>
        <v>0</v>
      </c>
      <c r="I38" s="158">
        <f>SUBTOTAL(109,Income[2024-25 (£''000)])</f>
        <v>0</v>
      </c>
      <c r="J38" s="158">
        <f>SUBTOTAL(109,Income[2025-26 (£''000)])</f>
        <v>0</v>
      </c>
      <c r="K38" s="158">
        <f>SUBTOTAL(109,Income[2026-27 (£''000)])</f>
        <v>0</v>
      </c>
      <c r="L38" s="158">
        <f>SUBTOTAL(109,Income[Total 2021-27 (£''000)])</f>
        <v>0</v>
      </c>
      <c r="M38" s="89"/>
      <c r="N38" s="159">
        <f>SUBTOTAL(109,Income_SS[Steady State (£''000)])</f>
        <v>0</v>
      </c>
    </row>
  </sheetData>
  <dataValidations count="4">
    <dataValidation type="list" allowBlank="1" showInputMessage="1" showErrorMessage="1" sqref="B23:B37">
      <formula1>VALIDATION_FundType_Income</formula1>
    </dataValidation>
    <dataValidation type="list" allowBlank="1" showInputMessage="1" showErrorMessage="1" sqref="A37">
      <formula1>ConsortiumOrgs</formula1>
    </dataValidation>
    <dataValidation type="list" allowBlank="1" showInputMessage="1" showErrorMessage="1" sqref="A23:A36">
      <formula1>VALIDATION_ConsortiumOrgs</formula1>
    </dataValidation>
    <dataValidation type="list" allowBlank="1" showInputMessage="1" showErrorMessage="1" sqref="C23:C37">
      <formula1>VALIDATION_FundingStatus</formula1>
    </dataValidation>
  </dataValidations>
  <pageMargins left="0.7" right="0.7" top="0.75" bottom="0.75" header="0.3" footer="0.3"/>
  <pageSetup paperSize="9" orientation="portrait" r:id="rId1"/>
  <ignoredErrors>
    <ignoredError sqref="L23" calculatedColumn="1"/>
  </ignoredErrors>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44"/>
  <sheetViews>
    <sheetView workbookViewId="0">
      <pane xSplit="1" topLeftCell="B1" activePane="topRight" state="frozen"/>
      <selection activeCell="A16" sqref="A16"/>
      <selection pane="topRight"/>
    </sheetView>
  </sheetViews>
  <sheetFormatPr defaultColWidth="9.21875" defaultRowHeight="13.2" x14ac:dyDescent="0.25"/>
  <cols>
    <col min="1" max="1" width="29" style="16" customWidth="1"/>
    <col min="2" max="2" width="22.44140625" style="16" customWidth="1"/>
    <col min="3" max="3" width="18.77734375" style="16" customWidth="1"/>
    <col min="4" max="4" width="21.5546875" style="16" bestFit="1" customWidth="1"/>
    <col min="5" max="5" width="26" style="16" customWidth="1"/>
    <col min="6" max="6" width="26.77734375" style="16" customWidth="1"/>
    <col min="7" max="7" width="10" style="16" customWidth="1"/>
    <col min="8" max="9" width="9.77734375" style="16" customWidth="1"/>
    <col min="10" max="15" width="9" style="16" customWidth="1"/>
    <col min="16" max="16" width="7.77734375" style="16" customWidth="1"/>
    <col min="17" max="17" width="9.21875" style="16" customWidth="1"/>
    <col min="18" max="23" width="8.21875" style="16" customWidth="1"/>
    <col min="24" max="24" width="8" style="16" customWidth="1"/>
    <col min="25" max="25" width="8.77734375" style="16" bestFit="1" customWidth="1"/>
    <col min="26" max="16384" width="9.21875" style="16"/>
  </cols>
  <sheetData>
    <row r="1" spans="1:13" ht="17.399999999999999" x14ac:dyDescent="0.25">
      <c r="A1" s="32" t="str">
        <f>GUIDANCE!A1</f>
        <v>UK Research and Innovation Strength in Places Fund - Wave 2</v>
      </c>
      <c r="B1" s="3"/>
      <c r="C1" s="3"/>
      <c r="D1" s="3"/>
      <c r="E1" s="3"/>
      <c r="F1" s="17"/>
      <c r="G1" s="17"/>
      <c r="H1" s="17"/>
      <c r="I1" s="17"/>
      <c r="J1" s="17"/>
      <c r="K1" s="17"/>
      <c r="M1" s="1"/>
    </row>
    <row r="2" spans="1:13" ht="17.399999999999999" x14ac:dyDescent="0.25">
      <c r="A2" s="32" t="str">
        <f>GUIDANCE!A2</f>
        <v>Financial information for expression of interest proposals</v>
      </c>
      <c r="B2" s="3"/>
      <c r="C2" s="3"/>
      <c r="D2" s="3"/>
      <c r="E2" s="3"/>
      <c r="F2" s="17"/>
      <c r="G2" s="17"/>
      <c r="H2" s="17"/>
      <c r="I2" s="17"/>
      <c r="J2" s="17"/>
      <c r="K2" s="17"/>
      <c r="M2" s="1"/>
    </row>
    <row r="3" spans="1:13" ht="13.8" x14ac:dyDescent="0.25">
      <c r="A3" s="7"/>
      <c r="B3" s="7"/>
      <c r="C3" s="7"/>
      <c r="D3" s="7"/>
      <c r="E3" s="7"/>
      <c r="F3" s="5"/>
      <c r="G3" s="5"/>
      <c r="H3" s="5"/>
      <c r="I3" s="5"/>
      <c r="J3" s="5"/>
      <c r="K3" s="5"/>
      <c r="L3" s="6"/>
      <c r="M3" s="1"/>
    </row>
    <row r="4" spans="1:13" ht="17.399999999999999" x14ac:dyDescent="0.3">
      <c r="A4" s="2" t="s">
        <v>149</v>
      </c>
      <c r="B4" s="2"/>
      <c r="C4" s="2"/>
      <c r="D4" s="2"/>
      <c r="E4" s="2"/>
      <c r="F4" s="5"/>
      <c r="G4" s="5"/>
      <c r="H4" s="5"/>
      <c r="I4" s="5"/>
      <c r="J4" s="5"/>
      <c r="K4" s="5"/>
      <c r="L4" s="6"/>
    </row>
    <row r="5" spans="1:13" ht="13.8" x14ac:dyDescent="0.25">
      <c r="A5" s="4"/>
      <c r="B5" s="4"/>
      <c r="C5" s="4"/>
      <c r="D5" s="4"/>
      <c r="E5" s="4"/>
      <c r="F5" s="5"/>
      <c r="G5" s="5"/>
      <c r="H5" s="5"/>
      <c r="I5" s="5"/>
      <c r="J5" s="5"/>
      <c r="K5" s="5"/>
      <c r="L5" s="6"/>
    </row>
    <row r="6" spans="1:13" s="19" customFormat="1" ht="13.8" x14ac:dyDescent="0.25">
      <c r="A6" s="37" t="s">
        <v>2</v>
      </c>
      <c r="B6" s="38" t="str">
        <f>'0. Project &amp; consortium'!B14</f>
        <v>Project ABCDE</v>
      </c>
      <c r="C6" s="38"/>
      <c r="D6" s="38"/>
      <c r="E6" s="38"/>
      <c r="F6" s="38"/>
    </row>
    <row r="7" spans="1:13" s="19" customFormat="1" ht="13.8" x14ac:dyDescent="0.25">
      <c r="A7" s="37"/>
      <c r="B7" s="36"/>
    </row>
    <row r="8" spans="1:13" s="19" customFormat="1" ht="13.8" x14ac:dyDescent="0.25">
      <c r="A8" s="37" t="s">
        <v>12</v>
      </c>
      <c r="B8" s="38" t="str">
        <f>'0. Project &amp; consortium'!B17</f>
        <v>E.g. ABC Ltd or University X</v>
      </c>
    </row>
    <row r="9" spans="1:13" ht="15.6" x14ac:dyDescent="0.3">
      <c r="A9" s="12"/>
      <c r="B9" s="4"/>
      <c r="C9" s="4"/>
      <c r="D9" s="10"/>
      <c r="E9" s="10"/>
      <c r="F9" s="10"/>
      <c r="G9" s="15"/>
      <c r="H9" s="15"/>
      <c r="I9" s="15"/>
      <c r="J9" s="15"/>
      <c r="K9" s="15"/>
      <c r="L9" s="15"/>
      <c r="M9" s="11"/>
    </row>
    <row r="10" spans="1:13" ht="15" x14ac:dyDescent="0.25">
      <c r="A10" s="38" t="s">
        <v>168</v>
      </c>
      <c r="B10" s="4"/>
      <c r="C10" s="4"/>
      <c r="D10" s="10"/>
      <c r="E10" s="10"/>
      <c r="F10" s="10"/>
      <c r="G10" s="15"/>
      <c r="H10" s="15"/>
      <c r="I10" s="15"/>
      <c r="J10" s="15"/>
      <c r="K10" s="15"/>
      <c r="L10" s="15"/>
      <c r="M10" s="11"/>
    </row>
    <row r="11" spans="1:13" ht="13.8" x14ac:dyDescent="0.25">
      <c r="A11" s="37" t="s">
        <v>169</v>
      </c>
      <c r="B11" s="4"/>
      <c r="C11" s="4"/>
      <c r="D11" s="4"/>
      <c r="E11" s="6"/>
      <c r="F11" s="6"/>
      <c r="G11" s="6"/>
      <c r="H11" s="6"/>
      <c r="I11" s="6"/>
      <c r="J11" s="6"/>
    </row>
    <row r="12" spans="1:13" ht="13.8" x14ac:dyDescent="0.25">
      <c r="A12" s="97" t="s">
        <v>278</v>
      </c>
    </row>
    <row r="13" spans="1:13" ht="15" x14ac:dyDescent="0.25">
      <c r="A13" s="19" t="s">
        <v>248</v>
      </c>
      <c r="B13" s="13"/>
      <c r="C13" s="13"/>
      <c r="D13" s="11"/>
      <c r="E13" s="11"/>
      <c r="F13" s="11"/>
      <c r="G13" s="11"/>
      <c r="H13" s="11"/>
      <c r="I13" s="11"/>
      <c r="J13" s="11"/>
      <c r="K13" s="11"/>
      <c r="L13" s="11"/>
      <c r="M13" s="11"/>
    </row>
    <row r="14" spans="1:13" ht="15" x14ac:dyDescent="0.25">
      <c r="A14" s="13" t="s">
        <v>219</v>
      </c>
      <c r="B14" s="13"/>
      <c r="C14" s="13"/>
      <c r="D14" s="11"/>
      <c r="E14" s="11"/>
      <c r="F14" s="11"/>
      <c r="G14" s="11"/>
      <c r="H14" s="11"/>
      <c r="I14" s="11"/>
      <c r="J14" s="11"/>
      <c r="K14" s="11"/>
      <c r="L14" s="11"/>
      <c r="M14" s="11"/>
    </row>
    <row r="15" spans="1:13" ht="15" x14ac:dyDescent="0.25">
      <c r="A15" s="13" t="s">
        <v>164</v>
      </c>
      <c r="B15" s="13"/>
      <c r="C15" s="13"/>
      <c r="D15" s="11"/>
      <c r="E15" s="11"/>
      <c r="F15" s="11"/>
      <c r="G15" s="11"/>
    </row>
    <row r="16" spans="1:13" ht="15" x14ac:dyDescent="0.25">
      <c r="A16" s="19" t="s">
        <v>220</v>
      </c>
      <c r="B16" s="13"/>
      <c r="C16" s="13"/>
      <c r="D16" s="11"/>
      <c r="E16" s="11"/>
      <c r="F16" s="11"/>
      <c r="G16" s="11"/>
    </row>
    <row r="17" spans="1:27" ht="15" x14ac:dyDescent="0.25">
      <c r="A17" s="13" t="s">
        <v>180</v>
      </c>
      <c r="B17" s="13"/>
      <c r="C17" s="13"/>
      <c r="D17" s="11"/>
      <c r="E17" s="11"/>
      <c r="F17" s="11"/>
      <c r="G17" s="11"/>
    </row>
    <row r="18" spans="1:27" ht="15.6" thickBot="1" x14ac:dyDescent="0.3">
      <c r="A18" s="13" t="s">
        <v>232</v>
      </c>
      <c r="B18" s="13"/>
      <c r="C18" s="13"/>
      <c r="D18" s="11"/>
      <c r="E18" s="11"/>
      <c r="F18" s="11"/>
      <c r="G18" s="11"/>
    </row>
    <row r="19" spans="1:27" ht="15.75" customHeight="1" thickBot="1" x14ac:dyDescent="0.3">
      <c r="A19" s="13"/>
      <c r="B19" s="13"/>
      <c r="C19" s="13"/>
      <c r="D19" s="11"/>
      <c r="E19" s="11"/>
      <c r="F19" s="11"/>
      <c r="G19" s="11"/>
      <c r="H19" s="11"/>
      <c r="I19" s="226" t="s">
        <v>120</v>
      </c>
      <c r="J19" s="227"/>
      <c r="K19" s="227"/>
      <c r="L19" s="227"/>
      <c r="M19" s="227"/>
      <c r="N19" s="227"/>
      <c r="O19" s="227"/>
      <c r="P19" s="227"/>
      <c r="Q19" s="226" t="s">
        <v>121</v>
      </c>
      <c r="R19" s="227"/>
      <c r="S19" s="227"/>
      <c r="T19" s="227"/>
      <c r="U19" s="227"/>
      <c r="V19" s="227"/>
      <c r="W19" s="227"/>
      <c r="X19" s="227"/>
    </row>
    <row r="20" spans="1:27" s="47" customFormat="1" ht="66" x14ac:dyDescent="0.25">
      <c r="A20" s="45" t="s">
        <v>141</v>
      </c>
      <c r="B20" s="45" t="s">
        <v>183</v>
      </c>
      <c r="C20" s="45" t="s">
        <v>190</v>
      </c>
      <c r="D20" s="45" t="s">
        <v>184</v>
      </c>
      <c r="E20" s="45" t="s">
        <v>185</v>
      </c>
      <c r="F20" s="109" t="s">
        <v>170</v>
      </c>
      <c r="G20" s="45" t="s">
        <v>105</v>
      </c>
      <c r="H20" s="112" t="s">
        <v>106</v>
      </c>
      <c r="I20" s="187" t="s">
        <v>270</v>
      </c>
      <c r="J20" s="45" t="s">
        <v>110</v>
      </c>
      <c r="K20" s="45" t="s">
        <v>111</v>
      </c>
      <c r="L20" s="45" t="s">
        <v>112</v>
      </c>
      <c r="M20" s="45" t="s">
        <v>113</v>
      </c>
      <c r="N20" s="45" t="s">
        <v>252</v>
      </c>
      <c r="O20" s="45" t="s">
        <v>253</v>
      </c>
      <c r="P20" s="113" t="s">
        <v>257</v>
      </c>
      <c r="Q20" s="187" t="s">
        <v>267</v>
      </c>
      <c r="R20" s="45" t="s">
        <v>71</v>
      </c>
      <c r="S20" s="45" t="s">
        <v>72</v>
      </c>
      <c r="T20" s="45" t="s">
        <v>73</v>
      </c>
      <c r="U20" s="45" t="s">
        <v>74</v>
      </c>
      <c r="V20" s="45" t="s">
        <v>255</v>
      </c>
      <c r="W20" s="45" t="s">
        <v>254</v>
      </c>
      <c r="X20" s="66" t="s">
        <v>258</v>
      </c>
      <c r="Y20" s="71"/>
      <c r="Z20" s="86" t="s">
        <v>122</v>
      </c>
      <c r="AA20" s="86" t="s">
        <v>93</v>
      </c>
    </row>
    <row r="21" spans="1:27" s="181" customFormat="1" ht="26.4" x14ac:dyDescent="0.25">
      <c r="A21" s="117" t="s">
        <v>109</v>
      </c>
      <c r="B21" s="117" t="s">
        <v>86</v>
      </c>
      <c r="C21" s="117" t="s">
        <v>91</v>
      </c>
      <c r="D21" s="117" t="s">
        <v>77</v>
      </c>
      <c r="E21" s="117" t="s">
        <v>59</v>
      </c>
      <c r="F21" s="173"/>
      <c r="G21" s="174">
        <v>44166</v>
      </c>
      <c r="H21" s="175">
        <v>46327</v>
      </c>
      <c r="I21" s="188" t="s">
        <v>251</v>
      </c>
      <c r="J21" s="176" t="s">
        <v>114</v>
      </c>
      <c r="K21" s="176" t="s">
        <v>115</v>
      </c>
      <c r="L21" s="176" t="s">
        <v>115</v>
      </c>
      <c r="M21" s="176" t="s">
        <v>115</v>
      </c>
      <c r="N21" s="176" t="s">
        <v>115</v>
      </c>
      <c r="O21" s="176" t="s">
        <v>118</v>
      </c>
      <c r="P21" s="177" t="s">
        <v>191</v>
      </c>
      <c r="Q21" s="178" t="s">
        <v>256</v>
      </c>
      <c r="R21" s="178" t="s">
        <v>116</v>
      </c>
      <c r="S21" s="178" t="s">
        <v>117</v>
      </c>
      <c r="T21" s="178" t="s">
        <v>117</v>
      </c>
      <c r="U21" s="178" t="s">
        <v>117</v>
      </c>
      <c r="V21" s="178" t="s">
        <v>117</v>
      </c>
      <c r="W21" s="178" t="s">
        <v>119</v>
      </c>
      <c r="X21" s="179" t="s">
        <v>205</v>
      </c>
      <c r="Y21" s="180"/>
      <c r="Z21" s="176" t="s">
        <v>115</v>
      </c>
      <c r="AA21" s="178" t="s">
        <v>117</v>
      </c>
    </row>
    <row r="22" spans="1:27" s="47" customFormat="1" ht="15" x14ac:dyDescent="0.25">
      <c r="A22" s="72"/>
      <c r="B22" s="72"/>
      <c r="C22" s="72"/>
      <c r="D22" s="72"/>
      <c r="E22" s="73"/>
      <c r="F22" s="110"/>
      <c r="G22" s="73"/>
      <c r="H22" s="110"/>
      <c r="I22" s="74"/>
      <c r="J22" s="74"/>
      <c r="K22" s="74"/>
      <c r="L22" s="74"/>
      <c r="M22" s="74"/>
      <c r="N22" s="74"/>
      <c r="O22" s="74"/>
      <c r="P22" s="114">
        <f>SUM(Staff_Costs[[#This Row],[2021-22 (FTE)]:[2026-27 (FTE)]])</f>
        <v>0</v>
      </c>
      <c r="Q22" s="93"/>
      <c r="R22" s="93"/>
      <c r="S22" s="93"/>
      <c r="T22" s="93"/>
      <c r="U22" s="93"/>
      <c r="V22" s="93"/>
      <c r="W22" s="93"/>
      <c r="X22" s="94">
        <f>SUM(Staff_Costs[[#This Row],[2021-22 (£''000)]:[2026-27 (£''000)]])</f>
        <v>0</v>
      </c>
      <c r="Y22" s="71"/>
      <c r="Z22" s="74"/>
      <c r="AA22" s="160"/>
    </row>
    <row r="23" spans="1:27" s="47" customFormat="1" ht="15" x14ac:dyDescent="0.25">
      <c r="A23" s="72"/>
      <c r="B23" s="72"/>
      <c r="C23" s="72"/>
      <c r="D23" s="72"/>
      <c r="E23" s="73"/>
      <c r="F23" s="110"/>
      <c r="G23" s="73"/>
      <c r="H23" s="110"/>
      <c r="I23" s="74"/>
      <c r="J23" s="74"/>
      <c r="K23" s="74"/>
      <c r="L23" s="74"/>
      <c r="M23" s="74"/>
      <c r="N23" s="74"/>
      <c r="O23" s="74"/>
      <c r="P23" s="114">
        <f>SUM(Staff_Costs[[#This Row],[2021-22 (FTE)]:[2026-27 (FTE)]])</f>
        <v>0</v>
      </c>
      <c r="Q23" s="93"/>
      <c r="R23" s="93"/>
      <c r="S23" s="93"/>
      <c r="T23" s="93"/>
      <c r="U23" s="93"/>
      <c r="V23" s="93"/>
      <c r="W23" s="93"/>
      <c r="X23" s="94">
        <f>SUM(Staff_Costs[[#This Row],[2021-22 (£''000)]:[2026-27 (£''000)]])</f>
        <v>0</v>
      </c>
      <c r="Y23" s="71"/>
      <c r="Z23" s="74"/>
      <c r="AA23" s="160"/>
    </row>
    <row r="24" spans="1:27" s="47" customFormat="1" ht="15" x14ac:dyDescent="0.25">
      <c r="A24" s="72"/>
      <c r="B24" s="72"/>
      <c r="C24" s="72"/>
      <c r="D24" s="72"/>
      <c r="E24" s="73"/>
      <c r="F24" s="110"/>
      <c r="G24" s="73"/>
      <c r="H24" s="110"/>
      <c r="I24" s="74"/>
      <c r="J24" s="74"/>
      <c r="K24" s="74"/>
      <c r="L24" s="74"/>
      <c r="M24" s="74"/>
      <c r="N24" s="74"/>
      <c r="O24" s="74"/>
      <c r="P24" s="114">
        <f>SUM(Staff_Costs[[#This Row],[2021-22 (FTE)]:[2026-27 (FTE)]])</f>
        <v>0</v>
      </c>
      <c r="Q24" s="93"/>
      <c r="R24" s="93"/>
      <c r="S24" s="93"/>
      <c r="T24" s="93"/>
      <c r="U24" s="93"/>
      <c r="V24" s="93"/>
      <c r="W24" s="93"/>
      <c r="X24" s="94">
        <f>SUM(Staff_Costs[[#This Row],[2021-22 (£''000)]:[2026-27 (£''000)]])</f>
        <v>0</v>
      </c>
      <c r="Y24" s="71"/>
      <c r="Z24" s="74"/>
      <c r="AA24" s="160"/>
    </row>
    <row r="25" spans="1:27" s="47" customFormat="1" ht="15" x14ac:dyDescent="0.25">
      <c r="A25" s="72"/>
      <c r="B25" s="72"/>
      <c r="C25" s="72"/>
      <c r="D25" s="72"/>
      <c r="E25" s="73"/>
      <c r="F25" s="110"/>
      <c r="G25" s="73"/>
      <c r="H25" s="110"/>
      <c r="I25" s="74"/>
      <c r="J25" s="74"/>
      <c r="K25" s="74"/>
      <c r="L25" s="74"/>
      <c r="M25" s="74"/>
      <c r="N25" s="74"/>
      <c r="O25" s="74"/>
      <c r="P25" s="114">
        <f>SUM(Staff_Costs[[#This Row],[2021-22 (FTE)]:[2026-27 (FTE)]])</f>
        <v>0</v>
      </c>
      <c r="Q25" s="93"/>
      <c r="R25" s="93"/>
      <c r="S25" s="93"/>
      <c r="T25" s="93"/>
      <c r="U25" s="93"/>
      <c r="V25" s="93"/>
      <c r="W25" s="93"/>
      <c r="X25" s="94">
        <f>SUM(Staff_Costs[[#This Row],[2021-22 (£''000)]:[2026-27 (£''000)]])</f>
        <v>0</v>
      </c>
      <c r="Y25" s="71"/>
      <c r="Z25" s="74"/>
      <c r="AA25" s="160"/>
    </row>
    <row r="26" spans="1:27" s="47" customFormat="1" ht="15" x14ac:dyDescent="0.25">
      <c r="A26" s="72"/>
      <c r="B26" s="72"/>
      <c r="C26" s="72"/>
      <c r="D26" s="72"/>
      <c r="E26" s="73"/>
      <c r="F26" s="110"/>
      <c r="G26" s="73"/>
      <c r="H26" s="110"/>
      <c r="I26" s="74"/>
      <c r="J26" s="74"/>
      <c r="K26" s="74"/>
      <c r="L26" s="74"/>
      <c r="M26" s="74"/>
      <c r="N26" s="74"/>
      <c r="O26" s="74"/>
      <c r="P26" s="114">
        <f>SUM(Staff_Costs[[#This Row],[2021-22 (FTE)]:[2026-27 (FTE)]])</f>
        <v>0</v>
      </c>
      <c r="Q26" s="93"/>
      <c r="R26" s="93"/>
      <c r="S26" s="93"/>
      <c r="T26" s="93"/>
      <c r="U26" s="93"/>
      <c r="V26" s="93"/>
      <c r="W26" s="93"/>
      <c r="X26" s="94">
        <f>SUM(Staff_Costs[[#This Row],[2021-22 (£''000)]:[2026-27 (£''000)]])</f>
        <v>0</v>
      </c>
      <c r="Y26" s="71"/>
      <c r="Z26" s="74"/>
      <c r="AA26" s="160"/>
    </row>
    <row r="27" spans="1:27" s="47" customFormat="1" ht="15" x14ac:dyDescent="0.25">
      <c r="A27" s="72"/>
      <c r="B27" s="72"/>
      <c r="C27" s="72"/>
      <c r="D27" s="72"/>
      <c r="E27" s="73"/>
      <c r="F27" s="110"/>
      <c r="G27" s="73"/>
      <c r="H27" s="110"/>
      <c r="I27" s="74"/>
      <c r="J27" s="74"/>
      <c r="K27" s="74"/>
      <c r="L27" s="74"/>
      <c r="M27" s="74"/>
      <c r="N27" s="74"/>
      <c r="O27" s="74"/>
      <c r="P27" s="114">
        <f>SUM(Staff_Costs[[#This Row],[2021-22 (FTE)]:[2026-27 (FTE)]])</f>
        <v>0</v>
      </c>
      <c r="Q27" s="93"/>
      <c r="R27" s="93"/>
      <c r="S27" s="93"/>
      <c r="T27" s="93"/>
      <c r="U27" s="93"/>
      <c r="V27" s="93"/>
      <c r="W27" s="93"/>
      <c r="X27" s="94">
        <f>SUM(Staff_Costs[[#This Row],[2021-22 (£''000)]:[2026-27 (£''000)]])</f>
        <v>0</v>
      </c>
      <c r="Y27" s="71"/>
      <c r="Z27" s="74"/>
      <c r="AA27" s="160"/>
    </row>
    <row r="28" spans="1:27" s="47" customFormat="1" ht="15" x14ac:dyDescent="0.25">
      <c r="A28" s="72"/>
      <c r="B28" s="72"/>
      <c r="C28" s="72"/>
      <c r="D28" s="72"/>
      <c r="E28" s="73"/>
      <c r="F28" s="110"/>
      <c r="G28" s="73"/>
      <c r="H28" s="110"/>
      <c r="I28" s="74"/>
      <c r="J28" s="74"/>
      <c r="K28" s="74"/>
      <c r="L28" s="74"/>
      <c r="M28" s="74"/>
      <c r="N28" s="74"/>
      <c r="O28" s="74"/>
      <c r="P28" s="114">
        <f>SUM(Staff_Costs[[#This Row],[2021-22 (FTE)]:[2026-27 (FTE)]])</f>
        <v>0</v>
      </c>
      <c r="Q28" s="93"/>
      <c r="R28" s="93"/>
      <c r="S28" s="93"/>
      <c r="T28" s="93"/>
      <c r="U28" s="93"/>
      <c r="V28" s="93"/>
      <c r="W28" s="93"/>
      <c r="X28" s="94">
        <f>SUM(Staff_Costs[[#This Row],[2021-22 (£''000)]:[2026-27 (£''000)]])</f>
        <v>0</v>
      </c>
      <c r="Y28" s="71"/>
      <c r="Z28" s="74"/>
      <c r="AA28" s="160"/>
    </row>
    <row r="29" spans="1:27" s="47" customFormat="1" ht="15" x14ac:dyDescent="0.25">
      <c r="A29" s="72"/>
      <c r="B29" s="72"/>
      <c r="C29" s="72"/>
      <c r="D29" s="72"/>
      <c r="E29" s="73"/>
      <c r="F29" s="110"/>
      <c r="G29" s="73"/>
      <c r="H29" s="110"/>
      <c r="I29" s="74"/>
      <c r="J29" s="74"/>
      <c r="K29" s="74"/>
      <c r="L29" s="74"/>
      <c r="M29" s="74"/>
      <c r="N29" s="74"/>
      <c r="O29" s="74"/>
      <c r="P29" s="114">
        <f>SUM(Staff_Costs[[#This Row],[2021-22 (FTE)]:[2026-27 (FTE)]])</f>
        <v>0</v>
      </c>
      <c r="Q29" s="93"/>
      <c r="R29" s="93"/>
      <c r="S29" s="93"/>
      <c r="T29" s="93"/>
      <c r="U29" s="93"/>
      <c r="V29" s="93"/>
      <c r="W29" s="93"/>
      <c r="X29" s="94">
        <f>SUM(Staff_Costs[[#This Row],[2021-22 (£''000)]:[2026-27 (£''000)]])</f>
        <v>0</v>
      </c>
      <c r="Y29" s="71"/>
      <c r="Z29" s="74"/>
      <c r="AA29" s="160"/>
    </row>
    <row r="30" spans="1:27" s="47" customFormat="1" ht="15" x14ac:dyDescent="0.25">
      <c r="A30" s="72"/>
      <c r="B30" s="72"/>
      <c r="C30" s="72"/>
      <c r="D30" s="72"/>
      <c r="E30" s="73"/>
      <c r="F30" s="110"/>
      <c r="G30" s="73"/>
      <c r="H30" s="110"/>
      <c r="I30" s="74"/>
      <c r="J30" s="74"/>
      <c r="K30" s="74"/>
      <c r="L30" s="74"/>
      <c r="M30" s="74"/>
      <c r="N30" s="74"/>
      <c r="O30" s="74"/>
      <c r="P30" s="114">
        <f>SUM(Staff_Costs[[#This Row],[2021-22 (FTE)]:[2026-27 (FTE)]])</f>
        <v>0</v>
      </c>
      <c r="Q30" s="93"/>
      <c r="R30" s="93"/>
      <c r="S30" s="93"/>
      <c r="T30" s="93"/>
      <c r="U30" s="93"/>
      <c r="V30" s="93"/>
      <c r="W30" s="93"/>
      <c r="X30" s="94">
        <f>SUM(Staff_Costs[[#This Row],[2021-22 (£''000)]:[2026-27 (£''000)]])</f>
        <v>0</v>
      </c>
      <c r="Y30" s="71"/>
      <c r="Z30" s="74"/>
      <c r="AA30" s="160"/>
    </row>
    <row r="31" spans="1:27" s="47" customFormat="1" ht="15" x14ac:dyDescent="0.25">
      <c r="A31" s="72"/>
      <c r="B31" s="72"/>
      <c r="C31" s="72"/>
      <c r="D31" s="72"/>
      <c r="E31" s="73"/>
      <c r="F31" s="110"/>
      <c r="G31" s="73"/>
      <c r="H31" s="110"/>
      <c r="I31" s="74"/>
      <c r="J31" s="74"/>
      <c r="K31" s="74"/>
      <c r="L31" s="74"/>
      <c r="M31" s="74"/>
      <c r="N31" s="74"/>
      <c r="O31" s="74"/>
      <c r="P31" s="114">
        <f>SUM(Staff_Costs[[#This Row],[2021-22 (FTE)]:[2026-27 (FTE)]])</f>
        <v>0</v>
      </c>
      <c r="Q31" s="107"/>
      <c r="R31" s="107"/>
      <c r="S31" s="107"/>
      <c r="T31" s="107"/>
      <c r="U31" s="107"/>
      <c r="V31" s="107"/>
      <c r="W31" s="107"/>
      <c r="X31" s="94">
        <f>SUM(Staff_Costs[[#This Row],[2021-22 (£''000)]:[2026-27 (£''000)]])</f>
        <v>0</v>
      </c>
      <c r="Y31" s="71"/>
      <c r="Z31" s="116"/>
      <c r="AA31" s="161"/>
    </row>
    <row r="32" spans="1:27" ht="15" x14ac:dyDescent="0.25">
      <c r="A32" s="72"/>
      <c r="B32" s="72"/>
      <c r="C32" s="72"/>
      <c r="D32" s="72"/>
      <c r="E32" s="73"/>
      <c r="F32" s="110"/>
      <c r="G32" s="73"/>
      <c r="H32" s="110"/>
      <c r="I32" s="74"/>
      <c r="J32" s="74"/>
      <c r="K32" s="74"/>
      <c r="L32" s="74"/>
      <c r="M32" s="74"/>
      <c r="N32" s="74"/>
      <c r="O32" s="74"/>
      <c r="P32" s="114">
        <f>SUM(Staff_Costs[[#This Row],[2021-22 (FTE)]:[2026-27 (FTE)]])</f>
        <v>0</v>
      </c>
      <c r="Q32" s="107"/>
      <c r="R32" s="107"/>
      <c r="S32" s="107"/>
      <c r="T32" s="107"/>
      <c r="U32" s="107"/>
      <c r="V32" s="107"/>
      <c r="W32" s="107"/>
      <c r="X32" s="94">
        <f>SUM(Staff_Costs[[#This Row],[2021-22 (£''000)]:[2026-27 (£''000)]])</f>
        <v>0</v>
      </c>
      <c r="Y32" s="86"/>
      <c r="Z32" s="116"/>
      <c r="AA32" s="161"/>
    </row>
    <row r="33" spans="1:27" ht="15" x14ac:dyDescent="0.25">
      <c r="A33" s="72"/>
      <c r="B33" s="72"/>
      <c r="C33" s="72"/>
      <c r="D33" s="72"/>
      <c r="E33" s="73"/>
      <c r="F33" s="110"/>
      <c r="G33" s="73"/>
      <c r="H33" s="110"/>
      <c r="I33" s="74"/>
      <c r="J33" s="74"/>
      <c r="K33" s="74"/>
      <c r="L33" s="74"/>
      <c r="M33" s="74"/>
      <c r="N33" s="74"/>
      <c r="O33" s="74"/>
      <c r="P33" s="114">
        <f>SUM(Staff_Costs[[#This Row],[2021-22 (FTE)]:[2026-27 (FTE)]])</f>
        <v>0</v>
      </c>
      <c r="Q33" s="107"/>
      <c r="R33" s="107"/>
      <c r="S33" s="107"/>
      <c r="T33" s="107"/>
      <c r="U33" s="107"/>
      <c r="V33" s="107"/>
      <c r="W33" s="107"/>
      <c r="X33" s="94">
        <f>SUM(Staff_Costs[[#This Row],[2021-22 (£''000)]:[2026-27 (£''000)]])</f>
        <v>0</v>
      </c>
      <c r="Y33" s="86"/>
      <c r="Z33" s="116"/>
      <c r="AA33" s="161"/>
    </row>
    <row r="34" spans="1:27" ht="15" x14ac:dyDescent="0.25">
      <c r="A34" s="72"/>
      <c r="B34" s="72"/>
      <c r="C34" s="72"/>
      <c r="D34" s="72"/>
      <c r="E34" s="73"/>
      <c r="F34" s="110"/>
      <c r="G34" s="73"/>
      <c r="H34" s="110"/>
      <c r="I34" s="74"/>
      <c r="J34" s="74"/>
      <c r="K34" s="74"/>
      <c r="L34" s="74"/>
      <c r="M34" s="74"/>
      <c r="N34" s="74"/>
      <c r="O34" s="74"/>
      <c r="P34" s="114">
        <f>SUM(Staff_Costs[[#This Row],[2021-22 (FTE)]:[2026-27 (FTE)]])</f>
        <v>0</v>
      </c>
      <c r="Q34" s="107"/>
      <c r="R34" s="107"/>
      <c r="S34" s="107"/>
      <c r="T34" s="107"/>
      <c r="U34" s="107"/>
      <c r="V34" s="107"/>
      <c r="W34" s="107"/>
      <c r="X34" s="94">
        <f>SUM(Staff_Costs[[#This Row],[2021-22 (£''000)]:[2026-27 (£''000)]])</f>
        <v>0</v>
      </c>
      <c r="Y34" s="86"/>
      <c r="Z34" s="116"/>
      <c r="AA34" s="161"/>
    </row>
    <row r="35" spans="1:27" ht="15" x14ac:dyDescent="0.25">
      <c r="A35" s="72"/>
      <c r="B35" s="72"/>
      <c r="C35" s="72"/>
      <c r="D35" s="72"/>
      <c r="E35" s="73"/>
      <c r="F35" s="110"/>
      <c r="G35" s="73"/>
      <c r="H35" s="110"/>
      <c r="I35" s="74"/>
      <c r="J35" s="74"/>
      <c r="K35" s="74"/>
      <c r="L35" s="74"/>
      <c r="M35" s="74"/>
      <c r="N35" s="74"/>
      <c r="O35" s="74"/>
      <c r="P35" s="114">
        <f>SUM(Staff_Costs[[#This Row],[2021-22 (FTE)]:[2026-27 (FTE)]])</f>
        <v>0</v>
      </c>
      <c r="Q35" s="107"/>
      <c r="R35" s="107"/>
      <c r="S35" s="107"/>
      <c r="T35" s="107"/>
      <c r="U35" s="107"/>
      <c r="V35" s="107"/>
      <c r="W35" s="107"/>
      <c r="X35" s="94">
        <f>SUM(Staff_Costs[[#This Row],[2021-22 (£''000)]:[2026-27 (£''000)]])</f>
        <v>0</v>
      </c>
      <c r="Y35" s="86"/>
      <c r="Z35" s="116"/>
      <c r="AA35" s="161"/>
    </row>
    <row r="36" spans="1:27" ht="15" x14ac:dyDescent="0.25">
      <c r="A36" s="72"/>
      <c r="B36" s="72"/>
      <c r="C36" s="72"/>
      <c r="D36" s="72"/>
      <c r="E36" s="73"/>
      <c r="F36" s="110"/>
      <c r="G36" s="73"/>
      <c r="H36" s="110"/>
      <c r="I36" s="74"/>
      <c r="J36" s="74"/>
      <c r="K36" s="74"/>
      <c r="L36" s="74"/>
      <c r="M36" s="74"/>
      <c r="N36" s="74"/>
      <c r="O36" s="74"/>
      <c r="P36" s="114">
        <f>SUM(Staff_Costs[[#This Row],[2021-22 (FTE)]:[2026-27 (FTE)]])</f>
        <v>0</v>
      </c>
      <c r="Q36" s="107"/>
      <c r="R36" s="107"/>
      <c r="S36" s="107"/>
      <c r="T36" s="107"/>
      <c r="U36" s="107"/>
      <c r="V36" s="107"/>
      <c r="W36" s="107"/>
      <c r="X36" s="94">
        <f>SUM(Staff_Costs[[#This Row],[2021-22 (£''000)]:[2026-27 (£''000)]])</f>
        <v>0</v>
      </c>
      <c r="Y36" s="86"/>
      <c r="Z36" s="116"/>
      <c r="AA36" s="161"/>
    </row>
    <row r="37" spans="1:27" s="19" customFormat="1" ht="15" x14ac:dyDescent="0.25">
      <c r="A37" s="108"/>
      <c r="B37" s="72"/>
      <c r="C37" s="72"/>
      <c r="D37" s="72"/>
      <c r="E37" s="73"/>
      <c r="F37" s="110"/>
      <c r="G37" s="73"/>
      <c r="H37" s="110"/>
      <c r="I37" s="74"/>
      <c r="J37" s="74"/>
      <c r="K37" s="74"/>
      <c r="L37" s="74"/>
      <c r="M37" s="74"/>
      <c r="N37" s="74"/>
      <c r="O37" s="74"/>
      <c r="P37" s="114">
        <f>SUM(Staff_Costs[[#This Row],[2021-22 (FTE)]:[2026-27 (FTE)]])</f>
        <v>0</v>
      </c>
      <c r="Q37" s="107"/>
      <c r="R37" s="107"/>
      <c r="S37" s="107"/>
      <c r="T37" s="107"/>
      <c r="U37" s="107"/>
      <c r="V37" s="107"/>
      <c r="W37" s="107"/>
      <c r="X37" s="94">
        <f>SUM(Staff_Costs[[#This Row],[2021-22 (£''000)]:[2026-27 (£''000)]])</f>
        <v>0</v>
      </c>
      <c r="Y37" s="162"/>
      <c r="Z37" s="116"/>
      <c r="AA37" s="161"/>
    </row>
    <row r="38" spans="1:27" ht="15" x14ac:dyDescent="0.25">
      <c r="A38" s="72"/>
      <c r="B38" s="72"/>
      <c r="C38" s="72"/>
      <c r="D38" s="72"/>
      <c r="E38" s="73"/>
      <c r="F38" s="110"/>
      <c r="G38" s="73"/>
      <c r="H38" s="110"/>
      <c r="I38" s="74"/>
      <c r="J38" s="74"/>
      <c r="K38" s="74"/>
      <c r="L38" s="74"/>
      <c r="M38" s="74"/>
      <c r="N38" s="74"/>
      <c r="O38" s="74"/>
      <c r="P38" s="114">
        <f>SUM(Staff_Costs[[#This Row],[2021-22 (FTE)]:[2026-27 (FTE)]])</f>
        <v>0</v>
      </c>
      <c r="Q38" s="107"/>
      <c r="R38" s="107"/>
      <c r="S38" s="107"/>
      <c r="T38" s="107"/>
      <c r="U38" s="107"/>
      <c r="V38" s="107"/>
      <c r="W38" s="107"/>
      <c r="X38" s="94">
        <f>SUM(Staff_Costs[[#This Row],[2021-22 (£''000)]:[2026-27 (£''000)]])</f>
        <v>0</v>
      </c>
      <c r="Y38" s="86"/>
      <c r="Z38" s="116"/>
      <c r="AA38" s="161"/>
    </row>
    <row r="39" spans="1:27" ht="15" x14ac:dyDescent="0.25">
      <c r="A39" s="72"/>
      <c r="B39" s="72"/>
      <c r="C39" s="72"/>
      <c r="D39" s="72"/>
      <c r="E39" s="73"/>
      <c r="F39" s="110"/>
      <c r="G39" s="73"/>
      <c r="H39" s="110"/>
      <c r="I39" s="74"/>
      <c r="J39" s="74"/>
      <c r="K39" s="74"/>
      <c r="L39" s="74"/>
      <c r="M39" s="74"/>
      <c r="N39" s="74"/>
      <c r="O39" s="74"/>
      <c r="P39" s="114">
        <f>SUM(Staff_Costs[[#This Row],[2021-22 (FTE)]:[2026-27 (FTE)]])</f>
        <v>0</v>
      </c>
      <c r="Q39" s="107"/>
      <c r="R39" s="107"/>
      <c r="S39" s="107"/>
      <c r="T39" s="107"/>
      <c r="U39" s="107"/>
      <c r="V39" s="107"/>
      <c r="W39" s="107"/>
      <c r="X39" s="94">
        <f>SUM(Staff_Costs[[#This Row],[2021-22 (£''000)]:[2026-27 (£''000)]])</f>
        <v>0</v>
      </c>
      <c r="Y39" s="86"/>
      <c r="Z39" s="116"/>
      <c r="AA39" s="161"/>
    </row>
    <row r="40" spans="1:27" ht="15" x14ac:dyDescent="0.25">
      <c r="A40" s="72"/>
      <c r="B40" s="72"/>
      <c r="C40" s="72"/>
      <c r="D40" s="72"/>
      <c r="E40" s="73"/>
      <c r="F40" s="110"/>
      <c r="G40" s="73"/>
      <c r="H40" s="110"/>
      <c r="I40" s="74"/>
      <c r="J40" s="74"/>
      <c r="K40" s="74"/>
      <c r="L40" s="74"/>
      <c r="M40" s="74"/>
      <c r="N40" s="74"/>
      <c r="O40" s="74"/>
      <c r="P40" s="114">
        <f>SUM(Staff_Costs[[#This Row],[2021-22 (FTE)]:[2026-27 (FTE)]])</f>
        <v>0</v>
      </c>
      <c r="Q40" s="107"/>
      <c r="R40" s="107"/>
      <c r="S40" s="107"/>
      <c r="T40" s="107"/>
      <c r="U40" s="107"/>
      <c r="V40" s="107"/>
      <c r="W40" s="107"/>
      <c r="X40" s="94">
        <f>SUM(Staff_Costs[[#This Row],[2021-22 (£''000)]:[2026-27 (£''000)]])</f>
        <v>0</v>
      </c>
      <c r="Y40" s="86"/>
      <c r="Z40" s="116"/>
      <c r="AA40" s="161"/>
    </row>
    <row r="41" spans="1:27" ht="15" x14ac:dyDescent="0.25">
      <c r="A41" s="72"/>
      <c r="B41" s="72"/>
      <c r="C41" s="72"/>
      <c r="D41" s="72"/>
      <c r="E41" s="73"/>
      <c r="F41" s="110"/>
      <c r="G41" s="73"/>
      <c r="H41" s="110"/>
      <c r="I41" s="74"/>
      <c r="J41" s="74"/>
      <c r="K41" s="74"/>
      <c r="L41" s="74"/>
      <c r="M41" s="74"/>
      <c r="N41" s="74"/>
      <c r="O41" s="74"/>
      <c r="P41" s="114">
        <f>SUM(Staff_Costs[[#This Row],[2021-22 (FTE)]:[2026-27 (FTE)]])</f>
        <v>0</v>
      </c>
      <c r="Q41" s="107"/>
      <c r="R41" s="107"/>
      <c r="S41" s="107"/>
      <c r="T41" s="107"/>
      <c r="U41" s="107"/>
      <c r="V41" s="107"/>
      <c r="W41" s="107"/>
      <c r="X41" s="94">
        <f>SUM(Staff_Costs[[#This Row],[2021-22 (£''000)]:[2026-27 (£''000)]])</f>
        <v>0</v>
      </c>
      <c r="Y41" s="86"/>
      <c r="Z41" s="116"/>
      <c r="AA41" s="161"/>
    </row>
    <row r="42" spans="1:27" ht="15" x14ac:dyDescent="0.25">
      <c r="A42" s="72"/>
      <c r="B42" s="72"/>
      <c r="C42" s="72"/>
      <c r="D42" s="72"/>
      <c r="E42" s="73"/>
      <c r="F42" s="110"/>
      <c r="G42" s="73"/>
      <c r="H42" s="110"/>
      <c r="I42" s="74"/>
      <c r="J42" s="74"/>
      <c r="K42" s="74"/>
      <c r="L42" s="74"/>
      <c r="M42" s="74"/>
      <c r="N42" s="74"/>
      <c r="O42" s="74"/>
      <c r="P42" s="114">
        <f>SUM(Staff_Costs[[#This Row],[2021-22 (FTE)]:[2026-27 (FTE)]])</f>
        <v>0</v>
      </c>
      <c r="Q42" s="107"/>
      <c r="R42" s="107"/>
      <c r="S42" s="107"/>
      <c r="T42" s="107"/>
      <c r="U42" s="107"/>
      <c r="V42" s="107"/>
      <c r="W42" s="107"/>
      <c r="X42" s="94">
        <f>SUM(Staff_Costs[[#This Row],[2021-22 (£''000)]:[2026-27 (£''000)]])</f>
        <v>0</v>
      </c>
      <c r="Y42" s="86"/>
      <c r="Z42" s="116"/>
      <c r="AA42" s="161"/>
    </row>
    <row r="43" spans="1:27" ht="15" x14ac:dyDescent="0.25">
      <c r="A43" s="163" t="s">
        <v>75</v>
      </c>
      <c r="B43" s="72"/>
      <c r="C43" s="72"/>
      <c r="D43" s="72"/>
      <c r="E43" s="73"/>
      <c r="F43" s="110"/>
      <c r="G43" s="73"/>
      <c r="H43" s="110"/>
      <c r="I43" s="74"/>
      <c r="J43" s="74"/>
      <c r="K43" s="74"/>
      <c r="L43" s="74"/>
      <c r="M43" s="74"/>
      <c r="N43" s="74"/>
      <c r="O43" s="74"/>
      <c r="P43" s="114">
        <f>SUM(Staff_Costs[[#This Row],[2021-22 (FTE)]:[2026-27 (FTE)]])</f>
        <v>0</v>
      </c>
      <c r="Q43" s="107"/>
      <c r="R43" s="107"/>
      <c r="S43" s="107"/>
      <c r="T43" s="107"/>
      <c r="U43" s="107"/>
      <c r="V43" s="107"/>
      <c r="W43" s="107"/>
      <c r="X43" s="94">
        <f>SUM(Staff_Costs[[#This Row],[2021-22 (£''000)]:[2026-27 (£''000)]])</f>
        <v>0</v>
      </c>
      <c r="Y43" s="86"/>
      <c r="Z43" s="116"/>
      <c r="AA43" s="161"/>
    </row>
    <row r="44" spans="1:27" x14ac:dyDescent="0.25">
      <c r="A44" s="91" t="s">
        <v>1</v>
      </c>
      <c r="B44" s="91"/>
      <c r="C44" s="91"/>
      <c r="D44" s="91"/>
      <c r="E44" s="91"/>
      <c r="F44" s="111"/>
      <c r="G44" s="86"/>
      <c r="H44" s="111"/>
      <c r="I44" s="189">
        <f>SUBTOTAL(109,Staff_Costs[Seedcorn bid development (FTE)])</f>
        <v>0</v>
      </c>
      <c r="J44" s="75">
        <f>SUBTOTAL(109,Staff_Costs[2021-22 (FTE)])</f>
        <v>0</v>
      </c>
      <c r="K44" s="75">
        <f>SUBTOTAL(109,Staff_Costs[2022-23 (FTE)])</f>
        <v>0</v>
      </c>
      <c r="L44" s="75">
        <f>SUBTOTAL(109,Staff_Costs[2023-24 (FTE)])</f>
        <v>0</v>
      </c>
      <c r="M44" s="75">
        <f>SUBTOTAL(109,Staff_Costs[2024-25 (FTE)])</f>
        <v>0</v>
      </c>
      <c r="N44" s="75">
        <f>SUBTOTAL(109,Staff_Costs[2025-26 (FTE)])</f>
        <v>0</v>
      </c>
      <c r="O44" s="75">
        <f>SUBTOTAL(109,Staff_Costs[2026-27 (FTE)])</f>
        <v>0</v>
      </c>
      <c r="P44" s="115">
        <f>SUBTOTAL(109,Staff_Costs[Total 2021-27 (FTE)])</f>
        <v>0</v>
      </c>
      <c r="Q44" s="190">
        <f>SUBTOTAL(109,Staff_Costs[Seedcorn bid development (£''000)])</f>
        <v>0</v>
      </c>
      <c r="R44" s="92">
        <f>SUBTOTAL(109,Staff_Costs[2021-22 (£''000)])</f>
        <v>0</v>
      </c>
      <c r="S44" s="92">
        <f>SUBTOTAL(109,Staff_Costs[2022-23 (£''000)])</f>
        <v>0</v>
      </c>
      <c r="T44" s="92">
        <f>SUBTOTAL(109,Staff_Costs[2023-24 (£''000)])</f>
        <v>0</v>
      </c>
      <c r="U44" s="92">
        <f>SUBTOTAL(109,Staff_Costs[2024-25 (£''000)])</f>
        <v>0</v>
      </c>
      <c r="V44" s="92">
        <f>SUBTOTAL(109,Staff_Costs[2025-26 (£''000)])</f>
        <v>0</v>
      </c>
      <c r="W44" s="92">
        <f>SUBTOTAL(109,Staff_Costs[2026-27 (£''000)])</f>
        <v>0</v>
      </c>
      <c r="X44" s="76">
        <f>SUBTOTAL(109,Staff_Costs[Total 2021-27 (£''000)])</f>
        <v>0</v>
      </c>
      <c r="Y44" s="86"/>
      <c r="Z44" s="75">
        <f>SUBTOTAL(109,Staff_Costs_SS[Steady state (FTE)])</f>
        <v>0</v>
      </c>
      <c r="AA44" s="164">
        <f>SUBTOTAL(109,Staff_Costs_SS[Steady State (£''000)])</f>
        <v>0</v>
      </c>
    </row>
  </sheetData>
  <mergeCells count="2">
    <mergeCell ref="Q19:X19"/>
    <mergeCell ref="I19:P19"/>
  </mergeCells>
  <dataValidations count="4">
    <dataValidation type="list" allowBlank="1" showInputMessage="1" showErrorMessage="1" sqref="D21:D43">
      <formula1>VALIDATION_FundType_Costs</formula1>
    </dataValidation>
    <dataValidation type="list" allowBlank="1" showInputMessage="1" showErrorMessage="1" sqref="E21:E43">
      <formula1>VALIDATION_FundingStatus</formula1>
    </dataValidation>
    <dataValidation type="list" allowBlank="1" showInputMessage="1" showErrorMessage="1" sqref="B21:B43">
      <formula1>VALIDATION_ConsortiumOrgs</formula1>
    </dataValidation>
    <dataValidation type="list" allowBlank="1" showInputMessage="1" showErrorMessage="1" sqref="C21:C43">
      <formula1>VALIDATION_FundingSource</formula1>
    </dataValidation>
  </dataValidations>
  <pageMargins left="0.7" right="0.7" top="0.75" bottom="0.75" header="0.3" footer="0.3"/>
  <pageSetup paperSize="9" scale="56" orientation="landscape" r:id="rId1"/>
  <ignoredErrors>
    <ignoredError sqref="P21" calculatedColumn="1"/>
  </ignoredErrors>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R55"/>
  <sheetViews>
    <sheetView workbookViewId="0"/>
  </sheetViews>
  <sheetFormatPr defaultRowHeight="13.2" x14ac:dyDescent="0.25"/>
  <cols>
    <col min="1" max="1" width="35.5546875" customWidth="1"/>
    <col min="2" max="2" width="23" customWidth="1"/>
    <col min="3" max="3" width="16.44140625" customWidth="1"/>
    <col min="4" max="4" width="17.77734375" bestFit="1" customWidth="1"/>
    <col min="5" max="5" width="20.21875" customWidth="1"/>
    <col min="6" max="6" width="15.5546875" customWidth="1"/>
    <col min="7" max="7" width="17.77734375" customWidth="1"/>
    <col min="8" max="8" width="20.77734375" customWidth="1"/>
    <col min="9" max="9" width="13.5546875" customWidth="1"/>
    <col min="10" max="13" width="9" customWidth="1"/>
    <col min="14" max="14" width="7.77734375" customWidth="1"/>
  </cols>
  <sheetData>
    <row r="1" spans="1:8" ht="17.399999999999999" x14ac:dyDescent="0.25">
      <c r="A1" s="32" t="str">
        <f>GUIDANCE!A1</f>
        <v>UK Research and Innovation Strength in Places Fund - Wave 2</v>
      </c>
      <c r="B1" s="3"/>
      <c r="C1" s="3"/>
    </row>
    <row r="2" spans="1:8" ht="17.399999999999999" x14ac:dyDescent="0.25">
      <c r="A2" s="32" t="str">
        <f>GUIDANCE!A2</f>
        <v>Financial information for expression of interest proposals</v>
      </c>
      <c r="B2" s="3"/>
      <c r="C2" s="3"/>
    </row>
    <row r="3" spans="1:8" ht="17.399999999999999" x14ac:dyDescent="0.25">
      <c r="A3" s="3"/>
      <c r="B3" s="3"/>
      <c r="C3" s="3"/>
    </row>
    <row r="4" spans="1:8" ht="17.399999999999999" x14ac:dyDescent="0.3">
      <c r="A4" s="2" t="s">
        <v>150</v>
      </c>
      <c r="B4" s="2"/>
      <c r="C4" s="2"/>
      <c r="D4" s="6"/>
      <c r="E4" s="6"/>
      <c r="F4" s="6"/>
      <c r="G4" s="6"/>
      <c r="H4" s="6"/>
    </row>
    <row r="5" spans="1:8" ht="13.8" x14ac:dyDescent="0.25">
      <c r="A5" s="4"/>
      <c r="B5" s="4"/>
      <c r="C5" s="4"/>
      <c r="D5" s="6"/>
      <c r="E5" s="6"/>
      <c r="F5" s="6"/>
      <c r="G5" s="6"/>
      <c r="H5" s="6"/>
    </row>
    <row r="6" spans="1:8" s="19" customFormat="1" ht="13.8" x14ac:dyDescent="0.25">
      <c r="A6" s="37" t="s">
        <v>2</v>
      </c>
      <c r="B6" s="38" t="str">
        <f>'0. Project &amp; consortium'!B14</f>
        <v>Project ABCDE</v>
      </c>
      <c r="C6" s="38"/>
      <c r="D6" s="38"/>
      <c r="E6" s="38"/>
      <c r="F6" s="38"/>
    </row>
    <row r="7" spans="1:8" s="19" customFormat="1" ht="13.8" x14ac:dyDescent="0.25">
      <c r="A7" s="37"/>
      <c r="B7" s="36"/>
    </row>
    <row r="8" spans="1:8" s="19" customFormat="1" ht="13.8" x14ac:dyDescent="0.25">
      <c r="A8" s="37" t="s">
        <v>12</v>
      </c>
      <c r="B8" s="38" t="str">
        <f>'0. Project &amp; consortium'!B17</f>
        <v>E.g. ABC Ltd or University X</v>
      </c>
    </row>
    <row r="9" spans="1:8" ht="13.8" x14ac:dyDescent="0.25">
      <c r="A9" s="4"/>
      <c r="B9" s="4"/>
      <c r="C9" s="4"/>
      <c r="D9" s="6"/>
      <c r="E9" s="6"/>
      <c r="F9" s="6"/>
      <c r="G9" s="6"/>
      <c r="H9" s="6"/>
    </row>
    <row r="10" spans="1:8" s="87" customFormat="1" ht="13.8" x14ac:dyDescent="0.25">
      <c r="A10" s="99" t="s">
        <v>0</v>
      </c>
      <c r="B10" s="4"/>
      <c r="C10" s="4"/>
      <c r="D10" s="6"/>
      <c r="E10" s="6"/>
      <c r="F10" s="6"/>
      <c r="G10" s="6"/>
      <c r="H10" s="6"/>
    </row>
    <row r="11" spans="1:8" s="87" customFormat="1" ht="13.8" x14ac:dyDescent="0.25">
      <c r="A11" s="37" t="s">
        <v>174</v>
      </c>
      <c r="B11" s="4"/>
      <c r="C11" s="4"/>
      <c r="D11" s="6"/>
      <c r="E11" s="6"/>
      <c r="F11" s="6"/>
      <c r="G11" s="6"/>
      <c r="H11" s="6"/>
    </row>
    <row r="12" spans="1:8" s="16" customFormat="1" ht="13.8" x14ac:dyDescent="0.25">
      <c r="A12" s="97" t="s">
        <v>278</v>
      </c>
    </row>
    <row r="13" spans="1:8" s="87" customFormat="1" ht="13.8" x14ac:dyDescent="0.25">
      <c r="A13" s="97" t="s">
        <v>228</v>
      </c>
      <c r="B13" s="4"/>
      <c r="C13" s="4"/>
      <c r="D13" s="6"/>
      <c r="E13" s="6"/>
      <c r="F13" s="6"/>
      <c r="G13" s="6"/>
      <c r="H13" s="6"/>
    </row>
    <row r="14" spans="1:8" s="87" customFormat="1" ht="13.8" x14ac:dyDescent="0.25">
      <c r="A14" s="13" t="s">
        <v>180</v>
      </c>
      <c r="B14" s="4"/>
      <c r="C14" s="4"/>
      <c r="D14" s="6"/>
      <c r="E14" s="6"/>
      <c r="F14" s="6"/>
      <c r="G14" s="6"/>
      <c r="H14" s="6"/>
    </row>
    <row r="15" spans="1:8" s="87" customFormat="1" ht="13.8" x14ac:dyDescent="0.25">
      <c r="A15" s="13" t="s">
        <v>221</v>
      </c>
      <c r="B15" s="4"/>
      <c r="C15" s="4"/>
      <c r="D15" s="6"/>
      <c r="E15" s="6"/>
      <c r="F15" s="6"/>
      <c r="G15" s="6"/>
      <c r="H15" s="6"/>
    </row>
    <row r="16" spans="1:8" s="87" customFormat="1" ht="13.8" x14ac:dyDescent="0.25">
      <c r="A16" s="19" t="s">
        <v>220</v>
      </c>
      <c r="B16" s="4"/>
      <c r="C16" s="4"/>
      <c r="D16" s="6"/>
      <c r="E16" s="6"/>
      <c r="F16" s="6"/>
      <c r="G16" s="6"/>
      <c r="H16" s="6"/>
    </row>
    <row r="17" spans="1:18" ht="13.8" x14ac:dyDescent="0.25">
      <c r="A17" s="98" t="s">
        <v>226</v>
      </c>
      <c r="B17" s="98"/>
      <c r="C17" s="98"/>
      <c r="D17" s="98"/>
      <c r="E17" s="6"/>
      <c r="F17" s="6"/>
      <c r="G17" s="6"/>
      <c r="H17" s="6"/>
    </row>
    <row r="18" spans="1:18" s="87" customFormat="1" ht="13.8" x14ac:dyDescent="0.25">
      <c r="A18" s="98" t="s">
        <v>234</v>
      </c>
      <c r="B18" s="98"/>
      <c r="C18" s="98"/>
      <c r="D18" s="98"/>
      <c r="E18" s="6"/>
      <c r="F18" s="6"/>
      <c r="G18" s="6"/>
      <c r="H18" s="6"/>
    </row>
    <row r="19" spans="1:18" ht="13.8" x14ac:dyDescent="0.25">
      <c r="A19" s="6"/>
      <c r="B19" s="4"/>
      <c r="C19" s="4"/>
      <c r="D19" s="6"/>
      <c r="E19" s="6"/>
      <c r="F19" s="6"/>
      <c r="G19" s="6"/>
      <c r="H19" s="6"/>
    </row>
    <row r="20" spans="1:18" ht="13.8" x14ac:dyDescent="0.25">
      <c r="A20" s="8"/>
      <c r="B20" s="8"/>
      <c r="C20" s="8"/>
      <c r="D20" s="9"/>
      <c r="E20" s="9"/>
      <c r="F20" s="9"/>
      <c r="G20" s="9"/>
      <c r="H20" s="6"/>
    </row>
    <row r="21" spans="1:18" s="86" customFormat="1" ht="52.8" x14ac:dyDescent="0.25">
      <c r="A21" s="45" t="s">
        <v>70</v>
      </c>
      <c r="B21" s="45" t="s">
        <v>182</v>
      </c>
      <c r="C21" s="45" t="s">
        <v>183</v>
      </c>
      <c r="D21" s="45" t="s">
        <v>194</v>
      </c>
      <c r="E21" s="45" t="s">
        <v>184</v>
      </c>
      <c r="F21" s="45" t="s">
        <v>181</v>
      </c>
      <c r="G21" s="45" t="s">
        <v>185</v>
      </c>
      <c r="H21" s="45" t="s">
        <v>170</v>
      </c>
      <c r="I21" s="187" t="s">
        <v>267</v>
      </c>
      <c r="J21" s="45" t="s">
        <v>71</v>
      </c>
      <c r="K21" s="45" t="s">
        <v>72</v>
      </c>
      <c r="L21" s="45" t="s">
        <v>73</v>
      </c>
      <c r="M21" s="45" t="s">
        <v>74</v>
      </c>
      <c r="N21" s="45" t="s">
        <v>255</v>
      </c>
      <c r="O21" s="45" t="s">
        <v>254</v>
      </c>
      <c r="P21" s="66" t="s">
        <v>258</v>
      </c>
      <c r="R21" s="86" t="s">
        <v>93</v>
      </c>
    </row>
    <row r="22" spans="1:18" s="119" customFormat="1" ht="39.6" x14ac:dyDescent="0.25">
      <c r="A22" s="117" t="s">
        <v>196</v>
      </c>
      <c r="B22" s="117" t="s">
        <v>8</v>
      </c>
      <c r="C22" s="117" t="s">
        <v>86</v>
      </c>
      <c r="D22" s="117" t="s">
        <v>192</v>
      </c>
      <c r="E22" s="117" t="s">
        <v>160</v>
      </c>
      <c r="F22" s="117" t="s">
        <v>197</v>
      </c>
      <c r="G22" s="117" t="s">
        <v>14</v>
      </c>
      <c r="H22" s="117" t="s">
        <v>195</v>
      </c>
      <c r="I22" s="117"/>
      <c r="J22" s="117" t="s">
        <v>107</v>
      </c>
      <c r="K22" s="117"/>
      <c r="L22" s="117" t="s">
        <v>107</v>
      </c>
      <c r="M22" s="117"/>
      <c r="N22" s="117"/>
      <c r="O22" s="117"/>
      <c r="P22" s="118" t="s">
        <v>108</v>
      </c>
      <c r="R22" s="117"/>
    </row>
    <row r="23" spans="1:18" s="86" customFormat="1" x14ac:dyDescent="0.25">
      <c r="A23" s="129"/>
      <c r="B23" s="129"/>
      <c r="C23" s="129"/>
      <c r="D23" s="129"/>
      <c r="E23" s="129"/>
      <c r="F23" s="129"/>
      <c r="G23" s="129"/>
      <c r="H23" s="129"/>
      <c r="I23" s="129"/>
      <c r="J23" s="130"/>
      <c r="K23" s="130"/>
      <c r="L23" s="130"/>
      <c r="M23" s="130"/>
      <c r="N23" s="130"/>
      <c r="O23" s="130"/>
      <c r="P23" s="65">
        <f>SUM(NonStaff_Op_Costs[[#This Row],[2021-22 (£''000)]:[2026-27 (£''000)]])</f>
        <v>0</v>
      </c>
      <c r="R23" s="130"/>
    </row>
    <row r="24" spans="1:18" s="86" customFormat="1" x14ac:dyDescent="0.25">
      <c r="A24" s="129"/>
      <c r="B24" s="129"/>
      <c r="C24" s="129"/>
      <c r="D24" s="129"/>
      <c r="E24" s="129"/>
      <c r="F24" s="129"/>
      <c r="G24" s="129"/>
      <c r="H24" s="129"/>
      <c r="I24" s="129"/>
      <c r="J24" s="130"/>
      <c r="K24" s="130"/>
      <c r="L24" s="130"/>
      <c r="M24" s="130"/>
      <c r="N24" s="130"/>
      <c r="O24" s="130"/>
      <c r="P24" s="65">
        <f>SUM(NonStaff_Op_Costs[[#This Row],[2021-22 (£''000)]:[2026-27 (£''000)]])</f>
        <v>0</v>
      </c>
      <c r="R24" s="130"/>
    </row>
    <row r="25" spans="1:18" s="100" customFormat="1" x14ac:dyDescent="0.25">
      <c r="A25" s="129"/>
      <c r="B25" s="129"/>
      <c r="C25" s="129"/>
      <c r="D25" s="129"/>
      <c r="E25" s="129"/>
      <c r="F25" s="129"/>
      <c r="G25" s="129"/>
      <c r="H25" s="129"/>
      <c r="I25" s="129"/>
      <c r="J25" s="130"/>
      <c r="K25" s="130"/>
      <c r="L25" s="130"/>
      <c r="M25" s="130"/>
      <c r="N25" s="130"/>
      <c r="O25" s="130"/>
      <c r="P25" s="65">
        <f>SUM(NonStaff_Op_Costs[[#This Row],[2021-22 (£''000)]:[2026-27 (£''000)]])</f>
        <v>0</v>
      </c>
      <c r="R25" s="130"/>
    </row>
    <row r="26" spans="1:18" s="86" customFormat="1" x14ac:dyDescent="0.25">
      <c r="A26" s="129"/>
      <c r="B26" s="129"/>
      <c r="C26" s="129"/>
      <c r="D26" s="129"/>
      <c r="E26" s="129"/>
      <c r="F26" s="129"/>
      <c r="G26" s="129"/>
      <c r="H26" s="129"/>
      <c r="I26" s="129"/>
      <c r="J26" s="130"/>
      <c r="K26" s="130"/>
      <c r="L26" s="130"/>
      <c r="M26" s="130"/>
      <c r="N26" s="130"/>
      <c r="O26" s="130"/>
      <c r="P26" s="65">
        <f>SUM(NonStaff_Op_Costs[[#This Row],[2021-22 (£''000)]:[2026-27 (£''000)]])</f>
        <v>0</v>
      </c>
      <c r="R26" s="130"/>
    </row>
    <row r="27" spans="1:18" s="86" customFormat="1" x14ac:dyDescent="0.25">
      <c r="A27" s="129"/>
      <c r="B27" s="129"/>
      <c r="C27" s="129"/>
      <c r="D27" s="129"/>
      <c r="E27" s="129"/>
      <c r="F27" s="129"/>
      <c r="G27" s="129"/>
      <c r="H27" s="129"/>
      <c r="I27" s="129"/>
      <c r="J27" s="130"/>
      <c r="K27" s="130"/>
      <c r="L27" s="130"/>
      <c r="M27" s="130"/>
      <c r="N27" s="130"/>
      <c r="O27" s="130"/>
      <c r="P27" s="65">
        <f>SUM(NonStaff_Op_Costs[[#This Row],[2021-22 (£''000)]:[2026-27 (£''000)]])</f>
        <v>0</v>
      </c>
      <c r="R27" s="130"/>
    </row>
    <row r="28" spans="1:18" s="86" customFormat="1" x14ac:dyDescent="0.25">
      <c r="A28" s="129"/>
      <c r="B28" s="129"/>
      <c r="C28" s="129"/>
      <c r="D28" s="129"/>
      <c r="E28" s="129"/>
      <c r="F28" s="129"/>
      <c r="G28" s="129"/>
      <c r="H28" s="129"/>
      <c r="I28" s="129"/>
      <c r="J28" s="130"/>
      <c r="K28" s="130"/>
      <c r="L28" s="130"/>
      <c r="M28" s="130"/>
      <c r="N28" s="130"/>
      <c r="O28" s="130"/>
      <c r="P28" s="65">
        <f>SUM(NonStaff_Op_Costs[[#This Row],[2021-22 (£''000)]:[2026-27 (£''000)]])</f>
        <v>0</v>
      </c>
      <c r="R28" s="130"/>
    </row>
    <row r="29" spans="1:18" s="86" customFormat="1" x14ac:dyDescent="0.25">
      <c r="A29" s="129"/>
      <c r="B29" s="129"/>
      <c r="C29" s="129"/>
      <c r="D29" s="129"/>
      <c r="E29" s="129"/>
      <c r="F29" s="129"/>
      <c r="G29" s="129"/>
      <c r="H29" s="129"/>
      <c r="I29" s="129"/>
      <c r="J29" s="130"/>
      <c r="K29" s="130"/>
      <c r="L29" s="130"/>
      <c r="M29" s="130"/>
      <c r="N29" s="130"/>
      <c r="O29" s="130"/>
      <c r="P29" s="65">
        <f>SUM(NonStaff_Op_Costs[[#This Row],[2021-22 (£''000)]:[2026-27 (£''000)]])</f>
        <v>0</v>
      </c>
      <c r="R29" s="130"/>
    </row>
    <row r="30" spans="1:18" s="86" customFormat="1" x14ac:dyDescent="0.25">
      <c r="A30" s="129"/>
      <c r="B30" s="129"/>
      <c r="C30" s="129"/>
      <c r="D30" s="129"/>
      <c r="E30" s="129"/>
      <c r="F30" s="129"/>
      <c r="G30" s="129"/>
      <c r="H30" s="129"/>
      <c r="I30" s="129"/>
      <c r="J30" s="130"/>
      <c r="K30" s="130"/>
      <c r="L30" s="130"/>
      <c r="M30" s="130"/>
      <c r="N30" s="130"/>
      <c r="O30" s="130"/>
      <c r="P30" s="65">
        <f>SUM(NonStaff_Op_Costs[[#This Row],[2021-22 (£''000)]:[2026-27 (£''000)]])</f>
        <v>0</v>
      </c>
      <c r="R30" s="130"/>
    </row>
    <row r="31" spans="1:18" s="86" customFormat="1" x14ac:dyDescent="0.25">
      <c r="A31" s="129"/>
      <c r="B31" s="129"/>
      <c r="C31" s="129"/>
      <c r="D31" s="129"/>
      <c r="E31" s="129"/>
      <c r="F31" s="129"/>
      <c r="G31" s="129"/>
      <c r="H31" s="129"/>
      <c r="I31" s="129"/>
      <c r="J31" s="130"/>
      <c r="K31" s="130"/>
      <c r="L31" s="130"/>
      <c r="M31" s="130"/>
      <c r="N31" s="130"/>
      <c r="O31" s="130"/>
      <c r="P31" s="65">
        <f>SUM(NonStaff_Op_Costs[[#This Row],[2021-22 (£''000)]:[2026-27 (£''000)]])</f>
        <v>0</v>
      </c>
      <c r="R31" s="130"/>
    </row>
    <row r="32" spans="1:18" s="86" customFormat="1" x14ac:dyDescent="0.25">
      <c r="A32" s="129"/>
      <c r="B32" s="129"/>
      <c r="C32" s="129"/>
      <c r="D32" s="129"/>
      <c r="E32" s="129"/>
      <c r="F32" s="129"/>
      <c r="G32" s="129"/>
      <c r="H32" s="129"/>
      <c r="I32" s="129"/>
      <c r="J32" s="130"/>
      <c r="K32" s="130"/>
      <c r="L32" s="130"/>
      <c r="M32" s="130"/>
      <c r="N32" s="130"/>
      <c r="O32" s="130"/>
      <c r="P32" s="65">
        <f>SUM(NonStaff_Op_Costs[[#This Row],[2021-22 (£''000)]:[2026-27 (£''000)]])</f>
        <v>0</v>
      </c>
      <c r="R32" s="130"/>
    </row>
    <row r="33" spans="1:18" s="100" customFormat="1" x14ac:dyDescent="0.25">
      <c r="A33" s="129"/>
      <c r="B33" s="129"/>
      <c r="C33" s="129"/>
      <c r="D33" s="129"/>
      <c r="E33" s="129"/>
      <c r="F33" s="129"/>
      <c r="G33" s="129"/>
      <c r="H33" s="129"/>
      <c r="I33" s="129"/>
      <c r="J33" s="130"/>
      <c r="K33" s="130"/>
      <c r="L33" s="130"/>
      <c r="M33" s="130"/>
      <c r="N33" s="130"/>
      <c r="O33" s="130"/>
      <c r="P33" s="65">
        <f>SUM(NonStaff_Op_Costs[[#This Row],[2021-22 (£''000)]:[2026-27 (£''000)]])</f>
        <v>0</v>
      </c>
      <c r="R33" s="131"/>
    </row>
    <row r="34" spans="1:18" s="86" customFormat="1" x14ac:dyDescent="0.25">
      <c r="A34" s="73"/>
      <c r="B34" s="129"/>
      <c r="C34" s="129"/>
      <c r="D34" s="129"/>
      <c r="E34" s="129"/>
      <c r="F34" s="129"/>
      <c r="G34" s="129"/>
      <c r="H34" s="129"/>
      <c r="I34" s="129"/>
      <c r="J34" s="130"/>
      <c r="K34" s="130"/>
      <c r="L34" s="130"/>
      <c r="M34" s="130"/>
      <c r="N34" s="130"/>
      <c r="O34" s="130"/>
      <c r="P34" s="65">
        <f>SUM(NonStaff_Op_Costs[[#This Row],[2021-22 (£''000)]:[2026-27 (£''000)]])</f>
        <v>0</v>
      </c>
      <c r="R34" s="131"/>
    </row>
    <row r="35" spans="1:18" s="16" customFormat="1" x14ac:dyDescent="0.25">
      <c r="A35" s="132"/>
      <c r="B35" s="73"/>
      <c r="C35" s="73"/>
      <c r="D35" s="73"/>
      <c r="E35" s="73"/>
      <c r="F35" s="73"/>
      <c r="G35" s="73"/>
      <c r="H35" s="73"/>
      <c r="I35" s="73"/>
      <c r="J35" s="73"/>
      <c r="K35" s="73"/>
      <c r="L35" s="73"/>
      <c r="M35" s="73"/>
      <c r="N35" s="131"/>
      <c r="O35" s="73"/>
      <c r="P35" s="65">
        <f>SUM(NonStaff_Op_Costs[[#This Row],[2021-22 (£''000)]:[2026-27 (£''000)]])</f>
        <v>0</v>
      </c>
      <c r="Q35" s="86"/>
      <c r="R35" s="131"/>
    </row>
    <row r="36" spans="1:18" s="16" customFormat="1" x14ac:dyDescent="0.25">
      <c r="A36" s="73"/>
      <c r="B36" s="73"/>
      <c r="C36" s="73"/>
      <c r="D36" s="73"/>
      <c r="E36" s="73"/>
      <c r="F36" s="73"/>
      <c r="G36" s="73"/>
      <c r="H36" s="73"/>
      <c r="I36" s="73"/>
      <c r="J36" s="73"/>
      <c r="K36" s="73"/>
      <c r="L36" s="73"/>
      <c r="M36" s="73"/>
      <c r="N36" s="131"/>
      <c r="O36" s="73"/>
      <c r="P36" s="65">
        <f>SUM(NonStaff_Op_Costs[[#This Row],[2021-22 (£''000)]:[2026-27 (£''000)]])</f>
        <v>0</v>
      </c>
      <c r="Q36" s="86"/>
      <c r="R36" s="131"/>
    </row>
    <row r="37" spans="1:18" s="16" customFormat="1" x14ac:dyDescent="0.25">
      <c r="A37" s="73"/>
      <c r="B37" s="73"/>
      <c r="C37" s="73"/>
      <c r="D37" s="73"/>
      <c r="E37" s="73"/>
      <c r="F37" s="73"/>
      <c r="G37" s="73"/>
      <c r="H37" s="73"/>
      <c r="I37" s="73"/>
      <c r="J37" s="73"/>
      <c r="K37" s="73"/>
      <c r="L37" s="73"/>
      <c r="M37" s="73"/>
      <c r="N37" s="131"/>
      <c r="O37" s="73"/>
      <c r="P37" s="65">
        <f>SUM(NonStaff_Op_Costs[[#This Row],[2021-22 (£''000)]:[2026-27 (£''000)]])</f>
        <v>0</v>
      </c>
      <c r="Q37" s="86"/>
      <c r="R37" s="131"/>
    </row>
    <row r="38" spans="1:18" s="16" customFormat="1" x14ac:dyDescent="0.25">
      <c r="A38" s="73"/>
      <c r="B38" s="73"/>
      <c r="C38" s="73"/>
      <c r="D38" s="73"/>
      <c r="E38" s="73"/>
      <c r="F38" s="73"/>
      <c r="G38" s="73"/>
      <c r="H38" s="73"/>
      <c r="I38" s="73"/>
      <c r="J38" s="73"/>
      <c r="K38" s="73"/>
      <c r="L38" s="73"/>
      <c r="M38" s="73"/>
      <c r="N38" s="131"/>
      <c r="O38" s="73"/>
      <c r="P38" s="65">
        <f>SUM(NonStaff_Op_Costs[[#This Row],[2021-22 (£''000)]:[2026-27 (£''000)]])</f>
        <v>0</v>
      </c>
      <c r="Q38" s="86"/>
      <c r="R38" s="131"/>
    </row>
    <row r="39" spans="1:18" s="16" customFormat="1" x14ac:dyDescent="0.25">
      <c r="A39" s="73"/>
      <c r="B39" s="73"/>
      <c r="C39" s="73"/>
      <c r="D39" s="73"/>
      <c r="E39" s="73"/>
      <c r="F39" s="73"/>
      <c r="G39" s="73"/>
      <c r="H39" s="73"/>
      <c r="I39" s="73"/>
      <c r="J39" s="73"/>
      <c r="K39" s="73"/>
      <c r="L39" s="73"/>
      <c r="M39" s="73"/>
      <c r="N39" s="131"/>
      <c r="O39" s="73"/>
      <c r="P39" s="65">
        <f>SUM(NonStaff_Op_Costs[[#This Row],[2021-22 (£''000)]:[2026-27 (£''000)]])</f>
        <v>0</v>
      </c>
      <c r="Q39" s="86"/>
      <c r="R39" s="131"/>
    </row>
    <row r="40" spans="1:18" s="16" customFormat="1" x14ac:dyDescent="0.25">
      <c r="A40" s="73"/>
      <c r="B40" s="73"/>
      <c r="C40" s="73"/>
      <c r="D40" s="73"/>
      <c r="E40" s="73"/>
      <c r="F40" s="73"/>
      <c r="G40" s="73"/>
      <c r="H40" s="73"/>
      <c r="I40" s="73"/>
      <c r="J40" s="73"/>
      <c r="K40" s="73"/>
      <c r="L40" s="73"/>
      <c r="M40" s="73"/>
      <c r="N40" s="131"/>
      <c r="O40" s="73"/>
      <c r="P40" s="65">
        <f>SUM(NonStaff_Op_Costs[[#This Row],[2021-22 (£''000)]:[2026-27 (£''000)]])</f>
        <v>0</v>
      </c>
      <c r="Q40" s="86"/>
      <c r="R40" s="131"/>
    </row>
    <row r="41" spans="1:18" s="16" customFormat="1" x14ac:dyDescent="0.25">
      <c r="A41" s="73"/>
      <c r="B41" s="73"/>
      <c r="C41" s="73"/>
      <c r="D41" s="73"/>
      <c r="E41" s="73"/>
      <c r="F41" s="73"/>
      <c r="G41" s="73"/>
      <c r="H41" s="73"/>
      <c r="I41" s="73"/>
      <c r="J41" s="73"/>
      <c r="K41" s="73"/>
      <c r="L41" s="73"/>
      <c r="M41" s="73"/>
      <c r="N41" s="131"/>
      <c r="O41" s="73"/>
      <c r="P41" s="65">
        <f>SUM(NonStaff_Op_Costs[[#This Row],[2021-22 (£''000)]:[2026-27 (£''000)]])</f>
        <v>0</v>
      </c>
      <c r="Q41" s="86"/>
      <c r="R41" s="131"/>
    </row>
    <row r="42" spans="1:18" s="16" customFormat="1" x14ac:dyDescent="0.25">
      <c r="A42" s="73"/>
      <c r="B42" s="73"/>
      <c r="C42" s="73"/>
      <c r="D42" s="73"/>
      <c r="E42" s="73"/>
      <c r="F42" s="73"/>
      <c r="G42" s="73"/>
      <c r="H42" s="73"/>
      <c r="I42" s="73"/>
      <c r="J42" s="73"/>
      <c r="K42" s="73"/>
      <c r="L42" s="73"/>
      <c r="M42" s="73"/>
      <c r="N42" s="131"/>
      <c r="O42" s="73"/>
      <c r="P42" s="65">
        <f>SUM(NonStaff_Op_Costs[[#This Row],[2021-22 (£''000)]:[2026-27 (£''000)]])</f>
        <v>0</v>
      </c>
      <c r="Q42" s="86"/>
      <c r="R42" s="131"/>
    </row>
    <row r="43" spans="1:18" s="16" customFormat="1" x14ac:dyDescent="0.25">
      <c r="A43" s="73"/>
      <c r="B43" s="73"/>
      <c r="C43" s="73"/>
      <c r="D43" s="73"/>
      <c r="E43" s="73"/>
      <c r="F43" s="73"/>
      <c r="G43" s="73"/>
      <c r="H43" s="73"/>
      <c r="I43" s="73"/>
      <c r="J43" s="73"/>
      <c r="K43" s="73"/>
      <c r="L43" s="73"/>
      <c r="M43" s="73"/>
      <c r="N43" s="131"/>
      <c r="O43" s="73"/>
      <c r="P43" s="65">
        <f>SUM(NonStaff_Op_Costs[[#This Row],[2021-22 (£''000)]:[2026-27 (£''000)]])</f>
        <v>0</v>
      </c>
      <c r="Q43" s="86"/>
      <c r="R43" s="131"/>
    </row>
    <row r="44" spans="1:18" s="16" customFormat="1" x14ac:dyDescent="0.25">
      <c r="A44" s="73"/>
      <c r="B44" s="73"/>
      <c r="C44" s="73"/>
      <c r="D44" s="73"/>
      <c r="E44" s="73"/>
      <c r="F44" s="73"/>
      <c r="G44" s="73"/>
      <c r="H44" s="73"/>
      <c r="I44" s="73"/>
      <c r="J44" s="73"/>
      <c r="K44" s="73"/>
      <c r="L44" s="73"/>
      <c r="M44" s="73"/>
      <c r="N44" s="131"/>
      <c r="O44" s="73"/>
      <c r="P44" s="65">
        <f>SUM(NonStaff_Op_Costs[[#This Row],[2021-22 (£''000)]:[2026-27 (£''000)]])</f>
        <v>0</v>
      </c>
      <c r="Q44" s="86"/>
      <c r="R44" s="131"/>
    </row>
    <row r="45" spans="1:18" s="16" customFormat="1" x14ac:dyDescent="0.25">
      <c r="A45" s="73"/>
      <c r="B45" s="73"/>
      <c r="C45" s="73"/>
      <c r="D45" s="73"/>
      <c r="E45" s="73"/>
      <c r="F45" s="73"/>
      <c r="G45" s="73"/>
      <c r="H45" s="73"/>
      <c r="I45" s="73"/>
      <c r="J45" s="73"/>
      <c r="K45" s="73"/>
      <c r="L45" s="73"/>
      <c r="M45" s="73"/>
      <c r="N45" s="131"/>
      <c r="O45" s="73"/>
      <c r="P45" s="65">
        <f>SUM(NonStaff_Op_Costs[[#This Row],[2021-22 (£''000)]:[2026-27 (£''000)]])</f>
        <v>0</v>
      </c>
      <c r="Q45" s="86"/>
      <c r="R45" s="131"/>
    </row>
    <row r="46" spans="1:18" s="16" customFormat="1" x14ac:dyDescent="0.25">
      <c r="A46" s="73"/>
      <c r="B46" s="73"/>
      <c r="C46" s="73"/>
      <c r="D46" s="73"/>
      <c r="E46" s="73"/>
      <c r="F46" s="73"/>
      <c r="G46" s="73"/>
      <c r="H46" s="73"/>
      <c r="I46" s="73"/>
      <c r="J46" s="73"/>
      <c r="K46" s="73"/>
      <c r="L46" s="73"/>
      <c r="M46" s="73"/>
      <c r="N46" s="131"/>
      <c r="O46" s="73"/>
      <c r="P46" s="65">
        <f>SUM(NonStaff_Op_Costs[[#This Row],[2021-22 (£''000)]:[2026-27 (£''000)]])</f>
        <v>0</v>
      </c>
      <c r="Q46" s="86"/>
      <c r="R46" s="131"/>
    </row>
    <row r="47" spans="1:18" s="16" customFormat="1" x14ac:dyDescent="0.25">
      <c r="A47" s="73"/>
      <c r="B47" s="73"/>
      <c r="C47" s="73"/>
      <c r="D47" s="73"/>
      <c r="E47" s="73"/>
      <c r="F47" s="73"/>
      <c r="G47" s="73"/>
      <c r="H47" s="73"/>
      <c r="I47" s="73"/>
      <c r="J47" s="73"/>
      <c r="K47" s="73"/>
      <c r="L47" s="73"/>
      <c r="M47" s="73"/>
      <c r="N47" s="131"/>
      <c r="O47" s="73"/>
      <c r="P47" s="65">
        <f>SUM(NonStaff_Op_Costs[[#This Row],[2021-22 (£''000)]:[2026-27 (£''000)]])</f>
        <v>0</v>
      </c>
      <c r="Q47" s="86"/>
      <c r="R47" s="131"/>
    </row>
    <row r="48" spans="1:18" s="16" customFormat="1" x14ac:dyDescent="0.25">
      <c r="A48" s="73"/>
      <c r="B48" s="73"/>
      <c r="C48" s="73"/>
      <c r="D48" s="73"/>
      <c r="E48" s="73"/>
      <c r="F48" s="73"/>
      <c r="G48" s="73"/>
      <c r="H48" s="73"/>
      <c r="I48" s="73"/>
      <c r="J48" s="73"/>
      <c r="K48" s="73"/>
      <c r="L48" s="73"/>
      <c r="M48" s="73"/>
      <c r="N48" s="131"/>
      <c r="O48" s="73"/>
      <c r="P48" s="65">
        <f>SUM(NonStaff_Op_Costs[[#This Row],[2021-22 (£''000)]:[2026-27 (£''000)]])</f>
        <v>0</v>
      </c>
      <c r="Q48" s="86"/>
      <c r="R48" s="131"/>
    </row>
    <row r="49" spans="1:18" s="16" customFormat="1" x14ac:dyDescent="0.25">
      <c r="A49" s="73"/>
      <c r="B49" s="73"/>
      <c r="C49" s="73"/>
      <c r="D49" s="73"/>
      <c r="E49" s="73"/>
      <c r="F49" s="73"/>
      <c r="G49" s="73"/>
      <c r="H49" s="73"/>
      <c r="I49" s="73"/>
      <c r="J49" s="73"/>
      <c r="K49" s="73"/>
      <c r="L49" s="73"/>
      <c r="M49" s="73"/>
      <c r="N49" s="131"/>
      <c r="O49" s="73"/>
      <c r="P49" s="65">
        <f>SUM(NonStaff_Op_Costs[[#This Row],[2021-22 (£''000)]:[2026-27 (£''000)]])</f>
        <v>0</v>
      </c>
      <c r="Q49" s="86"/>
      <c r="R49" s="131"/>
    </row>
    <row r="50" spans="1:18" s="16" customFormat="1" x14ac:dyDescent="0.25">
      <c r="A50" s="73"/>
      <c r="B50" s="73"/>
      <c r="C50" s="73"/>
      <c r="D50" s="73"/>
      <c r="E50" s="73"/>
      <c r="F50" s="73"/>
      <c r="G50" s="73"/>
      <c r="H50" s="73"/>
      <c r="I50" s="73"/>
      <c r="J50" s="73"/>
      <c r="K50" s="73"/>
      <c r="L50" s="73"/>
      <c r="M50" s="73"/>
      <c r="N50" s="131"/>
      <c r="O50" s="73"/>
      <c r="P50" s="65">
        <f>SUM(NonStaff_Op_Costs[[#This Row],[2021-22 (£''000)]:[2026-27 (£''000)]])</f>
        <v>0</v>
      </c>
      <c r="Q50" s="86"/>
      <c r="R50" s="131"/>
    </row>
    <row r="51" spans="1:18" s="16" customFormat="1" x14ac:dyDescent="0.25">
      <c r="A51" s="73"/>
      <c r="B51" s="73"/>
      <c r="C51" s="73"/>
      <c r="D51" s="73"/>
      <c r="E51" s="73"/>
      <c r="F51" s="73"/>
      <c r="G51" s="73"/>
      <c r="H51" s="73"/>
      <c r="I51" s="73"/>
      <c r="J51" s="73"/>
      <c r="K51" s="73"/>
      <c r="L51" s="73"/>
      <c r="M51" s="73"/>
      <c r="N51" s="131"/>
      <c r="O51" s="73"/>
      <c r="P51" s="65">
        <f>SUM(NonStaff_Op_Costs[[#This Row],[2021-22 (£''000)]:[2026-27 (£''000)]])</f>
        <v>0</v>
      </c>
      <c r="Q51" s="86"/>
      <c r="R51" s="131"/>
    </row>
    <row r="52" spans="1:18" s="16" customFormat="1" x14ac:dyDescent="0.25">
      <c r="A52" s="73"/>
      <c r="B52" s="73"/>
      <c r="C52" s="73"/>
      <c r="D52" s="73"/>
      <c r="E52" s="73"/>
      <c r="F52" s="73"/>
      <c r="G52" s="73"/>
      <c r="H52" s="73"/>
      <c r="I52" s="73"/>
      <c r="J52" s="73"/>
      <c r="K52" s="73"/>
      <c r="L52" s="73"/>
      <c r="M52" s="73"/>
      <c r="N52" s="131"/>
      <c r="O52" s="73"/>
      <c r="P52" s="65">
        <f>SUM(NonStaff_Op_Costs[[#This Row],[2021-22 (£''000)]:[2026-27 (£''000)]])</f>
        <v>0</v>
      </c>
      <c r="Q52" s="86"/>
      <c r="R52" s="131"/>
    </row>
    <row r="53" spans="1:18" s="16" customFormat="1" x14ac:dyDescent="0.25">
      <c r="A53" s="73"/>
      <c r="B53" s="73"/>
      <c r="C53" s="73"/>
      <c r="D53" s="73"/>
      <c r="E53" s="73"/>
      <c r="F53" s="73"/>
      <c r="G53" s="73"/>
      <c r="H53" s="73"/>
      <c r="I53" s="73"/>
      <c r="J53" s="73"/>
      <c r="K53" s="73"/>
      <c r="L53" s="73"/>
      <c r="M53" s="73"/>
      <c r="N53" s="131"/>
      <c r="O53" s="73"/>
      <c r="P53" s="65">
        <f>SUM(NonStaff_Op_Costs[[#This Row],[2021-22 (£''000)]:[2026-27 (£''000)]])</f>
        <v>0</v>
      </c>
      <c r="Q53" s="86"/>
      <c r="R53" s="131"/>
    </row>
    <row r="54" spans="1:18" s="16" customFormat="1" x14ac:dyDescent="0.25">
      <c r="A54" s="101" t="s">
        <v>172</v>
      </c>
      <c r="B54" s="73"/>
      <c r="C54" s="73"/>
      <c r="D54" s="73"/>
      <c r="E54" s="73"/>
      <c r="F54" s="73"/>
      <c r="G54" s="73"/>
      <c r="H54" s="73"/>
      <c r="I54" s="73"/>
      <c r="J54" s="73"/>
      <c r="K54" s="73"/>
      <c r="L54" s="73"/>
      <c r="M54" s="73"/>
      <c r="N54" s="131"/>
      <c r="O54" s="73"/>
      <c r="P54" s="65">
        <f>SUM(NonStaff_Op_Costs[[#This Row],[2021-22 (£''000)]:[2026-27 (£''000)]])</f>
        <v>0</v>
      </c>
      <c r="Q54" s="86"/>
      <c r="R54" s="131"/>
    </row>
    <row r="55" spans="1:18" s="16" customFormat="1" x14ac:dyDescent="0.25">
      <c r="A55" s="45" t="s">
        <v>1</v>
      </c>
      <c r="B55" s="45"/>
      <c r="C55" s="45"/>
      <c r="D55" s="45"/>
      <c r="E55" s="45"/>
      <c r="F55" s="45"/>
      <c r="G55" s="45"/>
      <c r="H55" s="45"/>
      <c r="I55" s="190">
        <f>SUBTOTAL(109,Staff_Costs[Seedcorn bid development (£''000)])</f>
        <v>0</v>
      </c>
      <c r="J55" s="65">
        <f>SUBTOTAL(109,NonStaff_Op_Costs[2021-22 (£''000)])</f>
        <v>0</v>
      </c>
      <c r="K55" s="65">
        <f>SUBTOTAL(109,NonStaff_Op_Costs[2022-23 (£''000)])</f>
        <v>0</v>
      </c>
      <c r="L55" s="65">
        <f>SUBTOTAL(109,NonStaff_Op_Costs[2023-24 (£''000)])</f>
        <v>0</v>
      </c>
      <c r="M55" s="65">
        <f>SUBTOTAL(109,NonStaff_Op_Costs[2024-25 (£''000)])</f>
        <v>0</v>
      </c>
      <c r="N55" s="133">
        <f>SUBTOTAL(109,NonStaff_Op_Costs[2025-26 (£''000)])</f>
        <v>0</v>
      </c>
      <c r="O55" s="65">
        <f>SUBTOTAL(109,NonStaff_Op_Costs[2026-27 (£''000)])</f>
        <v>0</v>
      </c>
      <c r="P55" s="65">
        <f>SUBTOTAL(109,NonStaff_Op_Costs[Total 2021-27 (£''000)])</f>
        <v>0</v>
      </c>
      <c r="Q55" s="86"/>
      <c r="R55" s="86">
        <f>SUBTOTAL(109,NonStaff_Op_Costs_SS[Steady State (£''000)])</f>
        <v>0</v>
      </c>
    </row>
  </sheetData>
  <dataValidations count="4">
    <dataValidation type="list" allowBlank="1" showInputMessage="1" showErrorMessage="1" sqref="G22:G54">
      <formula1>VALIDATION_FundingStatus</formula1>
    </dataValidation>
    <dataValidation type="list" allowBlank="1" showInputMessage="1" showErrorMessage="1" sqref="E22:E54">
      <formula1>VALIDATION_FundType_Costs</formula1>
    </dataValidation>
    <dataValidation type="list" allowBlank="1" showInputMessage="1" showErrorMessage="1" sqref="D22:D54">
      <formula1>VALIDATION_FundingSource</formula1>
    </dataValidation>
    <dataValidation type="list" allowBlank="1" showInputMessage="1" showErrorMessage="1" sqref="C22:C54">
      <formula1>VALIDATION_ConsortiumOrgs</formula1>
    </dataValidation>
  </dataValidations>
  <pageMargins left="0.70866141732283472" right="0.70866141732283472" top="0.74803149606299213" bottom="0.74803149606299213" header="0.31496062992125984" footer="0.31496062992125984"/>
  <pageSetup paperSize="9" scale="58" orientation="landscape" r:id="rId1"/>
  <ignoredErrors>
    <ignoredError sqref="P22" calculatedColumn="1"/>
  </ignoredErrors>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Validation!$G$12:$G$20</xm:f>
          </x14:formula1>
          <xm:sqref>B22:B54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36"/>
  <sheetViews>
    <sheetView workbookViewId="0"/>
  </sheetViews>
  <sheetFormatPr defaultRowHeight="13.2" x14ac:dyDescent="0.25"/>
  <cols>
    <col min="1" max="1" width="25.21875" customWidth="1"/>
    <col min="2" max="2" width="25.77734375" bestFit="1" customWidth="1"/>
    <col min="3" max="3" width="14" customWidth="1"/>
    <col min="4" max="4" width="14.77734375" customWidth="1"/>
    <col min="5" max="5" width="18" style="46" customWidth="1"/>
    <col min="6" max="6" width="20.21875" customWidth="1"/>
    <col min="7" max="7" width="17.21875" bestFit="1" customWidth="1"/>
    <col min="8" max="8" width="15.77734375" customWidth="1"/>
    <col min="9" max="11" width="8.77734375" bestFit="1" customWidth="1"/>
  </cols>
  <sheetData>
    <row r="1" spans="1:4" ht="17.399999999999999" x14ac:dyDescent="0.25">
      <c r="A1" s="32" t="str">
        <f>GUIDANCE!A1</f>
        <v>UK Research and Innovation Strength in Places Fund - Wave 2</v>
      </c>
      <c r="B1" s="3"/>
    </row>
    <row r="2" spans="1:4" ht="17.399999999999999" x14ac:dyDescent="0.25">
      <c r="A2" s="32" t="str">
        <f>GUIDANCE!A2</f>
        <v>Financial information for expression of interest proposals</v>
      </c>
      <c r="B2" s="3"/>
    </row>
    <row r="3" spans="1:4" ht="17.399999999999999" x14ac:dyDescent="0.25">
      <c r="A3" s="3"/>
      <c r="B3" s="3"/>
    </row>
    <row r="4" spans="1:4" ht="17.399999999999999" x14ac:dyDescent="0.3">
      <c r="A4" s="2" t="s">
        <v>151</v>
      </c>
      <c r="B4" s="2"/>
    </row>
    <row r="5" spans="1:4" ht="13.8" x14ac:dyDescent="0.25">
      <c r="A5" s="4"/>
      <c r="B5" s="4"/>
    </row>
    <row r="6" spans="1:4" ht="13.8" x14ac:dyDescent="0.25">
      <c r="A6" s="37" t="s">
        <v>2</v>
      </c>
      <c r="B6" s="38" t="str">
        <f>'0. Project &amp; consortium'!B14</f>
        <v>Project ABCDE</v>
      </c>
    </row>
    <row r="7" spans="1:4" ht="13.8" x14ac:dyDescent="0.25">
      <c r="A7" s="37"/>
      <c r="B7" s="36"/>
    </row>
    <row r="8" spans="1:4" ht="13.8" x14ac:dyDescent="0.25">
      <c r="A8" s="37" t="s">
        <v>12</v>
      </c>
      <c r="B8" s="38" t="str">
        <f>'0. Project &amp; consortium'!B17</f>
        <v>E.g. ABC Ltd or University X</v>
      </c>
    </row>
    <row r="9" spans="1:4" ht="13.8" x14ac:dyDescent="0.25">
      <c r="A9" s="4"/>
      <c r="B9" s="4"/>
    </row>
    <row r="10" spans="1:4" ht="12.75" customHeight="1" x14ac:dyDescent="0.25">
      <c r="A10" s="102" t="s">
        <v>168</v>
      </c>
      <c r="B10" s="87"/>
      <c r="C10" s="87"/>
      <c r="D10" s="87"/>
    </row>
    <row r="11" spans="1:4" s="87" customFormat="1" ht="12.75" customHeight="1" x14ac:dyDescent="0.25">
      <c r="A11" s="37" t="s">
        <v>175</v>
      </c>
    </row>
    <row r="12" spans="1:4" s="16" customFormat="1" ht="13.8" x14ac:dyDescent="0.25">
      <c r="A12" s="97" t="s">
        <v>278</v>
      </c>
    </row>
    <row r="13" spans="1:4" ht="13.8" x14ac:dyDescent="0.25">
      <c r="A13" s="19" t="s">
        <v>227</v>
      </c>
      <c r="B13" s="87"/>
      <c r="C13" s="87"/>
      <c r="D13" s="87"/>
    </row>
    <row r="14" spans="1:4" s="87" customFormat="1" ht="13.8" x14ac:dyDescent="0.25">
      <c r="A14" s="97" t="s">
        <v>228</v>
      </c>
    </row>
    <row r="15" spans="1:4" ht="13.8" x14ac:dyDescent="0.25">
      <c r="A15" s="13" t="s">
        <v>180</v>
      </c>
      <c r="B15" s="87"/>
      <c r="C15" s="87"/>
      <c r="D15" s="87"/>
    </row>
    <row r="16" spans="1:4" s="87" customFormat="1" ht="13.8" x14ac:dyDescent="0.25">
      <c r="A16" s="13" t="s">
        <v>221</v>
      </c>
    </row>
    <row r="17" spans="1:15" s="87" customFormat="1" ht="13.8" x14ac:dyDescent="0.25">
      <c r="A17" s="19" t="s">
        <v>220</v>
      </c>
    </row>
    <row r="18" spans="1:15" ht="13.8" x14ac:dyDescent="0.25">
      <c r="A18" s="19" t="s">
        <v>259</v>
      </c>
      <c r="B18" s="87"/>
      <c r="C18" s="87"/>
      <c r="D18" s="87"/>
    </row>
    <row r="19" spans="1:15" ht="13.8" x14ac:dyDescent="0.25">
      <c r="A19" s="106"/>
    </row>
    <row r="21" spans="1:15" s="22" customFormat="1" ht="39.6" x14ac:dyDescent="0.25">
      <c r="A21" s="43" t="s">
        <v>70</v>
      </c>
      <c r="B21" s="45" t="s">
        <v>182</v>
      </c>
      <c r="C21" s="45" t="s">
        <v>183</v>
      </c>
      <c r="D21" s="45" t="s">
        <v>190</v>
      </c>
      <c r="E21" s="45" t="s">
        <v>184</v>
      </c>
      <c r="F21" s="45" t="s">
        <v>104</v>
      </c>
      <c r="G21" s="45" t="s">
        <v>185</v>
      </c>
      <c r="H21" s="45" t="s">
        <v>170</v>
      </c>
      <c r="I21" s="45" t="s">
        <v>71</v>
      </c>
      <c r="J21" s="45" t="s">
        <v>72</v>
      </c>
      <c r="K21" s="45" t="s">
        <v>73</v>
      </c>
      <c r="L21" s="45" t="s">
        <v>74</v>
      </c>
      <c r="M21" s="45" t="s">
        <v>255</v>
      </c>
      <c r="N21" s="45" t="s">
        <v>254</v>
      </c>
      <c r="O21" s="66" t="s">
        <v>258</v>
      </c>
    </row>
    <row r="22" spans="1:15" s="183" customFormat="1" ht="26.4" x14ac:dyDescent="0.25">
      <c r="A22" s="117" t="s">
        <v>87</v>
      </c>
      <c r="B22" s="117" t="s">
        <v>9</v>
      </c>
      <c r="C22" s="117" t="s">
        <v>86</v>
      </c>
      <c r="D22" s="117" t="s">
        <v>91</v>
      </c>
      <c r="E22" s="117" t="s">
        <v>77</v>
      </c>
      <c r="F22" s="117" t="s">
        <v>59</v>
      </c>
      <c r="G22" s="117" t="s">
        <v>59</v>
      </c>
      <c r="H22" s="117"/>
      <c r="I22" s="117" t="s">
        <v>154</v>
      </c>
      <c r="J22" s="117"/>
      <c r="K22" s="182"/>
      <c r="L22" s="117"/>
      <c r="M22" s="117"/>
      <c r="N22" s="117"/>
      <c r="O22" s="117" t="s">
        <v>154</v>
      </c>
    </row>
    <row r="23" spans="1:15" x14ac:dyDescent="0.25">
      <c r="A23" s="165"/>
      <c r="B23" s="165"/>
      <c r="C23" s="165"/>
      <c r="D23" s="70"/>
      <c r="E23" s="165"/>
      <c r="F23" s="165"/>
      <c r="G23" s="165"/>
      <c r="H23" s="165"/>
      <c r="I23" s="160"/>
      <c r="J23" s="160"/>
      <c r="K23" s="160"/>
      <c r="L23" s="160"/>
      <c r="M23" s="160"/>
      <c r="N23" s="160"/>
      <c r="O23" s="166">
        <f>SUM(Capital_Costs[[#This Row],[2021-22 (£''000)]:[2026-27 (£''000)]])</f>
        <v>0</v>
      </c>
    </row>
    <row r="24" spans="1:15" x14ac:dyDescent="0.25">
      <c r="A24" s="165"/>
      <c r="B24" s="165"/>
      <c r="C24" s="165"/>
      <c r="D24" s="70"/>
      <c r="E24" s="165"/>
      <c r="F24" s="165"/>
      <c r="G24" s="165"/>
      <c r="H24" s="165"/>
      <c r="I24" s="160"/>
      <c r="J24" s="160"/>
      <c r="K24" s="160"/>
      <c r="L24" s="160"/>
      <c r="M24" s="160"/>
      <c r="N24" s="160"/>
      <c r="O24" s="166">
        <f>SUM(Capital_Costs[[#This Row],[2021-22 (£''000)]:[2026-27 (£''000)]])</f>
        <v>0</v>
      </c>
    </row>
    <row r="25" spans="1:15" x14ac:dyDescent="0.25">
      <c r="A25" s="165"/>
      <c r="B25" s="165"/>
      <c r="C25" s="165"/>
      <c r="D25" s="70"/>
      <c r="E25" s="165"/>
      <c r="F25" s="165"/>
      <c r="G25" s="165"/>
      <c r="H25" s="165"/>
      <c r="I25" s="160"/>
      <c r="J25" s="160"/>
      <c r="K25" s="160"/>
      <c r="L25" s="160"/>
      <c r="M25" s="160"/>
      <c r="N25" s="160"/>
      <c r="O25" s="166">
        <f>SUM(Capital_Costs[[#This Row],[2021-22 (£''000)]:[2026-27 (£''000)]])</f>
        <v>0</v>
      </c>
    </row>
    <row r="26" spans="1:15" x14ac:dyDescent="0.25">
      <c r="A26" s="165"/>
      <c r="B26" s="165"/>
      <c r="C26" s="165"/>
      <c r="D26" s="70"/>
      <c r="E26" s="165"/>
      <c r="F26" s="165"/>
      <c r="G26" s="165"/>
      <c r="H26" s="165"/>
      <c r="I26" s="160"/>
      <c r="J26" s="160"/>
      <c r="K26" s="160"/>
      <c r="L26" s="160"/>
      <c r="M26" s="160"/>
      <c r="N26" s="160"/>
      <c r="O26" s="166">
        <f>SUM(Capital_Costs[[#This Row],[2021-22 (£''000)]:[2026-27 (£''000)]])</f>
        <v>0</v>
      </c>
    </row>
    <row r="27" spans="1:15" x14ac:dyDescent="0.25">
      <c r="A27" s="165"/>
      <c r="B27" s="165"/>
      <c r="C27" s="165"/>
      <c r="D27" s="70"/>
      <c r="E27" s="165"/>
      <c r="F27" s="165"/>
      <c r="G27" s="165"/>
      <c r="H27" s="165"/>
      <c r="I27" s="160"/>
      <c r="J27" s="160"/>
      <c r="K27" s="160"/>
      <c r="L27" s="160"/>
      <c r="M27" s="160"/>
      <c r="N27" s="160"/>
      <c r="O27" s="166">
        <f>SUM(Capital_Costs[[#This Row],[2021-22 (£''000)]:[2026-27 (£''000)]])</f>
        <v>0</v>
      </c>
    </row>
    <row r="28" spans="1:15" x14ac:dyDescent="0.25">
      <c r="A28" s="165"/>
      <c r="B28" s="165"/>
      <c r="C28" s="165"/>
      <c r="D28" s="70"/>
      <c r="E28" s="165"/>
      <c r="F28" s="165"/>
      <c r="G28" s="165"/>
      <c r="H28" s="165"/>
      <c r="I28" s="160"/>
      <c r="J28" s="160"/>
      <c r="K28" s="160"/>
      <c r="L28" s="160"/>
      <c r="M28" s="160"/>
      <c r="N28" s="160"/>
      <c r="O28" s="166">
        <f>SUM(Capital_Costs[[#This Row],[2021-22 (£''000)]:[2026-27 (£''000)]])</f>
        <v>0</v>
      </c>
    </row>
    <row r="29" spans="1:15" x14ac:dyDescent="0.25">
      <c r="A29" s="165"/>
      <c r="B29" s="165"/>
      <c r="C29" s="165"/>
      <c r="D29" s="70"/>
      <c r="E29" s="165"/>
      <c r="F29" s="165"/>
      <c r="G29" s="165"/>
      <c r="H29" s="165"/>
      <c r="I29" s="160"/>
      <c r="J29" s="160"/>
      <c r="K29" s="160"/>
      <c r="L29" s="160"/>
      <c r="M29" s="160"/>
      <c r="N29" s="160"/>
      <c r="O29" s="166">
        <f>SUM(Capital_Costs[[#This Row],[2021-22 (£''000)]:[2026-27 (£''000)]])</f>
        <v>0</v>
      </c>
    </row>
    <row r="30" spans="1:15" x14ac:dyDescent="0.25">
      <c r="A30" s="165"/>
      <c r="B30" s="165"/>
      <c r="C30" s="165"/>
      <c r="D30" s="70"/>
      <c r="E30" s="165"/>
      <c r="F30" s="165"/>
      <c r="G30" s="165"/>
      <c r="H30" s="165"/>
      <c r="I30" s="160"/>
      <c r="J30" s="160"/>
      <c r="K30" s="160"/>
      <c r="L30" s="160"/>
      <c r="M30" s="160"/>
      <c r="N30" s="160"/>
      <c r="O30" s="166">
        <f>SUM(Capital_Costs[[#This Row],[2021-22 (£''000)]:[2026-27 (£''000)]])</f>
        <v>0</v>
      </c>
    </row>
    <row r="31" spans="1:15" x14ac:dyDescent="0.25">
      <c r="A31" s="165"/>
      <c r="B31" s="165"/>
      <c r="C31" s="165"/>
      <c r="D31" s="70"/>
      <c r="E31" s="165"/>
      <c r="F31" s="165"/>
      <c r="G31" s="165"/>
      <c r="H31" s="165"/>
      <c r="I31" s="160"/>
      <c r="J31" s="160"/>
      <c r="K31" s="160"/>
      <c r="L31" s="160"/>
      <c r="M31" s="160"/>
      <c r="N31" s="160"/>
      <c r="O31" s="166">
        <f>SUM(Capital_Costs[[#This Row],[2021-22 (£''000)]:[2026-27 (£''000)]])</f>
        <v>0</v>
      </c>
    </row>
    <row r="32" spans="1:15" x14ac:dyDescent="0.25">
      <c r="A32" s="101" t="s">
        <v>75</v>
      </c>
      <c r="B32" s="165"/>
      <c r="C32" s="165"/>
      <c r="D32" s="70"/>
      <c r="E32" s="165"/>
      <c r="F32" s="165"/>
      <c r="G32" s="165"/>
      <c r="H32" s="165"/>
      <c r="I32" s="160"/>
      <c r="J32" s="160"/>
      <c r="K32" s="160"/>
      <c r="L32" s="160"/>
      <c r="M32" s="160"/>
      <c r="N32" s="160"/>
      <c r="O32" s="166">
        <f>SUM(Capital_Costs[[#This Row],[2021-22 (£''000)]:[2026-27 (£''000)]])</f>
        <v>0</v>
      </c>
    </row>
    <row r="33" spans="1:15" x14ac:dyDescent="0.25">
      <c r="A33" s="45" t="s">
        <v>1</v>
      </c>
      <c r="B33" s="45"/>
      <c r="C33" s="45"/>
      <c r="D33" s="45"/>
      <c r="E33" s="45"/>
      <c r="F33" s="45"/>
      <c r="G33" s="45"/>
      <c r="H33" s="45"/>
      <c r="I33" s="65">
        <f>SUBTOTAL(109,Capital_Costs[2021-22 (£''000)])</f>
        <v>0</v>
      </c>
      <c r="J33" s="65">
        <f>SUBTOTAL(109,Capital_Costs[2022-23 (£''000)])</f>
        <v>0</v>
      </c>
      <c r="K33" s="65">
        <f>SUBTOTAL(109,Capital_Costs[2023-24 (£''000)])</f>
        <v>0</v>
      </c>
      <c r="L33" s="65">
        <f>SUBTOTAL(109,Capital_Costs[2024-25 (£''000)])</f>
        <v>0</v>
      </c>
      <c r="M33" s="164">
        <f>SUBTOTAL(109,Capital_Costs[2025-26 (£''000)])</f>
        <v>0</v>
      </c>
      <c r="N33" s="65">
        <f>SUBTOTAL(109,Capital_Costs[2026-27 (£''000)])</f>
        <v>0</v>
      </c>
      <c r="O33" s="65">
        <f>SUBTOTAL(109,Capital_Costs[Total 2021-27 (£''000)])</f>
        <v>0</v>
      </c>
    </row>
    <row r="36" spans="1:15" x14ac:dyDescent="0.25">
      <c r="A36" s="16"/>
    </row>
  </sheetData>
  <dataValidations count="3">
    <dataValidation type="list" allowBlank="1" showInputMessage="1" showErrorMessage="1" sqref="E22:E32">
      <formula1>VALIDATION_FundType_Costs</formula1>
    </dataValidation>
    <dataValidation type="list" allowBlank="1" showInputMessage="1" showErrorMessage="1" sqref="D22:D32">
      <formula1>VALIDATION_FundingSource</formula1>
    </dataValidation>
    <dataValidation type="list" allowBlank="1" showInputMessage="1" showErrorMessage="1" sqref="C22:C32">
      <formula1>VALIDATION_ConsortiumOrgs</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Validation!$A$14:$A$18</xm:f>
          </x14:formula1>
          <xm:sqref>B22:B32</xm:sqref>
        </x14:dataValidation>
        <x14:dataValidation type="list" allowBlank="1" showInputMessage="1" showErrorMessage="1">
          <x14:formula1>
            <xm:f>Validation!$K$15:$K$20</xm:f>
          </x14:formula1>
          <xm:sqref>G22:G32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9"/>
  <sheetViews>
    <sheetView workbookViewId="0"/>
  </sheetViews>
  <sheetFormatPr defaultColWidth="9.21875" defaultRowHeight="13.8" x14ac:dyDescent="0.25"/>
  <cols>
    <col min="1" max="1" width="25.77734375" style="48" customWidth="1"/>
    <col min="2" max="2" width="15.5546875" style="48" bestFit="1" customWidth="1"/>
    <col min="3" max="4" width="23.44140625" style="48" bestFit="1" customWidth="1"/>
    <col min="5" max="5" width="20.5546875" style="48" customWidth="1"/>
    <col min="6" max="6" width="17.5546875" style="48" bestFit="1" customWidth="1"/>
    <col min="7" max="7" width="39.21875" style="48" customWidth="1"/>
    <col min="8" max="8" width="12.44140625" style="48" customWidth="1"/>
    <col min="9" max="16384" width="9.21875" style="48"/>
  </cols>
  <sheetData>
    <row r="1" spans="1:6" ht="15.6" x14ac:dyDescent="0.25">
      <c r="A1" s="32" t="str">
        <f>GUIDANCE!A1</f>
        <v>UK Research and Innovation Strength in Places Fund - Wave 2</v>
      </c>
      <c r="C1" s="49"/>
    </row>
    <row r="2" spans="1:6" ht="15.6" x14ac:dyDescent="0.25">
      <c r="A2" s="32" t="str">
        <f>GUIDANCE!A2</f>
        <v>Financial information for expression of interest proposals</v>
      </c>
      <c r="C2" s="49"/>
    </row>
    <row r="3" spans="1:6" ht="15.6" x14ac:dyDescent="0.25">
      <c r="A3" s="21"/>
      <c r="B3" s="16"/>
      <c r="C3" s="49"/>
      <c r="F3" s="29"/>
    </row>
    <row r="4" spans="1:6" ht="17.399999999999999" x14ac:dyDescent="0.25">
      <c r="A4" s="20" t="s">
        <v>142</v>
      </c>
      <c r="B4" s="16"/>
      <c r="C4" s="49"/>
    </row>
    <row r="5" spans="1:6" ht="15" x14ac:dyDescent="0.25">
      <c r="A5" s="49"/>
      <c r="F5" s="50"/>
    </row>
    <row r="6" spans="1:6" s="19" customFormat="1" x14ac:dyDescent="0.25">
      <c r="A6" s="37" t="s">
        <v>2</v>
      </c>
      <c r="B6" s="38" t="str">
        <f>'0. Project &amp; consortium'!B14</f>
        <v>Project ABCDE</v>
      </c>
      <c r="C6" s="38"/>
      <c r="D6" s="38"/>
      <c r="E6" s="38"/>
      <c r="F6" s="38"/>
    </row>
    <row r="7" spans="1:6" s="19" customFormat="1" x14ac:dyDescent="0.25">
      <c r="A7" s="37"/>
      <c r="B7" s="36"/>
    </row>
    <row r="8" spans="1:6" s="19" customFormat="1" x14ac:dyDescent="0.25">
      <c r="A8" s="37" t="s">
        <v>12</v>
      </c>
      <c r="B8" s="38" t="str">
        <f>'0. Project &amp; consortium'!B17</f>
        <v>E.g. ABC Ltd or University X</v>
      </c>
    </row>
    <row r="9" spans="1:6" x14ac:dyDescent="0.25">
      <c r="F9" s="51"/>
    </row>
    <row r="10" spans="1:6" x14ac:dyDescent="0.25">
      <c r="A10" s="148" t="s">
        <v>0</v>
      </c>
      <c r="F10" s="51"/>
    </row>
    <row r="11" spans="1:6" s="16" customFormat="1" x14ac:dyDescent="0.25">
      <c r="A11" s="97" t="s">
        <v>278</v>
      </c>
    </row>
    <row r="12" spans="1:6" ht="15" x14ac:dyDescent="0.25">
      <c r="A12" s="48" t="s">
        <v>152</v>
      </c>
      <c r="F12" s="50"/>
    </row>
    <row r="13" spans="1:6" x14ac:dyDescent="0.25">
      <c r="A13" s="48" t="s">
        <v>51</v>
      </c>
      <c r="F13" s="52"/>
    </row>
    <row r="14" spans="1:6" x14ac:dyDescent="0.25">
      <c r="A14" s="48" t="s">
        <v>52</v>
      </c>
      <c r="F14" s="52"/>
    </row>
    <row r="17" spans="1:8" s="58" customFormat="1" ht="39.6" x14ac:dyDescent="0.25">
      <c r="A17" s="56" t="s">
        <v>210</v>
      </c>
      <c r="B17" s="56" t="s">
        <v>53</v>
      </c>
      <c r="C17" s="56" t="s">
        <v>54</v>
      </c>
      <c r="D17" s="56" t="s">
        <v>55</v>
      </c>
      <c r="E17" s="56" t="s">
        <v>211</v>
      </c>
      <c r="F17" s="56" t="s">
        <v>56</v>
      </c>
      <c r="G17" s="56" t="s">
        <v>57</v>
      </c>
      <c r="H17" s="57" t="s">
        <v>58</v>
      </c>
    </row>
    <row r="18" spans="1:8" s="184" customFormat="1" ht="26.4" x14ac:dyDescent="0.25">
      <c r="A18" s="117" t="s">
        <v>86</v>
      </c>
      <c r="B18" s="117" t="s">
        <v>76</v>
      </c>
      <c r="C18" s="117" t="s">
        <v>63</v>
      </c>
      <c r="D18" s="117" t="s">
        <v>59</v>
      </c>
      <c r="E18" s="117" t="s">
        <v>60</v>
      </c>
      <c r="F18" s="117" t="s">
        <v>61</v>
      </c>
      <c r="G18" s="117" t="s">
        <v>62</v>
      </c>
      <c r="H18" s="182" t="s">
        <v>155</v>
      </c>
    </row>
    <row r="19" spans="1:8" x14ac:dyDescent="0.25">
      <c r="A19" s="54"/>
      <c r="B19" s="54"/>
      <c r="C19" s="54"/>
      <c r="D19" s="54"/>
      <c r="E19" s="54"/>
      <c r="F19" s="54"/>
      <c r="G19" s="54"/>
      <c r="H19" s="146"/>
    </row>
    <row r="20" spans="1:8" x14ac:dyDescent="0.25">
      <c r="A20" s="54"/>
      <c r="B20" s="54"/>
      <c r="C20" s="54"/>
      <c r="D20" s="54"/>
      <c r="E20" s="54"/>
      <c r="F20" s="54"/>
      <c r="G20" s="54"/>
      <c r="H20" s="146"/>
    </row>
    <row r="21" spans="1:8" x14ac:dyDescent="0.25">
      <c r="A21" s="54"/>
      <c r="B21" s="54"/>
      <c r="C21" s="54"/>
      <c r="D21" s="54"/>
      <c r="E21" s="54"/>
      <c r="F21" s="54"/>
      <c r="G21" s="54"/>
      <c r="H21" s="146"/>
    </row>
    <row r="22" spans="1:8" x14ac:dyDescent="0.25">
      <c r="A22" s="54"/>
      <c r="B22" s="54"/>
      <c r="C22" s="54"/>
      <c r="D22" s="54"/>
      <c r="E22" s="54"/>
      <c r="F22" s="54"/>
      <c r="G22" s="54"/>
      <c r="H22" s="146"/>
    </row>
    <row r="23" spans="1:8" x14ac:dyDescent="0.25">
      <c r="A23" s="54"/>
      <c r="B23" s="54"/>
      <c r="C23" s="54"/>
      <c r="D23" s="54"/>
      <c r="E23" s="54"/>
      <c r="F23" s="54"/>
      <c r="G23" s="54"/>
      <c r="H23" s="146"/>
    </row>
    <row r="24" spans="1:8" x14ac:dyDescent="0.25">
      <c r="A24" s="54"/>
      <c r="B24" s="54"/>
      <c r="C24" s="54"/>
      <c r="D24" s="54"/>
      <c r="E24" s="54"/>
      <c r="F24" s="54"/>
      <c r="G24" s="54"/>
      <c r="H24" s="146"/>
    </row>
    <row r="25" spans="1:8" x14ac:dyDescent="0.25">
      <c r="A25" s="54"/>
      <c r="B25" s="54"/>
      <c r="C25" s="54"/>
      <c r="D25" s="54"/>
      <c r="E25" s="54"/>
      <c r="F25" s="54"/>
      <c r="G25" s="54"/>
      <c r="H25" s="146"/>
    </row>
    <row r="26" spans="1:8" s="55" customFormat="1" ht="13.2" x14ac:dyDescent="0.25">
      <c r="A26" s="163" t="s">
        <v>75</v>
      </c>
      <c r="B26" s="54"/>
      <c r="C26" s="54"/>
      <c r="D26" s="54"/>
      <c r="E26" s="54"/>
      <c r="F26" s="54"/>
      <c r="G26" s="54"/>
      <c r="H26" s="146"/>
    </row>
    <row r="27" spans="1:8" s="55" customFormat="1" ht="13.2" x14ac:dyDescent="0.25">
      <c r="A27" s="59" t="s">
        <v>1</v>
      </c>
      <c r="B27" s="59"/>
      <c r="C27" s="59"/>
      <c r="D27" s="59"/>
      <c r="E27" s="59"/>
      <c r="F27" s="59"/>
      <c r="G27" s="59"/>
      <c r="H27" s="147">
        <f>SUBTOTAL(109,Related_Funding[Amount of the award
(£''000)])</f>
        <v>0</v>
      </c>
    </row>
    <row r="28" spans="1:8" x14ac:dyDescent="0.25">
      <c r="D28" s="53"/>
    </row>
    <row r="29" spans="1:8" x14ac:dyDescent="0.25">
      <c r="D29" s="53"/>
    </row>
  </sheetData>
  <dataValidations count="1">
    <dataValidation type="list" allowBlank="1" showInputMessage="1" showErrorMessage="1" sqref="A18:A26">
      <formula1>VALIDATION_ConsortiumOrgs</formula1>
    </dataValidation>
  </dataValidations>
  <pageMargins left="0.7" right="0.7" top="0.75" bottom="0.75" header="0.3" footer="0.3"/>
  <pageSetup paperSize="9" orientation="portrait" r:id="rId1"/>
  <ignoredErrors>
    <ignoredError sqref="A26" listDataValidatio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Validation!$G$4:$G$8</xm:f>
          </x14:formula1>
          <xm:sqref>E18:E26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S44"/>
  <sheetViews>
    <sheetView workbookViewId="0">
      <selection activeCell="A2" sqref="A2"/>
    </sheetView>
  </sheetViews>
  <sheetFormatPr defaultColWidth="9.21875" defaultRowHeight="14.4" x14ac:dyDescent="0.3"/>
  <cols>
    <col min="1" max="2" width="9.21875" style="41"/>
    <col min="3" max="3" width="21.77734375" style="41" customWidth="1"/>
    <col min="4" max="4" width="9.21875" style="41"/>
    <col min="5" max="5" width="18.44140625" style="41" customWidth="1"/>
    <col min="6" max="6" width="9.21875" style="41"/>
    <col min="7" max="7" width="21.5546875" style="41" bestFit="1" customWidth="1"/>
    <col min="8" max="18" width="9.21875" style="41"/>
    <col min="19" max="19" width="30" style="41" customWidth="1"/>
    <col min="20" max="16384" width="9.21875" style="41"/>
  </cols>
  <sheetData>
    <row r="1" spans="1:19" x14ac:dyDescent="0.3">
      <c r="A1" s="39" t="s">
        <v>64</v>
      </c>
      <c r="B1" s="40"/>
      <c r="C1" s="40"/>
      <c r="D1" s="40"/>
      <c r="E1" s="40"/>
      <c r="G1" s="168" t="s">
        <v>236</v>
      </c>
      <c r="H1" s="169"/>
      <c r="I1" s="169"/>
      <c r="J1" s="169"/>
      <c r="K1" s="169"/>
      <c r="M1" s="215" t="s">
        <v>237</v>
      </c>
      <c r="N1" s="215"/>
      <c r="O1" s="215"/>
      <c r="P1" s="215" t="s">
        <v>235</v>
      </c>
      <c r="S1" s="216" t="s">
        <v>275</v>
      </c>
    </row>
    <row r="3" spans="1:19" x14ac:dyDescent="0.3">
      <c r="A3" s="60" t="s">
        <v>162</v>
      </c>
      <c r="G3" s="60" t="s">
        <v>65</v>
      </c>
      <c r="K3" s="60" t="s">
        <v>128</v>
      </c>
      <c r="O3" s="60" t="s">
        <v>161</v>
      </c>
    </row>
    <row r="4" spans="1:19" x14ac:dyDescent="0.3">
      <c r="A4" s="41" t="s">
        <v>77</v>
      </c>
      <c r="G4" s="41" t="s">
        <v>66</v>
      </c>
      <c r="K4" s="61" t="s">
        <v>129</v>
      </c>
      <c r="O4" s="41" t="s">
        <v>77</v>
      </c>
    </row>
    <row r="5" spans="1:19" x14ac:dyDescent="0.3">
      <c r="A5" s="105" t="s">
        <v>78</v>
      </c>
      <c r="G5" s="41" t="s">
        <v>67</v>
      </c>
      <c r="K5" s="61" t="s">
        <v>130</v>
      </c>
      <c r="O5" s="88" t="s">
        <v>159</v>
      </c>
    </row>
    <row r="6" spans="1:19" x14ac:dyDescent="0.3">
      <c r="A6" s="105" t="s">
        <v>79</v>
      </c>
      <c r="G6" s="41" t="s">
        <v>68</v>
      </c>
      <c r="K6" s="61" t="s">
        <v>131</v>
      </c>
      <c r="O6" s="88" t="s">
        <v>160</v>
      </c>
    </row>
    <row r="7" spans="1:19" x14ac:dyDescent="0.3">
      <c r="A7" s="41" t="s">
        <v>80</v>
      </c>
      <c r="G7" s="41" t="s">
        <v>69</v>
      </c>
      <c r="K7" s="61" t="s">
        <v>132</v>
      </c>
      <c r="O7" s="41" t="s">
        <v>50</v>
      </c>
    </row>
    <row r="8" spans="1:19" x14ac:dyDescent="0.3">
      <c r="A8" s="41" t="s">
        <v>81</v>
      </c>
      <c r="G8" s="41" t="s">
        <v>60</v>
      </c>
      <c r="K8" s="61" t="s">
        <v>133</v>
      </c>
      <c r="O8" s="88" t="s">
        <v>6</v>
      </c>
    </row>
    <row r="9" spans="1:19" x14ac:dyDescent="0.3">
      <c r="A9" s="41" t="s">
        <v>50</v>
      </c>
      <c r="K9" s="61" t="s">
        <v>134</v>
      </c>
    </row>
    <row r="10" spans="1:19" x14ac:dyDescent="0.3">
      <c r="A10" s="88" t="s">
        <v>6</v>
      </c>
      <c r="K10" s="61" t="s">
        <v>135</v>
      </c>
    </row>
    <row r="11" spans="1:19" x14ac:dyDescent="0.3">
      <c r="G11" s="60" t="s">
        <v>88</v>
      </c>
      <c r="K11" s="61" t="s">
        <v>6</v>
      </c>
    </row>
    <row r="12" spans="1:19" x14ac:dyDescent="0.3">
      <c r="G12" s="41" t="s">
        <v>4</v>
      </c>
    </row>
    <row r="13" spans="1:19" x14ac:dyDescent="0.3">
      <c r="A13" s="60" t="s">
        <v>84</v>
      </c>
      <c r="G13" s="61" t="s">
        <v>5</v>
      </c>
    </row>
    <row r="14" spans="1:19" x14ac:dyDescent="0.3">
      <c r="A14" s="41" t="s">
        <v>9</v>
      </c>
      <c r="G14" s="88" t="s">
        <v>156</v>
      </c>
      <c r="K14" s="60" t="s">
        <v>153</v>
      </c>
    </row>
    <row r="15" spans="1:19" x14ac:dyDescent="0.3">
      <c r="A15" s="41" t="s">
        <v>10</v>
      </c>
      <c r="G15" s="41" t="s">
        <v>8</v>
      </c>
      <c r="K15" s="16" t="s">
        <v>13</v>
      </c>
    </row>
    <row r="16" spans="1:19" x14ac:dyDescent="0.3">
      <c r="A16" s="41" t="s">
        <v>47</v>
      </c>
      <c r="G16" s="41" t="s">
        <v>37</v>
      </c>
      <c r="K16" s="16" t="s">
        <v>14</v>
      </c>
    </row>
    <row r="17" spans="1:11" x14ac:dyDescent="0.3">
      <c r="A17" s="61" t="s">
        <v>85</v>
      </c>
      <c r="G17" s="41" t="s">
        <v>48</v>
      </c>
      <c r="K17" s="16" t="s">
        <v>15</v>
      </c>
    </row>
    <row r="18" spans="1:11" x14ac:dyDescent="0.3">
      <c r="A18" s="61" t="s">
        <v>6</v>
      </c>
      <c r="G18" s="41" t="s">
        <v>49</v>
      </c>
      <c r="K18" s="16" t="s">
        <v>16</v>
      </c>
    </row>
    <row r="19" spans="1:11" x14ac:dyDescent="0.3">
      <c r="G19" s="61" t="s">
        <v>89</v>
      </c>
      <c r="K19" s="16" t="s">
        <v>17</v>
      </c>
    </row>
    <row r="20" spans="1:11" x14ac:dyDescent="0.3">
      <c r="G20" s="61" t="s">
        <v>6</v>
      </c>
      <c r="K20" s="88" t="s">
        <v>59</v>
      </c>
    </row>
    <row r="22" spans="1:11" x14ac:dyDescent="0.3">
      <c r="A22" s="60" t="s">
        <v>193</v>
      </c>
      <c r="E22" s="60" t="s">
        <v>179</v>
      </c>
    </row>
    <row r="23" spans="1:11" x14ac:dyDescent="0.3">
      <c r="A23" s="61" t="s">
        <v>91</v>
      </c>
      <c r="E23" s="62" t="str">
        <f>'0. Project &amp; consortium'!B17</f>
        <v>E.g. ABC Ltd or University X</v>
      </c>
    </row>
    <row r="24" spans="1:11" x14ac:dyDescent="0.3">
      <c r="A24" s="62" t="str">
        <f>'0. Project &amp; consortium'!B17</f>
        <v>E.g. ABC Ltd or University X</v>
      </c>
      <c r="E24" s="62" t="str">
        <f>'0. Project &amp; consortium'!B18</f>
        <v>Enter</v>
      </c>
    </row>
    <row r="25" spans="1:11" x14ac:dyDescent="0.3">
      <c r="A25" s="62" t="str">
        <f>'0. Project &amp; consortium'!B18</f>
        <v>Enter</v>
      </c>
      <c r="E25" s="62" t="str">
        <f>'0. Project &amp; consortium'!B19</f>
        <v>information</v>
      </c>
    </row>
    <row r="26" spans="1:11" ht="43.2" x14ac:dyDescent="0.3">
      <c r="A26" s="62" t="str">
        <f>'0. Project &amp; consortium'!B19</f>
        <v>information</v>
      </c>
      <c r="C26" s="104" t="s">
        <v>103</v>
      </c>
      <c r="E26" s="62" t="str">
        <f>'0. Project &amp; consortium'!B20</f>
        <v>in tab 0</v>
      </c>
    </row>
    <row r="27" spans="1:11" x14ac:dyDescent="0.3">
      <c r="A27" s="62" t="str">
        <f>'0. Project &amp; consortium'!B20</f>
        <v>in tab 0</v>
      </c>
      <c r="E27" s="62" t="str">
        <f>'0. Project &amp; consortium'!B21</f>
        <v>to populate</v>
      </c>
    </row>
    <row r="28" spans="1:11" x14ac:dyDescent="0.3">
      <c r="A28" s="62" t="str">
        <f>'0. Project &amp; consortium'!B21</f>
        <v>to populate</v>
      </c>
      <c r="E28" s="62" t="str">
        <f>'0. Project &amp; consortium'!B22</f>
        <v>this</v>
      </c>
    </row>
    <row r="29" spans="1:11" x14ac:dyDescent="0.3">
      <c r="A29" s="62" t="str">
        <f>'0. Project &amp; consortium'!B22</f>
        <v>this</v>
      </c>
      <c r="E29" s="62" t="str">
        <f>'0. Project &amp; consortium'!B23</f>
        <v>list</v>
      </c>
    </row>
    <row r="30" spans="1:11" x14ac:dyDescent="0.3">
      <c r="A30" s="62" t="str">
        <f>'0. Project &amp; consortium'!B23</f>
        <v>list</v>
      </c>
      <c r="E30" s="62">
        <f>'0. Project &amp; consortium'!B24</f>
        <v>0</v>
      </c>
    </row>
    <row r="31" spans="1:11" x14ac:dyDescent="0.3">
      <c r="A31" s="62">
        <f>'0. Project &amp; consortium'!B24</f>
        <v>0</v>
      </c>
      <c r="E31" s="62">
        <f>'0. Project &amp; consortium'!B25</f>
        <v>0</v>
      </c>
    </row>
    <row r="32" spans="1:11" x14ac:dyDescent="0.3">
      <c r="A32" s="62">
        <f>'0. Project &amp; consortium'!B25</f>
        <v>0</v>
      </c>
      <c r="E32" s="62">
        <f>'0. Project &amp; consortium'!B26</f>
        <v>0</v>
      </c>
    </row>
    <row r="33" spans="1:5" x14ac:dyDescent="0.3">
      <c r="A33" s="62">
        <f>'0. Project &amp; consortium'!B26</f>
        <v>0</v>
      </c>
      <c r="E33" s="62">
        <f>'0. Project &amp; consortium'!B27</f>
        <v>0</v>
      </c>
    </row>
    <row r="34" spans="1:5" x14ac:dyDescent="0.3">
      <c r="A34" s="62">
        <f>'0. Project &amp; consortium'!B27</f>
        <v>0</v>
      </c>
      <c r="E34" s="62">
        <f>'0. Project &amp; consortium'!B28</f>
        <v>0</v>
      </c>
    </row>
    <row r="35" spans="1:5" x14ac:dyDescent="0.3">
      <c r="A35" s="62">
        <f>'0. Project &amp; consortium'!B28</f>
        <v>0</v>
      </c>
      <c r="E35" s="62">
        <f>'0. Project &amp; consortium'!B29</f>
        <v>0</v>
      </c>
    </row>
    <row r="36" spans="1:5" x14ac:dyDescent="0.3">
      <c r="A36" s="62">
        <f>'0. Project &amp; consortium'!B29</f>
        <v>0</v>
      </c>
      <c r="E36" s="62">
        <f>'0. Project &amp; consortium'!B30</f>
        <v>0</v>
      </c>
    </row>
    <row r="37" spans="1:5" x14ac:dyDescent="0.3">
      <c r="A37" s="62">
        <f>'0. Project &amp; consortium'!B30</f>
        <v>0</v>
      </c>
      <c r="E37" s="62">
        <f>'0. Project &amp; consortium'!B31</f>
        <v>0</v>
      </c>
    </row>
    <row r="38" spans="1:5" x14ac:dyDescent="0.3">
      <c r="A38" s="62">
        <f>'0. Project &amp; consortium'!B31</f>
        <v>0</v>
      </c>
      <c r="E38" s="62">
        <f>'0. Project &amp; consortium'!B32</f>
        <v>0</v>
      </c>
    </row>
    <row r="39" spans="1:5" x14ac:dyDescent="0.3">
      <c r="A39" s="62">
        <f>'0. Project &amp; consortium'!B32</f>
        <v>0</v>
      </c>
      <c r="E39" s="62">
        <f>'0. Project &amp; consortium'!B33</f>
        <v>0</v>
      </c>
    </row>
    <row r="40" spans="1:5" x14ac:dyDescent="0.3">
      <c r="A40" s="62">
        <f>'0. Project &amp; consortium'!B33</f>
        <v>0</v>
      </c>
      <c r="E40" s="62">
        <f>'0. Project &amp; consortium'!B34</f>
        <v>0</v>
      </c>
    </row>
    <row r="41" spans="1:5" x14ac:dyDescent="0.3">
      <c r="A41" s="62">
        <f>'0. Project &amp; consortium'!B34</f>
        <v>0</v>
      </c>
      <c r="E41" s="62">
        <f>'0. Project &amp; consortium'!B35</f>
        <v>0</v>
      </c>
    </row>
    <row r="42" spans="1:5" x14ac:dyDescent="0.3">
      <c r="A42" s="62">
        <f>'0. Project &amp; consortium'!B35</f>
        <v>0</v>
      </c>
      <c r="E42" s="62">
        <f>'0. Project &amp; consortium'!B36</f>
        <v>0</v>
      </c>
    </row>
    <row r="43" spans="1:5" x14ac:dyDescent="0.3">
      <c r="A43" s="62">
        <f>'0. Project &amp; consortium'!B36</f>
        <v>0</v>
      </c>
      <c r="E43" s="105"/>
    </row>
    <row r="44" spans="1:5" x14ac:dyDescent="0.3">
      <c r="A44" s="105" t="s">
        <v>192</v>
      </c>
    </row>
  </sheetData>
  <sheetProtection algorithmName="SHA-512" hashValue="ZL2QYyqT6scrfK7MOze+aax2CxI0ZIUaYDHgN2lkCv4eSRlYXqX9nQKBNApSdwJx21bs9NNlji/svnRJ12vjxA==" saltValue="NXSA1usYm7EmFkDC4BYr/w=="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GUIDANCE</vt:lpstr>
      <vt:lpstr>SUMMARY (read only)</vt:lpstr>
      <vt:lpstr>0. Project &amp; consortium</vt:lpstr>
      <vt:lpstr>1. Income</vt:lpstr>
      <vt:lpstr>2. Staff costs</vt:lpstr>
      <vt:lpstr>3. Non-staff operating costs</vt:lpstr>
      <vt:lpstr>4. Capital costs</vt:lpstr>
      <vt:lpstr>5. Related funding</vt:lpstr>
      <vt:lpstr>Validation</vt:lpstr>
      <vt:lpstr>GUIDANCE!_Toc479171384</vt:lpstr>
      <vt:lpstr>ConsortiumOrgs</vt:lpstr>
      <vt:lpstr>GUIDANCE!OLE_LINK1</vt:lpstr>
      <vt:lpstr>VALIDATION_AppStage</vt:lpstr>
      <vt:lpstr>VALIDATION_CapCostType</vt:lpstr>
      <vt:lpstr>VALIDATION_ConsortiumOrgs</vt:lpstr>
      <vt:lpstr>VALIDATION_FundingSource</vt:lpstr>
      <vt:lpstr>VALIDATION_FundingStatus</vt:lpstr>
      <vt:lpstr>VALIDATION_FundType_Costs</vt:lpstr>
      <vt:lpstr>VALIDATION_FundType_Income</vt:lpstr>
      <vt:lpstr>VALIDATION_OpCostType</vt:lpstr>
      <vt:lpstr>VALIDATION_OrgType</vt:lpstr>
    </vt:vector>
  </TitlesOfParts>
  <Company>hefce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C: Stage 2 financial information</dc:title>
  <dc:creator>HEFCE</dc:creator>
  <cp:lastModifiedBy>Marianne Cook</cp:lastModifiedBy>
  <cp:lastPrinted>2018-05-01T08:23:13Z</cp:lastPrinted>
  <dcterms:created xsi:type="dcterms:W3CDTF">2005-06-28T15:10:18Z</dcterms:created>
  <dcterms:modified xsi:type="dcterms:W3CDTF">2019-05-16T08:00:49Z</dcterms:modified>
</cp:coreProperties>
</file>