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ital" sheetId="1" state="visible" r:id="rId3"/>
    <sheet name="Abiertos" sheetId="2" state="visible" r:id="rId4"/>
    <sheet name="Cerrados" sheetId="3" state="visible" r:id="rId5"/>
    <sheet name="Cuna Intradia" sheetId="4" state="visible" r:id="rId6"/>
    <sheet name="Resultados" sheetId="5" state="visible" r:id="rId7"/>
  </sheets>
  <definedNames>
    <definedName function="false" hidden="false" name="HTML_1" vbProcedure="false">#REF!</definedName>
    <definedName function="false" hidden="false" name="HTML_2" vbProcedure="false">#REF!</definedName>
    <definedName function="false" hidden="false" name="HTML_3" vbProcedure="false">#REF!</definedName>
    <definedName function="false" hidden="false" name="HTML_4" vbProcedure="false">#REF!</definedName>
    <definedName function="false" hidden="false" name="HTML_all" vbProcedure="false">#REF!</definedName>
    <definedName function="false" hidden="false" name="HTML_tabl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<sst xmlns="http://schemas.openxmlformats.org/spreadsheetml/2006/main" count="150" uniqueCount="93">
  <si>
    <t xml:space="preserve">Mario</t>
  </si>
  <si>
    <t xml:space="preserve">Al 19/06</t>
  </si>
  <si>
    <t xml:space="preserve">Hoy</t>
  </si>
  <si>
    <t xml:space="preserve">José</t>
  </si>
  <si>
    <t xml:space="preserve">Gustavo</t>
  </si>
  <si>
    <t xml:space="preserve">Ale</t>
  </si>
  <si>
    <t xml:space="preserve">Carolina</t>
  </si>
  <si>
    <t xml:space="preserve">Javier</t>
  </si>
  <si>
    <t xml:space="preserve">Martín</t>
  </si>
  <si>
    <t xml:space="preserve">Joaquín</t>
  </si>
  <si>
    <t xml:space="preserve">Edu</t>
  </si>
  <si>
    <t xml:space="preserve">Gcia. Mes</t>
  </si>
  <si>
    <t xml:space="preserve">Real Veta</t>
  </si>
  <si>
    <t xml:space="preserve">Capital</t>
  </si>
  <si>
    <t xml:space="preserve">2% capital</t>
  </si>
  <si>
    <t xml:space="preserve">Obj 14/07</t>
  </si>
  <si>
    <t xml:space="preserve">Obj 14/08</t>
  </si>
  <si>
    <t xml:space="preserve">Especie</t>
  </si>
  <si>
    <t xml:space="preserve">Cantidad</t>
  </si>
  <si>
    <t xml:space="preserve">Costo</t>
  </si>
  <si>
    <t xml:space="preserve">Actual</t>
  </si>
  <si>
    <t xml:space="preserve">Resultado</t>
  </si>
  <si>
    <t xml:space="preserve">TP</t>
  </si>
  <si>
    <t xml:space="preserve">SL</t>
  </si>
  <si>
    <t xml:space="preserve">SL/Portfolio</t>
  </si>
  <si>
    <t xml:space="preserve">Progreso/TP</t>
  </si>
  <si>
    <t xml:space="preserve">AUSO</t>
  </si>
  <si>
    <t xml:space="preserve">BBAR</t>
  </si>
  <si>
    <t xml:space="preserve">CELU</t>
  </si>
  <si>
    <t xml:space="preserve">CEPU</t>
  </si>
  <si>
    <t xml:space="preserve">COME</t>
  </si>
  <si>
    <t xml:space="preserve">IRSA</t>
  </si>
  <si>
    <t xml:space="preserve">LOMA</t>
  </si>
  <si>
    <t xml:space="preserve">PAMP</t>
  </si>
  <si>
    <t xml:space="preserve">TGSU2</t>
  </si>
  <si>
    <t xml:space="preserve">TXAR</t>
  </si>
  <si>
    <t xml:space="preserve">YPFD</t>
  </si>
  <si>
    <t xml:space="preserve">Acciones</t>
  </si>
  <si>
    <t xml:space="preserve">AE38</t>
  </si>
  <si>
    <t xml:space="preserve">AL35</t>
  </si>
  <si>
    <t xml:space="preserve">AL41</t>
  </si>
  <si>
    <t xml:space="preserve">TX26</t>
  </si>
  <si>
    <t xml:space="preserve">Bonos</t>
  </si>
  <si>
    <t xml:space="preserve">LECFO</t>
  </si>
  <si>
    <t xml:space="preserve">MR37O</t>
  </si>
  <si>
    <t xml:space="preserve">ON</t>
  </si>
  <si>
    <t xml:space="preserve">ETHA</t>
  </si>
  <si>
    <t xml:space="preserve">MELI</t>
  </si>
  <si>
    <t xml:space="preserve">VIST</t>
  </si>
  <si>
    <t xml:space="preserve">Cedears</t>
  </si>
  <si>
    <t xml:space="preserve">T17O5</t>
  </si>
  <si>
    <t xml:space="preserve">T15D5</t>
  </si>
  <si>
    <t xml:space="preserve">Letras</t>
  </si>
  <si>
    <t xml:space="preserve">GFGC8900FE</t>
  </si>
  <si>
    <t xml:space="preserve">GFGV7200FE</t>
  </si>
  <si>
    <t xml:space="preserve">Cuna Vendida</t>
  </si>
  <si>
    <t xml:space="preserve">GFGC8000FE</t>
  </si>
  <si>
    <t xml:space="preserve">GFGC8300FE</t>
  </si>
  <si>
    <t xml:space="preserve">Bull Spread</t>
  </si>
  <si>
    <t xml:space="preserve">GFGV7600FE</t>
  </si>
  <si>
    <t xml:space="preserve">Put Vendido</t>
  </si>
  <si>
    <t xml:space="preserve">GFGV8300FE</t>
  </si>
  <si>
    <t xml:space="preserve">GFGV8600FE</t>
  </si>
  <si>
    <t xml:space="preserve">Ratio Put Spread</t>
  </si>
  <si>
    <t xml:space="preserve">YPFC55000FE</t>
  </si>
  <si>
    <t xml:space="preserve">YPFC58000FE</t>
  </si>
  <si>
    <t xml:space="preserve">Ratio FEB</t>
  </si>
  <si>
    <t xml:space="preserve">METC2900FE</t>
  </si>
  <si>
    <t xml:space="preserve">COMC270FE</t>
  </si>
  <si>
    <t xml:space="preserve">Covered Call</t>
  </si>
  <si>
    <t xml:space="preserve">Estrategias</t>
  </si>
  <si>
    <t xml:space="preserve">TOTAL</t>
  </si>
  <si>
    <t xml:space="preserve">Progreso</t>
  </si>
  <si>
    <t xml:space="preserve">GFGV7200JU</t>
  </si>
  <si>
    <t xml:space="preserve">GFGV7400JU</t>
  </si>
  <si>
    <t xml:space="preserve">CPS</t>
  </si>
  <si>
    <t xml:space="preserve">Gan/Capital</t>
  </si>
  <si>
    <t xml:space="preserve">% s/primas</t>
  </si>
  <si>
    <t xml:space="preserve">% s/Capital</t>
  </si>
  <si>
    <t xml:space="preserve">GFGV7000JU</t>
  </si>
  <si>
    <t xml:space="preserve">GFGC9778JU</t>
  </si>
  <si>
    <t xml:space="preserve">Cuna vendida</t>
  </si>
  <si>
    <t xml:space="preserve">GFGV6800JU</t>
  </si>
  <si>
    <t xml:space="preserve">GFGC9478JU</t>
  </si>
  <si>
    <t xml:space="preserve">GFGV6400JU</t>
  </si>
  <si>
    <t xml:space="preserve">GFGC8278JU</t>
  </si>
  <si>
    <t xml:space="preserve">GFGV6600JU</t>
  </si>
  <si>
    <t xml:space="preserve">GFGC8600JU</t>
  </si>
  <si>
    <t xml:space="preserve"> </t>
  </si>
  <si>
    <t xml:space="preserve">Cerrados</t>
  </si>
  <si>
    <t xml:space="preserve">Obj 20/12</t>
  </si>
  <si>
    <t xml:space="preserve">Obj EDM</t>
  </si>
  <si>
    <t xml:space="preserve">Ganancia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</si>
</sst>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\ %"/>
    <numFmt numFmtId="166" formatCode="0\ %"/>
    <numFmt numFmtId="167" formatCode="0.00"/>
    <numFmt numFmtId="168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sz val="11"/>
      <color rgb="FFC9211E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B2B2B2"/>
        <bgColor rgb="FFB7B3CA"/>
      </patternFill>
    </fill>
    <fill>
      <patternFill patternType="solid">
        <fgColor rgb="FFFFD7D7"/>
        <bgColor rgb="FFFFDBB6"/>
      </patternFill>
    </fill>
    <fill>
      <patternFill patternType="solid">
        <fgColor rgb="FFFFAA95"/>
        <bgColor rgb="FFFFB66C"/>
      </patternFill>
    </fill>
    <fill>
      <patternFill patternType="solid">
        <fgColor rgb="FFC5E0B4"/>
        <bgColor rgb="FFDDE8CB"/>
      </patternFill>
    </fill>
    <fill>
      <patternFill patternType="solid">
        <fgColor rgb="FFA9D18E"/>
        <bgColor rgb="FFAFD095"/>
      </patternFill>
    </fill>
    <fill>
      <patternFill patternType="solid">
        <fgColor rgb="FFFFDBB6"/>
        <bgColor rgb="FFFFD7D7"/>
      </patternFill>
    </fill>
    <fill>
      <patternFill patternType="solid">
        <fgColor rgb="FFFFB66C"/>
        <bgColor rgb="FFFFAA95"/>
      </patternFill>
    </fill>
    <fill>
      <patternFill patternType="solid">
        <fgColor rgb="FFB7B3CA"/>
        <bgColor rgb="FFB2B2B2"/>
      </patternFill>
    </fill>
    <fill>
      <patternFill patternType="solid">
        <fgColor rgb="FF8E86AE"/>
        <bgColor rgb="FF666699"/>
      </patternFill>
    </fill>
    <fill>
      <patternFill patternType="solid">
        <fgColor rgb="FFDEE6EF"/>
        <bgColor rgb="FFDDE8CB"/>
      </patternFill>
    </fill>
    <fill>
      <patternFill patternType="solid">
        <fgColor rgb="FFB4C7DC"/>
        <bgColor rgb="FF9DC3E6"/>
      </patternFill>
    </fill>
    <fill>
      <patternFill patternType="solid">
        <fgColor rgb="FFDDE8CB"/>
        <bgColor rgb="FFDEE6EF"/>
      </patternFill>
    </fill>
    <fill>
      <patternFill patternType="solid">
        <fgColor rgb="FFAFD095"/>
        <bgColor rgb="FFA9D18E"/>
      </patternFill>
    </fill>
    <fill>
      <patternFill patternType="solid">
        <fgColor rgb="FF70AD47"/>
        <bgColor rgb="FF3FAF46"/>
      </patternFill>
    </fill>
    <fill>
      <patternFill patternType="solid">
        <fgColor rgb="FF3FAF46"/>
        <bgColor rgb="FF70AD47"/>
      </patternFill>
    </fill>
    <fill>
      <patternFill patternType="solid">
        <fgColor rgb="FF9DC3E6"/>
        <bgColor rgb="FFB4C7DC"/>
      </patternFill>
    </fill>
    <fill>
      <patternFill patternType="solid">
        <fgColor rgb="FFBDD7EE"/>
        <bgColor rgb="FFB4C7D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7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1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3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4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3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4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5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8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A9D18E"/>
      <rgbColor rgb="FFB2B2B2"/>
      <rgbColor rgb="FF993366"/>
      <rgbColor rgb="FFFFD7D7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DDE8CB"/>
      <rgbColor rgb="FFAFD095"/>
      <rgbColor rgb="FF9DC3E6"/>
      <rgbColor rgb="FFFFAA95"/>
      <rgbColor rgb="FFB4C7DC"/>
      <rgbColor rgb="FFFFDBB6"/>
      <rgbColor rgb="FF3366FF"/>
      <rgbColor rgb="FF33CCCC"/>
      <rgbColor rgb="FF70AD47"/>
      <rgbColor rgb="FFFFB66C"/>
      <rgbColor rgb="FFFF9900"/>
      <rgbColor rgb="FFFF6600"/>
      <rgbColor rgb="FF666699"/>
      <rgbColor rgb="FF8E86AE"/>
      <rgbColor rgb="FF003366"/>
      <rgbColor rgb="FF3FAF4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ColWidth="11.640625" defaultRowHeight="13.8" customHeight="true" zeroHeight="false" outlineLevelRow="0" outlineLevelCol="0"/>
  <cols>
    <col collapsed="false" customWidth="true" hidden="false" outlineLevel="0" max="9" min="9" style="1" width="8.8"/>
    <col collapsed="false" customWidth="true" hidden="false" outlineLevel="0" max="10" min="10" style="1" width="9.36"/>
    <col collapsed="false" customWidth="true" hidden="false" outlineLevel="0" max="11" min="11" style="1" width="9.92"/>
    <col collapsed="false" customWidth="true" hidden="false" outlineLevel="0" max="12" min="12" style="1" width="9.36"/>
  </cols>
  <sheetData>
    <row r="1" customFormat="false" ht="13.8" hidden="false" customHeight="false" outlineLevel="0" collapsed="false">
      <c r="A1" s="2" t="s">
        <v>0</v>
      </c>
      <c r="B1" s="1" t="n">
        <v>600000</v>
      </c>
      <c r="C1" s="1" t="n">
        <f aca="false">+B1*1.1</f>
        <v>660000</v>
      </c>
      <c r="D1" s="3"/>
      <c r="E1" s="3"/>
      <c r="F1" s="1" t="n">
        <f aca="false">+C1+E1</f>
        <v>660000</v>
      </c>
      <c r="G1" s="1"/>
      <c r="H1" s="2"/>
      <c r="J1" s="4" t="s">
        <v>1</v>
      </c>
      <c r="K1" s="4" t="s">
        <v>2</v>
      </c>
    </row>
    <row r="2" customFormat="false" ht="13.8" hidden="false" customHeight="false" outlineLevel="0" collapsed="false">
      <c r="A2" s="2" t="s">
        <v>3</v>
      </c>
      <c r="B2" s="1" t="n">
        <v>2350000</v>
      </c>
      <c r="C2" s="1" t="n">
        <f aca="false">+B2*1.1</f>
        <v>2585000</v>
      </c>
      <c r="D2" s="3"/>
      <c r="E2" s="1" t="n">
        <f aca="false">+(D2)*1.05</f>
        <v>0</v>
      </c>
      <c r="F2" s="1" t="n">
        <f aca="false">+C2+E2</f>
        <v>2585000</v>
      </c>
      <c r="G2" s="1"/>
      <c r="I2" s="4"/>
    </row>
    <row r="3" s="1" customFormat="true" ht="13.8" hidden="false" customHeight="false" outlineLevel="0" collapsed="false">
      <c r="A3" s="2" t="s">
        <v>4</v>
      </c>
      <c r="B3" s="1" t="n">
        <v>0</v>
      </c>
      <c r="C3" s="1" t="n">
        <f aca="false">+B3*1.1</f>
        <v>0</v>
      </c>
      <c r="D3" s="3"/>
      <c r="E3" s="3"/>
      <c r="F3" s="1" t="n">
        <f aca="false">+C3+E3</f>
        <v>0</v>
      </c>
      <c r="I3" s="4" t="n">
        <v>46713</v>
      </c>
      <c r="J3" s="1" t="n">
        <f aca="false">+898655-150000</f>
        <v>748655</v>
      </c>
      <c r="K3" s="1" t="n">
        <v>812670</v>
      </c>
      <c r="M3" s="5" t="n">
        <f aca="false">+K3+L3</f>
        <v>812670</v>
      </c>
      <c r="N3" s="1" t="n">
        <f aca="false">+M3/J3</f>
        <v>1.08550667530438</v>
      </c>
      <c r="O3" s="1" t="n">
        <f aca="false">+M3-J3</f>
        <v>64015</v>
      </c>
    </row>
    <row r="4" customFormat="false" ht="13.8" hidden="false" customHeight="false" outlineLevel="0" collapsed="false">
      <c r="A4" s="2" t="s">
        <v>5</v>
      </c>
      <c r="B4" s="1" t="n">
        <v>520000</v>
      </c>
      <c r="C4" s="1" t="n">
        <f aca="false">+B4*1.1</f>
        <v>572000</v>
      </c>
      <c r="D4" s="3"/>
      <c r="E4" s="3"/>
      <c r="F4" s="1" t="n">
        <f aca="false">+C4+E4</f>
        <v>572000</v>
      </c>
      <c r="G4" s="1"/>
      <c r="I4" s="4" t="n">
        <v>47141</v>
      </c>
      <c r="J4" s="1" t="n">
        <f aca="false">+1123944-300000</f>
        <v>823944</v>
      </c>
      <c r="K4" s="1" t="n">
        <v>737973</v>
      </c>
      <c r="L4" s="6"/>
      <c r="M4" s="5" t="n">
        <f aca="false">+K4+L4</f>
        <v>737973</v>
      </c>
      <c r="N4" s="1" t="n">
        <f aca="false">+M4/J4</f>
        <v>0.895659171011622</v>
      </c>
      <c r="O4" s="1" t="n">
        <f aca="false">+M4-J4</f>
        <v>-85971</v>
      </c>
      <c r="P4" s="1"/>
    </row>
    <row r="5" customFormat="false" ht="13.8" hidden="false" customHeight="false" outlineLevel="0" collapsed="false">
      <c r="A5" s="2" t="s">
        <v>6</v>
      </c>
      <c r="B5" s="2" t="n">
        <v>410000</v>
      </c>
      <c r="C5" s="1" t="n">
        <f aca="false">+B5*1.1</f>
        <v>451000</v>
      </c>
      <c r="D5" s="3"/>
      <c r="E5" s="1"/>
      <c r="F5" s="1" t="n">
        <f aca="false">+C5+E5</f>
        <v>451000</v>
      </c>
      <c r="G5" s="1"/>
      <c r="J5" s="5" t="n">
        <f aca="false">SUM(J2:J4)</f>
        <v>1572599</v>
      </c>
      <c r="K5" s="5" t="n">
        <f aca="false">SUM(K2:K4)</f>
        <v>1550643</v>
      </c>
      <c r="L5" s="7" t="n">
        <f aca="false">SUM(L2:L4)</f>
        <v>0</v>
      </c>
      <c r="M5" s="5" t="n">
        <f aca="false">+K5+L5</f>
        <v>1550643</v>
      </c>
      <c r="N5" s="5" t="n">
        <f aca="false">+M5/J5</f>
        <v>0.986038398854381</v>
      </c>
      <c r="O5" s="5" t="n">
        <f aca="false">+M5-J5</f>
        <v>-21956</v>
      </c>
      <c r="P5" s="1"/>
    </row>
    <row r="6" customFormat="false" ht="13.8" hidden="false" customHeight="false" outlineLevel="0" collapsed="false">
      <c r="A6" s="2" t="s">
        <v>7</v>
      </c>
      <c r="B6" s="2" t="n">
        <v>84000</v>
      </c>
      <c r="C6" s="1" t="n">
        <f aca="false">+B6*1.1</f>
        <v>92400</v>
      </c>
      <c r="D6" s="3"/>
      <c r="E6" s="3"/>
      <c r="F6" s="1" t="n">
        <f aca="false">+C6+E6</f>
        <v>92400</v>
      </c>
      <c r="G6" s="1"/>
      <c r="M6" s="5"/>
    </row>
    <row r="7" customFormat="false" ht="13.8" hidden="false" customHeight="false" outlineLevel="0" collapsed="false">
      <c r="A7" s="2" t="s">
        <v>8</v>
      </c>
      <c r="B7" s="1" t="n">
        <v>1100000</v>
      </c>
      <c r="C7" s="1" t="n">
        <f aca="false">+B7*1.1</f>
        <v>1210000</v>
      </c>
      <c r="D7" s="3"/>
      <c r="E7" s="1" t="n">
        <f aca="false">+(D7)*1.05</f>
        <v>0</v>
      </c>
      <c r="F7" s="1" t="n">
        <f aca="false">+C7+E7</f>
        <v>1210000</v>
      </c>
      <c r="G7" s="1"/>
      <c r="I7" s="4" t="n">
        <v>46571</v>
      </c>
      <c r="M7" s="5"/>
      <c r="N7" s="1"/>
      <c r="O7" s="1"/>
      <c r="P7" s="1"/>
    </row>
    <row r="8" customFormat="false" ht="13.8" hidden="false" customHeight="false" outlineLevel="0" collapsed="false">
      <c r="A8" s="2" t="s">
        <v>9</v>
      </c>
      <c r="B8" s="2" t="n">
        <v>1650000</v>
      </c>
      <c r="C8" s="1" t="n">
        <f aca="false">+B8*1.1</f>
        <v>1815000</v>
      </c>
      <c r="D8" s="3"/>
      <c r="E8" s="1" t="n">
        <f aca="false">+(D8)*1.05</f>
        <v>0</v>
      </c>
      <c r="F8" s="1" t="n">
        <f aca="false">+C8+E8</f>
        <v>1815000</v>
      </c>
      <c r="G8" s="1"/>
    </row>
    <row r="9" customFormat="false" ht="13.8" hidden="false" customHeight="false" outlineLevel="0" collapsed="false">
      <c r="A9" s="2" t="s">
        <v>10</v>
      </c>
      <c r="B9" s="2"/>
      <c r="D9" s="3"/>
      <c r="E9" s="3"/>
      <c r="F9" s="3"/>
      <c r="G9" s="4" t="s">
        <v>11</v>
      </c>
    </row>
    <row r="10" customFormat="false" ht="13.8" hidden="false" customHeight="false" outlineLevel="0" collapsed="false">
      <c r="A10" s="2" t="s">
        <v>12</v>
      </c>
      <c r="B10" s="1" t="n">
        <f aca="false">SUM(B1:B9)</f>
        <v>6714000</v>
      </c>
      <c r="C10" s="1" t="n">
        <f aca="false">SUM(C1:C9)</f>
        <v>7385400</v>
      </c>
      <c r="D10" s="1" t="n">
        <f aca="false">SUM(D1:D9)</f>
        <v>0</v>
      </c>
      <c r="E10" s="1" t="n">
        <f aca="false">SUM(E1:E9)</f>
        <v>0</v>
      </c>
      <c r="F10" s="1" t="n">
        <f aca="false">SUM(F1:F9)</f>
        <v>7385400</v>
      </c>
      <c r="G10" s="1" t="n">
        <f aca="false">+F10-D10-B10</f>
        <v>671400</v>
      </c>
    </row>
    <row r="11" customFormat="false" ht="13.8" hidden="false" customHeight="false" outlineLevel="0" collapsed="false">
      <c r="A11" s="1"/>
      <c r="B11" s="3"/>
      <c r="C11" s="3"/>
      <c r="D11" s="1"/>
      <c r="E11" s="1"/>
      <c r="F11" s="1"/>
      <c r="G11" s="1"/>
      <c r="H11" s="1" t="n">
        <v>2</v>
      </c>
      <c r="I11" s="1" t="n">
        <v>114.413</v>
      </c>
      <c r="J11" s="1" t="n">
        <f aca="false">+I11*H11</f>
        <v>228.826</v>
      </c>
      <c r="M11" s="1"/>
      <c r="N11" s="1"/>
      <c r="O11" s="1"/>
      <c r="P11" s="1"/>
    </row>
    <row r="12" customFormat="false" ht="13.8" hidden="false" customHeight="false" outlineLevel="0" collapsed="false">
      <c r="A12" s="1"/>
      <c r="B12" s="3"/>
      <c r="C12" s="3"/>
      <c r="D12" s="1"/>
      <c r="E12" s="1"/>
      <c r="F12" s="1"/>
      <c r="G12" s="1"/>
      <c r="H12" s="1" t="n">
        <v>6</v>
      </c>
      <c r="I12" s="1" t="n">
        <v>94.598</v>
      </c>
      <c r="J12" s="1" t="n">
        <f aca="false">+I12*H12</f>
        <v>567.588</v>
      </c>
      <c r="M12" s="1"/>
      <c r="N12" s="1"/>
      <c r="O12" s="1"/>
      <c r="P12" s="1"/>
    </row>
    <row r="13" customFormat="false" ht="13.8" hidden="false" customHeight="false" outlineLevel="0" collapsed="false">
      <c r="A13" s="1"/>
      <c r="B13" s="3"/>
      <c r="C13" s="3"/>
      <c r="D13" s="1"/>
      <c r="E13" s="1"/>
      <c r="F13" s="1"/>
      <c r="G13" s="1"/>
      <c r="H13" s="1" t="n">
        <f aca="false">+H12+H11</f>
        <v>8</v>
      </c>
      <c r="I13" s="1" t="n">
        <f aca="false">+I12+I11</f>
        <v>209.011</v>
      </c>
      <c r="J13" s="1" t="n">
        <f aca="false">+J12+J11</f>
        <v>796.414</v>
      </c>
      <c r="K13" s="1" t="n">
        <f aca="false">+J13/H13</f>
        <v>99.55175</v>
      </c>
      <c r="M13" s="1"/>
      <c r="N13" s="1"/>
      <c r="O13" s="1"/>
      <c r="P13" s="1"/>
    </row>
    <row r="14" customFormat="false" ht="13.8" hidden="false" customHeight="false" outlineLevel="0" collapsed="false">
      <c r="A14" s="1" t="s">
        <v>13</v>
      </c>
      <c r="B14" s="3" t="n">
        <f aca="false">+B10+D10</f>
        <v>6714000</v>
      </c>
      <c r="C14" s="3"/>
      <c r="D14" s="1"/>
      <c r="E14" s="1"/>
      <c r="F14" s="1"/>
      <c r="G14" s="1"/>
      <c r="H14" s="1"/>
      <c r="M14" s="1"/>
      <c r="N14" s="1"/>
      <c r="O14" s="1"/>
      <c r="P14" s="1"/>
    </row>
    <row r="15" customFormat="false" ht="13.8" hidden="false" customHeight="false" outlineLevel="0" collapsed="false">
      <c r="A15" s="2" t="s">
        <v>14</v>
      </c>
      <c r="B15" s="3" t="n">
        <f aca="false">B14*0.02</f>
        <v>134280</v>
      </c>
      <c r="C15" s="3"/>
      <c r="F15" s="2"/>
      <c r="G15" s="2"/>
      <c r="H15" s="2"/>
    </row>
    <row r="16" customFormat="false" ht="13.8" hidden="false" customHeight="false" outlineLevel="0" collapsed="false">
      <c r="B16" s="3"/>
      <c r="C16" s="3"/>
    </row>
    <row r="17" customFormat="false" ht="13.8" hidden="false" customHeight="false" outlineLevel="0" collapsed="false">
      <c r="A17" s="2" t="s">
        <v>15</v>
      </c>
      <c r="B17" s="3" t="n">
        <f aca="false">+B14*1.1</f>
        <v>7385400</v>
      </c>
      <c r="C17" s="3" t="n">
        <f aca="false">+B14*0.1</f>
        <v>671400</v>
      </c>
    </row>
    <row r="18" customFormat="false" ht="13.8" hidden="false" customHeight="false" outlineLevel="0" collapsed="false">
      <c r="A18" s="2" t="s">
        <v>16</v>
      </c>
      <c r="B18" s="3" t="n">
        <f aca="false">+B14*1.2</f>
        <v>8056800</v>
      </c>
      <c r="C18" s="3" t="n">
        <f aca="false">+B14*0.2</f>
        <v>1342800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pane xSplit="0" ySplit="1" topLeftCell="A26" activePane="bottomLeft" state="frozen"/>
      <selection pane="topLeft" activeCell="A29" activeCellId="0" sqref="A29"/>
      <selection pane="bottomLeft" activeCell="E36" activeCellId="0" sqref="E36"/>
    </sheetView>
  </sheetViews>
  <sheetFormatPr defaultColWidth="10.72265625" defaultRowHeight="13.8" customHeight="true" zeroHeight="false" outlineLevelRow="1" outlineLevelCol="0"/>
  <cols>
    <col collapsed="false" customWidth="true" hidden="false" outlineLevel="0" max="1" min="1" style="2" width="14.15"/>
    <col collapsed="false" customWidth="false" hidden="false" outlineLevel="0" max="2" min="2" style="3" width="10.71"/>
    <col collapsed="false" customWidth="true" hidden="false" outlineLevel="0" max="5" min="5" style="2" width="12.57"/>
    <col collapsed="false" customWidth="true" hidden="false" outlineLevel="0" max="8" min="8" style="2" width="15.42"/>
    <col collapsed="false" customWidth="false" hidden="false" outlineLevel="0" max="12" min="10" style="8" width="10.71"/>
    <col collapsed="false" customWidth="false" hidden="false" outlineLevel="0" max="14" min="13" style="2" width="10.71"/>
    <col collapsed="false" customWidth="true" hidden="false" outlineLevel="0" max="15" min="15" style="9" width="11.43"/>
    <col collapsed="false" customWidth="true" hidden="false" outlineLevel="0" max="16" min="16" style="10" width="23.01"/>
    <col collapsed="false" customWidth="false" hidden="false" outlineLevel="0" max="1025" min="17" style="2" width="10.71"/>
  </cols>
  <sheetData>
    <row r="1" s="5" customFormat="true" ht="13.8" hidden="false" customHeight="false" outlineLevel="0" collapsed="false">
      <c r="A1" s="11" t="s">
        <v>17</v>
      </c>
      <c r="B1" s="12" t="s">
        <v>18</v>
      </c>
      <c r="C1" s="13" t="s">
        <v>19</v>
      </c>
      <c r="D1" s="13"/>
      <c r="E1" s="13" t="s">
        <v>20</v>
      </c>
      <c r="F1" s="13"/>
      <c r="G1" s="13" t="s">
        <v>21</v>
      </c>
      <c r="H1" s="13" t="s">
        <v>22</v>
      </c>
      <c r="I1" s="13" t="s">
        <v>23</v>
      </c>
      <c r="J1" s="14" t="s">
        <v>24</v>
      </c>
      <c r="K1" s="14"/>
      <c r="L1" s="15" t="s">
        <v>25</v>
      </c>
    </row>
    <row r="2" customFormat="false" ht="13.8" hidden="false" customHeight="false" outlineLevel="1" collapsed="false">
      <c r="A2" s="16" t="s">
        <v>26</v>
      </c>
      <c r="B2" s="17" t="n">
        <v>50</v>
      </c>
      <c r="C2" s="18" t="n">
        <v>3910</v>
      </c>
      <c r="D2" s="18" t="n">
        <f aca="false">+B2*C2</f>
        <v>195500</v>
      </c>
      <c r="E2" s="18" t="n">
        <v>3610</v>
      </c>
      <c r="F2" s="18" t="n">
        <f aca="false">+B2*E2</f>
        <v>180500</v>
      </c>
      <c r="G2" s="18" t="n">
        <f aca="false">+F2-D2</f>
        <v>-15000</v>
      </c>
      <c r="H2" s="18" t="n">
        <f aca="false">+D2*0.2</f>
        <v>39100</v>
      </c>
      <c r="I2" s="18" t="n">
        <f aca="false">+D2*0.4</f>
        <v>78200</v>
      </c>
      <c r="J2" s="19" t="n">
        <f aca="false">+I2*100/Capital!$B$10</f>
        <v>1.16473041406017</v>
      </c>
      <c r="K2" s="19" t="n">
        <f aca="false">+G2/D2</f>
        <v>-0.0767263427109974</v>
      </c>
      <c r="L2" s="20" t="n">
        <f aca="false">+G2/H2</f>
        <v>-0.383631713554987</v>
      </c>
    </row>
    <row r="3" customFormat="false" ht="13.8" hidden="false" customHeight="false" outlineLevel="1" collapsed="false">
      <c r="A3" s="16" t="s">
        <v>27</v>
      </c>
      <c r="B3" s="17" t="n">
        <v>10</v>
      </c>
      <c r="C3" s="18" t="n">
        <v>7407.163</v>
      </c>
      <c r="D3" s="18" t="n">
        <f aca="false">+B3*C3</f>
        <v>74071.63</v>
      </c>
      <c r="E3" s="18" t="n">
        <v>9350</v>
      </c>
      <c r="F3" s="18" t="n">
        <f aca="false">+B3*E3</f>
        <v>93500</v>
      </c>
      <c r="G3" s="18" t="n">
        <f aca="false">+F3-D3</f>
        <v>19428.37</v>
      </c>
      <c r="H3" s="18" t="n">
        <f aca="false">+D3*0.2</f>
        <v>14814.326</v>
      </c>
      <c r="I3" s="18" t="n">
        <f aca="false">+D3*0.4</f>
        <v>29628.652</v>
      </c>
      <c r="J3" s="19" t="n">
        <f aca="false">+I3*100/Capital!$B$10</f>
        <v>0.441296574322312</v>
      </c>
      <c r="K3" s="19" t="n">
        <f aca="false">+G3/D3</f>
        <v>0.262291649312969</v>
      </c>
      <c r="L3" s="20" t="n">
        <f aca="false">+G3/H3</f>
        <v>1.31145824656485</v>
      </c>
    </row>
    <row r="4" customFormat="false" ht="13.8" hidden="false" customHeight="false" outlineLevel="1" collapsed="false">
      <c r="A4" s="16" t="s">
        <v>28</v>
      </c>
      <c r="B4" s="17" t="n">
        <v>100</v>
      </c>
      <c r="C4" s="18" t="n">
        <v>939</v>
      </c>
      <c r="D4" s="18" t="n">
        <f aca="false">+B4*C4</f>
        <v>93900</v>
      </c>
      <c r="E4" s="18" t="n">
        <v>939</v>
      </c>
      <c r="F4" s="18" t="n">
        <f aca="false">+B4*E4</f>
        <v>93900</v>
      </c>
      <c r="G4" s="18" t="n">
        <f aca="false">+F4-D4</f>
        <v>0</v>
      </c>
      <c r="H4" s="18" t="n">
        <f aca="false">+D4*0.2</f>
        <v>18780</v>
      </c>
      <c r="I4" s="18" t="n">
        <f aca="false">+D4*0.4</f>
        <v>37560</v>
      </c>
      <c r="J4" s="19" t="n">
        <f aca="false">+I4*100/Capital!$B$10</f>
        <v>0.559428060768543</v>
      </c>
      <c r="K4" s="19" t="n">
        <f aca="false">+G4/D4</f>
        <v>0</v>
      </c>
      <c r="L4" s="20" t="n">
        <f aca="false">+G4/H4</f>
        <v>0</v>
      </c>
    </row>
    <row r="5" customFormat="false" ht="13.8" hidden="false" customHeight="false" outlineLevel="1" collapsed="false">
      <c r="A5" s="16" t="s">
        <v>29</v>
      </c>
      <c r="B5" s="17" t="n">
        <v>150</v>
      </c>
      <c r="C5" s="18" t="n">
        <v>1610</v>
      </c>
      <c r="D5" s="18" t="n">
        <f aca="false">+B5*C5</f>
        <v>241500</v>
      </c>
      <c r="E5" s="18" t="n">
        <v>1870</v>
      </c>
      <c r="F5" s="18" t="n">
        <f aca="false">+B5*E5</f>
        <v>280500</v>
      </c>
      <c r="G5" s="18" t="n">
        <f aca="false">+F5-D5</f>
        <v>39000</v>
      </c>
      <c r="H5" s="18" t="n">
        <f aca="false">+D5*0.2</f>
        <v>48300</v>
      </c>
      <c r="I5" s="18" t="n">
        <f aca="false">+D5*0.4</f>
        <v>96600</v>
      </c>
      <c r="J5" s="19" t="n">
        <f aca="false">+I5*100/Capital!$B$10</f>
        <v>1.43878462913315</v>
      </c>
      <c r="K5" s="19" t="n">
        <f aca="false">+G5/D5</f>
        <v>0.161490683229814</v>
      </c>
      <c r="L5" s="20" t="n">
        <f aca="false">+G5/H5</f>
        <v>0.807453416149068</v>
      </c>
    </row>
    <row r="6" customFormat="false" ht="13.8" hidden="false" customHeight="false" outlineLevel="1" collapsed="false">
      <c r="A6" s="16" t="s">
        <v>30</v>
      </c>
      <c r="B6" s="17" t="n">
        <v>1300</v>
      </c>
      <c r="C6" s="18" t="n">
        <v>245.25</v>
      </c>
      <c r="D6" s="18" t="n">
        <f aca="false">+B6*C6</f>
        <v>318825</v>
      </c>
      <c r="E6" s="18" t="n">
        <v>281</v>
      </c>
      <c r="F6" s="18" t="n">
        <f aca="false">+B6*E6</f>
        <v>365300</v>
      </c>
      <c r="G6" s="18" t="n">
        <f aca="false">+F6-D6</f>
        <v>46475</v>
      </c>
      <c r="H6" s="18" t="n">
        <f aca="false">+D6*0.2</f>
        <v>63765</v>
      </c>
      <c r="I6" s="18" t="n">
        <f aca="false">+D6*0.4</f>
        <v>127530</v>
      </c>
      <c r="J6" s="19" t="n">
        <f aca="false">+I6*100/Capital!$B$10</f>
        <v>1.89946380697051</v>
      </c>
      <c r="K6" s="19" t="n">
        <f aca="false">+G6/D6</f>
        <v>0.145769622833843</v>
      </c>
      <c r="L6" s="20" t="n">
        <f aca="false">+G6/H6</f>
        <v>0.728848114169215</v>
      </c>
    </row>
    <row r="7" customFormat="false" ht="13.8" hidden="false" customHeight="false" outlineLevel="1" collapsed="false">
      <c r="A7" s="16" t="s">
        <v>31</v>
      </c>
      <c r="B7" s="17" t="n">
        <v>100</v>
      </c>
      <c r="C7" s="18" t="n">
        <v>1785</v>
      </c>
      <c r="D7" s="18" t="n">
        <f aca="false">+B7*C7</f>
        <v>178500</v>
      </c>
      <c r="E7" s="18" t="n">
        <v>1910</v>
      </c>
      <c r="F7" s="18" t="n">
        <f aca="false">+B7*E7</f>
        <v>191000</v>
      </c>
      <c r="G7" s="18" t="n">
        <f aca="false">+F7-D7</f>
        <v>12500</v>
      </c>
      <c r="H7" s="18" t="n">
        <f aca="false">+D7*0.2</f>
        <v>35700</v>
      </c>
      <c r="I7" s="18" t="n">
        <f aca="false">+D7*0.4</f>
        <v>71400</v>
      </c>
      <c r="J7" s="19" t="n">
        <f aca="false">+I7*100/Capital!$B$10</f>
        <v>1.06344950848972</v>
      </c>
      <c r="K7" s="19" t="n">
        <f aca="false">+G7/D7</f>
        <v>0.0700280112044818</v>
      </c>
      <c r="L7" s="20" t="n">
        <f aca="false">+G7/H7</f>
        <v>0.350140056022409</v>
      </c>
    </row>
    <row r="8" customFormat="false" ht="13.8" hidden="false" customHeight="false" outlineLevel="1" collapsed="false">
      <c r="A8" s="16" t="s">
        <v>32</v>
      </c>
      <c r="B8" s="17" t="n">
        <v>100</v>
      </c>
      <c r="C8" s="18" t="n">
        <v>2750</v>
      </c>
      <c r="D8" s="18" t="n">
        <f aca="false">+B8*C8</f>
        <v>275000</v>
      </c>
      <c r="E8" s="18" t="n">
        <v>3000</v>
      </c>
      <c r="F8" s="18" t="n">
        <f aca="false">+B8*E8</f>
        <v>300000</v>
      </c>
      <c r="G8" s="18" t="n">
        <f aca="false">+F8-D8</f>
        <v>25000</v>
      </c>
      <c r="H8" s="18" t="n">
        <f aca="false">+D8*0.2</f>
        <v>55000</v>
      </c>
      <c r="I8" s="18" t="n">
        <f aca="false">+D8*0.4</f>
        <v>110000</v>
      </c>
      <c r="J8" s="19" t="n">
        <f aca="false">+I8*100/Capital!$B$10</f>
        <v>1.63836759011022</v>
      </c>
      <c r="K8" s="19" t="n">
        <f aca="false">+G8/D8</f>
        <v>0.0909090909090909</v>
      </c>
      <c r="L8" s="20" t="n">
        <f aca="false">+G8/H8</f>
        <v>0.454545454545455</v>
      </c>
    </row>
    <row r="9" customFormat="false" ht="13.8" hidden="false" customHeight="false" outlineLevel="1" collapsed="false">
      <c r="A9" s="16" t="s">
        <v>33</v>
      </c>
      <c r="B9" s="17" t="n">
        <v>95</v>
      </c>
      <c r="C9" s="18" t="n">
        <v>4040</v>
      </c>
      <c r="D9" s="18" t="n">
        <f aca="false">+B9*C9</f>
        <v>383800</v>
      </c>
      <c r="E9" s="18" t="n">
        <v>4575</v>
      </c>
      <c r="F9" s="18" t="n">
        <f aca="false">+B9*E9</f>
        <v>434625</v>
      </c>
      <c r="G9" s="18" t="n">
        <f aca="false">+F9-D9</f>
        <v>50825</v>
      </c>
      <c r="H9" s="18" t="n">
        <f aca="false">+D9*0.2</f>
        <v>76760</v>
      </c>
      <c r="I9" s="18" t="n">
        <f aca="false">+D9*0.4</f>
        <v>153520</v>
      </c>
      <c r="J9" s="19" t="n">
        <f aca="false">+I9*100/Capital!$B$10</f>
        <v>2.2865653857611</v>
      </c>
      <c r="K9" s="19" t="n">
        <f aca="false">+G9/D9</f>
        <v>0.132425742574257</v>
      </c>
      <c r="L9" s="20" t="n">
        <f aca="false">+G9/H9</f>
        <v>0.662128712871287</v>
      </c>
    </row>
    <row r="10" customFormat="false" ht="13.8" hidden="false" customHeight="false" outlineLevel="1" collapsed="false">
      <c r="A10" s="16" t="s">
        <v>34</v>
      </c>
      <c r="B10" s="17" t="n">
        <v>20</v>
      </c>
      <c r="C10" s="18" t="n">
        <v>6600</v>
      </c>
      <c r="D10" s="18" t="n">
        <f aca="false">+B10*C10</f>
        <v>132000</v>
      </c>
      <c r="E10" s="18" t="n">
        <v>7970</v>
      </c>
      <c r="F10" s="18" t="n">
        <f aca="false">+B10*E10</f>
        <v>159400</v>
      </c>
      <c r="G10" s="18" t="n">
        <f aca="false">+F10-D10</f>
        <v>27400</v>
      </c>
      <c r="H10" s="18" t="n">
        <f aca="false">+D10*0.2</f>
        <v>26400</v>
      </c>
      <c r="I10" s="18" t="n">
        <f aca="false">+D10*0.4</f>
        <v>52800</v>
      </c>
      <c r="J10" s="19" t="n">
        <f aca="false">+I10*100/Capital!$B$10</f>
        <v>0.786416443252904</v>
      </c>
      <c r="K10" s="19" t="n">
        <f aca="false">+G10/D10</f>
        <v>0.207575757575758</v>
      </c>
      <c r="L10" s="20" t="n">
        <f aca="false">+G10/H10</f>
        <v>1.03787878787879</v>
      </c>
    </row>
    <row r="11" customFormat="false" ht="13.8" hidden="false" customHeight="false" outlineLevel="1" collapsed="false">
      <c r="A11" s="16" t="s">
        <v>35</v>
      </c>
      <c r="B11" s="17" t="n">
        <v>100</v>
      </c>
      <c r="C11" s="18" t="n">
        <v>912</v>
      </c>
      <c r="D11" s="18" t="n">
        <f aca="false">+B11*C11</f>
        <v>91200</v>
      </c>
      <c r="E11" s="18" t="n">
        <v>878</v>
      </c>
      <c r="F11" s="18" t="n">
        <f aca="false">+B11*E11</f>
        <v>87800</v>
      </c>
      <c r="G11" s="18" t="n">
        <f aca="false">+F11-D11</f>
        <v>-3400</v>
      </c>
      <c r="H11" s="18" t="n">
        <f aca="false">+D11*0.2</f>
        <v>18240</v>
      </c>
      <c r="I11" s="18" t="n">
        <f aca="false">+D11*0.4</f>
        <v>36480</v>
      </c>
      <c r="J11" s="19" t="n">
        <f aca="false">+I11*100/Capital!$B$10</f>
        <v>0.543342269883825</v>
      </c>
      <c r="K11" s="19" t="n">
        <f aca="false">+G11/D11</f>
        <v>-0.037280701754386</v>
      </c>
      <c r="L11" s="20" t="n">
        <f aca="false">+G11/H11</f>
        <v>-0.18640350877193</v>
      </c>
    </row>
    <row r="12" customFormat="false" ht="13.8" hidden="false" customHeight="false" outlineLevel="1" collapsed="false">
      <c r="A12" s="16" t="s">
        <v>36</v>
      </c>
      <c r="B12" s="17" t="n">
        <v>15</v>
      </c>
      <c r="C12" s="18" t="n">
        <v>49400</v>
      </c>
      <c r="D12" s="18" t="n">
        <f aca="false">+B12*C12</f>
        <v>741000</v>
      </c>
      <c r="E12" s="18" t="n">
        <v>55100</v>
      </c>
      <c r="F12" s="18" t="n">
        <f aca="false">+B12*E12</f>
        <v>826500</v>
      </c>
      <c r="G12" s="18" t="n">
        <f aca="false">+F12-D12</f>
        <v>85500</v>
      </c>
      <c r="H12" s="18" t="n">
        <f aca="false">+D12*0.2</f>
        <v>148200</v>
      </c>
      <c r="I12" s="18" t="n">
        <f aca="false">+D12*0.4</f>
        <v>296400</v>
      </c>
      <c r="J12" s="19" t="n">
        <f aca="false">+I12*100/Capital!$B$10</f>
        <v>4.41465594280608</v>
      </c>
      <c r="K12" s="19" t="n">
        <f aca="false">+G12/D12</f>
        <v>0.115384615384615</v>
      </c>
      <c r="L12" s="20" t="n">
        <f aca="false">+G12/H12</f>
        <v>0.576923076923077</v>
      </c>
    </row>
    <row r="13" customFormat="false" ht="13.8" hidden="false" customHeight="false" outlineLevel="0" collapsed="false">
      <c r="A13" s="21" t="s">
        <v>37</v>
      </c>
      <c r="B13" s="22"/>
      <c r="C13" s="23"/>
      <c r="D13" s="23" t="n">
        <f aca="false">SUM(D2:D12)</f>
        <v>2725296.63</v>
      </c>
      <c r="E13" s="23"/>
      <c r="F13" s="23" t="n">
        <f aca="false">SUM(F2:F12)</f>
        <v>3013025</v>
      </c>
      <c r="G13" s="23" t="n">
        <f aca="false">SUM(G2:G12)</f>
        <v>287728.37</v>
      </c>
      <c r="H13" s="23" t="n">
        <f aca="false">SUM(H2:H12)</f>
        <v>545059.326</v>
      </c>
      <c r="I13" s="23" t="n">
        <f aca="false">SUM(I2:I12)</f>
        <v>1090118.652</v>
      </c>
      <c r="J13" s="24" t="n">
        <f aca="false">+I13*100/Capital!$B$10</f>
        <v>16.2365006255585</v>
      </c>
      <c r="K13" s="24" t="n">
        <f aca="false">+G13/D13</f>
        <v>0.105576900082249</v>
      </c>
      <c r="L13" s="25" t="n">
        <f aca="false">+G13/H13</f>
        <v>0.527884500411245</v>
      </c>
    </row>
    <row r="14" customFormat="false" ht="13.8" hidden="false" customHeight="false" outlineLevel="1" collapsed="false">
      <c r="A14" s="26" t="s">
        <v>38</v>
      </c>
      <c r="B14" s="27" t="n">
        <v>500</v>
      </c>
      <c r="C14" s="28" t="n">
        <v>815.6</v>
      </c>
      <c r="D14" s="28" t="n">
        <f aca="false">+B14*C14</f>
        <v>407800</v>
      </c>
      <c r="E14" s="28" t="n">
        <v>855.2</v>
      </c>
      <c r="F14" s="28" t="n">
        <f aca="false">+B14*E14</f>
        <v>427600</v>
      </c>
      <c r="G14" s="28" t="n">
        <f aca="false">+F14-D14</f>
        <v>19800</v>
      </c>
      <c r="H14" s="28" t="n">
        <f aca="false">+D14*0.2</f>
        <v>81560</v>
      </c>
      <c r="I14" s="28" t="n">
        <f aca="false">+D14*0.4</f>
        <v>163120</v>
      </c>
      <c r="J14" s="29" t="n">
        <f aca="false">+I14*100/Capital!$B$10</f>
        <v>2.42955019362526</v>
      </c>
      <c r="K14" s="29" t="n">
        <f aca="false">+G14/D14</f>
        <v>0.0485532123589995</v>
      </c>
      <c r="L14" s="30" t="n">
        <f aca="false">+G14/H14</f>
        <v>0.242766061794998</v>
      </c>
    </row>
    <row r="15" customFormat="false" ht="13.8" hidden="false" customHeight="false" outlineLevel="1" collapsed="false">
      <c r="A15" s="26" t="s">
        <v>39</v>
      </c>
      <c r="B15" s="27" t="n">
        <v>400</v>
      </c>
      <c r="C15" s="28" t="n">
        <v>758.5</v>
      </c>
      <c r="D15" s="28" t="n">
        <f aca="false">+B15*C15</f>
        <v>303400</v>
      </c>
      <c r="E15" s="28" t="n">
        <v>814.8</v>
      </c>
      <c r="F15" s="28" t="n">
        <f aca="false">+B15*E15</f>
        <v>325920</v>
      </c>
      <c r="G15" s="28" t="n">
        <f aca="false">+F15-D15</f>
        <v>22520</v>
      </c>
      <c r="H15" s="28" t="n">
        <f aca="false">+D15*0.2</f>
        <v>60680</v>
      </c>
      <c r="I15" s="28" t="n">
        <f aca="false">+D15*0.4</f>
        <v>121360</v>
      </c>
      <c r="J15" s="29" t="n">
        <f aca="false">+I15*100/Capital!$B$10</f>
        <v>1.80756627941615</v>
      </c>
      <c r="K15" s="29" t="n">
        <f aca="false">+G15/D15</f>
        <v>0.0742254449571523</v>
      </c>
      <c r="L15" s="30" t="n">
        <f aca="false">+G15/H15</f>
        <v>0.371127224785761</v>
      </c>
    </row>
    <row r="16" customFormat="false" ht="13.8" hidden="false" customHeight="false" outlineLevel="1" collapsed="false">
      <c r="A16" s="26" t="s">
        <v>40</v>
      </c>
      <c r="B16" s="27" t="n">
        <v>400</v>
      </c>
      <c r="C16" s="28" t="n">
        <v>738.9</v>
      </c>
      <c r="D16" s="28" t="n">
        <f aca="false">+B16*C16</f>
        <v>295560</v>
      </c>
      <c r="E16" s="28" t="n">
        <v>777.6</v>
      </c>
      <c r="F16" s="28" t="n">
        <f aca="false">+B16*E16</f>
        <v>311040</v>
      </c>
      <c r="G16" s="28" t="n">
        <f aca="false">+F16-D16</f>
        <v>15480</v>
      </c>
      <c r="H16" s="28" t="n">
        <f aca="false">+D16*0.2</f>
        <v>59112</v>
      </c>
      <c r="I16" s="28" t="n">
        <f aca="false">+D16*0.4</f>
        <v>118224</v>
      </c>
      <c r="J16" s="29" t="n">
        <f aca="false">+I16*100/Capital!$B$10</f>
        <v>1.76085790884719</v>
      </c>
      <c r="K16" s="29" t="n">
        <f aca="false">+G16/D16</f>
        <v>0.0523751522533496</v>
      </c>
      <c r="L16" s="30" t="n">
        <f aca="false">+G16/H16</f>
        <v>0.261875761266748</v>
      </c>
    </row>
    <row r="17" customFormat="false" ht="13.8" hidden="false" customHeight="false" outlineLevel="1" collapsed="false">
      <c r="A17" s="26" t="s">
        <v>41</v>
      </c>
      <c r="B17" s="27" t="n">
        <v>100</v>
      </c>
      <c r="C17" s="28" t="n">
        <v>1687.5</v>
      </c>
      <c r="D17" s="28" t="n">
        <f aca="false">+B17*C17</f>
        <v>168750</v>
      </c>
      <c r="E17" s="28" t="n">
        <v>1738.5</v>
      </c>
      <c r="F17" s="28" t="n">
        <f aca="false">+B17*E17</f>
        <v>173850</v>
      </c>
      <c r="G17" s="28" t="n">
        <f aca="false">+F17-D17</f>
        <v>5100</v>
      </c>
      <c r="H17" s="28" t="n">
        <f aca="false">+D17*0.2</f>
        <v>33750</v>
      </c>
      <c r="I17" s="28" t="n">
        <f aca="false">+D17*0.4</f>
        <v>67500</v>
      </c>
      <c r="J17" s="29" t="n">
        <f aca="false">+I17*100/Capital!$B$10</f>
        <v>1.00536193029491</v>
      </c>
      <c r="K17" s="29" t="n">
        <f aca="false">+G17/D17</f>
        <v>0.0302222222222222</v>
      </c>
      <c r="L17" s="30" t="n">
        <f aca="false">+G17/H17</f>
        <v>0.151111111111111</v>
      </c>
    </row>
    <row r="18" customFormat="false" ht="13.8" hidden="false" customHeight="false" outlineLevel="0" collapsed="false">
      <c r="A18" s="31" t="s">
        <v>42</v>
      </c>
      <c r="B18" s="32"/>
      <c r="C18" s="33"/>
      <c r="D18" s="33" t="n">
        <f aca="false">SUM(D14:D17)</f>
        <v>1175510</v>
      </c>
      <c r="E18" s="33"/>
      <c r="F18" s="33" t="n">
        <f aca="false">SUM(F14:F17)</f>
        <v>1238410</v>
      </c>
      <c r="G18" s="33" t="n">
        <f aca="false">SUM(G14:G17)</f>
        <v>62900</v>
      </c>
      <c r="H18" s="33" t="n">
        <f aca="false">SUM(H14:H17)</f>
        <v>235102</v>
      </c>
      <c r="I18" s="33" t="n">
        <f aca="false">SUM(I14:I17)</f>
        <v>470204</v>
      </c>
      <c r="J18" s="34" t="n">
        <f aca="false">+I18*100/Capital!$B$10</f>
        <v>7.0033363121835</v>
      </c>
      <c r="K18" s="34" t="n">
        <f aca="false">+G18/D18</f>
        <v>0.0535086898452587</v>
      </c>
      <c r="L18" s="35" t="n">
        <f aca="false">+G18/H18</f>
        <v>0.267543449226293</v>
      </c>
    </row>
    <row r="19" customFormat="false" ht="13.8" hidden="false" customHeight="false" outlineLevel="0" collapsed="false">
      <c r="A19" s="36" t="s">
        <v>43</v>
      </c>
      <c r="B19" s="37" t="n">
        <v>200000</v>
      </c>
      <c r="C19" s="38" t="n">
        <v>1.0315</v>
      </c>
      <c r="D19" s="38" t="n">
        <f aca="false">+B19*C19</f>
        <v>206300</v>
      </c>
      <c r="E19" s="38" t="n">
        <v>1.0505</v>
      </c>
      <c r="F19" s="38" t="n">
        <f aca="false">+B19*E19</f>
        <v>210100</v>
      </c>
      <c r="G19" s="38" t="n">
        <f aca="false">+F19-D19</f>
        <v>3799.99999999997</v>
      </c>
      <c r="H19" s="38" t="n">
        <f aca="false">+D19*0.2</f>
        <v>41260</v>
      </c>
      <c r="I19" s="38" t="n">
        <f aca="false">+D19*0.1</f>
        <v>20630</v>
      </c>
      <c r="J19" s="39" t="n">
        <f aca="false">+I19*100/Capital!$B$10</f>
        <v>0.307268394399762</v>
      </c>
      <c r="K19" s="39" t="n">
        <f aca="false">+G19/D19</f>
        <v>0.0184197770237517</v>
      </c>
      <c r="L19" s="40" t="n">
        <f aca="false">+G19/H19</f>
        <v>0.0920988851187584</v>
      </c>
    </row>
    <row r="20" customFormat="false" ht="13.8" hidden="false" customHeight="false" outlineLevel="1" collapsed="false">
      <c r="A20" s="36" t="s">
        <v>44</v>
      </c>
      <c r="B20" s="37" t="n">
        <v>100</v>
      </c>
      <c r="C20" s="38" t="n">
        <v>716.1841</v>
      </c>
      <c r="D20" s="38" t="n">
        <f aca="false">+B20*C20</f>
        <v>71618.41</v>
      </c>
      <c r="E20" s="38" t="n">
        <v>723.8</v>
      </c>
      <c r="F20" s="38" t="n">
        <f aca="false">+B20*E20</f>
        <v>72380</v>
      </c>
      <c r="G20" s="38" t="n">
        <f aca="false">+F20-D20</f>
        <v>761.590000000011</v>
      </c>
      <c r="H20" s="38" t="n">
        <f aca="false">+D20*0.2</f>
        <v>14323.682</v>
      </c>
      <c r="I20" s="38" t="n">
        <f aca="false">+D20*0.1</f>
        <v>7161.841</v>
      </c>
      <c r="J20" s="39" t="n">
        <f aca="false">+I20*100/Capital!$B$10</f>
        <v>0.106670256181114</v>
      </c>
      <c r="K20" s="39" t="n">
        <f aca="false">+G20/D20</f>
        <v>0.0106339975992208</v>
      </c>
      <c r="L20" s="40" t="n">
        <f aca="false">+G20/H20</f>
        <v>0.053169987996104</v>
      </c>
    </row>
    <row r="21" customFormat="false" ht="13.8" hidden="false" customHeight="false" outlineLevel="0" collapsed="false">
      <c r="A21" s="41" t="s">
        <v>45</v>
      </c>
      <c r="B21" s="42"/>
      <c r="C21" s="43"/>
      <c r="D21" s="43" t="n">
        <f aca="false">SUM(D20)</f>
        <v>71618.41</v>
      </c>
      <c r="E21" s="43"/>
      <c r="F21" s="43" t="n">
        <f aca="false">SUM(F20)</f>
        <v>72380</v>
      </c>
      <c r="G21" s="43" t="n">
        <f aca="false">SUM(G20)</f>
        <v>761.590000000011</v>
      </c>
      <c r="H21" s="43" t="n">
        <f aca="false">SUM(H20)</f>
        <v>14323.682</v>
      </c>
      <c r="I21" s="43" t="n">
        <f aca="false">SUM(I20)</f>
        <v>7161.841</v>
      </c>
      <c r="J21" s="44" t="n">
        <f aca="false">+I21*100/Capital!$B$10</f>
        <v>0.106670256181114</v>
      </c>
      <c r="K21" s="44" t="n">
        <f aca="false">+G21/D21</f>
        <v>0.0106339975992208</v>
      </c>
      <c r="L21" s="45" t="n">
        <f aca="false">+G21/H21</f>
        <v>0.053169987996104</v>
      </c>
    </row>
    <row r="22" customFormat="false" ht="13.8" hidden="false" customHeight="false" outlineLevel="0" collapsed="false">
      <c r="A22" s="46" t="s">
        <v>46</v>
      </c>
      <c r="B22" s="47" t="n">
        <v>30</v>
      </c>
      <c r="C22" s="48" t="n">
        <v>6140</v>
      </c>
      <c r="D22" s="48" t="n">
        <f aca="false">+B22*C22</f>
        <v>184200</v>
      </c>
      <c r="E22" s="48" t="n">
        <v>6030</v>
      </c>
      <c r="F22" s="48" t="n">
        <f aca="false">+B22*E22</f>
        <v>180900</v>
      </c>
      <c r="G22" s="48" t="n">
        <f aca="false">+F22-D22</f>
        <v>-3300</v>
      </c>
      <c r="H22" s="48" t="n">
        <f aca="false">+D22*0.2</f>
        <v>36840</v>
      </c>
      <c r="I22" s="48" t="n">
        <f aca="false">+D22*0.4</f>
        <v>73680</v>
      </c>
      <c r="J22" s="49" t="n">
        <f aca="false">+I22*100/Capital!$B$10</f>
        <v>1.09740840035746</v>
      </c>
      <c r="K22" s="49" t="n">
        <f aca="false">+G22/D22</f>
        <v>-0.0179153094462541</v>
      </c>
      <c r="L22" s="50" t="n">
        <f aca="false">+G22/H22</f>
        <v>-0.0895765472312704</v>
      </c>
    </row>
    <row r="23" customFormat="false" ht="13.8" hidden="false" customHeight="false" outlineLevel="0" collapsed="false">
      <c r="A23" s="46" t="s">
        <v>47</v>
      </c>
      <c r="B23" s="47" t="n">
        <v>10</v>
      </c>
      <c r="C23" s="48" t="n">
        <v>17323.007</v>
      </c>
      <c r="D23" s="48" t="n">
        <f aca="false">+B23*C23</f>
        <v>173230.07</v>
      </c>
      <c r="E23" s="48" t="n">
        <v>17550</v>
      </c>
      <c r="F23" s="48" t="n">
        <f aca="false">+B23*E23</f>
        <v>175500</v>
      </c>
      <c r="G23" s="48" t="n">
        <f aca="false">+F23-D23</f>
        <v>2269.92999999999</v>
      </c>
      <c r="H23" s="48" t="n">
        <f aca="false">+D23*0.2</f>
        <v>34646.014</v>
      </c>
      <c r="I23" s="48" t="n">
        <f aca="false">+D23*0.4</f>
        <v>69292.028</v>
      </c>
      <c r="J23" s="49" t="n">
        <f aca="false">+I23*100/Capital!$B$10</f>
        <v>1.03205284480191</v>
      </c>
      <c r="K23" s="49" t="n">
        <f aca="false">+G23/D23</f>
        <v>0.0131035564437513</v>
      </c>
      <c r="L23" s="50" t="n">
        <f aca="false">+G23/H23</f>
        <v>0.0655177822187566</v>
      </c>
    </row>
    <row r="24" customFormat="false" ht="13.8" hidden="false" customHeight="false" outlineLevel="0" collapsed="false">
      <c r="A24" s="46" t="s">
        <v>48</v>
      </c>
      <c r="B24" s="47" t="n">
        <v>10</v>
      </c>
      <c r="C24" s="48" t="n">
        <v>22437.27</v>
      </c>
      <c r="D24" s="48" t="n">
        <f aca="false">+B24*C24</f>
        <v>224372.7</v>
      </c>
      <c r="E24" s="48" t="n">
        <v>22900</v>
      </c>
      <c r="F24" s="48" t="n">
        <f aca="false">+B24*E24</f>
        <v>229000</v>
      </c>
      <c r="G24" s="48" t="n">
        <f aca="false">+F24-D24</f>
        <v>4627.29999999999</v>
      </c>
      <c r="H24" s="48" t="n">
        <f aca="false">+D24*0.2</f>
        <v>44874.54</v>
      </c>
      <c r="I24" s="48" t="n">
        <f aca="false">+D24*0.4</f>
        <v>89749.08</v>
      </c>
      <c r="J24" s="49" t="n">
        <f aca="false">+I24*100/Capital!$B$10</f>
        <v>1.33674530831099</v>
      </c>
      <c r="K24" s="49" t="n">
        <f aca="false">+G24/D24</f>
        <v>0.0206232754697875</v>
      </c>
      <c r="L24" s="50" t="n">
        <f aca="false">+G24/H24</f>
        <v>0.103116377348937</v>
      </c>
    </row>
    <row r="25" customFormat="false" ht="13.8" hidden="false" customHeight="false" outlineLevel="0" collapsed="false">
      <c r="A25" s="51" t="s">
        <v>49</v>
      </c>
      <c r="B25" s="52"/>
      <c r="C25" s="53"/>
      <c r="D25" s="53" t="n">
        <f aca="false">SUM(D22:D24)</f>
        <v>581802.77</v>
      </c>
      <c r="E25" s="53"/>
      <c r="F25" s="53" t="n">
        <f aca="false">SUM(F22:F24)</f>
        <v>585400</v>
      </c>
      <c r="G25" s="53" t="n">
        <f aca="false">SUM(G22:G24)</f>
        <v>3597.22999999998</v>
      </c>
      <c r="H25" s="53" t="n">
        <f aca="false">SUM(H22:H24)</f>
        <v>116360.554</v>
      </c>
      <c r="I25" s="53" t="n">
        <f aca="false">SUM(I22:I24)</f>
        <v>232721.108</v>
      </c>
      <c r="J25" s="54" t="n">
        <f aca="false">+I25*100/Capital!$B$10</f>
        <v>3.46620655347036</v>
      </c>
      <c r="K25" s="54" t="n">
        <f aca="false">+G25/D25</f>
        <v>0.00618290284179978</v>
      </c>
      <c r="L25" s="55" t="n">
        <f aca="false">+G25/H25</f>
        <v>0.0309145142089989</v>
      </c>
    </row>
    <row r="26" customFormat="false" ht="13.8" hidden="false" customHeight="false" outlineLevel="1" collapsed="false">
      <c r="A26" s="56" t="s">
        <v>50</v>
      </c>
      <c r="B26" s="57" t="n">
        <v>200000</v>
      </c>
      <c r="C26" s="58" t="n">
        <v>1.264</v>
      </c>
      <c r="D26" s="59" t="n">
        <f aca="false">+B26*C26</f>
        <v>252800</v>
      </c>
      <c r="E26" s="58" t="n">
        <v>1.3135</v>
      </c>
      <c r="F26" s="59" t="n">
        <f aca="false">+B26*E26</f>
        <v>262700</v>
      </c>
      <c r="G26" s="59" t="n">
        <f aca="false">+F26-D26</f>
        <v>9900</v>
      </c>
      <c r="H26" s="59" t="n">
        <f aca="false">+D26*0.07</f>
        <v>17696</v>
      </c>
      <c r="I26" s="59" t="n">
        <v>0</v>
      </c>
      <c r="J26" s="60" t="n">
        <f aca="false">+I26*100/Capital!$B$10</f>
        <v>0</v>
      </c>
      <c r="K26" s="60" t="n">
        <f aca="false">+G26/D26</f>
        <v>0.0391613924050633</v>
      </c>
      <c r="L26" s="61" t="n">
        <f aca="false">+G26/H26</f>
        <v>0.559448462929476</v>
      </c>
    </row>
    <row r="27" customFormat="false" ht="13.8" hidden="false" customHeight="false" outlineLevel="1" collapsed="false">
      <c r="A27" s="56" t="s">
        <v>51</v>
      </c>
      <c r="B27" s="57" t="n">
        <v>480769</v>
      </c>
      <c r="C27" s="58" t="n">
        <v>1.305</v>
      </c>
      <c r="D27" s="59" t="n">
        <f aca="false">+B27*C27</f>
        <v>627403.545</v>
      </c>
      <c r="E27" s="58" t="n">
        <v>1.363</v>
      </c>
      <c r="F27" s="59" t="n">
        <f aca="false">+B27*E27</f>
        <v>655288.147</v>
      </c>
      <c r="G27" s="59" t="n">
        <f aca="false">+F27-D27</f>
        <v>27884.6020000001</v>
      </c>
      <c r="H27" s="59" t="n">
        <f aca="false">+D27*0.07</f>
        <v>43918.24815</v>
      </c>
      <c r="I27" s="59" t="n">
        <v>0</v>
      </c>
      <c r="J27" s="60" t="n">
        <f aca="false">+I27*100/Capital!$B$10</f>
        <v>0</v>
      </c>
      <c r="K27" s="60" t="n">
        <f aca="false">+G27/D27</f>
        <v>0.0444444444444446</v>
      </c>
      <c r="L27" s="61" t="n">
        <f aca="false">+G27/H27</f>
        <v>0.634920634920637</v>
      </c>
    </row>
    <row r="28" customFormat="false" ht="13.8" hidden="false" customHeight="false" outlineLevel="0" collapsed="false">
      <c r="A28" s="62" t="s">
        <v>52</v>
      </c>
      <c r="B28" s="63"/>
      <c r="C28" s="64"/>
      <c r="D28" s="64" t="n">
        <f aca="false">SUM(D26:D27)</f>
        <v>880203.545</v>
      </c>
      <c r="E28" s="64"/>
      <c r="F28" s="64" t="n">
        <f aca="false">SUM(F26:F27)</f>
        <v>917988.147</v>
      </c>
      <c r="G28" s="64" t="n">
        <f aca="false">SUM(G26:G27)</f>
        <v>37784.6020000001</v>
      </c>
      <c r="H28" s="64" t="n">
        <f aca="false">SUM(H26:H27)</f>
        <v>61614.24815</v>
      </c>
      <c r="I28" s="64" t="n">
        <f aca="false">SUM(I26:I27)</f>
        <v>0</v>
      </c>
      <c r="J28" s="65" t="n">
        <f aca="false">+I28*100/Capital!$B$10</f>
        <v>0</v>
      </c>
      <c r="K28" s="65" t="n">
        <f aca="false">+G28/D28</f>
        <v>0.0429271186359515</v>
      </c>
      <c r="L28" s="66" t="n">
        <f aca="false">+G28/H28</f>
        <v>0.613244551942164</v>
      </c>
    </row>
    <row r="29" customFormat="false" ht="13.8" hidden="false" customHeight="false" outlineLevel="0" collapsed="false">
      <c r="A29" s="67" t="s">
        <v>53</v>
      </c>
      <c r="B29" s="68" t="n">
        <v>-100</v>
      </c>
      <c r="C29" s="69" t="n">
        <v>247.935</v>
      </c>
      <c r="D29" s="69" t="n">
        <f aca="false">+B29*C29</f>
        <v>-24793.5</v>
      </c>
      <c r="E29" s="69" t="n">
        <v>579.439</v>
      </c>
      <c r="F29" s="69" t="n">
        <f aca="false">+B29*E29</f>
        <v>-57943.9</v>
      </c>
      <c r="G29" s="69" t="n">
        <f aca="false">+F29-D29</f>
        <v>-33150.4</v>
      </c>
      <c r="H29" s="69"/>
      <c r="I29" s="69"/>
      <c r="J29" s="70"/>
      <c r="K29" s="70" t="n">
        <f aca="false">+G29/D29</f>
        <v>1.33706011656281</v>
      </c>
      <c r="L29" s="71"/>
    </row>
    <row r="30" customFormat="false" ht="13.8" hidden="false" customHeight="false" outlineLevel="0" collapsed="false">
      <c r="A30" s="67" t="s">
        <v>54</v>
      </c>
      <c r="B30" s="68" t="n">
        <v>-200</v>
      </c>
      <c r="C30" s="69" t="n">
        <v>86.482</v>
      </c>
      <c r="D30" s="69" t="n">
        <f aca="false">+B30*C30</f>
        <v>-17296.4</v>
      </c>
      <c r="E30" s="69" t="n">
        <v>63.93</v>
      </c>
      <c r="F30" s="69" t="n">
        <f aca="false">+B30*E30</f>
        <v>-12786</v>
      </c>
      <c r="G30" s="69" t="n">
        <f aca="false">+F30-D30</f>
        <v>4510.4</v>
      </c>
      <c r="H30" s="69"/>
      <c r="I30" s="69"/>
      <c r="J30" s="70"/>
      <c r="K30" s="70" t="n">
        <f aca="false">+G30/D30</f>
        <v>-0.260771027497051</v>
      </c>
      <c r="L30" s="71"/>
    </row>
    <row r="31" customFormat="false" ht="13.8" hidden="false" customHeight="false" outlineLevel="0" collapsed="false">
      <c r="A31" s="72" t="s">
        <v>55</v>
      </c>
      <c r="B31" s="73"/>
      <c r="C31" s="74"/>
      <c r="D31" s="74" t="n">
        <f aca="false">SUM(D29:D30)</f>
        <v>-42089.9</v>
      </c>
      <c r="E31" s="74"/>
      <c r="F31" s="74" t="n">
        <f aca="false">SUM(F29:F30)</f>
        <v>-70729.9</v>
      </c>
      <c r="G31" s="74" t="n">
        <f aca="false">SUM(G29:G30)</f>
        <v>-28640</v>
      </c>
      <c r="H31" s="74" t="n">
        <v>42090</v>
      </c>
      <c r="I31" s="74" t="n">
        <f aca="false">-Capital!B$15</f>
        <v>-134280</v>
      </c>
      <c r="J31" s="75" t="n">
        <f aca="false">+I31/Capital!$B$10</f>
        <v>-0.02</v>
      </c>
      <c r="K31" s="75" t="n">
        <f aca="false">+G31/D31</f>
        <v>0.680448278565642</v>
      </c>
      <c r="L31" s="76" t="n">
        <f aca="false">+G31/H31</f>
        <v>-0.680446661914944</v>
      </c>
    </row>
    <row r="32" customFormat="false" ht="13.8" hidden="false" customHeight="false" outlineLevel="0" collapsed="false">
      <c r="A32" s="67" t="s">
        <v>56</v>
      </c>
      <c r="B32" s="68" t="n">
        <v>100</v>
      </c>
      <c r="C32" s="69" t="n">
        <v>481.666</v>
      </c>
      <c r="D32" s="69" t="n">
        <f aca="false">+B32*C32</f>
        <v>48166.6</v>
      </c>
      <c r="E32" s="69" t="n">
        <v>1102.432</v>
      </c>
      <c r="F32" s="69" t="n">
        <f aca="false">+B32*E32</f>
        <v>110243.2</v>
      </c>
      <c r="G32" s="69" t="n">
        <f aca="false">+F32-D32</f>
        <v>62076.6</v>
      </c>
      <c r="H32" s="69"/>
      <c r="I32" s="69"/>
      <c r="J32" s="70"/>
      <c r="K32" s="70" t="n">
        <f aca="false">+G32/D32</f>
        <v>1.28878932704405</v>
      </c>
      <c r="L32" s="71"/>
    </row>
    <row r="33" customFormat="false" ht="13.8" hidden="false" customHeight="false" outlineLevel="0" collapsed="false">
      <c r="A33" s="67" t="s">
        <v>57</v>
      </c>
      <c r="B33" s="68" t="n">
        <v>-100</v>
      </c>
      <c r="C33" s="69" t="n">
        <v>547.671</v>
      </c>
      <c r="D33" s="69" t="n">
        <f aca="false">+B33*C33</f>
        <v>-54767.1</v>
      </c>
      <c r="E33" s="69" t="n">
        <v>914.538</v>
      </c>
      <c r="F33" s="69" t="n">
        <f aca="false">+B33*E33</f>
        <v>-91453.8</v>
      </c>
      <c r="G33" s="69" t="n">
        <f aca="false">+F33-D33</f>
        <v>-36686.7</v>
      </c>
      <c r="H33" s="69"/>
      <c r="I33" s="69"/>
      <c r="J33" s="70"/>
      <c r="K33" s="70" t="n">
        <f aca="false">+G33/D33</f>
        <v>0.669867493440405</v>
      </c>
      <c r="L33" s="71"/>
    </row>
    <row r="34" customFormat="false" ht="13.8" hidden="false" customHeight="false" outlineLevel="0" collapsed="false">
      <c r="A34" s="72" t="s">
        <v>58</v>
      </c>
      <c r="B34" s="73"/>
      <c r="C34" s="74"/>
      <c r="D34" s="74" t="n">
        <f aca="false">SUM(D32:D33)</f>
        <v>-6600.50000000001</v>
      </c>
      <c r="E34" s="74"/>
      <c r="F34" s="74" t="n">
        <f aca="false">SUM(F32:F33)</f>
        <v>18789.4</v>
      </c>
      <c r="G34" s="74" t="n">
        <f aca="false">SUM(G32:G33)</f>
        <v>25389.9</v>
      </c>
      <c r="H34" s="74" t="n">
        <v>32447</v>
      </c>
      <c r="I34" s="74" t="n">
        <v>2447</v>
      </c>
      <c r="J34" s="75" t="n">
        <f aca="false">+I34/Capital!$B$10</f>
        <v>0.000364462317545428</v>
      </c>
      <c r="K34" s="75" t="n">
        <f aca="false">+G34/D34</f>
        <v>-3.84666313158094</v>
      </c>
      <c r="L34" s="76" t="n">
        <f aca="false">+G34/H34</f>
        <v>0.782503775387555</v>
      </c>
    </row>
    <row r="35" customFormat="false" ht="13.8" hidden="false" customHeight="false" outlineLevel="0" collapsed="false">
      <c r="A35" s="67" t="s">
        <v>59</v>
      </c>
      <c r="B35" s="68" t="n">
        <v>-200</v>
      </c>
      <c r="C35" s="69" t="n">
        <v>428.179</v>
      </c>
      <c r="D35" s="69" t="n">
        <f aca="false">+B35*C35</f>
        <v>-85635.8</v>
      </c>
      <c r="E35" s="69" t="n">
        <v>130.037</v>
      </c>
      <c r="F35" s="69" t="n">
        <f aca="false">+B35*E35</f>
        <v>-26007.4</v>
      </c>
      <c r="G35" s="69" t="n">
        <f aca="false">+F35-D35</f>
        <v>59628.4</v>
      </c>
      <c r="H35" s="69"/>
      <c r="I35" s="69"/>
      <c r="J35" s="70"/>
      <c r="K35" s="70" t="n">
        <f aca="false">+G35/D35</f>
        <v>-0.696302247424558</v>
      </c>
      <c r="L35" s="71"/>
    </row>
    <row r="36" customFormat="false" ht="13.8" hidden="false" customHeight="false" outlineLevel="0" collapsed="false">
      <c r="A36" s="67" t="s">
        <v>59</v>
      </c>
      <c r="B36" s="68" t="n">
        <v>-200</v>
      </c>
      <c r="C36" s="69" t="n">
        <v>155.339</v>
      </c>
      <c r="D36" s="69" t="n">
        <f aca="false">+B36*C36</f>
        <v>-31067.8</v>
      </c>
      <c r="E36" s="69" t="n">
        <v>130.037</v>
      </c>
      <c r="F36" s="69" t="n">
        <f aca="false">+B36*E36</f>
        <v>-26007.4</v>
      </c>
      <c r="G36" s="69" t="n">
        <f aca="false">+F36-D36</f>
        <v>5060.4</v>
      </c>
      <c r="H36" s="69"/>
      <c r="I36" s="69"/>
      <c r="J36" s="70"/>
      <c r="K36" s="70" t="n">
        <f aca="false">+G36/D36</f>
        <v>-0.162882469952813</v>
      </c>
      <c r="L36" s="71"/>
    </row>
    <row r="37" customFormat="false" ht="13.8" hidden="false" customHeight="false" outlineLevel="0" collapsed="false">
      <c r="A37" s="72" t="s">
        <v>60</v>
      </c>
      <c r="B37" s="73"/>
      <c r="C37" s="74"/>
      <c r="D37" s="74" t="n">
        <f aca="false">SUM(D36)</f>
        <v>-31067.8</v>
      </c>
      <c r="E37" s="74"/>
      <c r="F37" s="74" t="n">
        <f aca="false">SUM(F36)</f>
        <v>-26007.4</v>
      </c>
      <c r="G37" s="74" t="n">
        <f aca="false">SUM(G36)</f>
        <v>5060.4</v>
      </c>
      <c r="H37" s="74" t="n">
        <v>23744</v>
      </c>
      <c r="I37" s="74" t="n">
        <f aca="false">-Capital!B$15</f>
        <v>-134280</v>
      </c>
      <c r="J37" s="75" t="n">
        <f aca="false">+I37/Capital!$B$10</f>
        <v>-0.02</v>
      </c>
      <c r="K37" s="75" t="n">
        <f aca="false">+G37/D37</f>
        <v>-0.162882469952813</v>
      </c>
      <c r="L37" s="76" t="n">
        <f aca="false">+G37/H37</f>
        <v>0.213123315363881</v>
      </c>
    </row>
    <row r="38" customFormat="false" ht="13.8" hidden="false" customHeight="false" outlineLevel="0" collapsed="false">
      <c r="A38" s="67" t="s">
        <v>61</v>
      </c>
      <c r="B38" s="68" t="n">
        <v>-400</v>
      </c>
      <c r="C38" s="69" t="n">
        <v>388.348</v>
      </c>
      <c r="D38" s="69" t="n">
        <f aca="false">+B38*C38</f>
        <v>-155339.2</v>
      </c>
      <c r="E38" s="69" t="n">
        <v>330.199</v>
      </c>
      <c r="F38" s="69" t="n">
        <f aca="false">+B38*E38</f>
        <v>-132079.6</v>
      </c>
      <c r="G38" s="69" t="n">
        <f aca="false">+F38-D38</f>
        <v>23259.6</v>
      </c>
      <c r="H38" s="69"/>
      <c r="I38" s="69"/>
      <c r="J38" s="77"/>
      <c r="K38" s="77" t="n">
        <f aca="false">+G38/D38</f>
        <v>-0.14973425896361</v>
      </c>
      <c r="L38" s="78"/>
    </row>
    <row r="39" customFormat="false" ht="13.8" hidden="false" customHeight="false" outlineLevel="0" collapsed="false">
      <c r="A39" s="67" t="s">
        <v>62</v>
      </c>
      <c r="B39" s="68" t="n">
        <v>200</v>
      </c>
      <c r="C39" s="69" t="n">
        <v>437.846</v>
      </c>
      <c r="D39" s="69" t="n">
        <f aca="false">+B39*C39</f>
        <v>87569.2</v>
      </c>
      <c r="E39" s="69" t="n">
        <v>455.923</v>
      </c>
      <c r="F39" s="69" t="n">
        <f aca="false">+B39*E39</f>
        <v>91184.6</v>
      </c>
      <c r="G39" s="69" t="n">
        <f aca="false">+F39-D39</f>
        <v>3615.40000000001</v>
      </c>
      <c r="H39" s="69"/>
      <c r="I39" s="69"/>
      <c r="J39" s="77"/>
      <c r="K39" s="77" t="n">
        <f aca="false">+G39/D39</f>
        <v>0.0412862056522157</v>
      </c>
      <c r="L39" s="78"/>
    </row>
    <row r="40" customFormat="false" ht="13.8" hidden="false" customHeight="false" outlineLevel="0" collapsed="false">
      <c r="A40" s="72" t="s">
        <v>63</v>
      </c>
      <c r="B40" s="73"/>
      <c r="C40" s="74"/>
      <c r="D40" s="74" t="n">
        <f aca="false">SUM(D38:D39)</f>
        <v>-67770</v>
      </c>
      <c r="E40" s="74"/>
      <c r="F40" s="74" t="n">
        <f aca="false">SUM(F38:F39)</f>
        <v>-40895</v>
      </c>
      <c r="G40" s="74" t="n">
        <f aca="false">SUM(G38:G39)</f>
        <v>26875</v>
      </c>
      <c r="H40" s="74" t="n">
        <v>297374</v>
      </c>
      <c r="I40" s="74" t="n">
        <v>2626</v>
      </c>
      <c r="J40" s="75" t="n">
        <f aca="false">+I40/Capital!$B$10</f>
        <v>0.000391123026511766</v>
      </c>
      <c r="K40" s="79" t="n">
        <f aca="false">+G40/D40</f>
        <v>-0.396561900545964</v>
      </c>
      <c r="L40" s="80" t="n">
        <f aca="false">+G40/H40</f>
        <v>0.0903744106747732</v>
      </c>
    </row>
    <row r="41" customFormat="false" ht="13.8" hidden="false" customHeight="false" outlineLevel="0" collapsed="false">
      <c r="A41" s="67" t="s">
        <v>64</v>
      </c>
      <c r="B41" s="68" t="n">
        <v>200</v>
      </c>
      <c r="C41" s="69" t="n">
        <v>2736.667</v>
      </c>
      <c r="D41" s="69" t="n">
        <f aca="false">+B41*C41</f>
        <v>547333.4</v>
      </c>
      <c r="E41" s="69" t="n">
        <v>4595.455</v>
      </c>
      <c r="F41" s="69" t="n">
        <f aca="false">+B41*E41</f>
        <v>919091</v>
      </c>
      <c r="G41" s="69" t="n">
        <f aca="false">+F41-D41</f>
        <v>371757.6</v>
      </c>
      <c r="H41" s="69"/>
      <c r="I41" s="69"/>
      <c r="J41" s="70"/>
      <c r="K41" s="70" t="n">
        <f aca="false">+G41/D41</f>
        <v>0.679215995223387</v>
      </c>
      <c r="L41" s="71"/>
    </row>
    <row r="42" customFormat="false" ht="13.8" hidden="false" customHeight="false" outlineLevel="0" collapsed="false">
      <c r="A42" s="67" t="s">
        <v>65</v>
      </c>
      <c r="B42" s="68" t="n">
        <v>-100</v>
      </c>
      <c r="C42" s="69" t="n">
        <v>1767.5</v>
      </c>
      <c r="D42" s="69" t="n">
        <f aca="false">+B42*C42</f>
        <v>-176750</v>
      </c>
      <c r="E42" s="69" t="n">
        <v>3300</v>
      </c>
      <c r="F42" s="69" t="n">
        <f aca="false">+B42*E42</f>
        <v>-330000</v>
      </c>
      <c r="G42" s="69" t="n">
        <f aca="false">+F42-D42</f>
        <v>-153250</v>
      </c>
      <c r="H42" s="69"/>
      <c r="I42" s="69"/>
      <c r="J42" s="70"/>
      <c r="K42" s="70" t="n">
        <f aca="false">+G42/D42</f>
        <v>0.867043847241867</v>
      </c>
      <c r="L42" s="71"/>
    </row>
    <row r="43" customFormat="false" ht="13.8" hidden="false" customHeight="false" outlineLevel="0" collapsed="false">
      <c r="A43" s="67" t="s">
        <v>65</v>
      </c>
      <c r="B43" s="68" t="n">
        <v>-100</v>
      </c>
      <c r="C43" s="69" t="n">
        <v>2190.683</v>
      </c>
      <c r="D43" s="69" t="n">
        <f aca="false">+B43*C43</f>
        <v>-219068.3</v>
      </c>
      <c r="E43" s="69" t="n">
        <v>3300</v>
      </c>
      <c r="F43" s="69" t="n">
        <f aca="false">+B43*E43</f>
        <v>-330000</v>
      </c>
      <c r="G43" s="69" t="n">
        <f aca="false">+F43-D43</f>
        <v>-110931.7</v>
      </c>
      <c r="H43" s="69"/>
      <c r="I43" s="69"/>
      <c r="J43" s="70"/>
      <c r="K43" s="77" t="n">
        <f aca="false">+G43/D43</f>
        <v>0.506379517255578</v>
      </c>
      <c r="L43" s="78"/>
    </row>
    <row r="44" customFormat="false" ht="13.8" hidden="false" customHeight="false" outlineLevel="0" collapsed="false">
      <c r="A44" s="72" t="s">
        <v>66</v>
      </c>
      <c r="B44" s="73"/>
      <c r="C44" s="74"/>
      <c r="D44" s="74" t="n">
        <f aca="false">SUM(D41:D43)</f>
        <v>151515.1</v>
      </c>
      <c r="E44" s="74"/>
      <c r="F44" s="74" t="n">
        <f aca="false">SUM(F41:F43)</f>
        <v>259091</v>
      </c>
      <c r="G44" s="74" t="n">
        <f aca="false">SUM(G41:G43)</f>
        <v>107575.9</v>
      </c>
      <c r="H44" s="74" t="n">
        <v>630744</v>
      </c>
      <c r="I44" s="74" t="n">
        <v>-30744</v>
      </c>
      <c r="J44" s="75" t="n">
        <f aca="false">+I44/Capital!$B$10</f>
        <v>-0.00457908847184987</v>
      </c>
      <c r="K44" s="79" t="n">
        <f aca="false">+G44/D44</f>
        <v>0.710001181400401</v>
      </c>
      <c r="L44" s="80" t="n">
        <f aca="false">+G44/H44</f>
        <v>0.170553980695813</v>
      </c>
    </row>
    <row r="45" customFormat="false" ht="13.8" hidden="false" customHeight="false" outlineLevel="0" collapsed="false">
      <c r="A45" s="67" t="s">
        <v>64</v>
      </c>
      <c r="B45" s="68" t="n">
        <v>100</v>
      </c>
      <c r="C45" s="69" t="n">
        <v>3113.128</v>
      </c>
      <c r="D45" s="69" t="n">
        <f aca="false">+B45*C45</f>
        <v>311312.8</v>
      </c>
      <c r="E45" s="69" t="n">
        <v>4595.455</v>
      </c>
      <c r="F45" s="69" t="n">
        <f aca="false">+B45*E45</f>
        <v>459545.5</v>
      </c>
      <c r="G45" s="69" t="n">
        <f aca="false">+F45-D45</f>
        <v>148232.7</v>
      </c>
      <c r="H45" s="69"/>
      <c r="I45" s="69"/>
      <c r="J45" s="77"/>
      <c r="K45" s="77" t="n">
        <f aca="false">+G45/D45</f>
        <v>0.476153566445068</v>
      </c>
      <c r="L45" s="78"/>
    </row>
    <row r="46" customFormat="false" ht="13.8" hidden="false" customHeight="false" outlineLevel="0" collapsed="false">
      <c r="A46" s="67" t="s">
        <v>65</v>
      </c>
      <c r="B46" s="68" t="n">
        <v>-100</v>
      </c>
      <c r="C46" s="69" t="n">
        <v>3086.872</v>
      </c>
      <c r="D46" s="69" t="n">
        <f aca="false">+B46*C46</f>
        <v>-308687.2</v>
      </c>
      <c r="E46" s="69" t="n">
        <v>3300</v>
      </c>
      <c r="F46" s="69" t="n">
        <f aca="false">+B46*E46</f>
        <v>-330000</v>
      </c>
      <c r="G46" s="69" t="n">
        <f aca="false">+F46-D46</f>
        <v>-21312.8</v>
      </c>
      <c r="H46" s="69"/>
      <c r="I46" s="69"/>
      <c r="J46" s="77"/>
      <c r="K46" s="77" t="n">
        <f aca="false">+G46/D46</f>
        <v>0.069043355215247</v>
      </c>
      <c r="L46" s="78"/>
    </row>
    <row r="47" customFormat="false" ht="13.8" hidden="false" customHeight="false" outlineLevel="0" collapsed="false">
      <c r="A47" s="72" t="s">
        <v>66</v>
      </c>
      <c r="B47" s="73"/>
      <c r="C47" s="74"/>
      <c r="D47" s="74" t="n">
        <f aca="false">SUM(D45:D46)</f>
        <v>2625.59999999998</v>
      </c>
      <c r="E47" s="74"/>
      <c r="F47" s="74" t="n">
        <f aca="false">SUM(F45:F46)</f>
        <v>129545.5</v>
      </c>
      <c r="G47" s="74" t="n">
        <f aca="false">SUM(G45:G46)</f>
        <v>126919.9</v>
      </c>
      <c r="H47" s="74" t="n">
        <v>297374</v>
      </c>
      <c r="I47" s="74" t="n">
        <v>2626</v>
      </c>
      <c r="J47" s="75" t="n">
        <f aca="false">+I47/Capital!$B$10</f>
        <v>0.000391123026511766</v>
      </c>
      <c r="K47" s="79" t="n">
        <f aca="false">+G47/D47</f>
        <v>48.3393890920175</v>
      </c>
      <c r="L47" s="80" t="n">
        <f aca="false">+G47/H47</f>
        <v>0.426802275921903</v>
      </c>
    </row>
    <row r="48" customFormat="false" ht="13.8" hidden="false" customHeight="false" outlineLevel="0" collapsed="false">
      <c r="A48" s="67" t="s">
        <v>64</v>
      </c>
      <c r="B48" s="68" t="n">
        <v>100</v>
      </c>
      <c r="C48" s="69" t="n">
        <v>4117.364</v>
      </c>
      <c r="D48" s="69" t="n">
        <f aca="false">+B48*C48</f>
        <v>411736.4</v>
      </c>
      <c r="E48" s="69" t="n">
        <v>4595.455</v>
      </c>
      <c r="F48" s="69" t="n">
        <f aca="false">+B48*E48</f>
        <v>459545.5</v>
      </c>
      <c r="G48" s="69" t="n">
        <f aca="false">+F48-D48</f>
        <v>47809.1</v>
      </c>
      <c r="H48" s="69"/>
      <c r="I48" s="69"/>
      <c r="J48" s="77"/>
      <c r="K48" s="77" t="n">
        <f aca="false">+G48/D48</f>
        <v>0.11611579641732</v>
      </c>
      <c r="L48" s="78"/>
    </row>
    <row r="49" customFormat="false" ht="13.8" hidden="false" customHeight="false" outlineLevel="0" collapsed="false">
      <c r="A49" s="67" t="s">
        <v>65</v>
      </c>
      <c r="B49" s="68" t="n">
        <v>0</v>
      </c>
      <c r="C49" s="69" t="n">
        <v>0</v>
      </c>
      <c r="D49" s="69" t="n">
        <f aca="false">+B49*C49</f>
        <v>0</v>
      </c>
      <c r="E49" s="69" t="n">
        <v>0</v>
      </c>
      <c r="F49" s="69" t="n">
        <f aca="false">+B49*E49</f>
        <v>0</v>
      </c>
      <c r="G49" s="69" t="n">
        <f aca="false">+F49-D49</f>
        <v>0</v>
      </c>
      <c r="H49" s="69"/>
      <c r="I49" s="69"/>
      <c r="J49" s="77"/>
      <c r="K49" s="77" t="e">
        <f aca="false">+G49/D49</f>
        <v>#DIV/0!</v>
      </c>
      <c r="L49" s="78"/>
    </row>
    <row r="50" customFormat="false" ht="13.8" hidden="false" customHeight="false" outlineLevel="0" collapsed="false">
      <c r="A50" s="72" t="s">
        <v>66</v>
      </c>
      <c r="B50" s="73"/>
      <c r="C50" s="74"/>
      <c r="D50" s="74" t="n">
        <f aca="false">SUM(D48:D49)</f>
        <v>411736.4</v>
      </c>
      <c r="E50" s="74"/>
      <c r="F50" s="74" t="n">
        <f aca="false">SUM(F48:F49)</f>
        <v>459545.5</v>
      </c>
      <c r="G50" s="74" t="n">
        <f aca="false">SUM(G48:G49)</f>
        <v>47809.1</v>
      </c>
      <c r="H50" s="74" t="n">
        <v>297374</v>
      </c>
      <c r="I50" s="74" t="n">
        <v>2626</v>
      </c>
      <c r="J50" s="75" t="n">
        <f aca="false">+I50/Capital!$B$10</f>
        <v>0.000391123026511766</v>
      </c>
      <c r="K50" s="79" t="n">
        <f aca="false">+G50/D50</f>
        <v>0.11611579641732</v>
      </c>
      <c r="L50" s="80" t="n">
        <f aca="false">+G50/H50</f>
        <v>0.160770948368048</v>
      </c>
    </row>
    <row r="51" customFormat="false" ht="13.8" hidden="false" customHeight="false" outlineLevel="0" collapsed="false">
      <c r="A51" s="67" t="s">
        <v>67</v>
      </c>
      <c r="B51" s="68" t="n">
        <v>100</v>
      </c>
      <c r="C51" s="69" t="n">
        <v>431.821</v>
      </c>
      <c r="D51" s="69" t="n">
        <f aca="false">+B51*C51</f>
        <v>43182.1</v>
      </c>
      <c r="E51" s="69" t="n">
        <v>284.406</v>
      </c>
      <c r="F51" s="69" t="n">
        <f aca="false">+B51*E51</f>
        <v>28440.6</v>
      </c>
      <c r="G51" s="69" t="n">
        <f aca="false">+F51-D51</f>
        <v>-14741.5</v>
      </c>
      <c r="H51" s="69"/>
      <c r="I51" s="69"/>
      <c r="J51" s="70"/>
      <c r="K51" s="70" t="n">
        <f aca="false">+G51/D51</f>
        <v>-0.341379877310274</v>
      </c>
      <c r="L51" s="71"/>
    </row>
    <row r="52" customFormat="false" ht="13.8" hidden="false" customHeight="false" outlineLevel="0" collapsed="false">
      <c r="A52" s="67" t="s">
        <v>67</v>
      </c>
      <c r="B52" s="68" t="n">
        <v>100</v>
      </c>
      <c r="C52" s="69" t="n">
        <v>361.525</v>
      </c>
      <c r="D52" s="69" t="n">
        <f aca="false">+B52*C52</f>
        <v>36152.5</v>
      </c>
      <c r="E52" s="69" t="n">
        <v>284.406</v>
      </c>
      <c r="F52" s="69" t="n">
        <f aca="false">+B52*E52</f>
        <v>28440.6</v>
      </c>
      <c r="G52" s="69" t="n">
        <f aca="false">+F52-D52</f>
        <v>-7711.9</v>
      </c>
      <c r="H52" s="69"/>
      <c r="I52" s="69"/>
      <c r="J52" s="70"/>
      <c r="K52" s="70" t="n">
        <f aca="false">+G52/D52</f>
        <v>-0.213315814950557</v>
      </c>
      <c r="L52" s="71"/>
    </row>
    <row r="53" customFormat="false" ht="13.8" hidden="false" customHeight="false" outlineLevel="0" collapsed="false">
      <c r="A53" s="67" t="s">
        <v>67</v>
      </c>
      <c r="B53" s="68" t="n">
        <v>200</v>
      </c>
      <c r="C53" s="69" t="n">
        <v>301.271</v>
      </c>
      <c r="D53" s="69" t="n">
        <f aca="false">+B53*C53</f>
        <v>60254.2</v>
      </c>
      <c r="E53" s="69" t="n">
        <v>284.406</v>
      </c>
      <c r="F53" s="69" t="n">
        <f aca="false">+B53*E53</f>
        <v>56881.2</v>
      </c>
      <c r="G53" s="69" t="n">
        <f aca="false">+F53-D53</f>
        <v>-3373</v>
      </c>
      <c r="H53" s="69"/>
      <c r="I53" s="69"/>
      <c r="J53" s="70"/>
      <c r="K53" s="70" t="n">
        <f aca="false">+G53/D53</f>
        <v>-0.0559795001842195</v>
      </c>
      <c r="L53" s="71"/>
    </row>
    <row r="54" customFormat="false" ht="13.8" hidden="false" customHeight="false" outlineLevel="0" collapsed="false">
      <c r="A54" s="72"/>
      <c r="B54" s="73"/>
      <c r="C54" s="74"/>
      <c r="D54" s="74" t="n">
        <f aca="false">SUM(D51:D53)</f>
        <v>139588.8</v>
      </c>
      <c r="E54" s="74"/>
      <c r="F54" s="74" t="n">
        <f aca="false">SUM(F51:F53)</f>
        <v>113762.4</v>
      </c>
      <c r="G54" s="74" t="n">
        <f aca="false">SUM(G51:G53)</f>
        <v>-25826.4</v>
      </c>
      <c r="H54" s="74"/>
      <c r="I54" s="74" t="n">
        <f aca="false">-Capital!B$15</f>
        <v>-134280</v>
      </c>
      <c r="J54" s="75" t="n">
        <f aca="false">+I54/Capital!$B$10</f>
        <v>-0.02</v>
      </c>
      <c r="K54" s="75" t="n">
        <f aca="false">+G54/D54</f>
        <v>-0.185017709157182</v>
      </c>
      <c r="L54" s="76" t="e">
        <f aca="false">+G54/H54</f>
        <v>#DIV/0!</v>
      </c>
    </row>
    <row r="55" customFormat="false" ht="13.8" hidden="false" customHeight="false" outlineLevel="0" collapsed="false">
      <c r="A55" s="67" t="s">
        <v>68</v>
      </c>
      <c r="B55" s="68" t="n">
        <v>-1000</v>
      </c>
      <c r="C55" s="69" t="n">
        <v>28.379</v>
      </c>
      <c r="D55" s="69" t="n">
        <f aca="false">+B55*C55</f>
        <v>-28379</v>
      </c>
      <c r="E55" s="69" t="n">
        <v>31.418</v>
      </c>
      <c r="F55" s="69" t="n">
        <f aca="false">+B55*E55</f>
        <v>-31418</v>
      </c>
      <c r="G55" s="69" t="n">
        <f aca="false">+F55-D55</f>
        <v>-3039</v>
      </c>
      <c r="H55" s="69"/>
      <c r="I55" s="69"/>
      <c r="J55" s="70"/>
      <c r="K55" s="70" t="n">
        <f aca="false">+G55/D55</f>
        <v>0.107086225730294</v>
      </c>
      <c r="L55" s="71"/>
    </row>
    <row r="56" customFormat="false" ht="13.8" hidden="false" customHeight="false" outlineLevel="0" collapsed="false">
      <c r="A56" s="72" t="s">
        <v>69</v>
      </c>
      <c r="B56" s="73"/>
      <c r="C56" s="74"/>
      <c r="D56" s="74" t="n">
        <f aca="false">SUM(D55)</f>
        <v>-28379</v>
      </c>
      <c r="E56" s="74"/>
      <c r="F56" s="74" t="n">
        <f aca="false">SUM(F55)</f>
        <v>-31418</v>
      </c>
      <c r="G56" s="74" t="n">
        <f aca="false">SUM(G55)</f>
        <v>-3039</v>
      </c>
      <c r="H56" s="74"/>
      <c r="I56" s="74" t="n">
        <f aca="false">-Capital!B$15</f>
        <v>-134280</v>
      </c>
      <c r="J56" s="75" t="n">
        <f aca="false">+I56/Capital!$B$10</f>
        <v>-0.02</v>
      </c>
      <c r="K56" s="75" t="n">
        <f aca="false">+G56/D56</f>
        <v>0.107086225730294</v>
      </c>
      <c r="L56" s="76" t="e">
        <f aca="false">+G56/H56</f>
        <v>#DIV/0!</v>
      </c>
    </row>
    <row r="57" customFormat="false" ht="13.8" hidden="false" customHeight="false" outlineLevel="0" collapsed="false">
      <c r="A57" s="81" t="s">
        <v>70</v>
      </c>
      <c r="B57" s="82"/>
      <c r="C57" s="83"/>
      <c r="D57" s="83" t="n">
        <f aca="false">+D31+D34+D37+D40+D44+D47+D50+D54+D56</f>
        <v>529558.7</v>
      </c>
      <c r="E57" s="83"/>
      <c r="F57" s="83" t="n">
        <f aca="false">+F31+F34+F37+F40+F44+F47+F50+F54+F56</f>
        <v>811683.5</v>
      </c>
      <c r="G57" s="83" t="n">
        <f aca="false">+G31+G34+G37+G40+G44+G47+G50+G54+G56</f>
        <v>282124.8</v>
      </c>
      <c r="H57" s="83"/>
      <c r="I57" s="83"/>
      <c r="J57" s="84" t="n">
        <f aca="false">+I57*100/Capital!$B$10</f>
        <v>0</v>
      </c>
      <c r="K57" s="84" t="n">
        <f aca="false">+G57/D57</f>
        <v>0.53275453693802</v>
      </c>
      <c r="L57" s="85"/>
    </row>
    <row r="58" customFormat="false" ht="13.8" hidden="false" customHeight="false" outlineLevel="0" collapsed="false">
      <c r="A58" s="86"/>
      <c r="B58" s="87"/>
      <c r="C58" s="88"/>
      <c r="D58" s="88"/>
      <c r="E58" s="88"/>
      <c r="F58" s="88"/>
      <c r="G58" s="88"/>
      <c r="H58" s="88"/>
      <c r="I58" s="88"/>
      <c r="J58" s="89" t="n">
        <f aca="false">+I58*100/Capital!$B$10</f>
        <v>0</v>
      </c>
      <c r="K58" s="89"/>
      <c r="L58" s="90"/>
    </row>
    <row r="59" customFormat="false" ht="13.8" hidden="false" customHeight="false" outlineLevel="0" collapsed="false">
      <c r="A59" s="91" t="s">
        <v>71</v>
      </c>
      <c r="B59" s="92"/>
      <c r="C59" s="93" t="n">
        <f aca="false">+C13+C18+C21+C25+C28+C57</f>
        <v>0</v>
      </c>
      <c r="D59" s="93"/>
      <c r="E59" s="93"/>
      <c r="F59" s="93" t="n">
        <f aca="false">+F13+F18+F21+F25+F28+F57</f>
        <v>6638886.647</v>
      </c>
      <c r="G59" s="93" t="n">
        <f aca="false">+G13+G18+G21+G25+G28+G57</f>
        <v>674896.592</v>
      </c>
      <c r="H59" s="93" t="n">
        <f aca="false">+C59*0.2</f>
        <v>0</v>
      </c>
      <c r="I59" s="93"/>
      <c r="J59" s="94" t="n">
        <f aca="false">+I59*100/Capital!$B$10</f>
        <v>0</v>
      </c>
      <c r="K59" s="94"/>
      <c r="L59" s="95" t="e">
        <f aca="false">+G59/H59</f>
        <v>#DIV/0!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C1:D1"/>
    <mergeCell ref="E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10.72265625" defaultRowHeight="13.8" customHeight="true" zeroHeight="false" outlineLevelRow="0" outlineLevelCol="0"/>
  <cols>
    <col collapsed="false" customWidth="true" hidden="false" outlineLevel="0" max="1" min="1" style="2" width="15.42"/>
    <col collapsed="false" customWidth="false" hidden="false" outlineLevel="0" max="11" min="11" style="2" width="10.71"/>
    <col collapsed="false" customWidth="true" hidden="false" outlineLevel="0" max="13" min="12" style="2" width="11.99"/>
    <col collapsed="false" customWidth="false" hidden="false" outlineLevel="0" max="1025" min="66" style="1" width="10.71"/>
  </cols>
  <sheetData>
    <row r="1" s="5" customFormat="true" ht="13.8" hidden="false" customHeight="false" outlineLevel="0" collapsed="false">
      <c r="A1" s="11" t="s">
        <v>17</v>
      </c>
      <c r="B1" s="96" t="s">
        <v>18</v>
      </c>
      <c r="C1" s="13" t="s">
        <v>19</v>
      </c>
      <c r="D1" s="13"/>
      <c r="E1" s="13" t="s">
        <v>20</v>
      </c>
      <c r="F1" s="13"/>
      <c r="G1" s="13" t="s">
        <v>21</v>
      </c>
      <c r="H1" s="13" t="s">
        <v>22</v>
      </c>
      <c r="I1" s="13" t="s">
        <v>23</v>
      </c>
      <c r="J1" s="97" t="s">
        <v>24</v>
      </c>
      <c r="K1" s="98"/>
      <c r="L1" s="98"/>
      <c r="M1" s="99" t="s">
        <v>72</v>
      </c>
    </row>
    <row r="2" customFormat="false" ht="13.8" hidden="false" customHeight="false" outlineLevel="0" collapsed="false">
      <c r="A2" s="100" t="s">
        <v>73</v>
      </c>
      <c r="B2" s="68" t="n">
        <v>-200</v>
      </c>
      <c r="C2" s="68" t="n">
        <v>319.226</v>
      </c>
      <c r="D2" s="68" t="n">
        <f aca="false">-B2*C2</f>
        <v>63845.2</v>
      </c>
      <c r="E2" s="68" t="n">
        <v>326</v>
      </c>
      <c r="F2" s="68" t="n">
        <f aca="false">-B2*E2</f>
        <v>65200</v>
      </c>
      <c r="G2" s="68" t="n">
        <f aca="false">-F2+D2</f>
        <v>-1354.8</v>
      </c>
      <c r="H2" s="68"/>
      <c r="I2" s="68"/>
      <c r="J2" s="68" t="n">
        <f aca="false">+I2*100/Capital!$B$10</f>
        <v>0</v>
      </c>
      <c r="K2" s="101"/>
      <c r="L2" s="101"/>
      <c r="M2" s="102"/>
      <c r="N2" s="3"/>
      <c r="O2" s="3"/>
      <c r="P2" s="103"/>
      <c r="Q2" s="104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</row>
    <row r="3" customFormat="false" ht="13.8" hidden="false" customHeight="false" outlineLevel="0" collapsed="false">
      <c r="A3" s="100" t="s">
        <v>73</v>
      </c>
      <c r="B3" s="68" t="n">
        <v>200</v>
      </c>
      <c r="C3" s="68" t="n">
        <v>468.135</v>
      </c>
      <c r="D3" s="68" t="n">
        <f aca="false">-B3*C3</f>
        <v>-93627</v>
      </c>
      <c r="E3" s="68" t="n">
        <v>326</v>
      </c>
      <c r="F3" s="68" t="n">
        <f aca="false">-B3*E3</f>
        <v>-65200</v>
      </c>
      <c r="G3" s="68" t="n">
        <f aca="false">-F3+D3</f>
        <v>-28427</v>
      </c>
      <c r="H3" s="68"/>
      <c r="I3" s="68"/>
      <c r="J3" s="68" t="n">
        <f aca="false">+I3*100/Capital!$B$10</f>
        <v>0</v>
      </c>
      <c r="K3" s="101"/>
      <c r="L3" s="101"/>
      <c r="M3" s="102"/>
      <c r="N3" s="3"/>
      <c r="O3" s="3"/>
      <c r="P3" s="103"/>
      <c r="Q3" s="104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</row>
    <row r="4" s="3" customFormat="true" ht="13.8" hidden="false" customHeight="false" outlineLevel="0" collapsed="false">
      <c r="A4" s="100" t="s">
        <v>74</v>
      </c>
      <c r="B4" s="68" t="n">
        <v>-200</v>
      </c>
      <c r="C4" s="68" t="n">
        <v>696.112</v>
      </c>
      <c r="D4" s="68" t="n">
        <f aca="false">-B4*C4</f>
        <v>139222.4</v>
      </c>
      <c r="E4" s="68" t="n">
        <v>405</v>
      </c>
      <c r="F4" s="68" t="n">
        <f aca="false">-B4*E4</f>
        <v>81000</v>
      </c>
      <c r="G4" s="68" t="n">
        <f aca="false">-F4+D4</f>
        <v>58222.4</v>
      </c>
      <c r="H4" s="68"/>
      <c r="I4" s="68"/>
      <c r="J4" s="68" t="n">
        <f aca="false">+I4*100/Capital!$B$10</f>
        <v>0</v>
      </c>
      <c r="K4" s="101"/>
      <c r="L4" s="101"/>
      <c r="M4" s="102"/>
      <c r="P4" s="103"/>
      <c r="Q4" s="104"/>
    </row>
    <row r="5" s="3" customFormat="true" ht="13.8" hidden="false" customHeight="false" outlineLevel="0" collapsed="false">
      <c r="A5" s="100" t="s">
        <v>74</v>
      </c>
      <c r="B5" s="68" t="n">
        <v>200</v>
      </c>
      <c r="C5" s="68" t="n">
        <v>399.999</v>
      </c>
      <c r="D5" s="68" t="n">
        <f aca="false">-B5*C5</f>
        <v>-79999.8</v>
      </c>
      <c r="E5" s="68" t="n">
        <v>405</v>
      </c>
      <c r="F5" s="68" t="n">
        <f aca="false">-B5*E5</f>
        <v>-81000</v>
      </c>
      <c r="G5" s="68" t="n">
        <f aca="false">-F5+D5</f>
        <v>1000.2</v>
      </c>
      <c r="H5" s="68"/>
      <c r="I5" s="68"/>
      <c r="J5" s="68" t="n">
        <f aca="false">+I5*100/Capital!$B$10</f>
        <v>0</v>
      </c>
      <c r="K5" s="101"/>
      <c r="L5" s="101"/>
      <c r="M5" s="102"/>
      <c r="P5" s="103"/>
      <c r="Q5" s="104"/>
    </row>
    <row r="6" customFormat="false" ht="13.8" hidden="false" customHeight="false" outlineLevel="0" collapsed="false">
      <c r="A6" s="72" t="s">
        <v>75</v>
      </c>
      <c r="B6" s="73"/>
      <c r="C6" s="74"/>
      <c r="D6" s="74" t="n">
        <f aca="false">SUM(D2:D5)</f>
        <v>29440.8</v>
      </c>
      <c r="E6" s="74" t="n">
        <v>935</v>
      </c>
      <c r="F6" s="74" t="n">
        <f aca="false">SUM(F4:F5)</f>
        <v>0</v>
      </c>
      <c r="G6" s="74" t="n">
        <f aca="false">SUM(G2:G5)</f>
        <v>29440.8</v>
      </c>
      <c r="H6" s="74"/>
      <c r="I6" s="74"/>
      <c r="J6" s="74" t="n">
        <f aca="false">+I6*100/Capital!$B$10</f>
        <v>0</v>
      </c>
      <c r="K6" s="105" t="n">
        <f aca="false">+D6</f>
        <v>29440.8</v>
      </c>
      <c r="L6" s="105" t="n">
        <f aca="false">+G6</f>
        <v>29440.8</v>
      </c>
      <c r="M6" s="106"/>
      <c r="P6" s="9"/>
      <c r="Q6" s="10"/>
    </row>
    <row r="7" customFormat="false" ht="13.8" hidden="false" customHeight="false" outlineLevel="0" collapsed="false">
      <c r="A7" s="81" t="s">
        <v>70</v>
      </c>
      <c r="B7" s="82"/>
      <c r="C7" s="83"/>
      <c r="D7" s="83" t="n">
        <f aca="false">+D6</f>
        <v>29440.8</v>
      </c>
      <c r="E7" s="83"/>
      <c r="F7" s="83"/>
      <c r="G7" s="83" t="n">
        <f aca="false">+G6</f>
        <v>29440.8</v>
      </c>
      <c r="H7" s="83"/>
      <c r="I7" s="83"/>
      <c r="J7" s="83" t="n">
        <f aca="false">+I7*100/Capital!$B$10</f>
        <v>0</v>
      </c>
      <c r="K7" s="83" t="n">
        <f aca="false">+K6</f>
        <v>29440.8</v>
      </c>
      <c r="L7" s="83" t="n">
        <f aca="false">+L6</f>
        <v>29440.8</v>
      </c>
      <c r="M7" s="107"/>
      <c r="P7" s="9"/>
      <c r="Q7" s="10"/>
    </row>
    <row r="8" customFormat="false" ht="13.8" hidden="false" customHeight="false" outlineLevel="0" collapsed="false">
      <c r="A8" s="91" t="s">
        <v>71</v>
      </c>
      <c r="B8" s="108"/>
      <c r="C8" s="93"/>
      <c r="D8" s="93" t="n">
        <f aca="false">+D7</f>
        <v>29440.8</v>
      </c>
      <c r="E8" s="93"/>
      <c r="F8" s="93"/>
      <c r="G8" s="93" t="n">
        <f aca="false">+G7</f>
        <v>29440.8</v>
      </c>
      <c r="H8" s="93"/>
      <c r="I8" s="93"/>
      <c r="J8" s="109"/>
      <c r="K8" s="110"/>
      <c r="L8" s="110"/>
      <c r="M8" s="111"/>
    </row>
    <row r="9" customFormat="false" ht="13.8" hidden="false" customHeight="false" outlineLevel="0" collapsed="false">
      <c r="A9" s="112"/>
      <c r="B9" s="113"/>
      <c r="C9" s="113"/>
      <c r="D9" s="113"/>
      <c r="E9" s="113"/>
      <c r="F9" s="113" t="s">
        <v>76</v>
      </c>
      <c r="G9" s="114" t="n">
        <f aca="false">+G8*100/Capital!B10</f>
        <v>0.438498659517426</v>
      </c>
      <c r="H9" s="113"/>
      <c r="I9" s="113"/>
      <c r="J9" s="113"/>
      <c r="K9" s="113"/>
      <c r="L9" s="113"/>
      <c r="M9" s="115"/>
    </row>
    <row r="10" customFormat="false" ht="13.8" hidden="false" customHeight="false" outlineLevel="0" collapsed="false">
      <c r="G10" s="9"/>
    </row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C1:D1"/>
    <mergeCell ref="E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72265625" defaultRowHeight="13.8" customHeight="true" zeroHeight="false" outlineLevelRow="0" outlineLevelCol="0"/>
  <cols>
    <col collapsed="false" customWidth="true" hidden="false" outlineLevel="0" max="1" min="1" style="2" width="15.42"/>
    <col collapsed="false" customWidth="false" hidden="false" outlineLevel="0" max="9" min="9" style="2" width="10.71"/>
    <col collapsed="false" customWidth="true" hidden="false" outlineLevel="0" max="11" min="10" style="2" width="11.99"/>
    <col collapsed="false" customWidth="false" hidden="false" outlineLevel="0" max="1023" min="64" style="1" width="10.71"/>
    <col collapsed="false" customWidth="true" hidden="false" outlineLevel="0" max="16384" min="16383" style="1" width="11.53"/>
  </cols>
  <sheetData>
    <row r="1" s="5" customFormat="true" ht="13.8" hidden="false" customHeight="false" outlineLevel="0" collapsed="false">
      <c r="A1" s="11" t="s">
        <v>17</v>
      </c>
      <c r="B1" s="96" t="s">
        <v>18</v>
      </c>
      <c r="C1" s="13" t="s">
        <v>19</v>
      </c>
      <c r="D1" s="13"/>
      <c r="E1" s="13" t="s">
        <v>20</v>
      </c>
      <c r="F1" s="13"/>
      <c r="G1" s="13" t="s">
        <v>21</v>
      </c>
      <c r="H1" s="13" t="s">
        <v>21</v>
      </c>
      <c r="I1" s="98" t="s">
        <v>13</v>
      </c>
      <c r="J1" s="98" t="s">
        <v>77</v>
      </c>
      <c r="K1" s="99" t="s">
        <v>78</v>
      </c>
      <c r="XFC1" s="1"/>
      <c r="XFD1" s="1"/>
    </row>
    <row r="2" customFormat="false" ht="13.8" hidden="false" customHeight="false" outlineLevel="0" collapsed="false">
      <c r="A2" s="100" t="s">
        <v>79</v>
      </c>
      <c r="B2" s="68" t="n">
        <v>-100</v>
      </c>
      <c r="C2" s="68" t="n">
        <v>220.465</v>
      </c>
      <c r="D2" s="68" t="n">
        <f aca="false">-B2*C2</f>
        <v>22046.5</v>
      </c>
      <c r="E2" s="68" t="n">
        <v>250.605</v>
      </c>
      <c r="F2" s="68" t="n">
        <f aca="false">+B2*E2</f>
        <v>-25060.5</v>
      </c>
      <c r="G2" s="68" t="n">
        <f aca="false">+F2+D2</f>
        <v>-3014</v>
      </c>
      <c r="H2" s="68"/>
      <c r="I2" s="101"/>
      <c r="J2" s="116"/>
      <c r="K2" s="102"/>
      <c r="L2" s="3"/>
      <c r="M2" s="3"/>
      <c r="N2" s="103"/>
      <c r="O2" s="104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</row>
    <row r="3" customFormat="false" ht="13.8" hidden="false" customHeight="false" outlineLevel="0" collapsed="false">
      <c r="A3" s="100" t="s">
        <v>80</v>
      </c>
      <c r="B3" s="68" t="n">
        <v>-100</v>
      </c>
      <c r="C3" s="68" t="n">
        <v>119.71</v>
      </c>
      <c r="D3" s="68" t="n">
        <f aca="false">-B3*C3</f>
        <v>11971</v>
      </c>
      <c r="E3" s="68" t="n">
        <v>78.189</v>
      </c>
      <c r="F3" s="68" t="n">
        <f aca="false">+B3*E3</f>
        <v>-7818.9</v>
      </c>
      <c r="G3" s="68" t="n">
        <f aca="false">+F3+D3</f>
        <v>4152.1</v>
      </c>
      <c r="H3" s="68"/>
      <c r="I3" s="101"/>
      <c r="J3" s="116"/>
      <c r="K3" s="102"/>
      <c r="L3" s="3"/>
      <c r="M3" s="3"/>
      <c r="N3" s="103"/>
      <c r="O3" s="104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</row>
    <row r="4" customFormat="false" ht="13.8" hidden="false" customHeight="false" outlineLevel="0" collapsed="false">
      <c r="A4" s="72" t="s">
        <v>81</v>
      </c>
      <c r="B4" s="73"/>
      <c r="C4" s="74"/>
      <c r="D4" s="74" t="n">
        <f aca="false">SUM(D2:D3)</f>
        <v>34017.5</v>
      </c>
      <c r="E4" s="74" t="n">
        <v>935</v>
      </c>
      <c r="F4" s="74" t="n">
        <f aca="false">SUM(F3)</f>
        <v>-7818.9</v>
      </c>
      <c r="G4" s="74" t="n">
        <f aca="false">SUM(G2:G3)</f>
        <v>1138.1</v>
      </c>
      <c r="H4" s="74" t="n">
        <f aca="false">+G4</f>
        <v>1138.1</v>
      </c>
      <c r="I4" s="105" t="n">
        <f aca="false">+D4*100/15</f>
        <v>226783.333333333</v>
      </c>
      <c r="J4" s="117" t="n">
        <f aca="false">+G4/D4</f>
        <v>0.0334563092525906</v>
      </c>
      <c r="K4" s="106" t="n">
        <f aca="false">+G4/I4</f>
        <v>0.00501844638788859</v>
      </c>
      <c r="N4" s="9"/>
      <c r="O4" s="10"/>
    </row>
    <row r="5" customFormat="false" ht="13.8" hidden="false" customHeight="false" outlineLevel="0" collapsed="false">
      <c r="A5" s="100" t="s">
        <v>79</v>
      </c>
      <c r="B5" s="68" t="n">
        <v>-200</v>
      </c>
      <c r="C5" s="68" t="n">
        <v>260.368</v>
      </c>
      <c r="D5" s="68" t="n">
        <f aca="false">-B5*C5</f>
        <v>52073.6</v>
      </c>
      <c r="E5" s="68" t="n">
        <v>255.116</v>
      </c>
      <c r="F5" s="68" t="n">
        <f aca="false">+B5*E5</f>
        <v>-51023.2</v>
      </c>
      <c r="G5" s="68" t="n">
        <f aca="false">+F5+D5</f>
        <v>1050.39999999999</v>
      </c>
      <c r="H5" s="68"/>
      <c r="I5" s="101"/>
      <c r="J5" s="116"/>
      <c r="K5" s="102"/>
      <c r="L5" s="3"/>
      <c r="M5" s="3"/>
      <c r="N5" s="103"/>
      <c r="O5" s="104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</row>
    <row r="6" customFormat="false" ht="13.8" hidden="false" customHeight="false" outlineLevel="0" collapsed="false">
      <c r="A6" s="100" t="s">
        <v>80</v>
      </c>
      <c r="B6" s="68" t="n">
        <v>-200</v>
      </c>
      <c r="C6" s="68" t="n">
        <v>72.325</v>
      </c>
      <c r="D6" s="68" t="n">
        <f aca="false">-B6*C6</f>
        <v>14465</v>
      </c>
      <c r="E6" s="68" t="n">
        <v>71.172</v>
      </c>
      <c r="F6" s="68" t="n">
        <f aca="false">+B6*E6</f>
        <v>-14234.4</v>
      </c>
      <c r="G6" s="68" t="n">
        <f aca="false">+F6+D6</f>
        <v>230.6</v>
      </c>
      <c r="H6" s="68"/>
      <c r="I6" s="101"/>
      <c r="J6" s="116"/>
      <c r="K6" s="102"/>
      <c r="L6" s="3"/>
      <c r="M6" s="3"/>
      <c r="N6" s="103"/>
      <c r="O6" s="104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</row>
    <row r="7" customFormat="false" ht="13.8" hidden="false" customHeight="false" outlineLevel="0" collapsed="false">
      <c r="A7" s="72" t="s">
        <v>81</v>
      </c>
      <c r="B7" s="73"/>
      <c r="C7" s="74"/>
      <c r="D7" s="74" t="n">
        <f aca="false">SUM(D5:D6)</f>
        <v>66538.6</v>
      </c>
      <c r="E7" s="74" t="n">
        <v>935</v>
      </c>
      <c r="F7" s="74" t="n">
        <f aca="false">SUM(F6)</f>
        <v>-14234.4</v>
      </c>
      <c r="G7" s="74" t="n">
        <f aca="false">SUM(G5:G6)</f>
        <v>1280.99999999999</v>
      </c>
      <c r="H7" s="74" t="n">
        <f aca="false">+G7</f>
        <v>1280.99999999999</v>
      </c>
      <c r="I7" s="105" t="n">
        <f aca="false">+D7*100/15</f>
        <v>443590.666666667</v>
      </c>
      <c r="J7" s="117" t="n">
        <f aca="false">+G7/D7</f>
        <v>0.0192519830594571</v>
      </c>
      <c r="K7" s="106" t="n">
        <f aca="false">+G7/I7</f>
        <v>0.00288779745891857</v>
      </c>
      <c r="N7" s="9"/>
      <c r="O7" s="10"/>
    </row>
    <row r="8" customFormat="false" ht="13.8" hidden="false" customHeight="false" outlineLevel="0" collapsed="false">
      <c r="A8" s="100" t="s">
        <v>82</v>
      </c>
      <c r="B8" s="68" t="n">
        <v>-200</v>
      </c>
      <c r="C8" s="68" t="n">
        <v>206.499</v>
      </c>
      <c r="D8" s="68" t="n">
        <f aca="false">-B8*C8</f>
        <v>41299.8</v>
      </c>
      <c r="E8" s="68" t="n">
        <v>195.472</v>
      </c>
      <c r="F8" s="68" t="n">
        <f aca="false">+B8*E8</f>
        <v>-39094.4</v>
      </c>
      <c r="G8" s="68" t="n">
        <f aca="false">+F8+D8</f>
        <v>2205.39999999999</v>
      </c>
      <c r="H8" s="68"/>
      <c r="I8" s="105"/>
      <c r="J8" s="117"/>
      <c r="K8" s="106"/>
      <c r="N8" s="9"/>
      <c r="O8" s="10"/>
    </row>
    <row r="9" customFormat="false" ht="13.8" hidden="false" customHeight="false" outlineLevel="0" collapsed="false">
      <c r="A9" s="100" t="s">
        <v>83</v>
      </c>
      <c r="B9" s="68" t="n">
        <v>-200</v>
      </c>
      <c r="C9" s="68" t="n">
        <v>79.806</v>
      </c>
      <c r="D9" s="68" t="n">
        <f aca="false">-B9*C9</f>
        <v>15961.2</v>
      </c>
      <c r="E9" s="68" t="n">
        <v>80.194</v>
      </c>
      <c r="F9" s="68" t="n">
        <f aca="false">+B9*E9</f>
        <v>-16038.8</v>
      </c>
      <c r="G9" s="68" t="n">
        <f aca="false">+F9+D9</f>
        <v>-77.6000000000022</v>
      </c>
      <c r="H9" s="68"/>
      <c r="I9" s="105"/>
      <c r="J9" s="117"/>
      <c r="K9" s="106"/>
      <c r="N9" s="9"/>
      <c r="O9" s="10"/>
    </row>
    <row r="10" customFormat="false" ht="13.8" hidden="false" customHeight="false" outlineLevel="0" collapsed="false">
      <c r="A10" s="72" t="s">
        <v>81</v>
      </c>
      <c r="B10" s="73"/>
      <c r="C10" s="74"/>
      <c r="D10" s="74" t="n">
        <f aca="false">SUM(D8:D9)</f>
        <v>57261</v>
      </c>
      <c r="E10" s="74" t="n">
        <v>935</v>
      </c>
      <c r="F10" s="74" t="n">
        <f aca="false">SUM(F9)</f>
        <v>-16038.8</v>
      </c>
      <c r="G10" s="74" t="n">
        <f aca="false">SUM(G8:G9)</f>
        <v>2127.79999999999</v>
      </c>
      <c r="H10" s="74" t="n">
        <f aca="false">+G10</f>
        <v>2127.79999999999</v>
      </c>
      <c r="I10" s="105" t="n">
        <f aca="false">+D10*100/15</f>
        <v>381740</v>
      </c>
      <c r="J10" s="117" t="n">
        <f aca="false">+G10/D10</f>
        <v>0.0371596723773597</v>
      </c>
      <c r="K10" s="106" t="n">
        <f aca="false">+G10/I10</f>
        <v>0.00557395085660395</v>
      </c>
      <c r="N10" s="9"/>
      <c r="O10" s="10"/>
    </row>
    <row r="11" customFormat="false" ht="13.8" hidden="false" customHeight="false" outlineLevel="0" collapsed="false">
      <c r="A11" s="100" t="s">
        <v>84</v>
      </c>
      <c r="B11" s="68" t="n">
        <v>-200</v>
      </c>
      <c r="C11" s="68" t="n">
        <v>123.7</v>
      </c>
      <c r="D11" s="68" t="n">
        <f aca="false">-B11*C11</f>
        <v>24740</v>
      </c>
      <c r="E11" s="68" t="n">
        <v>108.261</v>
      </c>
      <c r="F11" s="68" t="n">
        <f aca="false">+B11*E11</f>
        <v>-21652.2</v>
      </c>
      <c r="G11" s="68" t="n">
        <f aca="false">+F11+D11</f>
        <v>3087.8</v>
      </c>
      <c r="H11" s="68"/>
      <c r="I11" s="101"/>
      <c r="J11" s="116"/>
      <c r="K11" s="102"/>
      <c r="L11" s="3"/>
      <c r="M11" s="3"/>
      <c r="N11" s="103"/>
      <c r="O11" s="104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</row>
    <row r="12" customFormat="false" ht="13.8" hidden="false" customHeight="false" outlineLevel="0" collapsed="false">
      <c r="A12" s="100" t="s">
        <v>80</v>
      </c>
      <c r="B12" s="68" t="n">
        <v>-200</v>
      </c>
      <c r="C12" s="68" t="n">
        <v>49.879</v>
      </c>
      <c r="D12" s="68" t="n">
        <f aca="false">-B12*C12</f>
        <v>9975.8</v>
      </c>
      <c r="E12" s="68" t="n">
        <v>56.637</v>
      </c>
      <c r="F12" s="68" t="n">
        <f aca="false">+B12*E12</f>
        <v>-11327.4</v>
      </c>
      <c r="G12" s="68" t="n">
        <f aca="false">+F12+D12</f>
        <v>-1351.6</v>
      </c>
      <c r="H12" s="68"/>
      <c r="I12" s="101"/>
      <c r="J12" s="116"/>
      <c r="K12" s="102"/>
      <c r="L12" s="3"/>
      <c r="M12" s="3"/>
      <c r="N12" s="103"/>
      <c r="O12" s="104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</row>
    <row r="13" customFormat="false" ht="13.8" hidden="false" customHeight="false" outlineLevel="0" collapsed="false">
      <c r="A13" s="72" t="s">
        <v>81</v>
      </c>
      <c r="B13" s="73"/>
      <c r="C13" s="74"/>
      <c r="D13" s="74" t="n">
        <f aca="false">SUM(D11:D12)</f>
        <v>34715.8</v>
      </c>
      <c r="E13" s="74" t="n">
        <v>935</v>
      </c>
      <c r="F13" s="74" t="n">
        <f aca="false">SUM(F12)</f>
        <v>-11327.4</v>
      </c>
      <c r="G13" s="74" t="n">
        <f aca="false">SUM(G11:G12)</f>
        <v>1736.2</v>
      </c>
      <c r="H13" s="74" t="n">
        <f aca="false">+G13</f>
        <v>1736.2</v>
      </c>
      <c r="I13" s="105" t="n">
        <f aca="false">+D13*100/15</f>
        <v>231438.666666667</v>
      </c>
      <c r="J13" s="117" t="n">
        <f aca="false">+G13/D13</f>
        <v>0.0500118101844117</v>
      </c>
      <c r="K13" s="106" t="n">
        <f aca="false">+G13/I13</f>
        <v>0.00750177152766175</v>
      </c>
      <c r="N13" s="9"/>
      <c r="O13" s="10"/>
    </row>
    <row r="14" customFormat="false" ht="13.8" hidden="false" customHeight="false" outlineLevel="0" collapsed="false">
      <c r="A14" s="100" t="s">
        <v>84</v>
      </c>
      <c r="B14" s="68" t="n">
        <v>-200</v>
      </c>
      <c r="C14" s="68" t="n">
        <v>123.7</v>
      </c>
      <c r="D14" s="68" t="n">
        <f aca="false">-B14*C14</f>
        <v>24740</v>
      </c>
      <c r="E14" s="68" t="n">
        <v>108.261</v>
      </c>
      <c r="F14" s="68" t="n">
        <f aca="false">+B14*E14</f>
        <v>-21652.2</v>
      </c>
      <c r="G14" s="68" t="n">
        <f aca="false">+F14+D14</f>
        <v>3087.8</v>
      </c>
      <c r="H14" s="68"/>
      <c r="I14" s="101"/>
      <c r="J14" s="116"/>
      <c r="K14" s="102"/>
      <c r="L14" s="3"/>
      <c r="M14" s="3"/>
      <c r="N14" s="103"/>
      <c r="O14" s="104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</row>
    <row r="15" customFormat="false" ht="13.8" hidden="false" customHeight="false" outlineLevel="0" collapsed="false">
      <c r="A15" s="100" t="s">
        <v>80</v>
      </c>
      <c r="B15" s="68" t="n">
        <v>-200</v>
      </c>
      <c r="C15" s="68" t="n">
        <v>49.879</v>
      </c>
      <c r="D15" s="68" t="n">
        <f aca="false">-B15*C15</f>
        <v>9975.8</v>
      </c>
      <c r="E15" s="68" t="n">
        <v>56.637</v>
      </c>
      <c r="F15" s="68" t="n">
        <f aca="false">+B15*E15</f>
        <v>-11327.4</v>
      </c>
      <c r="G15" s="68" t="n">
        <f aca="false">+F15+D15</f>
        <v>-1351.6</v>
      </c>
      <c r="H15" s="68"/>
      <c r="I15" s="101"/>
      <c r="J15" s="116"/>
      <c r="K15" s="102"/>
      <c r="L15" s="3"/>
      <c r="M15" s="3"/>
      <c r="N15" s="103"/>
      <c r="O15" s="104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</row>
    <row r="16" customFormat="false" ht="13.8" hidden="false" customHeight="false" outlineLevel="0" collapsed="false">
      <c r="A16" s="72" t="s">
        <v>81</v>
      </c>
      <c r="B16" s="73"/>
      <c r="C16" s="74"/>
      <c r="D16" s="74" t="n">
        <f aca="false">SUM(D14:D15)</f>
        <v>34715.8</v>
      </c>
      <c r="E16" s="74" t="n">
        <v>935</v>
      </c>
      <c r="F16" s="74" t="n">
        <f aca="false">SUM(F15)</f>
        <v>-11327.4</v>
      </c>
      <c r="G16" s="74" t="n">
        <f aca="false">SUM(G14:G15)</f>
        <v>1736.2</v>
      </c>
      <c r="H16" s="74" t="n">
        <f aca="false">+G16</f>
        <v>1736.2</v>
      </c>
      <c r="I16" s="105" t="n">
        <f aca="false">+D16*100/15</f>
        <v>231438.666666667</v>
      </c>
      <c r="J16" s="117" t="n">
        <f aca="false">+G16/D16</f>
        <v>0.0500118101844117</v>
      </c>
      <c r="K16" s="106" t="n">
        <f aca="false">+G16/I16</f>
        <v>0.00750177152766175</v>
      </c>
      <c r="N16" s="9"/>
      <c r="O16" s="10"/>
    </row>
    <row r="17" customFormat="false" ht="13.8" hidden="false" customHeight="false" outlineLevel="0" collapsed="false">
      <c r="A17" s="100" t="s">
        <v>84</v>
      </c>
      <c r="B17" s="68" t="n">
        <v>-300</v>
      </c>
      <c r="C17" s="68" t="n">
        <v>106.741</v>
      </c>
      <c r="D17" s="68" t="n">
        <f aca="false">-B17*C17</f>
        <v>32022.3</v>
      </c>
      <c r="E17" s="68" t="n">
        <v>112.271</v>
      </c>
      <c r="F17" s="68" t="n">
        <f aca="false">+B17*E17</f>
        <v>-33681.3</v>
      </c>
      <c r="G17" s="68" t="n">
        <f aca="false">+F17+D17</f>
        <v>-1659</v>
      </c>
      <c r="H17" s="68"/>
      <c r="I17" s="101"/>
      <c r="J17" s="116"/>
      <c r="K17" s="102"/>
      <c r="L17" s="3"/>
      <c r="M17" s="3"/>
      <c r="N17" s="103"/>
      <c r="O17" s="104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</row>
    <row r="18" customFormat="false" ht="13.8" hidden="false" customHeight="false" outlineLevel="0" collapsed="false">
      <c r="A18" s="100" t="s">
        <v>85</v>
      </c>
      <c r="B18" s="68" t="n">
        <v>-100</v>
      </c>
      <c r="C18" s="68" t="n">
        <v>289.298</v>
      </c>
      <c r="D18" s="68" t="n">
        <f aca="false">-B18*C18</f>
        <v>28929.8</v>
      </c>
      <c r="E18" s="68" t="n">
        <v>252.51</v>
      </c>
      <c r="F18" s="68" t="n">
        <f aca="false">+B18*E18</f>
        <v>-25251</v>
      </c>
      <c r="G18" s="68" t="n">
        <f aca="false">+F18+D18</f>
        <v>3678.8</v>
      </c>
      <c r="H18" s="68"/>
      <c r="I18" s="101"/>
      <c r="J18" s="116"/>
      <c r="K18" s="102"/>
      <c r="L18" s="3"/>
      <c r="M18" s="3"/>
      <c r="N18" s="103"/>
      <c r="O18" s="104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</row>
    <row r="19" customFormat="false" ht="13.8" hidden="false" customHeight="false" outlineLevel="0" collapsed="false">
      <c r="A19" s="72" t="s">
        <v>81</v>
      </c>
      <c r="B19" s="73"/>
      <c r="C19" s="74"/>
      <c r="D19" s="74" t="n">
        <f aca="false">SUM(D17:D18)</f>
        <v>60952.1</v>
      </c>
      <c r="E19" s="74" t="n">
        <v>935</v>
      </c>
      <c r="F19" s="74" t="n">
        <f aca="false">SUM(F18)</f>
        <v>-25251</v>
      </c>
      <c r="G19" s="74" t="n">
        <f aca="false">SUM(G17:G18)</f>
        <v>2019.8</v>
      </c>
      <c r="H19" s="74" t="n">
        <f aca="false">+G19</f>
        <v>2019.8</v>
      </c>
      <c r="I19" s="105" t="n">
        <f aca="false">+D19*100/15</f>
        <v>406347.333333333</v>
      </c>
      <c r="J19" s="117" t="n">
        <f aca="false">+G19/D19</f>
        <v>0.0331374964931478</v>
      </c>
      <c r="K19" s="106" t="n">
        <f aca="false">+G19/I19</f>
        <v>0.00497062447397217</v>
      </c>
      <c r="N19" s="9"/>
      <c r="O19" s="10"/>
    </row>
    <row r="20" customFormat="false" ht="13.8" hidden="false" customHeight="false" outlineLevel="0" collapsed="false">
      <c r="A20" s="100" t="s">
        <v>86</v>
      </c>
      <c r="B20" s="68" t="n">
        <v>-200</v>
      </c>
      <c r="C20" s="68" t="n">
        <v>175.574</v>
      </c>
      <c r="D20" s="68" t="n">
        <f aca="false">-B20*C20</f>
        <v>35114.8</v>
      </c>
      <c r="E20" s="68" t="n">
        <v>160.387</v>
      </c>
      <c r="F20" s="68" t="n">
        <f aca="false">+B20*E20</f>
        <v>-32077.4</v>
      </c>
      <c r="G20" s="68" t="n">
        <f aca="false">+F20+D20</f>
        <v>3037.4</v>
      </c>
      <c r="H20" s="68"/>
      <c r="I20" s="101"/>
      <c r="J20" s="116"/>
      <c r="K20" s="102"/>
      <c r="L20" s="3"/>
      <c r="M20" s="3"/>
      <c r="N20" s="103"/>
      <c r="O20" s="10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3"/>
      <c r="ALZ20" s="3"/>
      <c r="AMA20" s="3"/>
      <c r="AMB20" s="3"/>
      <c r="AMC20" s="3"/>
      <c r="AMD20" s="3"/>
      <c r="AME20" s="3"/>
      <c r="AMF20" s="3"/>
      <c r="AMG20" s="3"/>
      <c r="AMH20" s="3"/>
      <c r="AMI20" s="3"/>
    </row>
    <row r="21" customFormat="false" ht="13.8" hidden="false" customHeight="false" outlineLevel="0" collapsed="false">
      <c r="A21" s="100" t="s">
        <v>87</v>
      </c>
      <c r="B21" s="68" t="n">
        <v>-200</v>
      </c>
      <c r="C21" s="68" t="n">
        <v>144.649</v>
      </c>
      <c r="D21" s="68" t="n">
        <f aca="false">-B21*C21</f>
        <v>28929.8</v>
      </c>
      <c r="E21" s="68" t="n">
        <v>160.538</v>
      </c>
      <c r="F21" s="68" t="n">
        <f aca="false">+B21*E21</f>
        <v>-32107.6</v>
      </c>
      <c r="G21" s="68" t="n">
        <f aca="false">+F21+D21</f>
        <v>-3177.8</v>
      </c>
      <c r="H21" s="68"/>
      <c r="I21" s="101"/>
      <c r="J21" s="116"/>
      <c r="K21" s="102"/>
      <c r="L21" s="3"/>
      <c r="M21" s="3"/>
      <c r="N21" s="103"/>
      <c r="O21" s="104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3"/>
      <c r="ALZ21" s="3"/>
      <c r="AMA21" s="3"/>
      <c r="AMB21" s="3"/>
      <c r="AMC21" s="3"/>
      <c r="AMD21" s="3"/>
      <c r="AME21" s="3"/>
      <c r="AMF21" s="3"/>
      <c r="AMG21" s="3"/>
      <c r="AMH21" s="3"/>
      <c r="AMI21" s="3"/>
    </row>
    <row r="22" customFormat="false" ht="13.8" hidden="false" customHeight="false" outlineLevel="0" collapsed="false">
      <c r="A22" s="72" t="s">
        <v>81</v>
      </c>
      <c r="B22" s="73"/>
      <c r="C22" s="74"/>
      <c r="D22" s="74" t="n">
        <f aca="false">SUM(D20:D21)</f>
        <v>64044.6</v>
      </c>
      <c r="E22" s="74" t="n">
        <v>935</v>
      </c>
      <c r="F22" s="74" t="n">
        <f aca="false">SUM(F21)</f>
        <v>-32107.6</v>
      </c>
      <c r="G22" s="74" t="n">
        <f aca="false">SUM(G20:G21)</f>
        <v>-140.400000000001</v>
      </c>
      <c r="H22" s="74" t="n">
        <f aca="false">+G22</f>
        <v>-140.400000000001</v>
      </c>
      <c r="I22" s="105" t="n">
        <f aca="false">+D22*100/15</f>
        <v>426964</v>
      </c>
      <c r="J22" s="117" t="n">
        <f aca="false">+G22/D22</f>
        <v>-0.00219222229508813</v>
      </c>
      <c r="K22" s="106" t="n">
        <f aca="false">+G22/I22</f>
        <v>-0.00032883334426322</v>
      </c>
      <c r="N22" s="9"/>
      <c r="O22" s="10"/>
    </row>
    <row r="23" customFormat="false" ht="13.8" hidden="false" customHeight="false" outlineLevel="0" collapsed="false">
      <c r="A23" s="81" t="s">
        <v>70</v>
      </c>
      <c r="B23" s="82"/>
      <c r="C23" s="83"/>
      <c r="D23" s="83" t="n">
        <f aca="false">+D4+D7+D16</f>
        <v>135271.9</v>
      </c>
      <c r="E23" s="83"/>
      <c r="F23" s="83"/>
      <c r="G23" s="83"/>
      <c r="H23" s="83" t="n">
        <f aca="false">+H4+H7+H16</f>
        <v>4155.29999999999</v>
      </c>
      <c r="I23" s="83"/>
      <c r="J23" s="83"/>
      <c r="K23" s="118"/>
      <c r="N23" s="9"/>
      <c r="O23" s="10"/>
    </row>
    <row r="24" customFormat="false" ht="13.8" hidden="false" customHeight="false" outlineLevel="0" collapsed="false">
      <c r="A24" s="91" t="s">
        <v>71</v>
      </c>
      <c r="B24" s="108"/>
      <c r="C24" s="93"/>
      <c r="D24" s="93" t="n">
        <f aca="false">+D23</f>
        <v>135271.9</v>
      </c>
      <c r="E24" s="93"/>
      <c r="F24" s="93"/>
      <c r="G24" s="93"/>
      <c r="H24" s="93" t="n">
        <f aca="false">+H23</f>
        <v>4155.29999999999</v>
      </c>
      <c r="I24" s="110"/>
      <c r="J24" s="110"/>
      <c r="K24" s="111"/>
    </row>
    <row r="25" customFormat="false" ht="13.8" hidden="false" customHeight="false" outlineLevel="0" collapsed="false">
      <c r="A25" s="112"/>
      <c r="B25" s="113"/>
      <c r="C25" s="113"/>
      <c r="D25" s="113"/>
      <c r="E25" s="113"/>
      <c r="F25" s="113" t="s">
        <v>76</v>
      </c>
      <c r="G25" s="114"/>
      <c r="H25" s="114" t="n">
        <f aca="false">+H24*100/Capital!C10</f>
        <v>0.0562637094808675</v>
      </c>
      <c r="I25" s="113"/>
      <c r="J25" s="113"/>
      <c r="K25" s="115"/>
    </row>
    <row r="26" customFormat="false" ht="13.8" hidden="false" customHeight="false" outlineLevel="0" collapsed="false">
      <c r="G26" s="9"/>
    </row>
  </sheetData>
  <mergeCells count="2">
    <mergeCell ref="C1:D1"/>
    <mergeCell ref="E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8984375" defaultRowHeight="15" customHeight="true" zeroHeight="false" outlineLevelRow="0" outlineLevelCol="0"/>
  <cols>
    <col collapsed="false" customWidth="false" hidden="false" outlineLevel="0" max="6" min="6" style="8" width="11.57"/>
    <col collapsed="false" customWidth="true" hidden="false" outlineLevel="0" max="12" min="9" style="2" width="11.85"/>
    <col collapsed="false" customWidth="false" hidden="false" outlineLevel="0" max="1025" min="65" style="1" width="11.57"/>
  </cols>
  <sheetData>
    <row r="1" customFormat="false" ht="15" hidden="false" customHeight="false" outlineLevel="0" collapsed="false">
      <c r="A1" s="119" t="s">
        <v>37</v>
      </c>
      <c r="B1" s="120"/>
      <c r="C1" s="120" t="n">
        <f aca="false">+Abiertos!D13</f>
        <v>2725296.63</v>
      </c>
      <c r="D1" s="119" t="n">
        <f aca="false">+Abiertos!F13</f>
        <v>3013025</v>
      </c>
      <c r="E1" s="119" t="n">
        <f aca="false">+D1-C1</f>
        <v>287728.37</v>
      </c>
      <c r="F1" s="121" t="n">
        <f aca="false">+D1/C1-1</f>
        <v>0.105576900082249</v>
      </c>
      <c r="G1" s="2" t="s">
        <v>88</v>
      </c>
    </row>
    <row r="2" customFormat="false" ht="15" hidden="false" customHeight="false" outlineLevel="0" collapsed="false">
      <c r="A2" s="122" t="s">
        <v>42</v>
      </c>
      <c r="B2" s="123"/>
      <c r="C2" s="123" t="n">
        <f aca="false">+Abiertos!D18</f>
        <v>1175510</v>
      </c>
      <c r="D2" s="122" t="n">
        <f aca="false">+Abiertos!F18</f>
        <v>1238410</v>
      </c>
      <c r="E2" s="122" t="n">
        <f aca="false">+D2-C2</f>
        <v>62900</v>
      </c>
      <c r="F2" s="124" t="n">
        <f aca="false">+D2/C2-1</f>
        <v>0.0535086898452586</v>
      </c>
    </row>
    <row r="3" customFormat="false" ht="15" hidden="false" customHeight="false" outlineLevel="0" collapsed="false">
      <c r="A3" s="125" t="s">
        <v>45</v>
      </c>
      <c r="B3" s="126"/>
      <c r="C3" s="126" t="n">
        <f aca="false">+Abiertos!D21</f>
        <v>71618.41</v>
      </c>
      <c r="D3" s="125" t="n">
        <f aca="false">+Abiertos!F21</f>
        <v>72380</v>
      </c>
      <c r="E3" s="125" t="n">
        <f aca="false">+D3-C3</f>
        <v>761.590000000011</v>
      </c>
      <c r="F3" s="127" t="n">
        <f aca="false">+D3/C3-1</f>
        <v>0.0106339975992209</v>
      </c>
    </row>
    <row r="4" customFormat="false" ht="15" hidden="false" customHeight="false" outlineLevel="0" collapsed="false">
      <c r="A4" s="62" t="s">
        <v>52</v>
      </c>
      <c r="B4" s="63"/>
      <c r="C4" s="63" t="n">
        <f aca="false">+Abiertos!D28</f>
        <v>880203.545</v>
      </c>
      <c r="D4" s="64" t="n">
        <f aca="false">+Abiertos!F28</f>
        <v>917988.147</v>
      </c>
      <c r="E4" s="64" t="n">
        <f aca="false">+D4-C4</f>
        <v>37784.6020000001</v>
      </c>
      <c r="F4" s="65" t="n">
        <f aca="false">+D4/C4-1</f>
        <v>0.0429271186359514</v>
      </c>
    </row>
    <row r="5" customFormat="false" ht="15" hidden="false" customHeight="false" outlineLevel="0" collapsed="false">
      <c r="A5" s="128" t="s">
        <v>70</v>
      </c>
      <c r="B5" s="129"/>
      <c r="C5" s="129" t="n">
        <f aca="false">+Abiertos!D57</f>
        <v>529558.7</v>
      </c>
      <c r="D5" s="128" t="n">
        <f aca="false">+Abiertos!F57</f>
        <v>811683.5</v>
      </c>
      <c r="E5" s="128" t="n">
        <f aca="false">+D5-C5</f>
        <v>282124.8</v>
      </c>
      <c r="F5" s="130" t="n">
        <f aca="false">+D5/C5-1</f>
        <v>0.53275453693802</v>
      </c>
    </row>
    <row r="7" customFormat="false" ht="15" hidden="false" customHeight="false" outlineLevel="0" collapsed="false">
      <c r="C7" s="2" t="n">
        <f aca="false">SUM(C1:C6)</f>
        <v>5382187.285</v>
      </c>
      <c r="D7" s="2" t="n">
        <f aca="false">SUM(D1:D6)</f>
        <v>6053486.647</v>
      </c>
      <c r="E7" s="2" t="n">
        <f aca="false">+D7-C7</f>
        <v>671299.362</v>
      </c>
      <c r="F7" s="8" t="n">
        <f aca="false">+E7/C7</f>
        <v>0.124726124613109</v>
      </c>
    </row>
    <row r="8" customFormat="false" ht="15" hidden="false" customHeight="false" outlineLevel="0" collapsed="false">
      <c r="A8" s="2" t="s">
        <v>89</v>
      </c>
      <c r="E8" s="2" t="n">
        <f aca="false">+Cerrados!G8</f>
        <v>29440.8</v>
      </c>
    </row>
    <row r="9" customFormat="false" ht="15" hidden="false" customHeight="false" outlineLevel="0" collapsed="false">
      <c r="C9" s="2" t="n">
        <f aca="false">+C7+C8</f>
        <v>5382187.285</v>
      </c>
      <c r="D9" s="2" t="n">
        <f aca="false">+D7+D8</f>
        <v>6053486.647</v>
      </c>
      <c r="E9" s="2" t="n">
        <f aca="false">+E7+E8</f>
        <v>700740.162</v>
      </c>
      <c r="F9" s="8" t="n">
        <f aca="false">+E9/C9</f>
        <v>0.130196168378039</v>
      </c>
    </row>
    <row r="11" customFormat="false" ht="15" hidden="false" customHeight="false" outlineLevel="0" collapsed="false">
      <c r="I11" s="131" t="s">
        <v>13</v>
      </c>
      <c r="J11" s="132" t="n">
        <f aca="false">+Capital!B10</f>
        <v>6714000</v>
      </c>
      <c r="K11" s="131" t="s">
        <v>13</v>
      </c>
      <c r="L11" s="132" t="n">
        <f aca="false">+Capital!B10</f>
        <v>6714000</v>
      </c>
    </row>
    <row r="12" customFormat="false" ht="15" hidden="false" customHeight="false" outlineLevel="0" collapsed="false">
      <c r="I12" s="131" t="s">
        <v>90</v>
      </c>
      <c r="J12" s="133" t="n">
        <f aca="false">+J11*0.2</f>
        <v>1342800</v>
      </c>
      <c r="K12" s="131" t="s">
        <v>90</v>
      </c>
      <c r="L12" s="133" t="n">
        <f aca="false">+L11*0.3</f>
        <v>2014200</v>
      </c>
    </row>
    <row r="13" customFormat="false" ht="15" hidden="false" customHeight="false" outlineLevel="0" collapsed="false">
      <c r="E13" s="2" t="n">
        <v>552994.2634</v>
      </c>
      <c r="I13" s="131" t="s">
        <v>72</v>
      </c>
      <c r="J13" s="134" t="n">
        <f aca="false">+E9/J12</f>
        <v>0.521849986595174</v>
      </c>
      <c r="K13" s="131" t="s">
        <v>72</v>
      </c>
      <c r="L13" s="134" t="n">
        <f aca="false">+E9/L12</f>
        <v>0.34789999106345</v>
      </c>
    </row>
    <row r="14" customFormat="false" ht="15" hidden="false" customHeight="false" outlineLevel="0" collapsed="false">
      <c r="E14" s="2" t="n">
        <v>96580.3</v>
      </c>
      <c r="I14" s="131" t="s">
        <v>91</v>
      </c>
      <c r="J14" s="132" t="n">
        <f aca="false">+J12*1.5</f>
        <v>2014200</v>
      </c>
      <c r="K14" s="131" t="s">
        <v>91</v>
      </c>
      <c r="L14" s="132" t="n">
        <f aca="false">+L12*1.5</f>
        <v>3021300</v>
      </c>
    </row>
    <row r="15" customFormat="false" ht="15" hidden="false" customHeight="false" outlineLevel="0" collapsed="false">
      <c r="E15" s="1" t="n">
        <v>649574.5634</v>
      </c>
      <c r="I15" s="131" t="s">
        <v>72</v>
      </c>
      <c r="J15" s="134" t="n">
        <f aca="false">+E9/J14</f>
        <v>0.34789999106345</v>
      </c>
      <c r="K15" s="131" t="s">
        <v>72</v>
      </c>
      <c r="L15" s="134" t="n">
        <f aca="false">+E9/L14</f>
        <v>0.231933327375633</v>
      </c>
    </row>
    <row r="16" customFormat="false" ht="15" hidden="false" customHeight="false" outlineLevel="0" collapsed="false">
      <c r="E16" s="1"/>
    </row>
    <row r="17" customFormat="false" ht="15" hidden="false" customHeight="false" outlineLevel="0" collapsed="false">
      <c r="E17" s="1"/>
      <c r="I17" s="131" t="s">
        <v>92</v>
      </c>
      <c r="J17" s="134" t="n">
        <f aca="false">+E9/J11</f>
        <v>0.104369997319035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68307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2024-10-12T00:22:49Z</dcterms:created>
  <dc:creator>Eduardo</dc:creator>
  <dc:description/>
  <dc:language>es-AR</dc:language>
  <cp:lastModifiedBy/>
  <dcterms:modified xsi:type="dcterms:W3CDTF">2025-08-08T10:35:32Z</dcterms:modified>
  <cp:revision>107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