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firstSheet="2" activeTab="35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  <sheet name="SEI" sheetId="36" r:id="rId36"/>
  </sheets>
  <calcPr calcId="124519"/>
</workbook>
</file>

<file path=xl/calcChain.xml><?xml version="1.0" encoding="utf-8"?>
<calcChain xmlns="http://schemas.openxmlformats.org/spreadsheetml/2006/main">
  <c r="B14" i="36"/>
  <c r="N9" s="1"/>
  <c r="T7"/>
  <c r="R7"/>
  <c r="R6"/>
  <c r="E6"/>
  <c r="U6" s="1"/>
  <c r="D6"/>
  <c r="D14" s="1"/>
  <c r="T5"/>
  <c r="R5"/>
  <c r="C5"/>
  <c r="O6" s="1"/>
  <c r="N8" l="1"/>
  <c r="J4"/>
  <c r="K4" s="1"/>
  <c r="R17"/>
  <c r="G13"/>
  <c r="N6"/>
  <c r="P6" s="1"/>
  <c r="N7"/>
  <c r="S5"/>
  <c r="T6"/>
  <c r="T17" s="1"/>
  <c r="O7"/>
  <c r="O8"/>
  <c r="P8" s="1"/>
  <c r="O9"/>
  <c r="P9" s="1"/>
  <c r="P7" l="1"/>
  <c r="P12" s="1"/>
  <c r="N26" i="35" l="1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B14" i="32"/>
  <c r="C12"/>
  <c r="D11"/>
  <c r="D14" s="1"/>
  <c r="G13" s="1"/>
  <c r="C10"/>
  <c r="T9"/>
  <c r="S9"/>
  <c r="R9"/>
  <c r="C9"/>
  <c r="T8"/>
  <c r="S8" s="1"/>
  <c r="R8"/>
  <c r="C8"/>
  <c r="T7"/>
  <c r="S7"/>
  <c r="R7"/>
  <c r="N8" s="1"/>
  <c r="P7"/>
  <c r="N7"/>
  <c r="C7"/>
  <c r="T6"/>
  <c r="R6"/>
  <c r="N6"/>
  <c r="C6"/>
  <c r="S6" s="1"/>
  <c r="R5"/>
  <c r="C5"/>
  <c r="O9" s="1"/>
  <c r="J4"/>
  <c r="K4" s="1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E6"/>
  <c r="D6"/>
  <c r="D13" s="1"/>
  <c r="G12" s="1"/>
  <c r="C5"/>
  <c r="O9" s="1"/>
  <c r="P9" s="1"/>
  <c r="J4"/>
  <c r="K4" s="1"/>
  <c r="D41" i="28"/>
  <c r="C41" s="1"/>
  <c r="S28" s="1"/>
  <c r="C40"/>
  <c r="D39"/>
  <c r="C39" s="1"/>
  <c r="D38"/>
  <c r="C38"/>
  <c r="C37"/>
  <c r="C36"/>
  <c r="C35"/>
  <c r="B34"/>
  <c r="C34" s="1"/>
  <c r="D33"/>
  <c r="C33"/>
  <c r="C32"/>
  <c r="C31"/>
  <c r="C30"/>
  <c r="D29"/>
  <c r="C29" s="1"/>
  <c r="T28"/>
  <c r="R28"/>
  <c r="B28"/>
  <c r="C28" s="1"/>
  <c r="C27"/>
  <c r="B26"/>
  <c r="C26" s="1"/>
  <c r="T25"/>
  <c r="R25"/>
  <c r="O25"/>
  <c r="P25" s="1"/>
  <c r="T27" s="1"/>
  <c r="N25"/>
  <c r="R27" s="1"/>
  <c r="C25"/>
  <c r="T24"/>
  <c r="S24"/>
  <c r="R24"/>
  <c r="N24"/>
  <c r="C24"/>
  <c r="T23"/>
  <c r="R23"/>
  <c r="N23"/>
  <c r="C23"/>
  <c r="T22"/>
  <c r="S22" s="1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O8"/>
  <c r="N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3" i="27"/>
  <c r="B13"/>
  <c r="G12"/>
  <c r="N9"/>
  <c r="N8"/>
  <c r="N7"/>
  <c r="N6"/>
  <c r="E6"/>
  <c r="D6"/>
  <c r="C5"/>
  <c r="O8" s="1"/>
  <c r="P8" s="1"/>
  <c r="J4"/>
  <c r="K4" s="1"/>
  <c r="B21" i="26"/>
  <c r="C19"/>
  <c r="E18"/>
  <c r="C18"/>
  <c r="C17"/>
  <c r="C16"/>
  <c r="C15"/>
  <c r="P14"/>
  <c r="N14"/>
  <c r="C14"/>
  <c r="C13"/>
  <c r="C12"/>
  <c r="T11"/>
  <c r="R11"/>
  <c r="C11"/>
  <c r="T10"/>
  <c r="S10" s="1"/>
  <c r="R10"/>
  <c r="C10"/>
  <c r="R9"/>
  <c r="N9" s="1"/>
  <c r="D9"/>
  <c r="D21" s="1"/>
  <c r="G20" s="1"/>
  <c r="T8"/>
  <c r="R8"/>
  <c r="N17" s="1"/>
  <c r="C8"/>
  <c r="T7"/>
  <c r="R7"/>
  <c r="N7"/>
  <c r="E7"/>
  <c r="U6"/>
  <c r="T6"/>
  <c r="S6" s="1"/>
  <c r="O15" s="1"/>
  <c r="R6"/>
  <c r="P6"/>
  <c r="O6"/>
  <c r="N6"/>
  <c r="C6"/>
  <c r="O17" s="1"/>
  <c r="P17" s="1"/>
  <c r="T5"/>
  <c r="S5"/>
  <c r="R5"/>
  <c r="R24" s="1"/>
  <c r="C5"/>
  <c r="O9" s="1"/>
  <c r="P9" s="1"/>
  <c r="J4"/>
  <c r="K4" s="1"/>
  <c r="B10" i="25"/>
  <c r="N9" s="1"/>
  <c r="N7"/>
  <c r="E7"/>
  <c r="D7"/>
  <c r="E6"/>
  <c r="D6"/>
  <c r="D10" s="1"/>
  <c r="G9" s="1"/>
  <c r="C5"/>
  <c r="O9" s="1"/>
  <c r="P9" s="1"/>
  <c r="J4"/>
  <c r="K4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E37" i="23"/>
  <c r="C37"/>
  <c r="E36"/>
  <c r="C36"/>
  <c r="B35"/>
  <c r="C35" s="1"/>
  <c r="C34"/>
  <c r="C33"/>
  <c r="B32"/>
  <c r="C32" s="1"/>
  <c r="C31"/>
  <c r="C30"/>
  <c r="C29"/>
  <c r="C28"/>
  <c r="T27"/>
  <c r="S27"/>
  <c r="R27"/>
  <c r="C27"/>
  <c r="T26"/>
  <c r="S26"/>
  <c r="R26"/>
  <c r="D26"/>
  <c r="B26"/>
  <c r="T25"/>
  <c r="R25"/>
  <c r="D25"/>
  <c r="B25"/>
  <c r="T24"/>
  <c r="R24"/>
  <c r="C24"/>
  <c r="T23"/>
  <c r="R23"/>
  <c r="C23"/>
  <c r="T22"/>
  <c r="R22"/>
  <c r="C22"/>
  <c r="T21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R13"/>
  <c r="S13" s="1"/>
  <c r="C13"/>
  <c r="R12"/>
  <c r="S12" s="1"/>
  <c r="O12"/>
  <c r="P12" s="1"/>
  <c r="N12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N6"/>
  <c r="O6" s="1"/>
  <c r="P6" s="1"/>
  <c r="D6"/>
  <c r="R5"/>
  <c r="D5"/>
  <c r="D39" s="1"/>
  <c r="D20" i="22"/>
  <c r="D19"/>
  <c r="D18"/>
  <c r="D17"/>
  <c r="D16"/>
  <c r="D15"/>
  <c r="D14"/>
  <c r="D13"/>
  <c r="D12"/>
  <c r="D11"/>
  <c r="D10"/>
  <c r="D9"/>
  <c r="D8"/>
  <c r="B7"/>
  <c r="B22" s="1"/>
  <c r="J4" s="1"/>
  <c r="E6"/>
  <c r="D6"/>
  <c r="D5"/>
  <c r="D22" s="1"/>
  <c r="B15" i="21"/>
  <c r="C13"/>
  <c r="C12"/>
  <c r="C11"/>
  <c r="C10"/>
  <c r="C9"/>
  <c r="T8"/>
  <c r="R8"/>
  <c r="U8" s="1"/>
  <c r="C8"/>
  <c r="T7"/>
  <c r="S7" s="1"/>
  <c r="R7"/>
  <c r="C7"/>
  <c r="O9" s="1"/>
  <c r="R6"/>
  <c r="E6"/>
  <c r="D6"/>
  <c r="D15" s="1"/>
  <c r="G14" s="1"/>
  <c r="T5"/>
  <c r="S5"/>
  <c r="R5"/>
  <c r="R21" s="1"/>
  <c r="C5"/>
  <c r="J4"/>
  <c r="K4" s="1"/>
  <c r="B11" i="20"/>
  <c r="R9"/>
  <c r="D9"/>
  <c r="T9" s="1"/>
  <c r="T8"/>
  <c r="R8"/>
  <c r="P8"/>
  <c r="O8" s="1"/>
  <c r="N8"/>
  <c r="N9" s="1"/>
  <c r="C8"/>
  <c r="R7"/>
  <c r="P7"/>
  <c r="O7"/>
  <c r="N7"/>
  <c r="D7"/>
  <c r="T7" s="1"/>
  <c r="C7"/>
  <c r="R6"/>
  <c r="P6"/>
  <c r="N6"/>
  <c r="E6"/>
  <c r="D6"/>
  <c r="D11" s="1"/>
  <c r="G10" s="1"/>
  <c r="T5"/>
  <c r="S5" s="1"/>
  <c r="R5"/>
  <c r="R22" s="1"/>
  <c r="C5"/>
  <c r="O9" s="1"/>
  <c r="P9" s="1"/>
  <c r="J4"/>
  <c r="K4" s="1"/>
  <c r="B10" i="19"/>
  <c r="N9" s="1"/>
  <c r="N8"/>
  <c r="N7"/>
  <c r="N6"/>
  <c r="E6"/>
  <c r="D6"/>
  <c r="D10" s="1"/>
  <c r="G9" s="1"/>
  <c r="C5"/>
  <c r="O9" s="1"/>
  <c r="P9" s="1"/>
  <c r="J4"/>
  <c r="K4" s="1"/>
  <c r="B10" i="18"/>
  <c r="T7"/>
  <c r="R7"/>
  <c r="C7"/>
  <c r="R6"/>
  <c r="P6"/>
  <c r="N6"/>
  <c r="N9" s="1"/>
  <c r="E6"/>
  <c r="D6"/>
  <c r="D10" s="1"/>
  <c r="T5"/>
  <c r="S5" s="1"/>
  <c r="R5"/>
  <c r="R22" s="1"/>
  <c r="C5"/>
  <c r="O7" s="1"/>
  <c r="J4"/>
  <c r="B13" i="17"/>
  <c r="O9"/>
  <c r="P9" s="1"/>
  <c r="N9"/>
  <c r="O8"/>
  <c r="P8" s="1"/>
  <c r="N8"/>
  <c r="O7"/>
  <c r="P7" s="1"/>
  <c r="N7"/>
  <c r="D7"/>
  <c r="C7" s="1"/>
  <c r="P6"/>
  <c r="O6" s="1"/>
  <c r="N6"/>
  <c r="E6"/>
  <c r="D6"/>
  <c r="D13" s="1"/>
  <c r="G12" s="1"/>
  <c r="J4"/>
  <c r="D11" i="16"/>
  <c r="C11"/>
  <c r="C10"/>
  <c r="T9"/>
  <c r="R9"/>
  <c r="B9"/>
  <c r="D9" s="1"/>
  <c r="D8" s="1"/>
  <c r="B8"/>
  <c r="B14" s="1"/>
  <c r="T7"/>
  <c r="S7"/>
  <c r="R7"/>
  <c r="C7"/>
  <c r="T6"/>
  <c r="S6" s="1"/>
  <c r="O7" s="1"/>
  <c r="R6"/>
  <c r="P6"/>
  <c r="O6"/>
  <c r="N6"/>
  <c r="E6"/>
  <c r="D6"/>
  <c r="D14" s="1"/>
  <c r="T5"/>
  <c r="R5"/>
  <c r="C5"/>
  <c r="O9" s="1"/>
  <c r="O3"/>
  <c r="N3"/>
  <c r="P3" s="1"/>
  <c r="B13" i="15"/>
  <c r="N9" s="1"/>
  <c r="O9"/>
  <c r="P9" s="1"/>
  <c r="N8"/>
  <c r="O7"/>
  <c r="N6"/>
  <c r="E6"/>
  <c r="D6"/>
  <c r="D13" s="1"/>
  <c r="G12" s="1"/>
  <c r="C5"/>
  <c r="O8" s="1"/>
  <c r="P8" s="1"/>
  <c r="N17" i="14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C5"/>
  <c r="O9" s="1"/>
  <c r="J4"/>
  <c r="K4" s="1"/>
  <c r="P22" i="12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P23" s="1"/>
  <c r="R8"/>
  <c r="P8"/>
  <c r="O8"/>
  <c r="N8"/>
  <c r="C8"/>
  <c r="T7"/>
  <c r="V7" s="1"/>
  <c r="R7"/>
  <c r="P7"/>
  <c r="O7" s="1"/>
  <c r="N7"/>
  <c r="C7"/>
  <c r="T6"/>
  <c r="S6" s="1"/>
  <c r="O9" s="1"/>
  <c r="R6"/>
  <c r="O6"/>
  <c r="P6" s="1"/>
  <c r="N6"/>
  <c r="E6"/>
  <c r="D6"/>
  <c r="D19" s="1"/>
  <c r="G18" s="1"/>
  <c r="T5"/>
  <c r="T19" s="1"/>
  <c r="R5"/>
  <c r="R19" s="1"/>
  <c r="C5"/>
  <c r="J4"/>
  <c r="N3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0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R14" s="1"/>
  <c r="C5"/>
  <c r="O9" s="1"/>
  <c r="J4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C11"/>
  <c r="C10"/>
  <c r="T9"/>
  <c r="R9"/>
  <c r="N9"/>
  <c r="C9"/>
  <c r="T8"/>
  <c r="R8"/>
  <c r="C8"/>
  <c r="T7"/>
  <c r="S7" s="1"/>
  <c r="O7" s="1"/>
  <c r="R7"/>
  <c r="P7"/>
  <c r="N7"/>
  <c r="N8" s="1"/>
  <c r="C7"/>
  <c r="O9" s="1"/>
  <c r="P9" s="1"/>
  <c r="R6"/>
  <c r="U6" s="1"/>
  <c r="P6"/>
  <c r="N6"/>
  <c r="E6"/>
  <c r="D6"/>
  <c r="D13" s="1"/>
  <c r="G12" s="1"/>
  <c r="T5"/>
  <c r="S5"/>
  <c r="R5"/>
  <c r="R13" s="1"/>
  <c r="C5"/>
  <c r="J4"/>
  <c r="C6" i="7"/>
  <c r="E6" s="1"/>
  <c r="C5"/>
  <c r="E5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P11" s="1"/>
  <c r="P17" s="1"/>
  <c r="N11"/>
  <c r="B9"/>
  <c r="D7"/>
  <c r="N6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B35"/>
  <c r="C35" s="1"/>
  <c r="M34"/>
  <c r="C34"/>
  <c r="N33"/>
  <c r="O33" s="1"/>
  <c r="M33"/>
  <c r="D33"/>
  <c r="B33"/>
  <c r="C33" s="1"/>
  <c r="N19" s="1"/>
  <c r="O19" s="1"/>
  <c r="C32"/>
  <c r="N49" s="1"/>
  <c r="O49" s="1"/>
  <c r="B30"/>
  <c r="D29"/>
  <c r="M28"/>
  <c r="D28"/>
  <c r="M27"/>
  <c r="D27"/>
  <c r="M26"/>
  <c r="D26"/>
  <c r="C26"/>
  <c r="N25"/>
  <c r="O25" s="1"/>
  <c r="M25"/>
  <c r="C25"/>
  <c r="N68" s="1"/>
  <c r="O68" s="1"/>
  <c r="T24"/>
  <c r="S24"/>
  <c r="N75" s="1"/>
  <c r="R24"/>
  <c r="M76" s="1"/>
  <c r="C24"/>
  <c r="T23"/>
  <c r="R23"/>
  <c r="C23"/>
  <c r="C22"/>
  <c r="N43" s="1"/>
  <c r="O43" s="1"/>
  <c r="R21"/>
  <c r="C21"/>
  <c r="M20"/>
  <c r="C20"/>
  <c r="N34" s="1"/>
  <c r="O34" s="1"/>
  <c r="T19"/>
  <c r="R19"/>
  <c r="S19" s="1"/>
  <c r="M19"/>
  <c r="C19"/>
  <c r="N28" s="1"/>
  <c r="O28" s="1"/>
  <c r="T18"/>
  <c r="R18"/>
  <c r="S18" s="1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5"/>
  <c r="R15"/>
  <c r="S15" s="1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O9" s="1"/>
  <c r="O14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D38" s="1"/>
  <c r="T21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R21"/>
  <c r="N21"/>
  <c r="D21"/>
  <c r="T20"/>
  <c r="S20"/>
  <c r="O29" s="1"/>
  <c r="R20"/>
  <c r="N29" s="1"/>
  <c r="N20"/>
  <c r="C20"/>
  <c r="T19"/>
  <c r="S19"/>
  <c r="O21" s="1"/>
  <c r="P21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O6" l="1"/>
  <c r="P6" s="1"/>
  <c r="O37"/>
  <c r="P37" s="1"/>
  <c r="O36"/>
  <c r="O35"/>
  <c r="O34"/>
  <c r="N52" i="2"/>
  <c r="O52" s="1"/>
  <c r="N50"/>
  <c r="N51"/>
  <c r="O51" s="1"/>
  <c r="N4"/>
  <c r="O17"/>
  <c r="O22" s="1"/>
  <c r="T10" i="1"/>
  <c r="S10" s="1"/>
  <c r="P29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P18" i="1"/>
  <c r="O20"/>
  <c r="P20" s="1"/>
  <c r="N26"/>
  <c r="N27"/>
  <c r="N28"/>
  <c r="B39"/>
  <c r="N26" i="2"/>
  <c r="O26" s="1"/>
  <c r="O30" s="1"/>
  <c r="N27"/>
  <c r="O27" s="1"/>
  <c r="D30"/>
  <c r="T21" s="1"/>
  <c r="S21" s="1"/>
  <c r="B31"/>
  <c r="N35"/>
  <c r="O35" s="1"/>
  <c r="O38" s="1"/>
  <c r="N36"/>
  <c r="O36" s="1"/>
  <c r="N42"/>
  <c r="O42" s="1"/>
  <c r="O46" s="1"/>
  <c r="N44"/>
  <c r="O44" s="1"/>
  <c r="M50"/>
  <c r="N67"/>
  <c r="O67" s="1"/>
  <c r="M73"/>
  <c r="N74"/>
  <c r="M75"/>
  <c r="O75" s="1"/>
  <c r="N76"/>
  <c r="O76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I38" i="5"/>
  <c r="K38" s="1"/>
  <c r="H38"/>
  <c r="H37"/>
  <c r="I37" s="1"/>
  <c r="K37" s="1"/>
  <c r="K4" i="10"/>
  <c r="G13"/>
  <c r="T5" i="1"/>
  <c r="O19"/>
  <c r="P19" s="1"/>
  <c r="O26"/>
  <c r="P26" s="1"/>
  <c r="O27"/>
  <c r="P27" s="1"/>
  <c r="O28"/>
  <c r="P28" s="1"/>
  <c r="N34"/>
  <c r="N35"/>
  <c r="N36"/>
  <c r="T5" i="2"/>
  <c r="N66"/>
  <c r="O66" s="1"/>
  <c r="O70" s="1"/>
  <c r="N73"/>
  <c r="O73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K4" i="4"/>
  <c r="P35"/>
  <c r="J14" i="5"/>
  <c r="I35"/>
  <c r="K35" s="1"/>
  <c r="I36"/>
  <c r="K36" s="1"/>
  <c r="E9" i="7"/>
  <c r="K4" i="8"/>
  <c r="C8" i="16"/>
  <c r="T8"/>
  <c r="N3" i="17"/>
  <c r="O3"/>
  <c r="R9" i="24"/>
  <c r="D16"/>
  <c r="T9" s="1"/>
  <c r="Q9" i="29"/>
  <c r="Q8"/>
  <c r="Q7"/>
  <c r="O6" i="4"/>
  <c r="P6" s="1"/>
  <c r="L39" i="5"/>
  <c r="D77"/>
  <c r="T6" i="8"/>
  <c r="T13" s="1"/>
  <c r="O6" i="9"/>
  <c r="P6" s="1"/>
  <c r="N6" i="10"/>
  <c r="P6" s="1"/>
  <c r="O7"/>
  <c r="N8"/>
  <c r="N9"/>
  <c r="P9" s="1"/>
  <c r="K4" i="12"/>
  <c r="U5"/>
  <c r="P9"/>
  <c r="P11" s="1"/>
  <c r="N9"/>
  <c r="O3"/>
  <c r="P3" s="1"/>
  <c r="P9" i="13"/>
  <c r="G13" i="16"/>
  <c r="K4" i="17"/>
  <c r="R17" i="24"/>
  <c r="P17" i="28"/>
  <c r="K4" i="31"/>
  <c r="N9" i="16"/>
  <c r="N8"/>
  <c r="J4"/>
  <c r="K4" s="1"/>
  <c r="N7"/>
  <c r="P7" s="1"/>
  <c r="P12" s="1"/>
  <c r="G9" i="18"/>
  <c r="K4"/>
  <c r="R43" i="28"/>
  <c r="T5"/>
  <c r="O26"/>
  <c r="P26" s="1"/>
  <c r="O24"/>
  <c r="P24" s="1"/>
  <c r="O3"/>
  <c r="P23"/>
  <c r="G8" i="4"/>
  <c r="O6" i="8"/>
  <c r="O8"/>
  <c r="P8" s="1"/>
  <c r="P11" s="1"/>
  <c r="T6" i="9"/>
  <c r="T17" s="1"/>
  <c r="O7"/>
  <c r="P7" s="1"/>
  <c r="O8"/>
  <c r="P8" s="1"/>
  <c r="U5" i="10"/>
  <c r="N7"/>
  <c r="O8"/>
  <c r="P8" s="1"/>
  <c r="P9" i="16"/>
  <c r="T13"/>
  <c r="P11" i="20"/>
  <c r="P21" i="12"/>
  <c r="P25" s="1"/>
  <c r="O7" i="13"/>
  <c r="O8"/>
  <c r="R15"/>
  <c r="O14" i="14"/>
  <c r="O15"/>
  <c r="P15" s="1"/>
  <c r="D17"/>
  <c r="K4" s="1"/>
  <c r="N22"/>
  <c r="N24"/>
  <c r="U5" i="16"/>
  <c r="O8"/>
  <c r="P8" s="1"/>
  <c r="R8"/>
  <c r="R13" s="1"/>
  <c r="P11" i="17"/>
  <c r="O6" i="18"/>
  <c r="T6"/>
  <c r="S6" s="1"/>
  <c r="N7"/>
  <c r="P7" s="1"/>
  <c r="O8"/>
  <c r="O9"/>
  <c r="P9" s="1"/>
  <c r="T22"/>
  <c r="O7" i="19"/>
  <c r="P7" s="1"/>
  <c r="O6" i="20"/>
  <c r="T6"/>
  <c r="S6" s="1"/>
  <c r="C9"/>
  <c r="T22"/>
  <c r="O6" i="21"/>
  <c r="T6"/>
  <c r="S6" s="1"/>
  <c r="N7"/>
  <c r="O8"/>
  <c r="N9"/>
  <c r="P9" s="1"/>
  <c r="C7" i="22"/>
  <c r="R9" i="23"/>
  <c r="S9" s="1"/>
  <c r="B39"/>
  <c r="O8" i="24"/>
  <c r="O14"/>
  <c r="N15"/>
  <c r="P15" s="1"/>
  <c r="O16"/>
  <c r="O17"/>
  <c r="P17" s="1"/>
  <c r="B18"/>
  <c r="J4" s="1"/>
  <c r="N6" i="25"/>
  <c r="O7"/>
  <c r="P7" s="1"/>
  <c r="N8"/>
  <c r="N8" i="26"/>
  <c r="C9"/>
  <c r="T9"/>
  <c r="V9" s="1"/>
  <c r="O14"/>
  <c r="O3" s="1"/>
  <c r="O16"/>
  <c r="O7" i="27"/>
  <c r="P7" s="1"/>
  <c r="O9"/>
  <c r="P9" s="1"/>
  <c r="D5" i="28"/>
  <c r="D43" s="1"/>
  <c r="N9"/>
  <c r="P9" s="1"/>
  <c r="P11" s="1"/>
  <c r="T26"/>
  <c r="N39"/>
  <c r="B43"/>
  <c r="J4" s="1"/>
  <c r="K4" s="1"/>
  <c r="O6" i="29"/>
  <c r="P6" s="1"/>
  <c r="O7"/>
  <c r="P7" s="1"/>
  <c r="O8"/>
  <c r="P8" s="1"/>
  <c r="O7" i="30"/>
  <c r="P7" s="1"/>
  <c r="T5" i="31"/>
  <c r="O6"/>
  <c r="O9"/>
  <c r="P9" s="1"/>
  <c r="S5" i="32"/>
  <c r="T5" s="1"/>
  <c r="T33" s="1"/>
  <c r="W33" s="1"/>
  <c r="O6"/>
  <c r="O8"/>
  <c r="P8" s="1"/>
  <c r="N9"/>
  <c r="P9" s="1"/>
  <c r="R33"/>
  <c r="O6" i="34"/>
  <c r="P6" s="1"/>
  <c r="O8"/>
  <c r="P8" s="1"/>
  <c r="O9"/>
  <c r="P9" s="1"/>
  <c r="O6" i="11"/>
  <c r="P6" s="1"/>
  <c r="P12" s="1"/>
  <c r="N6" i="13"/>
  <c r="P6" s="1"/>
  <c r="N7"/>
  <c r="N8"/>
  <c r="T5" i="14"/>
  <c r="O7"/>
  <c r="P7" s="1"/>
  <c r="P11" s="1"/>
  <c r="O8"/>
  <c r="P8" s="1"/>
  <c r="T9"/>
  <c r="N14"/>
  <c r="O16"/>
  <c r="P16" s="1"/>
  <c r="N23"/>
  <c r="N25"/>
  <c r="J4" i="15"/>
  <c r="K4" s="1"/>
  <c r="O6"/>
  <c r="P6" s="1"/>
  <c r="N7"/>
  <c r="P7" s="1"/>
  <c r="N8" i="18"/>
  <c r="O6" i="19"/>
  <c r="P6" s="1"/>
  <c r="P11" s="1"/>
  <c r="O8"/>
  <c r="P8" s="1"/>
  <c r="N6" i="21"/>
  <c r="O7"/>
  <c r="P7" s="1"/>
  <c r="N8"/>
  <c r="T5" i="23"/>
  <c r="T39" s="1"/>
  <c r="S5" i="24"/>
  <c r="T6"/>
  <c r="T17" s="1"/>
  <c r="N14"/>
  <c r="D15"/>
  <c r="T10" s="1"/>
  <c r="N16"/>
  <c r="O6" i="25"/>
  <c r="P6" s="1"/>
  <c r="O8"/>
  <c r="P8" s="1"/>
  <c r="O7" i="26"/>
  <c r="P7" s="1"/>
  <c r="P11" s="1"/>
  <c r="O8"/>
  <c r="P8" s="1"/>
  <c r="V8"/>
  <c r="N15"/>
  <c r="P15" s="1"/>
  <c r="N16"/>
  <c r="O6" i="27"/>
  <c r="P6" s="1"/>
  <c r="P11" s="1"/>
  <c r="P16" i="28"/>
  <c r="P19" s="1"/>
  <c r="O6" i="30"/>
  <c r="P6" s="1"/>
  <c r="P11" s="1"/>
  <c r="O8"/>
  <c r="P8" s="1"/>
  <c r="O7" i="31"/>
  <c r="P7" s="1"/>
  <c r="P11" s="1"/>
  <c r="O7" i="32"/>
  <c r="C11"/>
  <c r="O6" i="33"/>
  <c r="P6" s="1"/>
  <c r="O8"/>
  <c r="P8" s="1"/>
  <c r="T37" i="14" l="1"/>
  <c r="S5"/>
  <c r="O3" i="31"/>
  <c r="P3" s="1"/>
  <c r="N3"/>
  <c r="O9" i="23"/>
  <c r="P9" s="1"/>
  <c r="J4"/>
  <c r="O3" i="18"/>
  <c r="P3" s="1"/>
  <c r="N3"/>
  <c r="M39" i="5"/>
  <c r="M47" s="1"/>
  <c r="L40"/>
  <c r="M40" s="1"/>
  <c r="N8" i="24"/>
  <c r="N6"/>
  <c r="P6" s="1"/>
  <c r="N9"/>
  <c r="P9" s="1"/>
  <c r="N7"/>
  <c r="P7" s="1"/>
  <c r="H42" i="5"/>
  <c r="I42" s="1"/>
  <c r="K42" s="1"/>
  <c r="H39"/>
  <c r="D31" i="2"/>
  <c r="T22" s="1"/>
  <c r="T37" s="1"/>
  <c r="T20"/>
  <c r="S20" s="1"/>
  <c r="R20"/>
  <c r="M57"/>
  <c r="O57" s="1"/>
  <c r="R22"/>
  <c r="D39" i="1"/>
  <c r="D43" s="1"/>
  <c r="T18"/>
  <c r="S18" s="1"/>
  <c r="R18"/>
  <c r="N10"/>
  <c r="P10" s="1"/>
  <c r="R22"/>
  <c r="G43" i="28"/>
  <c r="P16" i="26"/>
  <c r="P19" s="1"/>
  <c r="P16" i="24"/>
  <c r="P14"/>
  <c r="P20" s="1"/>
  <c r="P8" i="21"/>
  <c r="P7" i="13"/>
  <c r="P12" s="1"/>
  <c r="T24" i="26"/>
  <c r="N3"/>
  <c r="D18" i="24"/>
  <c r="G17" s="1"/>
  <c r="G39" i="23"/>
  <c r="P31" i="1"/>
  <c r="O74" i="2"/>
  <c r="O78" s="1"/>
  <c r="D38"/>
  <c r="P35" i="1"/>
  <c r="P6" i="32"/>
  <c r="P13" s="1"/>
  <c r="N3"/>
  <c r="O3"/>
  <c r="S5" i="31"/>
  <c r="T18"/>
  <c r="O3" i="20"/>
  <c r="P3" s="1"/>
  <c r="N3"/>
  <c r="N3" i="8"/>
  <c r="O3"/>
  <c r="O4" i="2"/>
  <c r="M4"/>
  <c r="P11" i="33"/>
  <c r="P11" i="25"/>
  <c r="P11" i="15"/>
  <c r="P11" i="34"/>
  <c r="P11" i="29"/>
  <c r="N3" i="28"/>
  <c r="P3" s="1"/>
  <c r="P3" i="26"/>
  <c r="P8" i="24"/>
  <c r="P6" i="21"/>
  <c r="P11" s="1"/>
  <c r="P8" i="18"/>
  <c r="P11" s="1"/>
  <c r="P14" i="14"/>
  <c r="P19" s="1"/>
  <c r="P8" i="13"/>
  <c r="R39" i="23"/>
  <c r="T21" i="21"/>
  <c r="P28" i="28"/>
  <c r="T43"/>
  <c r="W43" s="1"/>
  <c r="P7" i="10"/>
  <c r="P11" s="1"/>
  <c r="P12" i="9"/>
  <c r="P3" i="17"/>
  <c r="S8" i="16"/>
  <c r="K14" i="5"/>
  <c r="P23" i="1"/>
  <c r="B38" i="2"/>
  <c r="B43" i="1"/>
  <c r="O50" i="2"/>
  <c r="O54" s="1"/>
  <c r="P34" i="1"/>
  <c r="P39" s="1"/>
  <c r="P36"/>
  <c r="N3"/>
  <c r="P3" s="1"/>
  <c r="J12" l="1"/>
  <c r="J13" s="1"/>
  <c r="J4"/>
  <c r="K4" s="1"/>
  <c r="O12"/>
  <c r="P12" s="1"/>
  <c r="O11"/>
  <c r="O13"/>
  <c r="P13" s="1"/>
  <c r="G42"/>
  <c r="G7"/>
  <c r="N59" i="2"/>
  <c r="O59" s="1"/>
  <c r="N60"/>
  <c r="O60" s="1"/>
  <c r="N58"/>
  <c r="K4" i="24"/>
  <c r="J7" i="2"/>
  <c r="J8" s="1"/>
  <c r="J4"/>
  <c r="K4" s="1"/>
  <c r="N11" i="1"/>
  <c r="R32"/>
  <c r="M58" i="2"/>
  <c r="R37"/>
  <c r="H40" i="5"/>
  <c r="I40" s="1"/>
  <c r="K40" s="1"/>
  <c r="I39"/>
  <c r="K39" s="1"/>
  <c r="J13" s="1"/>
  <c r="O24" i="14"/>
  <c r="P24" s="1"/>
  <c r="O22"/>
  <c r="P22" s="1"/>
  <c r="O25"/>
  <c r="P25" s="1"/>
  <c r="O23"/>
  <c r="P23" s="1"/>
  <c r="P3" i="8"/>
  <c r="P3" i="32"/>
  <c r="G37" i="2"/>
  <c r="T22" i="1"/>
  <c r="T32" s="1"/>
  <c r="P11" i="24"/>
  <c r="J15" i="5" l="1"/>
  <c r="J16" s="1"/>
  <c r="O47"/>
  <c r="P47" s="1"/>
  <c r="P27" i="14"/>
  <c r="O58" i="2"/>
  <c r="O62" s="1"/>
  <c r="P11" i="1"/>
  <c r="P15" s="1"/>
</calcChain>
</file>

<file path=xl/sharedStrings.xml><?xml version="1.0" encoding="utf-8"?>
<sst xmlns="http://schemas.openxmlformats.org/spreadsheetml/2006/main" count="784" uniqueCount="98">
  <si>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</si>
  <si>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</si>
  <si>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</si>
  <si>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</si>
  <si>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</si>
  <si>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</si>
  <si>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</si>
  <si>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</si>
  <si>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</si>
  <si>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</si>
  <si>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</si>
  <si>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</si>
  <si>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</si>
  <si>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</si>
  <si>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</si>
  <si>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</si>
  <si>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</si>
  <si>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</si>
  <si>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</si>
  <si>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</si>
  <si>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</si>
  <si>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</si>
  <si>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</si>
  <si>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>0.0203796 eth 0.05319 ratio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</si>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</sst>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171" fontId="0" fillId="0" borderId="0" xfId="0" applyNumberFormat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4003968"/>
        <c:axId val="74005888"/>
      </c:lineChart>
      <c:dateAx>
        <c:axId val="74003968"/>
        <c:scaling>
          <c:orientation val="minMax"/>
        </c:scaling>
        <c:axPos val="b"/>
        <c:numFmt formatCode="dd/mm/yy;@" sourceLinked="1"/>
        <c:majorTickMark val="none"/>
        <c:tickLblPos val="nextTo"/>
        <c:crossAx val="74005888"/>
        <c:crosses val="autoZero"/>
        <c:lblOffset val="100"/>
      </c:dateAx>
      <c:valAx>
        <c:axId val="7400588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003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opLeftCell="A10" workbookViewId="0">
      <selection activeCell="B35" sqref="B35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2215.3550534180031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(B43*J3)</f>
        <v>1243.4200845746095</v>
      </c>
      <c r="K4" s="4">
        <f>(J4/D43-1)</f>
        <v>-0.18035489133994076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(D43/B43)</f>
        <v>2702.8222702867401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6.45409E-3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4.0090799999999996E-2</v>
      </c>
      <c r="O11" s="39">
        <f>($S$18*Params!K16)</f>
        <v>3347.8827066687195</v>
      </c>
      <c r="P11" s="23">
        <f>(O11*N11)</f>
        <v>134.21929601651428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6.45409E-3</v>
      </c>
      <c r="C12" s="40">
        <v>0</v>
      </c>
      <c r="D12" s="26">
        <f t="shared" si="0"/>
        <v>0</v>
      </c>
      <c r="E12" s="38">
        <f>(B12*J3)</f>
        <v>14.298100896714599</v>
      </c>
      <c r="I12" t="s">
        <v>13</v>
      </c>
      <c r="J12">
        <f>(J11-B43)</f>
        <v>3.8726499999999997E-2</v>
      </c>
      <c r="N12">
        <f>($B$35/5)</f>
        <v>2.23679E-2</v>
      </c>
      <c r="O12" s="39">
        <f>($S$18*Params!K17)</f>
        <v>6695.765413337439</v>
      </c>
      <c r="P12" s="23">
        <f>(O12*N12)</f>
        <v>149.77021118899049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85.792947476192296</v>
      </c>
      <c r="N13">
        <f>($B$35/5)</f>
        <v>2.23679E-2</v>
      </c>
      <c r="O13" s="39">
        <f>($S$18*Params!K18)</f>
        <v>13391.530826674878</v>
      </c>
      <c r="P13" s="23">
        <f>(O13*N13)</f>
        <v>299.54042237798097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590.98515458348584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0.1071945</v>
      </c>
      <c r="S18" s="39">
        <f>(T18/R18)</f>
        <v>1673.9413533343597</v>
      </c>
      <c r="T18" s="23">
        <f>(D35+1283.68*B39)</f>
        <v>179.43730640000001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8.4491439999999987E-3</v>
      </c>
      <c r="O19" s="39">
        <f>($S$19*Params!K16)</f>
        <v>3426.8899377647613</v>
      </c>
      <c r="P19" s="23">
        <f>(O19*N19)</f>
        <v>28.954286556325503</v>
      </c>
      <c r="R19" s="24">
        <f>(B36+B38)</f>
        <v>2.218036E-2</v>
      </c>
      <c r="S19" s="39">
        <f>(T19/R19)</f>
        <v>1713.4449688823806</v>
      </c>
      <c r="T19" s="23">
        <f>(D36+1269.75*B38)</f>
        <v>38.004826250000001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4.5770719999999997E-3</v>
      </c>
      <c r="O20" s="39">
        <f>($S$19*Params!K17)</f>
        <v>6853.7798755295225</v>
      </c>
      <c r="P20" s="23">
        <f>(O20*N20)</f>
        <v>31.37024396244966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4.5770719999999997E-3</v>
      </c>
      <c r="O21" s="39">
        <f>($S$19*Params!K18)</f>
        <v>13707.559751059045</v>
      </c>
      <c r="P21" s="23">
        <f>(O21*N21)</f>
        <v>62.74048792489932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124.19654344367447</v>
      </c>
      <c r="R23" s="24">
        <f>(B40)</f>
        <v>5.2298379999999998E-2</v>
      </c>
      <c r="S23" s="39">
        <f>(T23/R23)</f>
        <v>1838.4890698335207</v>
      </c>
      <c r="T23" s="23">
        <f>(D40)</f>
        <v>96.15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0.54089390000000004</v>
      </c>
      <c r="T32" s="23">
        <f>(SUM(T5:T31))</f>
        <v>1470.6589255217843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1.0459675999999999E-2</v>
      </c>
      <c r="O34" s="39">
        <f>($S$23*Params!K15)</f>
        <v>2757.7336047502813</v>
      </c>
      <c r="P34" s="23">
        <f>(O34*N34)</f>
        <v>28.845000000000002</v>
      </c>
    </row>
    <row r="35" spans="2:16">
      <c r="B35" s="24">
        <v>0.11183949999999999</v>
      </c>
      <c r="C35" s="39">
        <f>(D35/B35)</f>
        <v>1657.7327330683704</v>
      </c>
      <c r="D35" s="23">
        <v>185.4</v>
      </c>
      <c r="E35" t="s">
        <v>10</v>
      </c>
      <c r="N35">
        <f>($R$23/5)</f>
        <v>1.0459675999999999E-2</v>
      </c>
      <c r="O35" s="39">
        <f>($S$23*Params!K16)</f>
        <v>3676.9781396670414</v>
      </c>
      <c r="P35" s="23">
        <f>(O35*N35)</f>
        <v>38.46</v>
      </c>
    </row>
    <row r="36" spans="2:16">
      <c r="B36" s="24">
        <v>2.288536E-2</v>
      </c>
      <c r="C36" s="39">
        <f>(D36/B36)</f>
        <v>1699.7766257555047</v>
      </c>
      <c r="D36" s="23">
        <v>38.9</v>
      </c>
      <c r="E36" t="s">
        <v>15</v>
      </c>
      <c r="N36">
        <f>($R$23/5)</f>
        <v>1.0459675999999999E-2</v>
      </c>
      <c r="O36" s="39">
        <f>($S$23*Params!K17)</f>
        <v>7353.9562793340829</v>
      </c>
      <c r="P36" s="23">
        <f>(O36*N36)</f>
        <v>76.92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1.0459675999999999E-2</v>
      </c>
      <c r="O37" s="39">
        <f>($S$23*Params!K18)</f>
        <v>14707.912558668166</v>
      </c>
      <c r="P37" s="23">
        <f>(O37*N37)</f>
        <v>153.84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298.06500000000005</v>
      </c>
    </row>
    <row r="40" spans="2:16">
      <c r="B40" s="24">
        <v>5.2298379999999998E-2</v>
      </c>
      <c r="C40" s="39">
        <f>(D40/B40)</f>
        <v>1838.4890698335207</v>
      </c>
      <c r="D40" s="23">
        <v>96.15</v>
      </c>
      <c r="E40" t="s">
        <v>18</v>
      </c>
    </row>
    <row r="41" spans="2:16">
      <c r="B41" s="24">
        <v>2.0379600000000001E-2</v>
      </c>
      <c r="C41" s="39">
        <v>2275</v>
      </c>
      <c r="D41" s="23">
        <f>C41*B41</f>
        <v>46.363590000000002</v>
      </c>
      <c r="E41" t="s">
        <v>19</v>
      </c>
    </row>
    <row r="42" spans="2:16">
      <c r="F42" t="s">
        <v>9</v>
      </c>
      <c r="G42" s="39">
        <f>D43/B43</f>
        <v>2702.8222702867401</v>
      </c>
    </row>
    <row r="43" spans="2:16">
      <c r="B43">
        <f>(SUM(B5:B42))</f>
        <v>0.56127349999999998</v>
      </c>
      <c r="D43" s="23">
        <f>(SUM(D5:D42))</f>
        <v>1517.0225155217845</v>
      </c>
    </row>
  </sheetData>
  <conditionalFormatting sqref="C5:C7 C11 C18:C25 C27 C29 C31 C33 C35:C37 C40:C41 N6 O11:O13 O19:O21 O26:O29 O34:O37 S5:S7 S10:S15 S18:S20 S23">
    <cfRule type="cellIs" dxfId="287" priority="37" operator="lessThan">
      <formula>$J$3</formula>
    </cfRule>
    <cfRule type="cellIs" dxfId="286" priority="38" operator="greaterThan">
      <formula>$J$3</formula>
    </cfRule>
  </conditionalFormatting>
  <conditionalFormatting sqref="G42">
    <cfRule type="cellIs" dxfId="285" priority="21" operator="lessThan">
      <formula>$J$3</formula>
    </cfRule>
    <cfRule type="cellIs" dxfId="284" priority="22" operator="greaterThan">
      <formula>$J$3</formula>
    </cfRule>
  </conditionalFormatting>
  <conditionalFormatting sqref="O3">
    <cfRule type="cellIs" dxfId="283" priority="9" operator="greaterThan">
      <formula>$J$3</formula>
    </cfRule>
    <cfRule type="cellIs" dxfId="28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1.671056019021907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22.154162081802571</v>
      </c>
      <c r="K4" s="4">
        <f>(J4/D14-1)</f>
        <v>-0.42769510142831413</v>
      </c>
      <c r="R4" t="s">
        <v>5</v>
      </c>
      <c r="S4" t="s">
        <v>6</v>
      </c>
      <c r="T4" t="s">
        <v>7</v>
      </c>
    </row>
    <row r="5" spans="2:21">
      <c r="B5" s="29">
        <v>12.61529455</v>
      </c>
      <c r="C5" s="38">
        <f>(D5/B5)</f>
        <v>3.0835585999060164</v>
      </c>
      <c r="D5" s="38">
        <v>38.9</v>
      </c>
      <c r="E5" t="s">
        <v>15</v>
      </c>
      <c r="M5" t="s">
        <v>15</v>
      </c>
      <c r="N5" t="s">
        <v>31</v>
      </c>
      <c r="O5" t="s">
        <v>1</v>
      </c>
      <c r="P5" t="s">
        <v>2</v>
      </c>
      <c r="R5" s="20">
        <f>(B6)</f>
        <v>0.57634563999999999</v>
      </c>
      <c r="S5" s="40">
        <v>0</v>
      </c>
      <c r="T5" s="26">
        <f>(D6)</f>
        <v>0</v>
      </c>
      <c r="U5" s="38">
        <f>(R5*J3)</f>
        <v>0.96310585075903321</v>
      </c>
    </row>
    <row r="6" spans="2:21">
      <c r="B6" s="36">
        <v>0.57634563999999999</v>
      </c>
      <c r="C6" s="40">
        <v>0</v>
      </c>
      <c r="D6" s="26">
        <f>(B6*C6)</f>
        <v>0</v>
      </c>
      <c r="E6" s="38">
        <f>(B6*J3)</f>
        <v>0.96310585075903321</v>
      </c>
      <c r="M6" t="s">
        <v>11</v>
      </c>
      <c r="N6" s="29">
        <f>(SUM(R5:R7)/5)</f>
        <v>2.6515163859999999</v>
      </c>
      <c r="O6" s="38">
        <f>($C$5*Params!K8)</f>
        <v>4.0086261798778215</v>
      </c>
      <c r="P6" s="38">
        <f>(O6*N6)</f>
        <v>10.628938001294626</v>
      </c>
      <c r="R6" s="29">
        <f>(B5)</f>
        <v>12.61529455</v>
      </c>
      <c r="S6" s="38">
        <f>(T6/R6)</f>
        <v>3.0835585999060164</v>
      </c>
      <c r="T6" s="38">
        <f>(D5)</f>
        <v>38.9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2.6515163859999999</v>
      </c>
      <c r="O7" s="38">
        <f>($C$5*Params!K9)</f>
        <v>4.9336937598496267</v>
      </c>
      <c r="P7" s="38">
        <f>(O7*N7)</f>
        <v>13.081769847747234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0.29977393153177756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2.6515163859999999</v>
      </c>
      <c r="O8" s="38">
        <f>($C$5*Params!K10)</f>
        <v>6.7838289197932369</v>
      </c>
      <c r="P8" s="38">
        <f>(O8*N8)</f>
        <v>17.987433540652447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2.6515163859999999</v>
      </c>
      <c r="O9" s="38">
        <f>($C$5*Params!K11)</f>
        <v>15.417792999530082</v>
      </c>
      <c r="P9" s="38">
        <f>(O9*N9)</f>
        <v>40.880530774210101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82.5786721639044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2.919870200643746</v>
      </c>
    </row>
    <row r="14" spans="2:21">
      <c r="B14" s="29">
        <f>(SUM(B5:B13))</f>
        <v>13.257581930000001</v>
      </c>
      <c r="D14" s="38">
        <f>(SUM(D5:D13))</f>
        <v>38.710418410000003</v>
      </c>
      <c r="R14" s="29">
        <f>(SUM(R5:R13))</f>
        <v>13.257581929999999</v>
      </c>
      <c r="T14" s="38">
        <f>(SUM(T5:T13))</f>
        <v>38.710418409999996</v>
      </c>
    </row>
    <row r="22" spans="4:4">
      <c r="D22" s="29"/>
    </row>
  </sheetData>
  <conditionalFormatting sqref="C5 C7:C12">
    <cfRule type="cellIs" dxfId="219" priority="7" operator="lessThan">
      <formula>$J$3</formula>
    </cfRule>
    <cfRule type="cellIs" dxfId="218" priority="8" operator="greaterThan">
      <formula>$J$3</formula>
    </cfRule>
  </conditionalFormatting>
  <conditionalFormatting sqref="O6:O9">
    <cfRule type="cellIs" dxfId="217" priority="5" operator="lessThan">
      <formula>$J$3</formula>
    </cfRule>
    <cfRule type="cellIs" dxfId="216" priority="6" operator="greaterThan">
      <formula>$J$3</formula>
    </cfRule>
  </conditionalFormatting>
  <conditionalFormatting sqref="S6:S7">
    <cfRule type="cellIs" dxfId="215" priority="3" operator="lessThan">
      <formula>$J$3</formula>
    </cfRule>
    <cfRule type="cellIs" dxfId="214" priority="4" operator="greaterThan">
      <formula>$J$3</formula>
    </cfRule>
  </conditionalFormatting>
  <conditionalFormatting sqref="G13">
    <cfRule type="cellIs" dxfId="213" priority="1" operator="lessThan">
      <formula>$J$3</formula>
    </cfRule>
    <cfRule type="cellIs" dxfId="212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O6" sqref="O5: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10.848423505883259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13.27635742375487</v>
      </c>
      <c r="K4" s="4">
        <f>(J4/D14-1)</f>
        <v>0.21467131049907318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31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0.95396772880299574</v>
      </c>
      <c r="M6" t="s">
        <v>11</v>
      </c>
      <c r="N6" s="1">
        <f>(SUM($B$5:$B$7)/5)</f>
        <v>0.24476104600000004</v>
      </c>
      <c r="O6" s="38">
        <f>($C$5*Params!K8)</f>
        <v>12.800900900900901</v>
      </c>
      <c r="P6" s="38">
        <f>(O6*N6)</f>
        <v>3.1331618942468475</v>
      </c>
    </row>
    <row r="7" spans="2:16">
      <c r="B7" s="36">
        <v>2.5869159999999999E-2</v>
      </c>
      <c r="C7" s="40">
        <v>0</v>
      </c>
      <c r="D7" s="26">
        <f>(C7*B7)</f>
        <v>0</v>
      </c>
      <c r="E7" s="38">
        <f>(B7*J4)</f>
        <v>0.3434482144123025</v>
      </c>
      <c r="N7" s="1">
        <f>(SUM($B$5:$B$7)/5)</f>
        <v>0.24476104600000004</v>
      </c>
      <c r="O7" s="38">
        <f>($C$5*Params!K9)</f>
        <v>15.754954954954954</v>
      </c>
      <c r="P7" s="38">
        <f>(O7*N7)</f>
        <v>3.8561992544576582</v>
      </c>
    </row>
    <row r="8" spans="2:16">
      <c r="N8" s="1">
        <f>(SUM($B$5:$B$7)/5)</f>
        <v>0.24476104600000004</v>
      </c>
      <c r="O8" s="38">
        <f>($C$5*Params!K10)</f>
        <v>21.663063063063063</v>
      </c>
      <c r="P8" s="38">
        <f>(O8*N8)</f>
        <v>5.30227397487928</v>
      </c>
    </row>
    <row r="9" spans="2:16">
      <c r="N9" s="1">
        <f>(SUM($B$5:$B$7)/5)</f>
        <v>0.24476104600000004</v>
      </c>
      <c r="O9" s="38">
        <f>($C$5*Params!K11)</f>
        <v>49.234234234234229</v>
      </c>
      <c r="P9" s="38">
        <f>(O9*N9)</f>
        <v>12.05062267018018</v>
      </c>
    </row>
    <row r="12" spans="2:16">
      <c r="P12" s="38">
        <f>(SUM(P6:P9))</f>
        <v>24.342257793763963</v>
      </c>
    </row>
    <row r="13" spans="2:16">
      <c r="F13" t="s">
        <v>9</v>
      </c>
      <c r="G13" s="38">
        <f>(D14/B14)</f>
        <v>8.9311597401818581</v>
      </c>
    </row>
    <row r="14" spans="2:16">
      <c r="B14" s="19">
        <f>(SUM(B5:B13))</f>
        <v>1.2238052300000002</v>
      </c>
      <c r="D14" s="38">
        <f>(SUM(D5:D13))</f>
        <v>10.93</v>
      </c>
    </row>
  </sheetData>
  <conditionalFormatting sqref="C5"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O6:O9">
    <cfRule type="cellIs" dxfId="209" priority="3" operator="lessThan">
      <formula>$J$3</formula>
    </cfRule>
    <cfRule type="cellIs" dxfId="208" priority="4" operator="greaterThan">
      <formula>$J$3</formula>
    </cfRule>
  </conditionalFormatting>
  <conditionalFormatting sqref="G13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39.374428128504213</v>
      </c>
      <c r="M3" t="s">
        <v>4</v>
      </c>
      <c r="N3" s="24">
        <f>(INDEX(N5:N23,MATCH(MAX(O20:O22,O6:O7),O5:O23,0))/0.9)</f>
        <v>0.15333333333333335</v>
      </c>
      <c r="O3" s="39">
        <f>(MAX(O20:O22,O6:O8)*0.85)</f>
        <v>30.745020976430972</v>
      </c>
      <c r="P3" s="3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52.876379820833137</v>
      </c>
      <c r="K4" s="4">
        <f>(J4/D19-1)</f>
        <v>-24.170321048018582</v>
      </c>
      <c r="R4" t="s">
        <v>5</v>
      </c>
      <c r="S4" t="s">
        <v>6</v>
      </c>
      <c r="T4" t="s">
        <v>7</v>
      </c>
    </row>
    <row r="5" spans="2:22">
      <c r="B5" s="24">
        <v>2.5038404600000002</v>
      </c>
      <c r="C5" s="38">
        <f>(D5/B5)</f>
        <v>15.536133640080246</v>
      </c>
      <c r="D5" s="38">
        <v>38.9</v>
      </c>
      <c r="E5" t="s">
        <v>15</v>
      </c>
      <c r="M5" t="s">
        <v>15</v>
      </c>
      <c r="N5" t="s">
        <v>31</v>
      </c>
      <c r="O5" t="s">
        <v>1</v>
      </c>
      <c r="P5" t="s">
        <v>2</v>
      </c>
      <c r="R5" s="25">
        <f>(B6)</f>
        <v>1.5701699999999999E-2</v>
      </c>
      <c r="S5" s="40">
        <v>0</v>
      </c>
      <c r="T5" s="26">
        <f>(D6)</f>
        <v>0</v>
      </c>
      <c r="U5" s="38">
        <f>(R5*J3)</f>
        <v>0.6182454581453346</v>
      </c>
    </row>
    <row r="6" spans="2:22">
      <c r="B6" s="25">
        <v>1.5701699999999999E-2</v>
      </c>
      <c r="C6" s="40">
        <v>0</v>
      </c>
      <c r="D6" s="26">
        <f>(B6*C6)</f>
        <v>0</v>
      </c>
      <c r="E6" s="38">
        <f>(B6*J3)</f>
        <v>0.6182454581453346</v>
      </c>
      <c r="M6" t="s">
        <v>11</v>
      </c>
      <c r="N6" s="24">
        <f>($B$5+$R$7)/5</f>
        <v>0.50722750800000005</v>
      </c>
      <c r="O6" s="38">
        <f>($C$5*Params!K8)</f>
        <v>20.196973732104322</v>
      </c>
      <c r="P6" s="38">
        <f>(O6*N6)</f>
        <v>10.244460655276736</v>
      </c>
      <c r="Q6" t="s">
        <v>12</v>
      </c>
      <c r="R6" s="24">
        <f>B5+B13+B15+B17</f>
        <v>1.0055404600000002</v>
      </c>
      <c r="S6" s="38">
        <f>(T6/R6)</f>
        <v>16.08103665962879</v>
      </c>
      <c r="T6" s="38">
        <f>D5-(-B13-B15)*15.13+B17*15.25</f>
        <v>16.170133</v>
      </c>
      <c r="U6" t="s">
        <v>15</v>
      </c>
    </row>
    <row r="7" spans="2:22">
      <c r="B7" s="24">
        <v>-7.17E-2</v>
      </c>
      <c r="C7" s="38">
        <f t="shared" ref="C7:C17" si="0">(D7/B7)</f>
        <v>15.79</v>
      </c>
      <c r="D7" s="38">
        <v>-1.1321429999999999</v>
      </c>
      <c r="N7" s="24">
        <f>-B15</f>
        <v>0.49669999999999997</v>
      </c>
      <c r="O7" s="38">
        <f>P7/N7</f>
        <v>24.414971270384541</v>
      </c>
      <c r="P7" s="38">
        <f>-D15</f>
        <v>12.126916230000001</v>
      </c>
      <c r="Q7" t="s">
        <v>12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82</v>
      </c>
      <c r="V7" s="39">
        <f>-T7+R7*J3</f>
        <v>1.4753339452205503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-B17</f>
        <v>0.50490000000000002</v>
      </c>
      <c r="O8" s="38">
        <f>P8/N8</f>
        <v>36.170612913448203</v>
      </c>
      <c r="P8" s="38">
        <f>-D17</f>
        <v>18.262542459999999</v>
      </c>
      <c r="Q8" t="s">
        <v>12</v>
      </c>
      <c r="R8" s="24">
        <f>(B10)+B12+B14+B16</f>
        <v>0.28937245</v>
      </c>
      <c r="S8" s="38">
        <f>(T8/R8)</f>
        <v>15.368169983009782</v>
      </c>
      <c r="T8" s="38">
        <f>(D10)-(-B12-B14-B16)*14.31</f>
        <v>4.4471249999999989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4*($B$5+$R$7+R5)/5-N6-N7-N8</f>
        <v>0.5326438840000004</v>
      </c>
      <c r="O9" s="38">
        <f>($S$6*Params!K11)</f>
        <v>80.405183298143953</v>
      </c>
      <c r="P9" s="38">
        <f>(O9*N9)</f>
        <v>42.827329125655361</v>
      </c>
      <c r="R9" s="24">
        <f t="shared" ref="R9:R14" si="1">B12-B12</f>
        <v>0</v>
      </c>
      <c r="S9" s="39">
        <v>0</v>
      </c>
      <c r="T9" s="39">
        <f>D12-B12*14.31</f>
        <v>-0.58156317999999962</v>
      </c>
    </row>
    <row r="10" spans="2:22">
      <c r="B10" s="24">
        <v>0.70187244999999998</v>
      </c>
      <c r="C10" s="38">
        <f t="shared" si="0"/>
        <v>14.746269069258952</v>
      </c>
      <c r="D10" s="38">
        <v>10.35</v>
      </c>
      <c r="E10" t="s">
        <v>83</v>
      </c>
      <c r="R10" s="24">
        <f t="shared" si="1"/>
        <v>0</v>
      </c>
      <c r="S10" s="39">
        <v>0</v>
      </c>
      <c r="T10" s="39">
        <f>D13-B13*15.13</f>
        <v>-3.3300066700000004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83.461248470932105</v>
      </c>
      <c r="R11" s="24">
        <f t="shared" si="1"/>
        <v>0</v>
      </c>
      <c r="S11" s="39">
        <v>0</v>
      </c>
      <c r="T11" s="39">
        <f>D14-B14*14.31</f>
        <v>-1.1646581099999997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  <c r="R12" s="24">
        <f t="shared" si="1"/>
        <v>0</v>
      </c>
      <c r="S12" s="39">
        <v>0</v>
      </c>
      <c r="T12" s="39">
        <f>D15-B15*15.13</f>
        <v>-4.611845230000001</v>
      </c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  <c r="R13" s="24">
        <f t="shared" si="1"/>
        <v>0</v>
      </c>
      <c r="S13" s="39">
        <v>0</v>
      </c>
      <c r="T13" s="39">
        <f>D16-B16*14.31</f>
        <v>-2.4447861399999997</v>
      </c>
    </row>
    <row r="14" spans="2:22">
      <c r="B14" s="24">
        <v>-0.13700000000000001</v>
      </c>
      <c r="C14" s="38">
        <f t="shared" si="0"/>
        <v>22.811154087591238</v>
      </c>
      <c r="D14" s="38">
        <f>-3.12512811</f>
        <v>-3.1251281099999999</v>
      </c>
      <c r="P14" s="38"/>
      <c r="R14" s="24">
        <f t="shared" si="1"/>
        <v>0</v>
      </c>
      <c r="T14" s="39">
        <f>D17-B17*15.25</f>
        <v>-10.562817459999998</v>
      </c>
    </row>
    <row r="15" spans="2:22">
      <c r="B15" s="24">
        <v>-0.49669999999999997</v>
      </c>
      <c r="C15" s="38">
        <f t="shared" si="0"/>
        <v>24.414971270384541</v>
      </c>
      <c r="D15" s="38">
        <v>-12.126916230000001</v>
      </c>
      <c r="P15" s="38"/>
    </row>
    <row r="16" spans="2:22">
      <c r="B16" s="24">
        <v>-0.13800000000000001</v>
      </c>
      <c r="C16" s="38">
        <f t="shared" si="0"/>
        <v>32.025841594202895</v>
      </c>
      <c r="D16" s="38">
        <v>-4.4195661399999997</v>
      </c>
      <c r="P16" s="38"/>
    </row>
    <row r="17" spans="2:20">
      <c r="B17" s="24">
        <v>-0.50490000000000002</v>
      </c>
      <c r="C17" s="38">
        <f t="shared" si="0"/>
        <v>36.170612913448203</v>
      </c>
      <c r="D17" s="38">
        <v>-18.262542459999999</v>
      </c>
      <c r="P17" s="38"/>
    </row>
    <row r="18" spans="2:20">
      <c r="F18" t="s">
        <v>9</v>
      </c>
      <c r="G18" s="38">
        <f>(D19/B19)</f>
        <v>-1.6993475423540292</v>
      </c>
    </row>
    <row r="19" spans="2:20">
      <c r="B19" s="24">
        <f>(SUM(B5:B18))</f>
        <v>1.3429116900000002</v>
      </c>
      <c r="D19" s="38">
        <f>(SUM(D5:D18))</f>
        <v>-2.2820736799999963</v>
      </c>
      <c r="M19" t="s">
        <v>83</v>
      </c>
      <c r="N19" t="s">
        <v>31</v>
      </c>
      <c r="O19" t="s">
        <v>1</v>
      </c>
      <c r="P19" t="s">
        <v>2</v>
      </c>
      <c r="R19" s="24">
        <f>(SUM(R5:R18))</f>
        <v>1.3429116900000002</v>
      </c>
      <c r="T19" s="38">
        <f>(SUM(T5:T18))</f>
        <v>-2.2820736799999981</v>
      </c>
    </row>
    <row r="20" spans="2:20">
      <c r="M20" t="s">
        <v>11</v>
      </c>
      <c r="N20" s="24">
        <f>-B12</f>
        <v>0.13750000000000001</v>
      </c>
      <c r="O20" s="38">
        <f>18.6</f>
        <v>18.600000000000001</v>
      </c>
      <c r="P20" s="38">
        <f>-D12</f>
        <v>2.5491881799999998</v>
      </c>
      <c r="Q20" t="s">
        <v>12</v>
      </c>
    </row>
    <row r="21" spans="2:20">
      <c r="N21" s="24">
        <f>-B14</f>
        <v>0.13700000000000001</v>
      </c>
      <c r="O21" s="38">
        <f>C14</f>
        <v>22.811154087591238</v>
      </c>
      <c r="P21" s="38">
        <f>-D14</f>
        <v>3.1251281099999999</v>
      </c>
      <c r="Q21" t="s">
        <v>12</v>
      </c>
    </row>
    <row r="22" spans="2:20">
      <c r="N22" s="24">
        <f>-B16</f>
        <v>0.13800000000000001</v>
      </c>
      <c r="O22" s="38">
        <f>C16</f>
        <v>32.025841594202895</v>
      </c>
      <c r="P22" s="38">
        <f>-D16</f>
        <v>4.4195661399999997</v>
      </c>
      <c r="Q22" t="s">
        <v>12</v>
      </c>
    </row>
    <row r="23" spans="2:20">
      <c r="N23" s="24">
        <f>4*($B$10)/5-N20-N21-N22</f>
        <v>0.14899795999999993</v>
      </c>
      <c r="O23" s="38">
        <f>($S$8*Params!K11)</f>
        <v>76.840849915048906</v>
      </c>
      <c r="P23" s="38">
        <f>(O23*N23)</f>
        <v>11.449129882008455</v>
      </c>
    </row>
    <row r="25" spans="2:20">
      <c r="P25" s="38">
        <f>(SUM(P20:P23))</f>
        <v>21.543012312008457</v>
      </c>
    </row>
  </sheetData>
  <conditionalFormatting sqref="C5 C9:C11 G18 O9 O23 S6">
    <cfRule type="cellIs" dxfId="205" priority="19" operator="lessThan">
      <formula>$J$3</formula>
    </cfRule>
    <cfRule type="cellIs" dxfId="204" priority="20" operator="greaterThan">
      <formula>$J$3</formula>
    </cfRule>
  </conditionalFormatting>
  <conditionalFormatting sqref="S8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O3">
    <cfRule type="cellIs" dxfId="201" priority="1" operator="greaterThan">
      <formula>$J$3</formula>
    </cfRule>
    <cfRule type="cellIs" dxfId="20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K15" sqref="K15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4.0507059176778399E-3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3.8695836201782954</v>
      </c>
      <c r="K4" s="4">
        <f>(J4/D13-1)</f>
        <v>0.36630072237358502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38">
        <v>3</v>
      </c>
      <c r="E5" t="s">
        <v>84</v>
      </c>
      <c r="N5" t="s">
        <v>31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39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48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48">
        <v>0</v>
      </c>
      <c r="T6" s="39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38">
        <v>-0.893567</v>
      </c>
      <c r="N7" s="19">
        <f>(($B$5+$R$6)/5)</f>
        <v>191.05724773999998</v>
      </c>
      <c r="O7" s="48">
        <f>($C$5*Params!K9)</f>
        <v>5.4320149380410803E-3</v>
      </c>
      <c r="P7" s="38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38">
        <v>-1.213721</v>
      </c>
      <c r="N8" s="19">
        <f>(($B$5+$R$6)/5)</f>
        <v>191.05724773999998</v>
      </c>
      <c r="O8" s="48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38">
        <v>1.1300110000000001</v>
      </c>
      <c r="N9" s="19">
        <f>(($B$5+$R$6)/5)</f>
        <v>191.05724773999998</v>
      </c>
      <c r="O9" s="48">
        <f>($C$5*Params!K11)</f>
        <v>1.6975046681378374E-2</v>
      </c>
      <c r="P9" s="38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38">
        <v>0.737757</v>
      </c>
    </row>
    <row r="12" spans="2:20">
      <c r="F12" t="s">
        <v>9</v>
      </c>
      <c r="G12" s="48">
        <f>(D13/B13)</f>
        <v>2.9647250062495851E-3</v>
      </c>
      <c r="P12" s="38">
        <f>(SUM(P6:P9))</f>
        <v>6.5817423585345729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99" priority="17" operator="lessThan">
      <formula>$J$3</formula>
    </cfRule>
    <cfRule type="cellIs" dxfId="198" priority="18" operator="greaterThan">
      <formula>$J$3</formula>
    </cfRule>
  </conditionalFormatting>
  <conditionalFormatting sqref="C9:C11">
    <cfRule type="cellIs" dxfId="197" priority="15" operator="lessThan">
      <formula>$J$3</formula>
    </cfRule>
    <cfRule type="cellIs" dxfId="196" priority="16" operator="greaterThan">
      <formula>$J$3</formula>
    </cfRule>
    <cfRule type="cellIs" dxfId="195" priority="13" operator="lessThan">
      <formula>$J$3</formula>
    </cfRule>
    <cfRule type="cellIs" dxfId="194" priority="14" operator="greaterThan">
      <formula>$J$3</formula>
    </cfRule>
  </conditionalFormatting>
  <conditionalFormatting sqref="O6:O9">
    <cfRule type="cellIs" dxfId="193" priority="11" operator="lessThan">
      <formula>$J$3</formula>
    </cfRule>
    <cfRule type="cellIs" dxfId="192" priority="12" operator="greaterThan">
      <formula>$J$3</formula>
    </cfRule>
    <cfRule type="cellIs" dxfId="191" priority="9" operator="lessThan">
      <formula>$J$3</formula>
    </cfRule>
    <cfRule type="cellIs" dxfId="190" priority="10" operator="greaterThan">
      <formula>$J$3</formula>
    </cfRule>
  </conditionalFormatting>
  <conditionalFormatting sqref="S5">
    <cfRule type="cellIs" dxfId="189" priority="7" operator="lessThan">
      <formula>$J$3</formula>
    </cfRule>
    <cfRule type="cellIs" dxfId="188" priority="8" operator="greaterThan">
      <formula>$J$3</formula>
    </cfRule>
    <cfRule type="cellIs" dxfId="187" priority="5" operator="lessThan">
      <formula>$J$3</formula>
    </cfRule>
    <cfRule type="cellIs" dxfId="186" priority="6" operator="greaterThan">
      <formula>$J$3</formula>
    </cfRule>
  </conditionalFormatting>
  <conditionalFormatting sqref="G12">
    <cfRule type="cellIs" dxfId="185" priority="3" operator="lessThan">
      <formula>$J$3</formula>
    </cfRule>
    <cfRule type="cellIs" dxfId="184" priority="4" operator="greaterThan">
      <formula>$J$3</formula>
    </cfRule>
    <cfRule type="cellIs" dxfId="183" priority="1" operator="lessThan">
      <formula>$J$3</formula>
    </cfRule>
    <cfRule type="cellIs" dxfId="18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244.397636049721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171.95068104908603</v>
      </c>
      <c r="K4" s="4">
        <f>(J4/D17-1)</f>
        <v>-0.12560828252107659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31</v>
      </c>
      <c r="O5" t="s">
        <v>1</v>
      </c>
      <c r="P5" t="s">
        <v>2</v>
      </c>
      <c r="R5" s="49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49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0.11099326599999999</v>
      </c>
      <c r="O6" s="38">
        <f>($S$8*Params!K8)</f>
        <v>369.5737721601958</v>
      </c>
      <c r="P6" s="38">
        <f>(O6*N6)</f>
        <v>41.020200000000003</v>
      </c>
      <c r="R6" s="49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49">
        <v>2.3499999999999999E-4</v>
      </c>
      <c r="C7" s="38">
        <v>0</v>
      </c>
      <c r="D7" s="38">
        <v>0</v>
      </c>
      <c r="E7" s="38">
        <f>(B7*J3)</f>
        <v>5.7433444471684435E-2</v>
      </c>
      <c r="I7" t="s">
        <v>11</v>
      </c>
      <c r="J7">
        <v>1</v>
      </c>
      <c r="N7" s="24">
        <f>($R$8/5)</f>
        <v>0.11099326599999999</v>
      </c>
      <c r="O7" s="38">
        <f>($S$8*Params!K9)</f>
        <v>454.86002727408714</v>
      </c>
      <c r="P7" s="38">
        <f>(O7*N7)</f>
        <v>50.486400000000003</v>
      </c>
      <c r="R7" s="49">
        <f>(B7+B8+B10)</f>
        <v>2.5627000000000002E-3</v>
      </c>
      <c r="S7" s="38">
        <f>(C7)</f>
        <v>0</v>
      </c>
      <c r="T7" s="38">
        <f>(R7*S7)</f>
        <v>0</v>
      </c>
    </row>
    <row r="8" spans="2:21">
      <c r="B8" s="49">
        <v>9.4980000000000002E-5</v>
      </c>
      <c r="C8" s="38">
        <v>0</v>
      </c>
      <c r="D8" s="38">
        <v>0</v>
      </c>
      <c r="E8" s="38">
        <f>(B8*J3)</f>
        <v>2.3212887472002501E-2</v>
      </c>
      <c r="I8" t="s">
        <v>13</v>
      </c>
      <c r="J8" s="49">
        <f>(J7-B17)</f>
        <v>0.29643067000000012</v>
      </c>
      <c r="N8" s="24">
        <f>($R$8/5)</f>
        <v>0.11099326599999999</v>
      </c>
      <c r="O8" s="38">
        <f>($S$8*Params!K10)</f>
        <v>625.43253750186989</v>
      </c>
      <c r="P8" s="38">
        <f>(O8*N8)</f>
        <v>69.418800000000019</v>
      </c>
      <c r="R8" s="49">
        <f>(B11)</f>
        <v>0.55496632999999995</v>
      </c>
      <c r="S8" s="38">
        <f>(C11)</f>
        <v>284.28751704630446</v>
      </c>
      <c r="T8" s="38">
        <f>(R8*S8)</f>
        <v>157.77000000000001</v>
      </c>
      <c r="U8" t="s">
        <v>10</v>
      </c>
    </row>
    <row r="9" spans="2:21">
      <c r="B9" s="49">
        <v>9.0920000000000004E-5</v>
      </c>
      <c r="C9" s="38">
        <v>276</v>
      </c>
      <c r="D9" s="38">
        <f>(B9*C9)</f>
        <v>2.5093920000000002E-2</v>
      </c>
      <c r="E9" s="38"/>
      <c r="I9" t="s">
        <v>14</v>
      </c>
      <c r="J9" s="41">
        <f>(J8*J3)</f>
        <v>72.446955000634972</v>
      </c>
      <c r="N9" s="24">
        <f>($R$8/5)</f>
        <v>0.11099326599999999</v>
      </c>
      <c r="O9" s="38">
        <f>($S$8*Params!K11)</f>
        <v>1421.4375852315222</v>
      </c>
      <c r="P9" s="38">
        <f>(O9*N9)</f>
        <v>157.77000000000001</v>
      </c>
      <c r="R9" s="49">
        <f>(B12)</f>
        <v>0.13629594</v>
      </c>
      <c r="S9" s="38">
        <f>(C12)</f>
        <v>285.40835479031875</v>
      </c>
      <c r="T9" s="38">
        <f>(R9*S9)</f>
        <v>38.9</v>
      </c>
      <c r="U9" t="s">
        <v>15</v>
      </c>
    </row>
    <row r="10" spans="2:21">
      <c r="B10" s="50">
        <v>2.2327200000000001E-3</v>
      </c>
      <c r="C10" s="40">
        <v>0</v>
      </c>
      <c r="D10" s="26">
        <v>0</v>
      </c>
      <c r="E10" s="38">
        <f>(B10*J3)</f>
        <v>0.54567148996093306</v>
      </c>
      <c r="P10" s="38"/>
      <c r="R10" s="49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49">
        <v>0.55496632999999995</v>
      </c>
      <c r="C11" s="38">
        <f>(D11/B11)</f>
        <v>284.28751704630446</v>
      </c>
      <c r="D11" s="38">
        <v>157.77000000000001</v>
      </c>
      <c r="E11" t="s">
        <v>10</v>
      </c>
      <c r="P11" s="38">
        <f>(SUM(P6:P9))</f>
        <v>318.69540000000006</v>
      </c>
    </row>
    <row r="12" spans="2:21">
      <c r="B12" s="49">
        <v>0.13629594</v>
      </c>
      <c r="C12" s="38">
        <f>(D12/B12)</f>
        <v>285.40835479031875</v>
      </c>
      <c r="D12" s="38">
        <v>38.9</v>
      </c>
      <c r="E12" t="s">
        <v>15</v>
      </c>
    </row>
    <row r="13" spans="2:21">
      <c r="B13" s="49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31</v>
      </c>
      <c r="O13" t="s">
        <v>1</v>
      </c>
      <c r="P13" t="s">
        <v>2</v>
      </c>
    </row>
    <row r="14" spans="2:21">
      <c r="B14" s="49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2.7259188E-2</v>
      </c>
      <c r="O14" s="38">
        <f>($S$9*Params!K8)</f>
        <v>371.03086122741439</v>
      </c>
      <c r="P14" s="38">
        <f>(O14*N14)</f>
        <v>10.113999999999999</v>
      </c>
    </row>
    <row r="15" spans="2:21">
      <c r="B15" s="49">
        <v>-0.29399999999999998</v>
      </c>
      <c r="C15" s="38">
        <f>(D15/B15)</f>
        <v>244.75500000000002</v>
      </c>
      <c r="D15" s="38">
        <v>-71.957970000000003</v>
      </c>
      <c r="N15" s="24">
        <f>($R$9/5)</f>
        <v>2.7259188E-2</v>
      </c>
      <c r="O15" s="38">
        <f>($S$9*Params!K9)</f>
        <v>456.65336766451003</v>
      </c>
      <c r="P15" s="38">
        <f>(O15*N15)</f>
        <v>12.448</v>
      </c>
    </row>
    <row r="16" spans="2:21">
      <c r="N16" s="24">
        <f>($R$9/5)</f>
        <v>2.7259188E-2</v>
      </c>
      <c r="O16" s="38">
        <f>($S$9*Params!K10)</f>
        <v>627.8983805387013</v>
      </c>
      <c r="P16" s="38">
        <f>(O16*N16)</f>
        <v>17.116</v>
      </c>
    </row>
    <row r="17" spans="2:16">
      <c r="B17" s="49">
        <f>(SUM(B5:B16))</f>
        <v>0.70356932999999988</v>
      </c>
      <c r="D17" s="38">
        <f>(SUM(D5:D16))</f>
        <v>196.65177244</v>
      </c>
      <c r="F17" t="s">
        <v>9</v>
      </c>
      <c r="G17" s="38">
        <f>(SUM(D5:D16)/SUM(B5:B16))</f>
        <v>279.50589096884033</v>
      </c>
      <c r="N17" s="24">
        <f>($R$9/5)</f>
        <v>2.7259188E-2</v>
      </c>
      <c r="O17" s="38">
        <f>($S$9*Params!K11)</f>
        <v>1427.0417739515938</v>
      </c>
      <c r="P17" s="38">
        <f>(O17*N17)</f>
        <v>38.9</v>
      </c>
    </row>
    <row r="18" spans="2:16">
      <c r="P18" s="38"/>
    </row>
    <row r="19" spans="2:16">
      <c r="P19" s="38">
        <f>(SUM(P14:P17))</f>
        <v>78.578000000000003</v>
      </c>
    </row>
    <row r="21" spans="2:16">
      <c r="N21" t="s">
        <v>31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9.7608799999999996E-4</v>
      </c>
      <c r="O22" s="38">
        <f>($S$5*Params!K8)</f>
        <v>323.96134165178148</v>
      </c>
      <c r="P22" s="38">
        <f>(O22*N22)</f>
        <v>0.31621477805020409</v>
      </c>
    </row>
    <row r="23" spans="2:16">
      <c r="N23" s="24">
        <f>(($R$5+$R$7)/5)</f>
        <v>9.7608799999999996E-4</v>
      </c>
      <c r="O23" s="38">
        <f>($S$5*Params!K9)</f>
        <v>398.72165126373102</v>
      </c>
      <c r="P23" s="38">
        <f>(O23*N23)</f>
        <v>0.38918741913871269</v>
      </c>
    </row>
    <row r="24" spans="2:16">
      <c r="N24" s="24">
        <f>(($R$5+$R$7)/5)</f>
        <v>9.7608799999999996E-4</v>
      </c>
      <c r="O24" s="38">
        <f>($S$5*Params!K10)</f>
        <v>548.24227048763021</v>
      </c>
      <c r="P24" s="38">
        <f>(O24*N24)</f>
        <v>0.53513270131572999</v>
      </c>
    </row>
    <row r="25" spans="2:16">
      <c r="N25" s="24">
        <f>(($R$5+$R$7)/5)</f>
        <v>9.7608799999999996E-4</v>
      </c>
      <c r="O25" s="38">
        <f>($S$5*Params!K11)</f>
        <v>1246.0051601991595</v>
      </c>
      <c r="P25" s="38">
        <f>(O25*N25)</f>
        <v>1.216210684808477</v>
      </c>
    </row>
    <row r="26" spans="2:16">
      <c r="P26" s="38"/>
    </row>
    <row r="27" spans="2:16">
      <c r="P27" s="38">
        <f>(SUM(P22:P25))</f>
        <v>2.4567455833131238</v>
      </c>
    </row>
    <row r="37" spans="18:20">
      <c r="R37" s="49">
        <f>(SUM(R5:R27))</f>
        <v>0.70356932999999999</v>
      </c>
      <c r="T37" s="38">
        <f>(SUM(T5:T27))</f>
        <v>196.65177244</v>
      </c>
    </row>
  </sheetData>
  <conditionalFormatting sqref="C5:C6 C9 C11:C14 O6:O9 O14 S5:S6 S8:S9">
    <cfRule type="cellIs" dxfId="181" priority="11" operator="lessThan">
      <formula>$J$3</formula>
    </cfRule>
    <cfRule type="cellIs" dxfId="180" priority="12" operator="greaterThan">
      <formula>$J$3</formula>
    </cfRule>
  </conditionalFormatting>
  <conditionalFormatting sqref="O15:O17">
    <cfRule type="cellIs" dxfId="179" priority="7" operator="lessThan">
      <formula>$J$3</formula>
    </cfRule>
    <cfRule type="cellIs" dxfId="178" priority="8" operator="greaterThan">
      <formula>$J$3</formula>
    </cfRule>
  </conditionalFormatting>
  <conditionalFormatting sqref="O22:O25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G17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9.2507001801596975E-2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5.6793363903198451</v>
      </c>
      <c r="K4" s="4">
        <f>(J4/D13-1)</f>
        <v>0.13586727806396892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31</v>
      </c>
      <c r="O5" t="s">
        <v>1</v>
      </c>
      <c r="P5" t="s">
        <v>2</v>
      </c>
    </row>
    <row r="6" spans="2:16">
      <c r="B6" s="36">
        <v>0.27446566</v>
      </c>
      <c r="C6" s="40">
        <v>0</v>
      </c>
      <c r="D6" s="26">
        <f>(B6*C6)</f>
        <v>0</v>
      </c>
      <c r="E6" s="38">
        <f>(B6*J3)</f>
        <v>2.5389995304096503E-2</v>
      </c>
      <c r="M6" t="s">
        <v>11</v>
      </c>
      <c r="N6" s="29">
        <f>($B$13/5)</f>
        <v>12.278716809999999</v>
      </c>
      <c r="O6" s="38">
        <f>($C$5*Params!K8)</f>
        <v>0.10634970155367125</v>
      </c>
      <c r="P6" s="38">
        <f>(O6*N6)</f>
        <v>1.3058378682055463</v>
      </c>
    </row>
    <row r="7" spans="2:16">
      <c r="N7" s="29">
        <f>($B$13/5)</f>
        <v>12.278716809999999</v>
      </c>
      <c r="O7" s="38">
        <f>($C$5*Params!K9)</f>
        <v>0.13089194037374924</v>
      </c>
      <c r="P7" s="38">
        <f>(O7*N7)</f>
        <v>1.6071850685606723</v>
      </c>
    </row>
    <row r="8" spans="2:16">
      <c r="N8" s="29">
        <f>($B$13/5)</f>
        <v>12.278716809999999</v>
      </c>
      <c r="O8" s="38">
        <f>($C$5*Params!K10)</f>
        <v>0.17997641801390521</v>
      </c>
      <c r="P8" s="38">
        <f>(O8*N8)</f>
        <v>2.2098794692709247</v>
      </c>
    </row>
    <row r="9" spans="2:16">
      <c r="N9" s="29">
        <f>($B$13/5)</f>
        <v>12.278716809999999</v>
      </c>
      <c r="O9" s="38">
        <f>($C$5*Params!K11)</f>
        <v>0.40903731366796636</v>
      </c>
      <c r="P9" s="38">
        <f>(O9*N9)</f>
        <v>5.0224533392521007</v>
      </c>
    </row>
    <row r="11" spans="2:16">
      <c r="P11" s="38">
        <f>(SUM(P6:P9))</f>
        <v>10.145355745289244</v>
      </c>
    </row>
    <row r="12" spans="2:16">
      <c r="F12" t="s">
        <v>9</v>
      </c>
      <c r="G12" s="38">
        <f>(D13/B13)</f>
        <v>8.1441734952758485E-2</v>
      </c>
    </row>
    <row r="13" spans="2:16">
      <c r="B13" s="29">
        <f>(SUM(B5:B12))</f>
        <v>61.393584049999994</v>
      </c>
      <c r="D13" s="38">
        <f>(SUM(D5:D12))</f>
        <v>5</v>
      </c>
    </row>
  </sheetData>
  <conditionalFormatting sqref="O6:O9">
    <cfRule type="cellIs" dxfId="173" priority="5" operator="lessThan">
      <formula>$J$3</formula>
    </cfRule>
    <cfRule type="cellIs" dxfId="172" priority="6" operator="greaterThan">
      <formula>$J$3</formula>
    </cfRule>
  </conditionalFormatting>
  <conditionalFormatting sqref="C5">
    <cfRule type="cellIs" dxfId="171" priority="3" operator="lessThan">
      <formula>$J$3</formula>
    </cfRule>
    <cfRule type="cellIs" dxfId="170" priority="4" operator="greaterThan">
      <formula>$J$3</formula>
    </cfRule>
  </conditionalFormatting>
  <conditionalFormatting sqref="G12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6.9559305721558067</v>
      </c>
      <c r="M3" t="s">
        <v>4</v>
      </c>
      <c r="N3" s="24">
        <f>(INDEX(N5:N16,MATCH(MAX(O6),O5:O16,0))/0.9)</f>
        <v>1.5256666666666665</v>
      </c>
      <c r="O3" s="39">
        <f>(MAX(O6)*0.85)</f>
        <v>6.1249660527274052</v>
      </c>
      <c r="P3" s="3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40.019976751058067</v>
      </c>
      <c r="K4" s="4">
        <f>(J4/D14-1)</f>
        <v>0.36586945821410977</v>
      </c>
      <c r="R4" t="s">
        <v>5</v>
      </c>
      <c r="S4" t="s">
        <v>6</v>
      </c>
      <c r="T4" t="s">
        <v>7</v>
      </c>
    </row>
    <row r="5" spans="2:21">
      <c r="B5" s="24">
        <v>6.96698168</v>
      </c>
      <c r="C5" s="38">
        <f>(D5/B5)</f>
        <v>5.5834795879641241</v>
      </c>
      <c r="D5" s="38">
        <v>38.9</v>
      </c>
      <c r="E5" t="s">
        <v>15</v>
      </c>
      <c r="M5" t="s">
        <v>15</v>
      </c>
      <c r="N5" t="s">
        <v>31</v>
      </c>
      <c r="O5" t="s">
        <v>1</v>
      </c>
      <c r="P5" t="s">
        <v>2</v>
      </c>
      <c r="R5" s="25">
        <f>(B6)</f>
        <v>7.1697449999999996E-2</v>
      </c>
      <c r="S5" s="40">
        <v>0</v>
      </c>
      <c r="T5" s="26">
        <f>(D6)</f>
        <v>0</v>
      </c>
      <c r="U5">
        <f>(R5*J3)</f>
        <v>0.49872248440061229</v>
      </c>
    </row>
    <row r="6" spans="2:21">
      <c r="B6" s="25">
        <v>7.1697449999999996E-2</v>
      </c>
      <c r="C6" s="40">
        <v>0</v>
      </c>
      <c r="D6" s="26">
        <f>(B6*C6)</f>
        <v>0</v>
      </c>
      <c r="E6" s="38">
        <f>(B6*J3)</f>
        <v>0.49872248440061229</v>
      </c>
      <c r="M6" t="s">
        <v>11</v>
      </c>
      <c r="N6" s="24">
        <f>-B11</f>
        <v>1.3731</v>
      </c>
      <c r="O6" s="38">
        <f>C11</f>
        <v>7.2058424149734179</v>
      </c>
      <c r="P6" s="38">
        <f>-D11</f>
        <v>9.8943422200000004</v>
      </c>
      <c r="Q6" t="s">
        <v>12</v>
      </c>
      <c r="R6" s="24">
        <f>B5+B11</f>
        <v>5.59388168</v>
      </c>
      <c r="S6" s="38">
        <f>(T6/R6)</f>
        <v>5.5941522881835422</v>
      </c>
      <c r="T6" s="38">
        <f>D5+B11*5.54</f>
        <v>31.293025999999998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2*($B$14-$B$11)/5-N6</f>
        <v>1.4774842320000001</v>
      </c>
      <c r="O7" s="38">
        <f>($S$6*Params!K9)</f>
        <v>8.9506436610936682</v>
      </c>
      <c r="P7" s="38">
        <f>(O7*N7)</f>
        <v>13.224434875516648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($B$14-$B$11)/5</f>
        <v>1.4252921160000001</v>
      </c>
      <c r="O8" s="38">
        <f>($C$5*Params!K10)</f>
        <v>12.283655093521075</v>
      </c>
      <c r="P8" s="38">
        <f>(O8*N8)</f>
        <v>17.507796760458831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($B$14-$B$11)/5</f>
        <v>1.4252921160000001</v>
      </c>
      <c r="O9" s="38">
        <f>($C$5*Params!K11)</f>
        <v>27.917397939820621</v>
      </c>
      <c r="P9" s="38">
        <f>(O9*N9)</f>
        <v>39.790447182860973</v>
      </c>
      <c r="R9" s="24">
        <f>B11-B11</f>
        <v>0</v>
      </c>
      <c r="S9" s="38">
        <v>0</v>
      </c>
      <c r="T9" s="39">
        <f>D11-B11*5.54</f>
        <v>-2.2873682200000003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B11" s="24">
        <v>-1.3731</v>
      </c>
      <c r="C11" s="38">
        <f>(D11/B11)</f>
        <v>7.2058424149734179</v>
      </c>
      <c r="D11" s="38">
        <f>-9.89434222</f>
        <v>-9.8943422200000004</v>
      </c>
      <c r="N11" s="24"/>
      <c r="P11" s="38"/>
    </row>
    <row r="12" spans="2:21">
      <c r="N12" s="24"/>
      <c r="P12" s="38">
        <f>(SUM(P6:P9))</f>
        <v>80.417021038836452</v>
      </c>
    </row>
    <row r="13" spans="2:21">
      <c r="F13" t="s">
        <v>9</v>
      </c>
      <c r="G13" s="38">
        <f>(D14/B14)</f>
        <v>5.092675973039742</v>
      </c>
      <c r="N13" s="24"/>
      <c r="P13" s="38"/>
      <c r="R13" s="24">
        <f>(SUM(R5:R12))</f>
        <v>5.7533605799999998</v>
      </c>
      <c r="T13" s="38">
        <f>(SUM(T5:T12))</f>
        <v>29.300001189999996</v>
      </c>
    </row>
    <row r="14" spans="2:21">
      <c r="B14">
        <f>(SUM(B5:B13))</f>
        <v>5.7533605800000007</v>
      </c>
      <c r="D14" s="38">
        <f>(SUM(D5:D13))</f>
        <v>29.300001189999996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7:O9 S6:S7">
    <cfRule type="cellIs" dxfId="167" priority="17" operator="lessThan">
      <formula>$J$3</formula>
    </cfRule>
    <cfRule type="cellIs" dxfId="166" priority="18" operator="greaterThan">
      <formula>$J$3</formula>
    </cfRule>
  </conditionalFormatting>
  <conditionalFormatting sqref="O3">
    <cfRule type="cellIs" dxfId="165" priority="1" operator="greaterThan">
      <formula>$J$3</formula>
    </cfRule>
    <cfRule type="cellIs" dxfId="164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8">
        <v>57.626589616473119</v>
      </c>
      <c r="M3" t="s">
        <v>4</v>
      </c>
      <c r="N3" s="24">
        <f>(INDEX(N5:N16,MATCH(MAX(O6),O5:O16,0))/0.9)</f>
        <v>2.75E-2</v>
      </c>
      <c r="O3" s="39">
        <f>(MAX(O6)*0.85)</f>
        <v>48.820710242424241</v>
      </c>
      <c r="P3" s="3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5.7072694362397502</v>
      </c>
      <c r="K4" s="4">
        <f>(J4/D13-1)</f>
        <v>0.51047670091695041</v>
      </c>
    </row>
    <row r="5" spans="2:17">
      <c r="B5" s="24">
        <v>0.12084767</v>
      </c>
      <c r="C5" s="38">
        <v>43.03</v>
      </c>
      <c r="D5" s="38">
        <v>5.2</v>
      </c>
      <c r="N5" t="s">
        <v>31</v>
      </c>
      <c r="O5" t="s">
        <v>1</v>
      </c>
      <c r="P5" t="s">
        <v>2</v>
      </c>
    </row>
    <row r="6" spans="2:17">
      <c r="B6" s="25">
        <v>2.94115E-3</v>
      </c>
      <c r="C6" s="40">
        <v>0</v>
      </c>
      <c r="D6" s="26">
        <f>(B6*C6)</f>
        <v>0</v>
      </c>
      <c r="E6" s="38">
        <f>(B6*J3)</f>
        <v>0.16948844405048991</v>
      </c>
      <c r="M6" t="s">
        <v>11</v>
      </c>
      <c r="N6" s="24">
        <f>-B7</f>
        <v>2.4750000000000001E-2</v>
      </c>
      <c r="O6" s="38">
        <f>P6/N6</f>
        <v>57.436129696969694</v>
      </c>
      <c r="P6" s="38">
        <f>-D7</f>
        <v>1.42154421</v>
      </c>
      <c r="Q6" t="s">
        <v>12</v>
      </c>
    </row>
    <row r="7" spans="2:17">
      <c r="B7">
        <v>-2.4750000000000001E-2</v>
      </c>
      <c r="C7" s="38">
        <f>D7/B7</f>
        <v>57.436129696969694</v>
      </c>
      <c r="D7" s="38">
        <f>-1.42154421</f>
        <v>-1.42154421</v>
      </c>
      <c r="N7" s="24">
        <f>($B$13-$B$7)/5</f>
        <v>2.4757763999999998E-2</v>
      </c>
      <c r="O7" s="38">
        <f>($C$5*Params!K9)</f>
        <v>68.847999999999999</v>
      </c>
      <c r="P7" s="38">
        <f>(O7*N7)</f>
        <v>1.7045225358719998</v>
      </c>
    </row>
    <row r="8" spans="2:17">
      <c r="N8" s="24">
        <f>($B$13-$B$7)/5</f>
        <v>2.4757763999999998E-2</v>
      </c>
      <c r="O8" s="38">
        <f>($C$5*Params!K10)</f>
        <v>94.666000000000011</v>
      </c>
      <c r="P8" s="38">
        <f>(O8*N8)</f>
        <v>2.3437184868240002</v>
      </c>
    </row>
    <row r="9" spans="2:17">
      <c r="N9" s="24">
        <f>($B$13-$B$7)/5</f>
        <v>2.4757763999999998E-2</v>
      </c>
      <c r="O9" s="38">
        <f>($C$5*Params!K11)</f>
        <v>215.15</v>
      </c>
      <c r="P9" s="38">
        <f>(O9*N9)</f>
        <v>5.3266329246000002</v>
      </c>
    </row>
    <row r="11" spans="2:17">
      <c r="P11" s="38">
        <f>(SUM(P6:P9))</f>
        <v>10.796418157295999</v>
      </c>
    </row>
    <row r="12" spans="2:17">
      <c r="F12" t="s">
        <v>9</v>
      </c>
      <c r="G12" s="38">
        <f>(D13/B13)</f>
        <v>38.151260182623339</v>
      </c>
    </row>
    <row r="13" spans="2:17">
      <c r="B13">
        <f>(SUM(B5:B12))</f>
        <v>9.903882E-2</v>
      </c>
      <c r="D13" s="38">
        <f>(SUM(D5:D12))</f>
        <v>3.7784557900000002</v>
      </c>
    </row>
  </sheetData>
  <conditionalFormatting sqref="C5">
    <cfRule type="cellIs" dxfId="163" priority="9" operator="lessThan">
      <formula>$J$3</formula>
    </cfRule>
    <cfRule type="cellIs" dxfId="162" priority="10" operator="greaterThan">
      <formula>$J$3</formula>
    </cfRule>
  </conditionalFormatting>
  <conditionalFormatting sqref="O7:O9">
    <cfRule type="cellIs" dxfId="161" priority="7" operator="lessThan">
      <formula>$J$3</formula>
    </cfRule>
    <cfRule type="cellIs" dxfId="160" priority="8" operator="greaterThan">
      <formula>$J$3</formula>
    </cfRule>
  </conditionalFormatting>
  <conditionalFormatting sqref="G12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3">
    <cfRule type="cellIs" dxfId="157" priority="1" operator="greaterThan">
      <formula>$J$3</formula>
    </cfRule>
    <cfRule type="cellIs" dxfId="156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7.1230579831255358</v>
      </c>
      <c r="M3" t="s">
        <v>4</v>
      </c>
      <c r="N3" s="24">
        <f>(INDEX(N5:N16,MATCH(MAX(O6),O5:O16,0))/0.9)</f>
        <v>0.49111111111111111</v>
      </c>
      <c r="O3" s="39">
        <f>(MAX(O6)*0.85)</f>
        <v>5.2039931346153843</v>
      </c>
      <c r="P3" s="35">
        <f>(O3*N3)</f>
        <v>2.5557388505555552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(B10*J3)</f>
        <v>13.511413421644496</v>
      </c>
      <c r="K4" s="4">
        <f>(J4/D10-1)</f>
        <v>0.64494024159084007</v>
      </c>
      <c r="R4" t="s">
        <v>5</v>
      </c>
      <c r="S4" t="s">
        <v>6</v>
      </c>
      <c r="T4" t="s">
        <v>7</v>
      </c>
    </row>
    <row r="5" spans="2:20">
      <c r="B5" s="1">
        <v>2.33660749</v>
      </c>
      <c r="C5" s="38">
        <f>(D5/B5)</f>
        <v>4.6734421791997249</v>
      </c>
      <c r="D5" s="38">
        <v>10.92</v>
      </c>
      <c r="E5" t="s">
        <v>83</v>
      </c>
      <c r="M5" t="s">
        <v>83</v>
      </c>
      <c r="N5" t="s">
        <v>31</v>
      </c>
      <c r="O5" t="s">
        <v>1</v>
      </c>
      <c r="P5" t="s">
        <v>2</v>
      </c>
      <c r="R5" s="1">
        <f>(B5)+B7+B8+B9</f>
        <v>1.8946074900000001</v>
      </c>
      <c r="S5" s="38">
        <f>(T5/R5)</f>
        <v>4.6870763716868868</v>
      </c>
      <c r="T5" s="38">
        <f>(D5)+(B7)*4.615</f>
        <v>8.8801699999999997</v>
      </c>
    </row>
    <row r="6" spans="2:20">
      <c r="B6" s="2">
        <v>2.2482499999999998E-3</v>
      </c>
      <c r="C6" s="40">
        <v>0</v>
      </c>
      <c r="D6" s="26">
        <f>(B6*C6)</f>
        <v>0</v>
      </c>
      <c r="E6" s="38">
        <f>(B6*J3)</f>
        <v>1.6014415110561984E-2</v>
      </c>
      <c r="M6" t="s">
        <v>11</v>
      </c>
      <c r="N6" s="24">
        <f>-B7</f>
        <v>0.442</v>
      </c>
      <c r="O6" s="38">
        <f>P6/N6</f>
        <v>6.1223448642533933</v>
      </c>
      <c r="P6" s="38">
        <f>-D7</f>
        <v>2.70607643</v>
      </c>
      <c r="Q6" t="s">
        <v>12</v>
      </c>
      <c r="R6" s="2">
        <f>(B6)</f>
        <v>2.2482499999999998E-3</v>
      </c>
      <c r="S6" s="40">
        <f>(T6/R6)</f>
        <v>0</v>
      </c>
      <c r="T6" s="26">
        <f>(D6)</f>
        <v>0</v>
      </c>
    </row>
    <row r="7" spans="2:20">
      <c r="B7" s="1">
        <v>-0.442</v>
      </c>
      <c r="C7" s="39">
        <f>D7/B7</f>
        <v>6.1223448642533933</v>
      </c>
      <c r="D7" s="38">
        <v>-2.70607643</v>
      </c>
      <c r="N7" s="24">
        <f>2*($B$10+$N$6)/5-$N$6</f>
        <v>0.49354229600000005</v>
      </c>
      <c r="O7" s="38">
        <f>($C$5*Params!K9)</f>
        <v>7.4775074867195599</v>
      </c>
      <c r="P7" s="38">
        <f>(O7*N7)</f>
        <v>3.6904662133527615</v>
      </c>
      <c r="R7" s="1">
        <f>(B7)-B7</f>
        <v>0</v>
      </c>
      <c r="S7" s="38">
        <v>0</v>
      </c>
      <c r="T7" s="38">
        <f>(D7)-B7*4.615</f>
        <v>-0.66624642999999972</v>
      </c>
    </row>
    <row r="8" spans="2:20">
      <c r="N8" s="24">
        <f>($B$10+$N$6)/5</f>
        <v>0.46777114800000003</v>
      </c>
      <c r="O8" s="38">
        <f>($C$5*Params!K10)</f>
        <v>10.281572794239395</v>
      </c>
      <c r="P8" s="38">
        <f>(O8*N8)</f>
        <v>4.8094231092069295</v>
      </c>
      <c r="R8" s="1"/>
      <c r="S8" s="38"/>
      <c r="T8" s="38"/>
    </row>
    <row r="9" spans="2:20">
      <c r="F9" t="s">
        <v>9</v>
      </c>
      <c r="G9" s="38">
        <f>(D10/B10)</f>
        <v>4.3302837410292465</v>
      </c>
      <c r="N9" s="24">
        <f>($B$10+$N$6)/5</f>
        <v>0.46777114800000003</v>
      </c>
      <c r="O9" s="38">
        <f>($C$5*Params!K11)</f>
        <v>23.367210895998625</v>
      </c>
      <c r="P9" s="38">
        <f>(O9*N9)</f>
        <v>10.930507066379386</v>
      </c>
      <c r="R9" s="1"/>
      <c r="S9" s="38"/>
      <c r="T9" s="38"/>
    </row>
    <row r="10" spans="2:20">
      <c r="B10">
        <f>(SUM(B5:B9))</f>
        <v>1.8968557400000001</v>
      </c>
      <c r="D10" s="38">
        <f>(SUM(D5:D9))</f>
        <v>8.2139235700000004</v>
      </c>
      <c r="R10" s="1"/>
      <c r="S10" s="38"/>
      <c r="T10" s="38"/>
    </row>
    <row r="11" spans="2:20">
      <c r="P11" s="38">
        <f>(SUM(P6:P9))</f>
        <v>22.136472818939076</v>
      </c>
      <c r="R11" s="1"/>
      <c r="S11" s="38"/>
      <c r="T11" s="39"/>
    </row>
    <row r="12" spans="2:20">
      <c r="P12" s="38"/>
    </row>
    <row r="22" spans="18:20">
      <c r="R22">
        <f>(SUM(R5:R21))</f>
        <v>1.8968557400000001</v>
      </c>
      <c r="T22" s="38">
        <f>(SUM(T5:T21))</f>
        <v>8.2139235700000004</v>
      </c>
    </row>
  </sheetData>
  <conditionalFormatting sqref="C5">
    <cfRule type="cellIs" dxfId="155" priority="9" operator="lessThan">
      <formula>$J$3</formula>
    </cfRule>
    <cfRule type="cellIs" dxfId="154" priority="10" operator="greaterThan">
      <formula>$J$3</formula>
    </cfRule>
  </conditionalFormatting>
  <conditionalFormatting sqref="O7:O9">
    <cfRule type="cellIs" dxfId="153" priority="7" operator="lessThan">
      <formula>$J$3</formula>
    </cfRule>
    <cfRule type="cellIs" dxfId="152" priority="8" operator="greaterThan">
      <formula>$J$3</formula>
    </cfRule>
  </conditionalFormatting>
  <conditionalFormatting sqref="G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S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3">
    <cfRule type="cellIs" dxfId="147" priority="1" operator="greaterThan">
      <formula>$J$3</formula>
    </cfRule>
    <cfRule type="cellIs" dxfId="146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2.1339404070060248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12.008412072393423</v>
      </c>
      <c r="K4" s="4">
        <f>(J4/D10-1)</f>
        <v>-1.1653327375027001E-2</v>
      </c>
    </row>
    <row r="5" spans="2:16">
      <c r="B5" s="1">
        <v>5.6098783900000004</v>
      </c>
      <c r="C5" s="38">
        <f>(D5/B5)</f>
        <v>2.1658223503843188</v>
      </c>
      <c r="D5" s="38">
        <v>12.15</v>
      </c>
      <c r="E5" t="s">
        <v>83</v>
      </c>
      <c r="M5" t="s">
        <v>83</v>
      </c>
      <c r="N5" t="s">
        <v>31</v>
      </c>
      <c r="O5" t="s">
        <v>1</v>
      </c>
      <c r="P5" t="s">
        <v>2</v>
      </c>
    </row>
    <row r="6" spans="2:16">
      <c r="B6" s="2">
        <v>1.746342E-2</v>
      </c>
      <c r="C6" s="40">
        <v>0</v>
      </c>
      <c r="D6" s="26">
        <f>(B6*C6)</f>
        <v>0</v>
      </c>
      <c r="E6" s="38">
        <f>(B6*J3)</f>
        <v>3.7265897582517152E-2</v>
      </c>
      <c r="M6" t="s">
        <v>11</v>
      </c>
      <c r="N6" s="1">
        <f>($B$10/5)</f>
        <v>1.1254683620000001</v>
      </c>
      <c r="O6" s="38">
        <f>($C$5*Params!K8)</f>
        <v>2.8155690554996147</v>
      </c>
      <c r="P6" s="38">
        <f>(O6*N6)</f>
        <v>3.1688338929910387</v>
      </c>
    </row>
    <row r="7" spans="2:16">
      <c r="N7" s="1">
        <f>($B$10/5)</f>
        <v>1.1254683620000001</v>
      </c>
      <c r="O7" s="38">
        <f>($C$5*Params!K9)</f>
        <v>3.4653157606149101</v>
      </c>
      <c r="P7" s="38">
        <f>(O7*N7)</f>
        <v>3.9001032529120474</v>
      </c>
    </row>
    <row r="8" spans="2:16">
      <c r="N8" s="1">
        <f>($B$10/5)</f>
        <v>1.1254683620000001</v>
      </c>
      <c r="O8" s="38">
        <f>($C$5*Params!K10)</f>
        <v>4.7648091708455018</v>
      </c>
      <c r="P8" s="38">
        <f>(O8*N8)</f>
        <v>5.3626419727540657</v>
      </c>
    </row>
    <row r="9" spans="2:16">
      <c r="F9" t="s">
        <v>9</v>
      </c>
      <c r="G9" s="38">
        <f>(D10/B10)</f>
        <v>2.1591011191836591</v>
      </c>
      <c r="N9" s="1">
        <f>($B$10/5)</f>
        <v>1.1254683620000001</v>
      </c>
      <c r="O9" s="38">
        <f>($C$5*Params!K11)</f>
        <v>10.829111751921594</v>
      </c>
      <c r="P9" s="38">
        <f>(O9*N9)</f>
        <v>12.187822665350149</v>
      </c>
    </row>
    <row r="10" spans="2:16">
      <c r="B10" s="1">
        <f>(SUM(B5:B9))</f>
        <v>5.6273418100000008</v>
      </c>
      <c r="D10" s="38">
        <f>(SUM(D5:D9))</f>
        <v>12.15</v>
      </c>
    </row>
    <row r="11" spans="2:16">
      <c r="P11" s="38">
        <f>(SUM(P6:P9))</f>
        <v>24.619401784007302</v>
      </c>
    </row>
  </sheetData>
  <conditionalFormatting sqref="C5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O6:O9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I34" sqref="I34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41764.053341160921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(B38*J3)</f>
        <v>1209.0434505135374</v>
      </c>
      <c r="K4" s="4">
        <f>(J4/D38-1)</f>
        <v>0.78681877504355047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3.4933000000000002E-4</v>
      </c>
      <c r="C6" s="40">
        <v>0</v>
      </c>
      <c r="D6" s="26">
        <f>(B6*C6)</f>
        <v>0</v>
      </c>
      <c r="E6" s="38">
        <f>(B6*J3)</f>
        <v>14.589436753667746</v>
      </c>
      <c r="I6" t="s">
        <v>11</v>
      </c>
      <c r="J6">
        <v>0.03</v>
      </c>
      <c r="R6" s="24">
        <f t="shared" si="0"/>
        <v>3.4933000000000002E-4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 s="42">
        <f>(J6-B38)</f>
        <v>1.0506199999999917E-3</v>
      </c>
      <c r="R7" s="24">
        <f t="shared" si="0"/>
        <v>5.1073000000000004E-4</v>
      </c>
      <c r="S7" s="38">
        <f>(T7/R7)</f>
        <v>30544.514714232566</v>
      </c>
      <c r="T7" s="38" t="s">
        <v>20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43.878149721290143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21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22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6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6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6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6.4380999999999996E-3</v>
      </c>
      <c r="S19" s="38">
        <f t="shared" si="2"/>
        <v>24296.919712337487</v>
      </c>
      <c r="T19" s="38">
        <f>(D23+17438.6*B32)</f>
        <v>156.42599879999997</v>
      </c>
      <c r="U19" t="s">
        <v>10</v>
      </c>
    </row>
    <row r="20" spans="2:26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1.47466E-3</v>
      </c>
      <c r="S20" s="38">
        <f t="shared" si="2"/>
        <v>25771.336374486324</v>
      </c>
      <c r="T20" s="38">
        <f>(D24+17211.7*B31)</f>
        <v>38.003958898</v>
      </c>
      <c r="U20" t="s">
        <v>15</v>
      </c>
    </row>
    <row r="21" spans="2:26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6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6">
      <c r="B23" s="24">
        <v>6.7800999999999998E-3</v>
      </c>
      <c r="C23" s="38">
        <f t="shared" si="3"/>
        <v>23950.974174422205</v>
      </c>
      <c r="D23" s="38">
        <v>162.38999999999999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6">
      <c r="B24" s="24">
        <v>1.5267200000000001E-3</v>
      </c>
      <c r="C24" s="38">
        <f t="shared" si="3"/>
        <v>25479.459232865225</v>
      </c>
      <c r="D24" s="38">
        <v>38.9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1.7373E-3</v>
      </c>
      <c r="S24" s="38">
        <f>(T24/R24)</f>
        <v>26967.132907385025</v>
      </c>
      <c r="T24" s="38">
        <f>(D34)</f>
        <v>46.85</v>
      </c>
      <c r="U24" t="s">
        <v>18</v>
      </c>
    </row>
    <row r="25" spans="2:26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6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6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6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6">
      <c r="B29" s="24">
        <v>-1.2E-4</v>
      </c>
      <c r="C29" s="38">
        <v>21355</v>
      </c>
      <c r="D29" s="38">
        <f>(C29*B29)</f>
        <v>-2.5626000000000002</v>
      </c>
    </row>
    <row r="30" spans="2:26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6">
      <c r="B31" s="24">
        <f>(-0.000058-B30)</f>
        <v>-5.206E-5</v>
      </c>
      <c r="C31" s="38">
        <v>21560</v>
      </c>
      <c r="D31" s="38">
        <f>(C31*B31)</f>
        <v>-1.1224136</v>
      </c>
      <c r="Z31" s="39"/>
    </row>
    <row r="32" spans="2:26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  <c r="Z32" s="39"/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1.7373E-3</v>
      </c>
      <c r="C34" s="38">
        <f>(D34/B34)</f>
        <v>26967.132907385025</v>
      </c>
      <c r="D34" s="38">
        <v>46.85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B36" s="24">
        <v>-1.08507E-3</v>
      </c>
      <c r="C36" s="38">
        <v>42783</v>
      </c>
      <c r="D36" s="38">
        <f>C36*B36</f>
        <v>-46.42254981</v>
      </c>
      <c r="E36" t="s">
        <v>23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</row>
    <row r="37" spans="2:20">
      <c r="F37" t="s">
        <v>9</v>
      </c>
      <c r="G37" s="39">
        <f>(D38/B38)</f>
        <v>23373.413087257828</v>
      </c>
      <c r="R37">
        <f>(SUM(R5:R25))</f>
        <v>2.9305179999999997E-2</v>
      </c>
      <c r="T37" s="38">
        <f>(SUM(T5:T25))</f>
        <v>538.98980016999997</v>
      </c>
    </row>
    <row r="38" spans="2:20">
      <c r="B38">
        <f>(SUM(B5:B37))</f>
        <v>2.8949380000000007E-2</v>
      </c>
      <c r="D38" s="38">
        <f>(SUM(D5:D37))</f>
        <v>676.64581736000014</v>
      </c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2.3700399999999999E-3</v>
      </c>
      <c r="N50" s="38">
        <f>($S$19*Params!K16)</f>
        <v>48593.839424674974</v>
      </c>
      <c r="O50" s="41">
        <f>(N50*M50)</f>
        <v>115.16934319005667</v>
      </c>
    </row>
    <row r="51" spans="12:16">
      <c r="M51">
        <f>($B$23/5)</f>
        <v>1.3560199999999999E-3</v>
      </c>
      <c r="N51" s="38">
        <f>($S$19*Params!K17)</f>
        <v>97187.678849349948</v>
      </c>
      <c r="O51" s="41">
        <f>(N51*M51)</f>
        <v>131.7884362732955</v>
      </c>
    </row>
    <row r="52" spans="12:16">
      <c r="M52">
        <f>($B$23/5)</f>
        <v>1.3560199999999999E-3</v>
      </c>
      <c r="N52" s="38">
        <f>($S$19*Params!K18)</f>
        <v>194375.3576986999</v>
      </c>
      <c r="O52" s="41">
        <f>(N52*M52)</f>
        <v>263.57687254659101</v>
      </c>
    </row>
    <row r="54" spans="12:16">
      <c r="O54" s="41">
        <f>(SUM(O49:O52))</f>
        <v>517.99025200994311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5.5862800000000003E-4</v>
      </c>
      <c r="N58" s="38">
        <f>($S$20*Params!K16)</f>
        <v>51542.672748972647</v>
      </c>
      <c r="O58" s="41">
        <f>(N58*M58)</f>
        <v>28.793180192413093</v>
      </c>
    </row>
    <row r="59" spans="12:16">
      <c r="M59">
        <f>($B$24/5)</f>
        <v>3.0534400000000004E-4</v>
      </c>
      <c r="N59" s="38">
        <f>($S$20*Params!K17)</f>
        <v>103085.34549794529</v>
      </c>
      <c r="O59" s="41">
        <f>(N59*M59)</f>
        <v>31.476491735724611</v>
      </c>
    </row>
    <row r="60" spans="12:16">
      <c r="M60">
        <f>($B$24/5)</f>
        <v>3.0534400000000004E-4</v>
      </c>
      <c r="N60" s="38">
        <f>($S$20*Params!K18)</f>
        <v>206170.69099589059</v>
      </c>
      <c r="O60" s="41">
        <f>(N60*M60)</f>
        <v>62.952983471449222</v>
      </c>
    </row>
    <row r="62" spans="12:16">
      <c r="O62" s="41">
        <f>(SUM(O57:O60))</f>
        <v>124.34506899958693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24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3.4746000000000001E-4</v>
      </c>
      <c r="N73" s="38">
        <f>($S$24*Params!K15)</f>
        <v>40450.699361077539</v>
      </c>
      <c r="O73" s="41">
        <f>(N73*M73)</f>
        <v>14.055000000000001</v>
      </c>
    </row>
    <row r="74" spans="12:16">
      <c r="M74">
        <f>($R$24/5)</f>
        <v>3.4746000000000001E-4</v>
      </c>
      <c r="N74" s="38">
        <f>($S$24*Params!K16)</f>
        <v>53934.265814770049</v>
      </c>
      <c r="O74" s="41">
        <f>(N74*M74)</f>
        <v>18.740000000000002</v>
      </c>
    </row>
    <row r="75" spans="12:16">
      <c r="M75">
        <f>($R$24/5)</f>
        <v>3.4746000000000001E-4</v>
      </c>
      <c r="N75" s="38">
        <f>($S$24*Params!K17)</f>
        <v>107868.5316295401</v>
      </c>
      <c r="O75" s="41">
        <f>(N75*M75)</f>
        <v>37.480000000000004</v>
      </c>
    </row>
    <row r="76" spans="12:16">
      <c r="M76">
        <f>($R$24/5)</f>
        <v>3.4746000000000001E-4</v>
      </c>
      <c r="N76" s="38">
        <f>($S$24*Params!K18)</f>
        <v>215737.0632590802</v>
      </c>
      <c r="O76" s="41">
        <f>(N76*M76)</f>
        <v>74.960000000000008</v>
      </c>
    </row>
    <row r="78" spans="12:16">
      <c r="O78" s="41">
        <f>(SUM(O73:O76))</f>
        <v>145.23500000000001</v>
      </c>
    </row>
  </sheetData>
  <conditionalFormatting sqref="C5 C7:C17 C19:C20 C22:C25 C34:C36 G37 N10:N12 N20 N26:N28 N34:N35 S5 S7:S21 S24">
    <cfRule type="cellIs" dxfId="281" priority="45" operator="lessThan">
      <formula>$J$3</formula>
    </cfRule>
    <cfRule type="cellIs" dxfId="280" priority="46" operator="greaterThan">
      <formula>$J$3</formula>
    </cfRule>
  </conditionalFormatting>
  <conditionalFormatting sqref="N36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N42:N44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N50:N52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N58:N60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6:N68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N73:N76">
    <cfRule type="cellIs" dxfId="269" priority="9" operator="lessThan">
      <formula>$J$3</formula>
    </cfRule>
    <cfRule type="cellIs" dxfId="268" priority="10" operator="greaterThan">
      <formula>$J$3</formula>
    </cfRule>
  </conditionalFormatting>
  <conditionalFormatting sqref="N4">
    <cfRule type="cellIs" dxfId="267" priority="1" operator="greaterThan">
      <formula>$J$3</formula>
    </cfRule>
    <cfRule type="cellIs" dxfId="26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N19" sqref="N1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14.27942239317596</v>
      </c>
      <c r="M3" t="s">
        <v>4</v>
      </c>
      <c r="N3" s="24">
        <f>(INDEX(N5:N16,MATCH(MAX(O6:O8),O5:O16,0))/0.9)</f>
        <v>0.29066666666666668</v>
      </c>
      <c r="O3" s="39">
        <f>(MAX(O6:O8)*0.85)</f>
        <v>13.030342087155963</v>
      </c>
      <c r="P3" s="3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7.8550020204643536</v>
      </c>
      <c r="K4" s="4">
        <f>(J4/D11-1)</f>
        <v>-25.428240221637186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38">
        <f>(D5/B5)</f>
        <v>7.0183476155829707</v>
      </c>
      <c r="D5" s="38">
        <v>9.33</v>
      </c>
      <c r="E5" t="s">
        <v>83</v>
      </c>
      <c r="M5" t="s">
        <v>83</v>
      </c>
      <c r="N5" t="s">
        <v>31</v>
      </c>
      <c r="O5" t="s">
        <v>1</v>
      </c>
      <c r="P5" t="s">
        <v>2</v>
      </c>
      <c r="R5" s="1">
        <f>(B5)+B7+B8+B9</f>
        <v>0.54777273999999987</v>
      </c>
      <c r="S5" s="38">
        <f>(T5/R5)</f>
        <v>7.1847884945862788</v>
      </c>
      <c r="T5" s="38">
        <f>(D5)+(B7+B8+B9)*6.9017</f>
        <v>3.93563128</v>
      </c>
    </row>
    <row r="6" spans="2:21">
      <c r="B6" s="2">
        <v>2.3196800000000002E-3</v>
      </c>
      <c r="C6" s="40">
        <v>0</v>
      </c>
      <c r="D6" s="26">
        <f>(B6*C6)</f>
        <v>0</v>
      </c>
      <c r="E6" s="38">
        <f>(B6*J3)</f>
        <v>3.3123690537002412E-2</v>
      </c>
      <c r="M6" t="s">
        <v>11</v>
      </c>
      <c r="N6" s="24">
        <f>-B7</f>
        <v>0.25</v>
      </c>
      <c r="O6" s="38">
        <f>P6/N6</f>
        <v>10.198829079999999</v>
      </c>
      <c r="P6" s="38">
        <f>-D7</f>
        <v>2.5497072699999999</v>
      </c>
      <c r="Q6" t="s">
        <v>12</v>
      </c>
      <c r="R6" s="2">
        <f>(B6)</f>
        <v>2.3196800000000002E-3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-B8</f>
        <v>0.27</v>
      </c>
      <c r="O7" s="38">
        <f>C8</f>
        <v>11.450249925925926</v>
      </c>
      <c r="P7" s="38">
        <f>-D8</f>
        <v>3.0915674800000001</v>
      </c>
      <c r="Q7" t="s">
        <v>12</v>
      </c>
      <c r="R7" s="1">
        <f>(B7)-B7</f>
        <v>0</v>
      </c>
      <c r="S7" s="38">
        <v>0</v>
      </c>
      <c r="T7" s="38">
        <f>(D7)-B7*6.9017</f>
        <v>-0.82428226999999987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P8/N8</f>
        <v>15.329814220183486</v>
      </c>
      <c r="P8" s="38">
        <f>-D9</f>
        <v>4.0102793999999999</v>
      </c>
      <c r="Q8" t="s">
        <v>12</v>
      </c>
      <c r="R8" s="1">
        <f>(B8)-B8</f>
        <v>0</v>
      </c>
      <c r="S8" s="38">
        <v>0</v>
      </c>
      <c r="T8" s="38">
        <f>(D8)-B8*6.9017</f>
        <v>-1.2281084799999999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0.28375393599999987</v>
      </c>
      <c r="O9" s="38">
        <f>($C$5*Params!K11)</f>
        <v>35.091738077914854</v>
      </c>
      <c r="P9" s="38">
        <f>(O9*N9)</f>
        <v>9.9574188006894104</v>
      </c>
      <c r="R9" s="1">
        <f>(B9)-B9</f>
        <v>0</v>
      </c>
      <c r="S9" s="38">
        <v>0</v>
      </c>
      <c r="T9" s="38">
        <f>(D9)-B9*6.9017</f>
        <v>-2.20479468</v>
      </c>
      <c r="U9" s="39"/>
    </row>
    <row r="10" spans="2:21">
      <c r="C10" s="38"/>
      <c r="D10" s="38"/>
      <c r="F10" t="s">
        <v>9</v>
      </c>
      <c r="G10" s="38">
        <f>(D11/B11)</f>
        <v>-0.58454568415976338</v>
      </c>
      <c r="O10" s="38"/>
      <c r="P10" s="38"/>
      <c r="R10" s="1"/>
      <c r="S10" s="38"/>
      <c r="T10" s="38"/>
      <c r="U10" s="39"/>
    </row>
    <row r="11" spans="2:21">
      <c r="B11">
        <f>(SUM(B5:B10))</f>
        <v>0.55009241999999992</v>
      </c>
      <c r="C11" s="38"/>
      <c r="D11" s="38">
        <f>(SUM(D5:D10))</f>
        <v>-0.32155414999999987</v>
      </c>
      <c r="O11" s="38"/>
      <c r="P11" s="38">
        <f>(SUM(P6:P9))</f>
        <v>19.608972950689409</v>
      </c>
      <c r="R11" s="1"/>
      <c r="S11" s="38"/>
      <c r="T11" s="39"/>
    </row>
    <row r="22" spans="18:20">
      <c r="R22">
        <f>(SUM(R5:R21))</f>
        <v>0.55009241999999992</v>
      </c>
      <c r="T22" s="38">
        <f>(SUM(T5:T21))</f>
        <v>-0.32155414999999987</v>
      </c>
    </row>
  </sheetData>
  <conditionalFormatting sqref="C5 G10 O9 S5">
    <cfRule type="cellIs" dxfId="139" priority="9" operator="lessThan">
      <formula>$J$3</formula>
    </cfRule>
    <cfRule type="cellIs" dxfId="138" priority="10" operator="greaterThan">
      <formula>$J$3</formula>
    </cfRule>
  </conditionalFormatting>
  <conditionalFormatting sqref="O3">
    <cfRule type="cellIs" dxfId="137" priority="3" operator="greaterThan">
      <formula>$J$3</formula>
    </cfRule>
    <cfRule type="cellIs" dxfId="136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71.119455817866353</v>
      </c>
      <c r="N3" s="24"/>
      <c r="O3" s="39"/>
      <c r="P3" s="35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11.669193544859414</v>
      </c>
      <c r="K4" s="4">
        <f>(J4/D15-1)</f>
        <v>0.17409562773299792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31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1.12119E-3</v>
      </c>
      <c r="C6" s="40">
        <v>0</v>
      </c>
      <c r="D6" s="26">
        <f>(B6*C6)</f>
        <v>0</v>
      </c>
      <c r="E6" s="38">
        <f>(B6*J3)</f>
        <v>7.9738422668433576E-2</v>
      </c>
      <c r="M6" t="s">
        <v>11</v>
      </c>
      <c r="N6" s="49">
        <f>(SUM(R$5:R$8)/5)</f>
        <v>3.2815756000000008E-2</v>
      </c>
      <c r="O6" s="38">
        <f>($C$7*Params!K8)</f>
        <v>89.451451451451447</v>
      </c>
      <c r="P6" s="38">
        <f>(O6*N6)</f>
        <v>2.9354170046766774</v>
      </c>
      <c r="R6" s="2">
        <f>(B6)</f>
        <v>1.12119E-3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49">
        <f>(SUM(R$5:R$8)/5)</f>
        <v>3.2815756000000008E-2</v>
      </c>
      <c r="O7" s="38">
        <f>($C$7*Params!K9)</f>
        <v>110.09409409409409</v>
      </c>
      <c r="P7" s="38">
        <f>(O7*N7)</f>
        <v>3.6128209288328335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49">
        <f>(SUM(R$5:R$8)/5)</f>
        <v>3.2815756000000008E-2</v>
      </c>
      <c r="O8" s="38">
        <f>($C$7*Params!K10)</f>
        <v>151.37937937937937</v>
      </c>
      <c r="P8" s="38">
        <f>(O8*N8)</f>
        <v>4.9676287771451459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1.2748858287078606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49">
        <f>(SUM(R$5:R$8)/5)</f>
        <v>3.2815756000000008E-2</v>
      </c>
      <c r="O9" s="38">
        <f>($C$7*Params!K11)</f>
        <v>344.04404404404403</v>
      </c>
      <c r="P9" s="38">
        <f>(O9*N9)</f>
        <v>11.290065402602606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22.805932113257263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60.573818808257833</v>
      </c>
    </row>
    <row r="15" spans="2:21">
      <c r="B15" s="1">
        <f>(SUM(B5:B14))</f>
        <v>0.16407878000000001</v>
      </c>
      <c r="D15" s="38">
        <f>(SUM(D5:D14))</f>
        <v>9.9388782899999999</v>
      </c>
    </row>
    <row r="21" spans="18:20">
      <c r="R21">
        <f>(SUM(R5:R20))</f>
        <v>0.16407878000000004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35" priority="21" operator="lessThan">
      <formula>$J$3</formula>
    </cfRule>
    <cfRule type="cellIs" dxfId="134" priority="22" operator="greaterThan">
      <formula>$J$3</formula>
    </cfRule>
  </conditionalFormatting>
  <conditionalFormatting sqref="C9">
    <cfRule type="cellIs" dxfId="133" priority="9" operator="lessThan">
      <formula>$J$3</formula>
    </cfRule>
    <cfRule type="cellIs" dxfId="132" priority="10" operator="greaterThan">
      <formula>$J$3</formula>
    </cfRule>
  </conditionalFormatting>
  <conditionalFormatting sqref="C12:C13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7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14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B19" sqref="B19:D20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0.92809938523496105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(B22*J3)</f>
        <v>3.863290825380433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0">
        <v>5.5800990000000002E-2</v>
      </c>
      <c r="C6" s="40">
        <v>0</v>
      </c>
      <c r="D6" s="26">
        <f>(B6*C6)</f>
        <v>0</v>
      </c>
      <c r="E6" s="38">
        <f>(B6*J3)</f>
        <v>5.1788864514502209E-2</v>
      </c>
    </row>
    <row r="7" spans="2:10">
      <c r="B7" s="49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20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19" spans="2:4">
      <c r="B19">
        <v>0.31639059000000003</v>
      </c>
      <c r="C19" s="38">
        <v>0</v>
      </c>
      <c r="D19" s="38">
        <f t="shared" si="0"/>
        <v>0</v>
      </c>
    </row>
    <row r="20" spans="2:4">
      <c r="B20">
        <v>0.31639059000000003</v>
      </c>
      <c r="C20" s="38">
        <v>0</v>
      </c>
      <c r="D20" s="38">
        <f t="shared" si="0"/>
        <v>0</v>
      </c>
    </row>
    <row r="22" spans="2:4">
      <c r="B22">
        <f>(SUM(B5:B21))</f>
        <v>4.1625831100000008</v>
      </c>
      <c r="D22" s="38">
        <f>(SUM(D5:D21))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E32" sqref="E32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1.6411581851681289E-4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(B39*J3)</f>
        <v>21.007806629644069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31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48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31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48">
        <v>5.0000000000000001E-4</v>
      </c>
      <c r="O9" s="21">
        <f>B39/4</f>
        <v>32001.495680765103</v>
      </c>
      <c r="P9" s="38">
        <f>(O9*N9)</f>
        <v>16.000747840382552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N11" t="s">
        <v>1</v>
      </c>
      <c r="O11" t="s">
        <v>0</v>
      </c>
      <c r="P11" t="s">
        <v>2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M12" t="s">
        <v>4</v>
      </c>
      <c r="N12" s="48">
        <f>C37/2</f>
        <v>1.2834058513333334E-4</v>
      </c>
      <c r="O12" s="30">
        <f>-B37-B36</f>
        <v>212000</v>
      </c>
      <c r="P12" s="38">
        <f>(O12*N12)</f>
        <v>27.208204048266669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4851.2399891300001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4851.2399891300001</v>
      </c>
      <c r="C18" s="40">
        <v>0</v>
      </c>
      <c r="D18" s="26">
        <f>(B18*C18)</f>
        <v>0</v>
      </c>
      <c r="E18" s="38">
        <f>(B18*J3)</f>
        <v>0.79616522163756442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  <c r="R26" s="29">
        <f>B36</f>
        <v>-62000</v>
      </c>
      <c r="S26" s="28">
        <f>T26/R26</f>
        <v>2.5846530951612908E-4</v>
      </c>
      <c r="T26" s="39">
        <f>D36</f>
        <v>-16.024849190000001</v>
      </c>
    </row>
    <row r="27" spans="2:20">
      <c r="B27" s="29">
        <v>-40000</v>
      </c>
      <c r="C27" s="28">
        <f t="shared" ref="C27:C37" si="4">(D27/B27)</f>
        <v>3.1099999999999997E-4</v>
      </c>
      <c r="D27" s="38">
        <v>-12.44</v>
      </c>
      <c r="R27" s="29">
        <f>B37</f>
        <v>-150000</v>
      </c>
      <c r="S27" s="28">
        <f>T27/R27</f>
        <v>2.5668117026666668E-4</v>
      </c>
      <c r="T27" s="39">
        <f>D37</f>
        <v>-38.502175540000003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  <c r="E32" s="39"/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/>
    </row>
    <row r="36" spans="2:20">
      <c r="B36" s="29">
        <v>-62000</v>
      </c>
      <c r="C36" s="28">
        <f t="shared" si="4"/>
        <v>2.5846530951612908E-4</v>
      </c>
      <c r="D36" s="38">
        <v>-16.024849190000001</v>
      </c>
      <c r="E36" s="38">
        <f>B36*J3</f>
        <v>-10.175180748042399</v>
      </c>
    </row>
    <row r="37" spans="2:20">
      <c r="B37" s="29">
        <v>-150000</v>
      </c>
      <c r="C37" s="28">
        <f t="shared" si="4"/>
        <v>2.5668117026666668E-4</v>
      </c>
      <c r="D37" s="38">
        <v>-38.502175540000003</v>
      </c>
      <c r="E37" s="38">
        <f>B37*J3</f>
        <v>-24.617372777521933</v>
      </c>
    </row>
    <row r="39" spans="2:20">
      <c r="B39">
        <f>(SUM(B5:B38))</f>
        <v>128005.98272306041</v>
      </c>
      <c r="D39" s="38">
        <f>(SUM(D5:D38))</f>
        <v>-76.307382291799911</v>
      </c>
      <c r="F39" t="s">
        <v>9</v>
      </c>
      <c r="G39" s="28">
        <f>(D39/B39)</f>
        <v>-5.9612356132517747E-4</v>
      </c>
      <c r="R39">
        <f>(SUM(R5:R38))</f>
        <v>128005.98272306041</v>
      </c>
      <c r="T39" s="38">
        <f>(SUM(T5:T38))</f>
        <v>-76.307382291799911</v>
      </c>
    </row>
  </sheetData>
  <conditionalFormatting sqref="C5:C9 C14:C16 C25:C26 C28 C30 C32 C35">
    <cfRule type="cellIs" dxfId="125" priority="15" operator="lessThan">
      <formula>$J$3</formula>
    </cfRule>
    <cfRule type="cellIs" dxfId="124" priority="16" operator="greaterThan">
      <formula>$J$3</formula>
    </cfRule>
  </conditionalFormatting>
  <conditionalFormatting sqref="N6">
    <cfRule type="cellIs" dxfId="123" priority="11" operator="lessThan">
      <formula>$J$3</formula>
    </cfRule>
    <cfRule type="cellIs" dxfId="122" priority="12" operator="greaterThan">
      <formula>$J$3</formula>
    </cfRule>
  </conditionalFormatting>
  <conditionalFormatting sqref="N9">
    <cfRule type="cellIs" dxfId="121" priority="7" operator="lessThan">
      <formula>$J$3</formula>
    </cfRule>
    <cfRule type="cellIs" dxfId="120" priority="8" operator="greaterThan">
      <formula>$J$3</formula>
    </cfRule>
  </conditionalFormatting>
  <conditionalFormatting sqref="S5:S9 S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G39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N12">
    <cfRule type="cellIs" dxfId="115" priority="1" operator="greaterThan">
      <formula>$J$3</formula>
    </cfRule>
    <cfRule type="cellIs" dxfId="114" priority="2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0.83824324304177789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47.319607190744662</v>
      </c>
      <c r="K4" s="4">
        <f>(J4/D18-1)</f>
        <v>-3.7560815549000925E-2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31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20">
        <v>0.31775270999999999</v>
      </c>
      <c r="C6" s="40">
        <v>0</v>
      </c>
      <c r="D6" s="26">
        <f>(B6*C6)</f>
        <v>0</v>
      </c>
      <c r="E6" s="38">
        <f>(B6*J3)</f>
        <v>0.26635406211571355</v>
      </c>
      <c r="M6" t="s">
        <v>11</v>
      </c>
      <c r="N6" s="19">
        <f>($B$7+$R$9)/5</f>
        <v>8.551938851777777</v>
      </c>
      <c r="O6" s="38">
        <f>($S$7*Params!K8)</f>
        <v>1.2003668011417237</v>
      </c>
      <c r="P6" s="38">
        <f>(O6*N6)</f>
        <v>10.265463483068116</v>
      </c>
      <c r="R6" s="36">
        <f>(B6)</f>
        <v>0.31775270999999999</v>
      </c>
      <c r="S6" s="40">
        <v>0</v>
      </c>
      <c r="T6" s="26">
        <f>(D6)</f>
        <v>0</v>
      </c>
      <c r="U6" s="38">
        <f>(R6*J3)</f>
        <v>0.26635406211571355</v>
      </c>
    </row>
    <row r="7" spans="2:21">
      <c r="B7" s="19">
        <v>42.128789259999998</v>
      </c>
      <c r="C7" s="38">
        <f t="shared" ref="C7:C14" si="0">(D7/B7)</f>
        <v>0.92335907780132587</v>
      </c>
      <c r="D7" s="38">
        <v>38.9</v>
      </c>
      <c r="E7" t="s">
        <v>15</v>
      </c>
      <c r="N7" s="19">
        <f>($B$7+$R$9)/5</f>
        <v>8.551938851777777</v>
      </c>
      <c r="O7" s="38">
        <f>($S$7*Params!K9)</f>
        <v>1.4773745244821215</v>
      </c>
      <c r="P7" s="38">
        <f>(O7*N7)</f>
        <v>12.634416594545373</v>
      </c>
      <c r="R7" s="19">
        <f>B7</f>
        <v>42.128789259999998</v>
      </c>
      <c r="S7" s="38">
        <f>(T7/R7)</f>
        <v>0.92335907780132587</v>
      </c>
      <c r="T7" s="38">
        <f>D7</f>
        <v>38.9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8.551938851777777</v>
      </c>
      <c r="O8" s="38">
        <f>($S$7*Params!K10)</f>
        <v>2.0313899711629171</v>
      </c>
      <c r="P8" s="38">
        <f>(O8*N8)</f>
        <v>17.372322817499889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8.551938851777777</v>
      </c>
      <c r="O9" s="38">
        <f>($C$7*Params!K11)</f>
        <v>4.6167953890066293</v>
      </c>
      <c r="P9" s="38">
        <f>(O9*N9)</f>
        <v>39.482551857954292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79.754754753067672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31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0.87095710210503763</v>
      </c>
      <c r="N17" s="19">
        <f>($B$5+$R$10)/5</f>
        <v>2.5486879742222222</v>
      </c>
      <c r="O17" s="38">
        <f>($C$5*Params!K11)</f>
        <v>4.3032786885245908</v>
      </c>
      <c r="P17" s="38">
        <f>(O17*N17)</f>
        <v>10.967714643169399</v>
      </c>
      <c r="R17">
        <f>(SUM(R5:R12))</f>
        <v>56.450925890000001</v>
      </c>
      <c r="S17" s="38"/>
      <c r="T17" s="38">
        <f>(SUM(T5:T12))</f>
        <v>49.166334824300641</v>
      </c>
    </row>
    <row r="18" spans="2:20">
      <c r="B18" s="19">
        <f>(SUM(B5:B17))</f>
        <v>56.450925890000001</v>
      </c>
      <c r="D18" s="38">
        <f>(SUM(D5:D17))</f>
        <v>49.166334824300641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22.154783579202189</v>
      </c>
    </row>
    <row r="27" spans="2:20">
      <c r="H27" s="39"/>
    </row>
  </sheetData>
  <conditionalFormatting sqref="C5 C7:C8 C13:C16 O6:O9 O14:O17 S5 S7">
    <cfRule type="cellIs" dxfId="113" priority="25" operator="lessThan">
      <formula>$J$3</formula>
    </cfRule>
    <cfRule type="cellIs" dxfId="112" priority="26" operator="greaterThan">
      <formula>$J$3</formula>
    </cfRule>
  </conditionalFormatting>
  <conditionalFormatting sqref="S8">
    <cfRule type="cellIs" dxfId="111" priority="3" operator="lessThan">
      <formula>$J$3</formula>
    </cfRule>
    <cfRule type="cellIs" dxfId="110" priority="4" operator="greaterThan">
      <formula>$J$3</formula>
    </cfRule>
  </conditionalFormatting>
  <conditionalFormatting sqref="G17">
    <cfRule type="cellIs" dxfId="109" priority="1" operator="lessThan">
      <formula>$J$3</formula>
    </cfRule>
    <cfRule type="cellIs" dxfId="108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G9" sqref="G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0.7400566369672138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39.070792208976435</v>
      </c>
      <c r="K4" s="4">
        <f>(J4/D10-1)</f>
        <v>-1.3114619626763524E-2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83</v>
      </c>
      <c r="N5" t="s">
        <v>31</v>
      </c>
      <c r="O5" t="s">
        <v>1</v>
      </c>
      <c r="P5" t="s">
        <v>2</v>
      </c>
    </row>
    <row r="6" spans="2:16">
      <c r="B6" s="36">
        <v>0.33128562</v>
      </c>
      <c r="C6" s="40">
        <v>0</v>
      </c>
      <c r="D6" s="26">
        <f>(B6*C6)</f>
        <v>0</v>
      </c>
      <c r="E6" s="38">
        <f>(B6*J3)</f>
        <v>0.24517012181279835</v>
      </c>
      <c r="M6" t="s">
        <v>11</v>
      </c>
      <c r="N6" s="29">
        <f>($B$10/5)</f>
        <v>10.558865432000001</v>
      </c>
      <c r="O6" s="38">
        <f>($C$5*Params!K8)</f>
        <v>0.98505771545924514</v>
      </c>
      <c r="P6" s="38">
        <f>(O6*N6)</f>
        <v>10.401091860287517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0.15936493589174075</v>
      </c>
      <c r="N7" s="29">
        <f>($B$10/5)</f>
        <v>10.558865432000001</v>
      </c>
      <c r="O7" s="38">
        <f>($C$5*Params!K9)</f>
        <v>1.2123787267190709</v>
      </c>
      <c r="P7" s="38">
        <f>(O7*N7)</f>
        <v>12.801343828046173</v>
      </c>
    </row>
    <row r="8" spans="2:16">
      <c r="N8" s="29">
        <f>($B$10/5)</f>
        <v>10.558865432000001</v>
      </c>
      <c r="O8" s="38">
        <f>($C$5*Params!K10)</f>
        <v>1.6670207492387226</v>
      </c>
      <c r="P8" s="38">
        <f>(O8*N8)</f>
        <v>17.601847763563491</v>
      </c>
    </row>
    <row r="9" spans="2:16">
      <c r="F9" t="s">
        <v>9</v>
      </c>
      <c r="G9" s="38">
        <f>(D10/B10)</f>
        <v>0.74989117448201237</v>
      </c>
      <c r="N9" s="29">
        <f>($B$10/5)</f>
        <v>10.558865432000001</v>
      </c>
      <c r="O9" s="38">
        <f>($C$5*Params!K11)</f>
        <v>3.7886835209970964</v>
      </c>
      <c r="P9" s="38">
        <f>(O9*N9)</f>
        <v>40.004199462644294</v>
      </c>
    </row>
    <row r="10" spans="2:16">
      <c r="B10" s="29">
        <f>(SUM(B5:B9))</f>
        <v>52.794327160000002</v>
      </c>
      <c r="D10" s="38">
        <f>(SUM(D5:D9))</f>
        <v>39.590000000000003</v>
      </c>
    </row>
    <row r="11" spans="2:16">
      <c r="P11" s="38">
        <f>(SUM(P6:P9))</f>
        <v>80.808482914541472</v>
      </c>
    </row>
  </sheetData>
  <conditionalFormatting sqref="C5"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6:O9"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2.183912341907412</v>
      </c>
      <c r="M3" t="s">
        <v>4</v>
      </c>
      <c r="N3" s="24">
        <f>(INDEX(N5:N27,MATCH(MAX(O6,O14),O5:O27,0))/0.9)</f>
        <v>4.7777777777777777</v>
      </c>
      <c r="O3" s="39">
        <f>(MAX(O6,O14)*0.85)</f>
        <v>2.0080046913953487</v>
      </c>
      <c r="P3" s="38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(B21*J3)</f>
        <v>42.745076907416539</v>
      </c>
      <c r="K4" s="4">
        <f>(J4/D21-1)</f>
        <v>0.39603829107540478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84</v>
      </c>
      <c r="M5" t="s">
        <v>84</v>
      </c>
      <c r="N5" t="s">
        <v>31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22.103189749999999</v>
      </c>
      <c r="C6" s="38">
        <f>(D6/B6)</f>
        <v>1.7599269806748141</v>
      </c>
      <c r="D6" s="38">
        <v>38.9</v>
      </c>
      <c r="E6" t="s">
        <v>15</v>
      </c>
      <c r="M6" t="s">
        <v>11</v>
      </c>
      <c r="N6" s="1">
        <f>-B18</f>
        <v>0.37769784172661802</v>
      </c>
      <c r="O6" s="38">
        <f>P6/N6</f>
        <v>2.1765811428571467</v>
      </c>
      <c r="P6" s="38">
        <f>-D18</f>
        <v>0.82208999999999999</v>
      </c>
      <c r="Q6" t="s">
        <v>12</v>
      </c>
      <c r="R6" s="1">
        <f>B6+B19</f>
        <v>17.803189749999998</v>
      </c>
      <c r="S6" s="38">
        <f>(T6/R6)</f>
        <v>1.7647399393695731</v>
      </c>
      <c r="T6" s="38">
        <f>D6+B19*1.74</f>
        <v>31.417999999999999</v>
      </c>
      <c r="U6" s="38" t="str">
        <f>(E6)</f>
        <v>DCA2</v>
      </c>
    </row>
    <row r="7" spans="2:22">
      <c r="B7" s="2">
        <v>0.10009415000000001</v>
      </c>
      <c r="C7" s="40">
        <v>0</v>
      </c>
      <c r="D7" s="26">
        <v>0</v>
      </c>
      <c r="E7" s="39">
        <f>B7*J3</f>
        <v>0.21859684953773179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0.10009415000000001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9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0.43142951437248755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8.3798882681564244</v>
      </c>
      <c r="P9" s="38">
        <f>(O9*N9)</f>
        <v>3.2033059984122638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84</v>
      </c>
      <c r="V9" s="39">
        <f>-T9+R9*$J$3</f>
        <v>0.43102647920608966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>
        <f>B18</f>
        <v>-0.37769784172661802</v>
      </c>
      <c r="S10" s="38">
        <f>T10/R10</f>
        <v>2.1765811428571467</v>
      </c>
      <c r="T10" s="38">
        <f>D18</f>
        <v>-0.82208999999999999</v>
      </c>
      <c r="U10" t="s">
        <v>85</v>
      </c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6.4599085572055852</v>
      </c>
      <c r="R11" s="1">
        <f>B19-B19</f>
        <v>0</v>
      </c>
      <c r="S11" s="38">
        <v>0</v>
      </c>
      <c r="T11" s="39">
        <f>D19-B19*1.74</f>
        <v>-2.6761413800000007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31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-B19</f>
        <v>4.3</v>
      </c>
      <c r="O14" s="38">
        <f>P14/N14</f>
        <v>2.3623584604651162</v>
      </c>
      <c r="P14" s="38">
        <f>-D19</f>
        <v>10.15814138</v>
      </c>
      <c r="Q14" t="s">
        <v>12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4.4478010039999996</v>
      </c>
      <c r="O15" s="38">
        <f>($S$6*Params!K9)</f>
        <v>2.823583902991317</v>
      </c>
      <c r="P15" s="38">
        <f>(O15*N15)</f>
        <v>12.558739318603017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4.4478010039999996</v>
      </c>
      <c r="O16" s="38">
        <f>($C$6*Params!K10)</f>
        <v>3.8718393574845913</v>
      </c>
      <c r="P16" s="38">
        <f>(O16*N16)</f>
        <v>17.221170981546678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4.4478010039999996</v>
      </c>
      <c r="O17" s="38">
        <f>($C$6*Params!K11)</f>
        <v>8.7996349033740699</v>
      </c>
      <c r="P17" s="38">
        <f>(O17*N17)</f>
        <v>39.139024958060631</v>
      </c>
      <c r="S17" s="38"/>
      <c r="T17" s="38"/>
    </row>
    <row r="18" spans="2:20">
      <c r="B18" s="1">
        <v>-0.37769784172661802</v>
      </c>
      <c r="C18" s="38">
        <f t="shared" si="0"/>
        <v>2.1765811428571467</v>
      </c>
      <c r="D18" s="38">
        <v>-0.82208999999999999</v>
      </c>
      <c r="E18" t="str">
        <f>U10</f>
        <v>Learn 1/5</v>
      </c>
      <c r="N18" s="1"/>
      <c r="O18" s="38"/>
      <c r="P18" s="38"/>
      <c r="S18" s="38"/>
      <c r="T18" s="38"/>
    </row>
    <row r="19" spans="2:20">
      <c r="B19" s="1">
        <v>-4.3</v>
      </c>
      <c r="C19" s="38">
        <f t="shared" si="0"/>
        <v>2.3623584604651162</v>
      </c>
      <c r="D19" s="38">
        <v>-10.15814138</v>
      </c>
      <c r="O19" s="38"/>
      <c r="P19" s="38">
        <f>(SUM(P14:P17))</f>
        <v>79.077076638210329</v>
      </c>
      <c r="S19" s="38"/>
      <c r="T19" s="38"/>
    </row>
    <row r="20" spans="2:20">
      <c r="C20" s="38"/>
      <c r="D20" s="38"/>
      <c r="F20" t="s">
        <v>9</v>
      </c>
      <c r="G20" s="38">
        <f>(D21/B21)</f>
        <v>1.5643642125497055</v>
      </c>
      <c r="S20" s="38"/>
      <c r="T20" s="38"/>
    </row>
    <row r="21" spans="2:20">
      <c r="B21" s="1">
        <f>(SUM(B5:B20))</f>
        <v>19.572707240659359</v>
      </c>
      <c r="C21" s="38"/>
      <c r="D21" s="38">
        <f>(SUM(D5:D20))</f>
        <v>30.618842749999995</v>
      </c>
      <c r="S21" s="38"/>
      <c r="T21" s="38"/>
    </row>
    <row r="22" spans="2:20">
      <c r="S22" s="38"/>
      <c r="T22" s="38"/>
    </row>
    <row r="23" spans="2:20">
      <c r="S23" s="38"/>
      <c r="T23" s="38"/>
    </row>
    <row r="24" spans="2:20">
      <c r="R24" s="1">
        <f>(SUM(R5:R23))</f>
        <v>19.572707240659362</v>
      </c>
      <c r="S24" s="38"/>
      <c r="T24" s="38">
        <f>(SUM(T5:T23))</f>
        <v>30.618842749999995</v>
      </c>
    </row>
  </sheetData>
  <conditionalFormatting sqref="C5:C6 C12:C14 C16:C17 O7:O9 O15:O17 S5:S6">
    <cfRule type="cellIs" dxfId="101" priority="19" operator="lessThan">
      <formula>$J$3</formula>
    </cfRule>
    <cfRule type="cellIs" dxfId="100" priority="20" operator="greaterThan">
      <formula>$J$3</formula>
    </cfRule>
  </conditionalFormatting>
  <conditionalFormatting sqref="O3">
    <cfRule type="cellIs" dxfId="99" priority="1" operator="greaterThan">
      <formula>$J$3</formula>
    </cfRule>
    <cfRule type="cellIs" dxfId="9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2">
        <v>9.5933174812400681E-6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4.2190372285542352</v>
      </c>
      <c r="K4" s="4">
        <f>(J4/D13-1)</f>
        <v>-0.16122520307072863</v>
      </c>
    </row>
    <row r="5" spans="2:16">
      <c r="B5" s="22">
        <v>439531.68</v>
      </c>
      <c r="C5" s="52">
        <f>(D5/B5)</f>
        <v>1.1443998757950737E-5</v>
      </c>
      <c r="D5" s="38">
        <v>5.03</v>
      </c>
      <c r="E5" s="38"/>
      <c r="F5" s="38"/>
      <c r="G5" s="38"/>
      <c r="N5" t="s">
        <v>31</v>
      </c>
      <c r="O5" t="s">
        <v>1</v>
      </c>
      <c r="P5" t="s">
        <v>2</v>
      </c>
    </row>
    <row r="6" spans="2:16">
      <c r="B6" s="36">
        <v>257.5</v>
      </c>
      <c r="C6" s="40">
        <v>0</v>
      </c>
      <c r="D6" s="26">
        <f>(B6*C6)</f>
        <v>0</v>
      </c>
      <c r="E6" s="38">
        <f>(B6*J3)</f>
        <v>2.4702792514193174E-3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5.7219993789753684E-5</v>
      </c>
      <c r="P9" s="38">
        <f>(O9*N9)</f>
        <v>5.03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10.160600000000002</v>
      </c>
    </row>
    <row r="12" spans="2:16">
      <c r="C12" s="38"/>
      <c r="D12" s="38"/>
      <c r="E12" s="38"/>
      <c r="F12" s="38" t="s">
        <v>9</v>
      </c>
      <c r="G12" s="38">
        <f>(D13/B13)</f>
        <v>1.1437298207291049E-5</v>
      </c>
    </row>
    <row r="13" spans="2:16">
      <c r="B13">
        <f>(SUM(B5:B12))</f>
        <v>439789.18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7" priority="5" operator="lessThan">
      <formula>$J$3</formula>
    </cfRule>
    <cfRule type="cellIs" dxfId="96" priority="6" operator="greaterThan">
      <formula>$J$3</formula>
    </cfRule>
  </conditionalFormatting>
  <conditionalFormatting sqref="J3">
    <cfRule type="cellIs" dxfId="95" priority="3" operator="lessThan">
      <formula>$J$3</formula>
    </cfRule>
    <cfRule type="cellIs" dxfId="94" priority="4" operator="greaterThan">
      <formula>$J$3</formula>
    </cfRule>
  </conditionalFormatting>
  <conditionalFormatting sqref="O6:O9">
    <cfRule type="cellIs" dxfId="93" priority="1" operator="lessThan">
      <formula>$J$3</formula>
    </cfRule>
    <cfRule type="cellIs" dxfId="9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B18" sqref="B1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71.878585249463853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54.583817503516599</v>
      </c>
      <c r="P3" s="38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37</v>
      </c>
      <c r="I4" t="s">
        <v>8</v>
      </c>
      <c r="J4" s="38">
        <f>(B43*J3)</f>
        <v>271.1950709206327</v>
      </c>
      <c r="K4" s="4">
        <f>(J4/D43-1)</f>
        <v>5.4731066940954332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86</v>
      </c>
      <c r="N5" t="s">
        <v>31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-B36</f>
        <v>0.10885</v>
      </c>
      <c r="O7" s="38">
        <f>P7/N7</f>
        <v>23.941203491042717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64.216255886490117</v>
      </c>
      <c r="P9" s="38">
        <f>(O9*N9)</f>
        <v>6.9901535502415753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14.308215616187962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0.15094502902387408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87</v>
      </c>
      <c r="F13" s="39"/>
      <c r="M13" t="s">
        <v>10</v>
      </c>
      <c r="N13" t="s">
        <v>31</v>
      </c>
      <c r="O13" t="s">
        <v>1</v>
      </c>
      <c r="P13" t="s">
        <v>2</v>
      </c>
      <c r="R13" s="24">
        <f>(B17+B21+B37-N16)</f>
        <v>2.4269408199999996</v>
      </c>
      <c r="S13" s="38">
        <f>(T13/R13)</f>
        <v>21.8960703854328</v>
      </c>
      <c r="T13" s="38">
        <f>(D17+11.97*B21+B37*19.42078-N16*19.42078)</f>
        <v>53.140467015999988</v>
      </c>
      <c r="U13" t="s">
        <v>10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0.44284489814355854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5">
        <f>(B18)</f>
        <v>6.2138289999999999E-2</v>
      </c>
      <c r="S14" s="40">
        <f>(C18)</f>
        <v>0</v>
      </c>
      <c r="T14" s="26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3.7935935965791999E-2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B19+B22+B39-N25</f>
        <v>0.75483256000000021</v>
      </c>
      <c r="S15" s="38">
        <f>(T15/R15)</f>
        <v>22.671118479573792</v>
      </c>
      <c r="T15" s="38">
        <f>(D19+12.6*B22+20.2393*B39-20.2393*N25)</f>
        <v>17.112898399999999</v>
      </c>
      <c r="U15" t="s">
        <v>15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-B40-N25</f>
        <v>1.2328000000000001</v>
      </c>
      <c r="O16" s="38">
        <f>C40</f>
        <v>46.861096439187513</v>
      </c>
      <c r="P16" s="38">
        <f>(O16*N16)</f>
        <v>57.770359690230372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6.0206408199999997</v>
      </c>
      <c r="C17" s="38">
        <f>(D17/B17)</f>
        <v>20.070953178037286</v>
      </c>
      <c r="D17" s="38">
        <v>120.84</v>
      </c>
      <c r="E17" t="s">
        <v>10</v>
      </c>
      <c r="N17" s="24">
        <f>(($R$13+N14+$R$21)/5)</f>
        <v>0.55058268799999988</v>
      </c>
      <c r="O17" s="38">
        <f>($S$13*Params!K11)</f>
        <v>109.48035192716401</v>
      </c>
      <c r="P17" s="38">
        <f>(O17*N17)</f>
        <v>60.277986447243926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6.2138289999999999E-2</v>
      </c>
      <c r="C18" s="40">
        <v>0</v>
      </c>
      <c r="D18" s="26">
        <v>0</v>
      </c>
      <c r="E18" s="39">
        <f>B18*J3</f>
        <v>4.4664123750209068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1.8582725600000001</v>
      </c>
      <c r="C19" s="38">
        <f t="shared" ref="C19:C32" si="1">(D19/B19)</f>
        <v>20.933420014553729</v>
      </c>
      <c r="D19" s="38">
        <v>38.9</v>
      </c>
      <c r="E19" t="s">
        <v>15</v>
      </c>
      <c r="O19" s="38"/>
      <c r="P19" s="38">
        <f>(SUM(P14:P17))</f>
        <v>187.55271088747432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88</v>
      </c>
      <c r="V19" s="39">
        <f>-T19+R19*$J$3</f>
        <v>0.52878452602423476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89</v>
      </c>
      <c r="V20" s="39">
        <f>-T20+R20*$J$3</f>
        <v>3.2493467683517099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90</v>
      </c>
      <c r="V21" s="39">
        <f>-T21+R21*$J$3</f>
        <v>3.6949080790866891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31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  <c r="U22" t="s">
        <v>91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B37-B37</f>
        <v>0</v>
      </c>
      <c r="S23" s="39">
        <v>0</v>
      </c>
      <c r="T23" s="38">
        <f>D37-B37*19.42078</f>
        <v>-24.906942350000001</v>
      </c>
      <c r="U23" t="s">
        <v>92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36.273789567318069</v>
      </c>
      <c r="P24" s="38">
        <f>(O24*N24)</f>
        <v>23.577963218756746</v>
      </c>
      <c r="Q24" t="s">
        <v>12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93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0.382</f>
        <v>0.38200000000000001</v>
      </c>
      <c r="O25" s="38">
        <f>C40</f>
        <v>46.861096439187513</v>
      </c>
      <c r="P25" s="38">
        <f>(O25*N25)</f>
        <v>17.90093883976963</v>
      </c>
      <c r="Q25" t="s">
        <v>12</v>
      </c>
      <c r="R25" s="24">
        <f>B39-B39</f>
        <v>0</v>
      </c>
      <c r="S25" s="38">
        <v>0</v>
      </c>
      <c r="T25" s="38">
        <f>D39-B39*20.2393</f>
        <v>-8.2515799200000011</v>
      </c>
      <c r="U25" t="s">
        <v>94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0.16653139800000005</v>
      </c>
      <c r="O26" s="38">
        <f>($S$15*Params!K11)</f>
        <v>113.35559239786896</v>
      </c>
      <c r="P26" s="38">
        <f>(O26*N26)</f>
        <v>18.877265273135297</v>
      </c>
      <c r="R26" s="24">
        <f>N16-N16</f>
        <v>0</v>
      </c>
      <c r="S26" s="38">
        <v>0</v>
      </c>
      <c r="T26" s="38">
        <f>-57.77+(N16)*19.42078</f>
        <v>-33.828062416000002</v>
      </c>
      <c r="U26" t="s">
        <v>95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>N25-N25</f>
        <v>0</v>
      </c>
      <c r="S27" s="39">
        <v>0</v>
      </c>
      <c r="T27" s="39">
        <f>-P25+N25*20.2393</f>
        <v>-10.169526239769629</v>
      </c>
      <c r="U27" t="s">
        <v>96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61.519270851661673</v>
      </c>
      <c r="R28" s="24">
        <f>B41</f>
        <v>-0.10879999999999999</v>
      </c>
      <c r="S28" s="38">
        <f>C41</f>
        <v>58.381847426470586</v>
      </c>
      <c r="T28" s="38">
        <f>D41</f>
        <v>-6.3519449999999997</v>
      </c>
      <c r="U28" t="s">
        <v>97</v>
      </c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2"/>
        <v>32.934038338461541</v>
      </c>
      <c r="D39" s="38">
        <f>-21.40712492</f>
        <v>-21.407124920000001</v>
      </c>
      <c r="E39" s="38"/>
      <c r="N39" s="24">
        <f>N16+N25</f>
        <v>1.6148000000000002</v>
      </c>
      <c r="S39" s="38"/>
      <c r="T39" s="38"/>
    </row>
    <row r="40" spans="2:23">
      <c r="B40" s="24">
        <v>-1.6148</v>
      </c>
      <c r="C40" s="38">
        <f t="shared" si="2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2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3.7729606109999998</v>
      </c>
      <c r="C43" s="38"/>
      <c r="D43" s="38">
        <f>(SUM(D5:D42))</f>
        <v>41.89565902999999</v>
      </c>
      <c r="E43" s="38"/>
      <c r="F43" t="s">
        <v>9</v>
      </c>
      <c r="G43" s="38">
        <f>(D43/B43)</f>
        <v>11.104186698332853</v>
      </c>
      <c r="R43" s="24">
        <f>(SUM(R5:R36))</f>
        <v>3.7729606109999998</v>
      </c>
      <c r="S43" s="38"/>
      <c r="T43" s="38">
        <f>(SUM(T5:T36))</f>
        <v>41.893659160230371</v>
      </c>
      <c r="V43" t="s">
        <v>9</v>
      </c>
      <c r="W43" s="38">
        <f>(T43/R43)</f>
        <v>11.10365664515292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91" priority="95" operator="lessThan">
      <formula>$J$3</formula>
    </cfRule>
    <cfRule type="cellIs" dxfId="90" priority="96" operator="greaterThan">
      <formula>$J$3</formula>
    </cfRule>
  </conditionalFormatting>
  <conditionalFormatting sqref="C16:C17">
    <cfRule type="cellIs" dxfId="89" priority="79" operator="lessThan">
      <formula>$J$3</formula>
    </cfRule>
    <cfRule type="cellIs" dxfId="88" priority="80" operator="greaterThan">
      <formula>$J$3</formula>
    </cfRule>
    <cfRule type="cellIs" dxfId="87" priority="81" operator="lessThan">
      <formula>$J$3</formula>
    </cfRule>
    <cfRule type="cellIs" dxfId="86" priority="82" operator="greaterThan">
      <formula>$J$3</formula>
    </cfRule>
    <cfRule type="cellIs" dxfId="85" priority="89" operator="lessThan">
      <formula>$J$3</formula>
    </cfRule>
    <cfRule type="cellIs" dxfId="84" priority="90" operator="greaterThan">
      <formula>$J$3</formula>
    </cfRule>
  </conditionalFormatting>
  <conditionalFormatting sqref="C19:C20 G43 W43">
    <cfRule type="cellIs" dxfId="83" priority="73" operator="lessThan">
      <formula>$J$3</formula>
    </cfRule>
    <cfRule type="cellIs" dxfId="82" priority="74" operator="greaterThan">
      <formula>$J$3</formula>
    </cfRule>
    <cfRule type="cellIs" dxfId="81" priority="75" operator="lessThan">
      <formula>$J$3</formula>
    </cfRule>
    <cfRule type="cellIs" dxfId="80" priority="76" operator="greaterThan">
      <formula>$J$3</formula>
    </cfRule>
    <cfRule type="cellIs" dxfId="79" priority="77" operator="lessThan">
      <formula>$J$3</formula>
    </cfRule>
    <cfRule type="cellIs" dxfId="78" priority="78" operator="greaterThan">
      <formula>$J$3</formula>
    </cfRule>
    <cfRule type="cellIs" dxfId="77" priority="87" operator="lessThan">
      <formula>$J$3</formula>
    </cfRule>
    <cfRule type="cellIs" dxfId="76" priority="88" operator="greaterThan">
      <formula>$J$3</formula>
    </cfRule>
  </conditionalFormatting>
  <conditionalFormatting sqref="C27:C28 C30:C31 C34:C35"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69" operator="lessThan">
      <formula>$J$3</formula>
    </cfRule>
    <cfRule type="cellIs" dxfId="70" priority="70" operator="greaterThan">
      <formula>$J$3</formula>
    </cfRule>
    <cfRule type="cellIs" dxfId="69" priority="71" operator="lessThan">
      <formula>$J$3</formula>
    </cfRule>
    <cfRule type="cellIs" dxfId="68" priority="72" operator="greaterThan">
      <formula>$J$3</formula>
    </cfRule>
    <cfRule type="cellIs" dxfId="67" priority="85" operator="lessThan">
      <formula>$J$3</formula>
    </cfRule>
    <cfRule type="cellIs" dxfId="66" priority="86" operator="greaterThan">
      <formula>$J$3</formula>
    </cfRule>
  </conditionalFormatting>
  <conditionalFormatting sqref="O17 O26 S12:S13 S15:S16"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</conditionalFormatting>
  <conditionalFormatting sqref="O3">
    <cfRule type="cellIs" dxfId="61" priority="41" operator="greaterThan">
      <formula>$J$3</formula>
    </cfRule>
    <cfRule type="cellIs" dxfId="60" priority="42" operator="less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0.1013549061667408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0.94713610230154655</v>
      </c>
      <c r="K4" s="4">
        <f>(J4/D13-1)</f>
        <v>0.89427220460309309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31</v>
      </c>
      <c r="O5" t="s">
        <v>1</v>
      </c>
      <c r="P5" t="s">
        <v>2</v>
      </c>
    </row>
    <row r="6" spans="2:17">
      <c r="B6" s="20">
        <v>0.24349008</v>
      </c>
      <c r="C6" s="40">
        <v>0</v>
      </c>
      <c r="D6" s="26">
        <f>(B6*C6)</f>
        <v>0</v>
      </c>
      <c r="E6" s="38">
        <f>(B6*J3)</f>
        <v>2.4678914210932209E-2</v>
      </c>
      <c r="G6" s="38"/>
      <c r="M6" t="s">
        <v>11</v>
      </c>
      <c r="N6" s="19">
        <f>($B$13/5)</f>
        <v>1.8689496900000002</v>
      </c>
      <c r="O6" s="35">
        <f>($C$5*Params!K8)</f>
        <v>7.1418695478700056E-2</v>
      </c>
      <c r="P6" s="38">
        <f>(O6*N6)</f>
        <v>0.1334779487751209</v>
      </c>
      <c r="Q6" s="38">
        <f>N6*$J$3</f>
        <v>0.18942722046030933</v>
      </c>
    </row>
    <row r="7" spans="2:17">
      <c r="C7" s="38"/>
      <c r="D7" s="38"/>
      <c r="E7" s="38"/>
      <c r="G7" s="38"/>
      <c r="N7" s="19">
        <f>($B$13/5)</f>
        <v>1.8689496900000002</v>
      </c>
      <c r="O7" s="35">
        <f>($C$5*Params!K9)</f>
        <v>8.7899932896861599E-2</v>
      </c>
      <c r="P7" s="38">
        <f>(O7*N7)</f>
        <v>0.1642805523386103</v>
      </c>
      <c r="Q7" s="38">
        <f>Q6*2</f>
        <v>0.37885444092061865</v>
      </c>
    </row>
    <row r="8" spans="2:17">
      <c r="C8" s="38"/>
      <c r="D8" s="38"/>
      <c r="E8" s="38"/>
      <c r="G8" s="38"/>
      <c r="N8" s="19">
        <f>($B$13/5)</f>
        <v>1.8689496900000002</v>
      </c>
      <c r="O8" s="35">
        <f>($C$5*Params!K10)</f>
        <v>0.12086240773318471</v>
      </c>
      <c r="P8" s="38">
        <f>(O8*N8)</f>
        <v>0.2258857594655892</v>
      </c>
      <c r="Q8" s="38">
        <f>Q6*3</f>
        <v>0.56828166138092795</v>
      </c>
    </row>
    <row r="9" spans="2:17">
      <c r="C9" s="38"/>
      <c r="D9" s="38"/>
      <c r="E9" s="38"/>
      <c r="G9" s="38"/>
      <c r="N9" s="19">
        <f>($B$13/5)</f>
        <v>1.8689496900000002</v>
      </c>
      <c r="O9" s="35">
        <f>($C$5*Params!K11)</f>
        <v>0.27468729030269251</v>
      </c>
      <c r="P9" s="38">
        <f>(O9*N9)</f>
        <v>0.51337672605815721</v>
      </c>
      <c r="Q9" s="38">
        <f>Q6*4</f>
        <v>0.7577088818412373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1.0370209866374775</v>
      </c>
    </row>
    <row r="12" spans="2:17">
      <c r="C12" s="38"/>
      <c r="D12" s="38"/>
      <c r="E12" s="38"/>
      <c r="F12" t="s">
        <v>9</v>
      </c>
      <c r="G12" s="38">
        <f>(D13/B13)</f>
        <v>5.3505988168145925E-2</v>
      </c>
    </row>
    <row r="13" spans="2:17">
      <c r="B13">
        <f>(SUM(B5:B12))</f>
        <v>9.3447484500000009</v>
      </c>
      <c r="C13" s="38"/>
      <c r="D13" s="38">
        <f>(SUM(D5:D12))</f>
        <v>0.5</v>
      </c>
      <c r="E13" s="38"/>
      <c r="G13" s="38"/>
    </row>
  </sheetData>
  <conditionalFormatting sqref="C5">
    <cfRule type="cellIs" dxfId="59" priority="7" operator="lessThan">
      <formula>$J$3</formula>
    </cfRule>
    <cfRule type="cellIs" dxfId="58" priority="8" operator="greaterThan">
      <formula>$J$3</formula>
    </cfRule>
  </conditionalFormatting>
  <conditionalFormatting sqref="O6:O9">
    <cfRule type="cellIs" dxfId="57" priority="5" operator="lessThan">
      <formula>$J$3</formula>
    </cfRule>
    <cfRule type="cellIs" dxfId="56" priority="6" operator="greaterThan">
      <formula>$J$3</formula>
    </cfRule>
    <cfRule type="cellIs" dxfId="55" priority="1" operator="lessThan">
      <formula>$J$3</formula>
    </cfRule>
    <cfRule type="cellIs" dxfId="54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25</v>
      </c>
      <c r="N2" t="s">
        <v>26</v>
      </c>
      <c r="X2" t="s">
        <v>27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28</v>
      </c>
      <c r="D31" t="s">
        <v>29</v>
      </c>
      <c r="E31" t="s">
        <v>30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27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27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5.9933711028008769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12.292058074597124</v>
      </c>
      <c r="K4" s="4">
        <f>(J4/D10-1)</f>
        <v>9.2627384408633162E-2</v>
      </c>
      <c r="O4" s="38"/>
      <c r="P4" s="38"/>
    </row>
    <row r="5" spans="2:16">
      <c r="B5" s="1">
        <v>2.0483723700000001</v>
      </c>
      <c r="C5" s="38">
        <f>(D5/B5)</f>
        <v>5.4921654698945188</v>
      </c>
      <c r="D5" s="38">
        <v>11.25</v>
      </c>
      <c r="E5" t="s">
        <v>83</v>
      </c>
      <c r="G5" s="38"/>
      <c r="H5" s="38"/>
      <c r="J5" s="38"/>
      <c r="M5" t="s">
        <v>83</v>
      </c>
      <c r="N5" t="s">
        <v>31</v>
      </c>
      <c r="O5" t="s">
        <v>1</v>
      </c>
      <c r="P5" t="s">
        <v>2</v>
      </c>
    </row>
    <row r="6" spans="2:16">
      <c r="B6" s="2">
        <v>2.56989E-3</v>
      </c>
      <c r="C6" s="40">
        <v>0</v>
      </c>
      <c r="D6" s="40">
        <f>(B6*C6)</f>
        <v>0</v>
      </c>
      <c r="E6" s="38">
        <f>(B6*J3)</f>
        <v>1.5402304463376947E-2</v>
      </c>
      <c r="G6" s="38"/>
      <c r="H6" s="38"/>
      <c r="J6" s="38"/>
      <c r="M6" t="s">
        <v>11</v>
      </c>
      <c r="N6" s="1">
        <f>($B$5/5)</f>
        <v>0.40967447400000001</v>
      </c>
      <c r="O6" s="35">
        <f>($C$5*Params!K8)</f>
        <v>7.1398151108628749</v>
      </c>
      <c r="P6" s="38">
        <f>(O6*N6)</f>
        <v>2.9249999999999998</v>
      </c>
    </row>
    <row r="7" spans="2:16">
      <c r="C7" s="38"/>
      <c r="D7" s="38"/>
      <c r="E7" s="38"/>
      <c r="G7" s="38"/>
      <c r="H7" s="38"/>
      <c r="J7" s="38"/>
      <c r="N7" s="1">
        <f>($B$5/5)</f>
        <v>0.40967447400000001</v>
      </c>
      <c r="O7" s="35">
        <f>($C$5*Params!K9)</f>
        <v>8.7874647518312301</v>
      </c>
      <c r="P7" s="38">
        <f>(O7*N7)</f>
        <v>3.5999999999999996</v>
      </c>
    </row>
    <row r="8" spans="2:16">
      <c r="C8" s="38"/>
      <c r="D8" s="38"/>
      <c r="E8" s="38"/>
      <c r="G8" s="38"/>
      <c r="H8" s="38"/>
      <c r="J8" s="38"/>
      <c r="N8" s="1">
        <f>($B$5/5)</f>
        <v>0.40967447400000001</v>
      </c>
      <c r="O8" s="35">
        <f>($C$5*Params!K10)</f>
        <v>12.082764033767942</v>
      </c>
      <c r="P8" s="38">
        <f>(O8*N8)</f>
        <v>4.95</v>
      </c>
    </row>
    <row r="9" spans="2:16">
      <c r="C9" s="38"/>
      <c r="D9" s="38"/>
      <c r="E9" s="38"/>
      <c r="F9" t="s">
        <v>9</v>
      </c>
      <c r="G9" s="38">
        <f>(D10/B10)</f>
        <v>5.4852836276336703</v>
      </c>
      <c r="H9" s="38"/>
      <c r="J9" s="38"/>
      <c r="N9" s="1">
        <f>($B$5/5)</f>
        <v>0.40967447400000001</v>
      </c>
      <c r="O9" s="35">
        <f>($C$5*Params!K11)</f>
        <v>27.460827349472595</v>
      </c>
      <c r="P9" s="38">
        <f>(O9*N9)</f>
        <v>11.25</v>
      </c>
    </row>
    <row r="10" spans="2:16">
      <c r="B10" s="1">
        <f>(SUM(B5:B9))</f>
        <v>2.0509422600000002</v>
      </c>
      <c r="C10" s="38"/>
      <c r="D10" s="38">
        <f>(SUM(D5:D9))</f>
        <v>11.25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22.725000000000001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53" priority="5" operator="lessThan">
      <formula>$J$3</formula>
    </cfRule>
    <cfRule type="cellIs" dxfId="52" priority="6" operator="greaterThan">
      <formula>$J$3</formula>
    </cfRule>
  </conditionalFormatting>
  <conditionalFormatting sqref="O6:O9">
    <cfRule type="cellIs" dxfId="51" priority="3" operator="lessThan">
      <formula>$J$3</formula>
    </cfRule>
    <cfRule type="cellIs" dxfId="50" priority="4" operator="greaterThan">
      <formula>$J$3</formula>
    </cfRule>
  </conditionalFormatting>
  <conditionalFormatting sqref="G9">
    <cfRule type="cellIs" dxfId="49" priority="1" operator="lessThan">
      <formula>$J$3</formula>
    </cfRule>
    <cfRule type="cellIs" dxfId="48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41" sqref="V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0.61343439782529363</v>
      </c>
      <c r="M3" t="s">
        <v>4</v>
      </c>
      <c r="N3" s="19">
        <f>(INDEX(N5:N14,MATCH(MAX(O6:O7),O5:O14,0))/0.9)</f>
        <v>11.466107770370373</v>
      </c>
      <c r="O3" s="37">
        <f>(MAX(O6:O7)*0.85)</f>
        <v>0.48540838895304461</v>
      </c>
      <c r="P3" s="38">
        <f>(O3*N3)</f>
        <v>5.5657449003774691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18.991003271896091</v>
      </c>
      <c r="K4" s="4">
        <f>(J4/D14-1)</f>
        <v>7.122122031441501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31</v>
      </c>
      <c r="O5" t="s">
        <v>1</v>
      </c>
      <c r="P5" t="s">
        <v>2</v>
      </c>
      <c r="R5" s="19">
        <f>(SUM(B$5:B$7))</f>
        <v>54.365765379999999</v>
      </c>
      <c r="S5" s="38">
        <f>(T5/R5)</f>
        <v>0.35132403391172495</v>
      </c>
      <c r="T5" s="38">
        <f>(SUM(D5:D7))</f>
        <v>19.100000000000001</v>
      </c>
    </row>
    <row r="6" spans="2:21">
      <c r="B6" s="20">
        <v>0.79075390999999995</v>
      </c>
      <c r="C6" s="40">
        <v>0</v>
      </c>
      <c r="D6" s="40">
        <f>(B6*C6)</f>
        <v>0</v>
      </c>
      <c r="E6" s="38">
        <f>(B6*J3)</f>
        <v>0.48507564860884639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10.319496993333336</v>
      </c>
      <c r="O7" s="38">
        <f>($C$5*Params!K9)</f>
        <v>0.57106869288593487</v>
      </c>
      <c r="P7" s="38">
        <f>(O7*N7)</f>
        <v>5.8931416592232031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10.319496993333336</v>
      </c>
      <c r="O8" s="38">
        <f>($C$5*Params!K10)</f>
        <v>0.78521945271816052</v>
      </c>
      <c r="P8" s="38">
        <f>(O8*N8)</f>
        <v>8.1030697814319055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10.319496993333336</v>
      </c>
      <c r="O9" s="38">
        <f>($C$5*Params!K11)</f>
        <v>1.7845896652685465</v>
      </c>
      <c r="P9" s="38">
        <f>(O9*N9)</f>
        <v>18.416067685072509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37.464976485727618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7.5526370503992829E-2</v>
      </c>
    </row>
    <row r="14" spans="2:21">
      <c r="B14" s="19">
        <f>(SUM(B5:B13))</f>
        <v>30.958490980000008</v>
      </c>
      <c r="D14" s="38">
        <f>(SUM(D5:D13))</f>
        <v>2.3381824600000005</v>
      </c>
    </row>
    <row r="18" spans="12:20">
      <c r="R18">
        <f>(SUM(R5:R17))</f>
        <v>30.958490980000008</v>
      </c>
      <c r="T18" s="38">
        <f>(SUM(T5:T17))</f>
        <v>2.3381824600000005</v>
      </c>
    </row>
    <row r="22" spans="12:20">
      <c r="L22" s="39"/>
    </row>
    <row r="25" spans="12:20">
      <c r="N25" s="19"/>
    </row>
  </sheetData>
  <conditionalFormatting sqref="C5 C7 C10:C11 G13 O8:O9 S5"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3">
    <cfRule type="cellIs" dxfId="45" priority="9" operator="greaterThan">
      <formula>$J$3</formula>
    </cfRule>
    <cfRule type="cellIs" dxfId="44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0.16196696183275591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4.3629570659148937</v>
      </c>
      <c r="K4" s="4">
        <f>(J4/D14-1)</f>
        <v>-7.6781011320815198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84</v>
      </c>
      <c r="N5" t="s">
        <v>31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0.31531318482082327</v>
      </c>
      <c r="P9" s="38">
        <f>(O9*N9)</f>
        <v>4.2300381844266788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8.6926426503492067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43" priority="23" operator="lessThan">
      <formula>$J$3</formula>
    </cfRule>
    <cfRule type="cellIs" dxfId="42" priority="24" operator="greaterThan">
      <formula>$J$3</formula>
    </cfRule>
  </conditionalFormatting>
  <conditionalFormatting sqref="O3">
    <cfRule type="cellIs" dxfId="41" priority="17" operator="greaterThan">
      <formula>$J$3</formula>
    </cfRule>
    <cfRule type="cellIs" dxfId="40" priority="18" operator="lessThan">
      <formula>$J$3</formula>
    </cfRule>
  </conditionalFormatting>
  <conditionalFormatting sqref="W33">
    <cfRule type="cellIs" dxfId="39" priority="1" operator="lessThan">
      <formula>$J$3</formula>
    </cfRule>
    <cfRule type="cellIs" dxfId="38" priority="2" operator="greaterThan">
      <formula>$J$3</formula>
    </cfRule>
    <cfRule type="cellIs" dxfId="37" priority="3" operator="lessThan">
      <formula>$J$3</formula>
    </cfRule>
    <cfRule type="cellIs" dxfId="36" priority="4" operator="greaterThan">
      <formula>$J$3</formula>
    </cfRule>
    <cfRule type="cellIs" dxfId="35" priority="5" operator="lessThan">
      <formula>$J$3</formula>
    </cfRule>
    <cfRule type="cellIs" dxfId="34" priority="6" operator="greaterThan">
      <formula>$J$3</formula>
    </cfRule>
    <cfRule type="cellIs" dxfId="33" priority="7" operator="lessThan">
      <formula>$J$3</formula>
    </cfRule>
    <cfRule type="cellIs" dxfId="32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0.79720714951537275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2.3312880142636456</v>
      </c>
      <c r="K4" s="4">
        <f>(J4/D10-1)</f>
        <v>-0.22290399524545146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84</v>
      </c>
      <c r="N5" t="s">
        <v>31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5.1293993575940249</v>
      </c>
      <c r="P9" s="38">
        <f>(O9*N9)</f>
        <v>3.0000000000000004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6.0600000000000005</v>
      </c>
    </row>
    <row r="12" spans="2:16">
      <c r="O12" s="38"/>
      <c r="P12" s="38"/>
    </row>
  </sheetData>
  <conditionalFormatting sqref="C5">
    <cfRule type="cellIs" dxfId="31" priority="5" operator="lessThan">
      <formula>$J$3</formula>
    </cfRule>
    <cfRule type="cellIs" dxfId="30" priority="6" operator="greaterThan">
      <formula>$J$3</formula>
    </cfRule>
  </conditionalFormatting>
  <conditionalFormatting sqref="G9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6:O9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4.3267064077276603E-3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2.5934278207919594</v>
      </c>
      <c r="K4" s="4">
        <f>(J4/D10-1)</f>
        <v>-0.13552405973601356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84</v>
      </c>
      <c r="N5" t="s">
        <v>31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2.5025025025025023E-2</v>
      </c>
      <c r="P9" s="38">
        <f>(O9*N9)</f>
        <v>2.9999999999999996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6.0599999999999987</v>
      </c>
    </row>
  </sheetData>
  <conditionalFormatting sqref="C5 G9 O6:O9">
    <cfRule type="cellIs" dxfId="25" priority="5" operator="lessThan">
      <formula>$J$3</formula>
    </cfRule>
    <cfRule type="cellIs" dxfId="24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3" sqref="K13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U20"/>
  <sheetViews>
    <sheetView tabSelected="1" workbookViewId="0">
      <selection activeCell="D6" sqref="D6"/>
    </sheetView>
  </sheetViews>
  <sheetFormatPr baseColWidth="10" defaultColWidth="9.140625" defaultRowHeight="15"/>
  <cols>
    <col min="1" max="3" width="9.140625" style="14"/>
    <col min="4" max="4" width="10.28515625" style="14" bestFit="1" customWidth="1"/>
    <col min="5" max="8" width="9.140625" style="14"/>
    <col min="9" max="9" width="12.42578125" style="14" bestFit="1" customWidth="1"/>
    <col min="10" max="13" width="9.140625" style="14"/>
    <col min="14" max="14" width="10.140625" style="14" bestFit="1" customWidth="1"/>
    <col min="15" max="15" width="11.28515625" style="14" bestFit="1" customWidth="1"/>
    <col min="16" max="16384" width="9.140625" style="14"/>
  </cols>
  <sheetData>
    <row r="3" spans="2:21">
      <c r="I3" s="14" t="s">
        <v>3</v>
      </c>
      <c r="J3" s="35">
        <v>0.19460553157841781</v>
      </c>
      <c r="O3" s="39"/>
      <c r="P3" s="38"/>
    </row>
    <row r="4" spans="2:21">
      <c r="B4" s="14" t="s">
        <v>5</v>
      </c>
      <c r="C4" s="14" t="s">
        <v>6</v>
      </c>
      <c r="D4" s="14" t="s">
        <v>7</v>
      </c>
      <c r="I4" s="14" t="s">
        <v>8</v>
      </c>
      <c r="J4" s="38">
        <f>(B14*J3)</f>
        <v>1.9405449745311014</v>
      </c>
      <c r="K4" s="4">
        <f>(J4/D14-1)</f>
        <v>-2.9727512734449291E-2</v>
      </c>
      <c r="R4" s="14" t="s">
        <v>5</v>
      </c>
      <c r="S4" s="14" t="s">
        <v>6</v>
      </c>
      <c r="T4" s="14" t="s">
        <v>7</v>
      </c>
    </row>
    <row r="5" spans="2:21">
      <c r="B5" s="29">
        <v>9.4096547000000008</v>
      </c>
      <c r="C5" s="38">
        <f>(D5/B5)</f>
        <v>0.21254765065927445</v>
      </c>
      <c r="D5" s="38">
        <v>2</v>
      </c>
      <c r="N5" s="14" t="s">
        <v>31</v>
      </c>
      <c r="O5" s="14" t="s">
        <v>1</v>
      </c>
      <c r="P5" s="14" t="s">
        <v>2</v>
      </c>
      <c r="R5" s="29">
        <f>(B5)</f>
        <v>9.4096547000000008</v>
      </c>
      <c r="S5" s="38">
        <f>(T5/R5)</f>
        <v>0.21254765065927445</v>
      </c>
      <c r="T5" s="38">
        <f>D5</f>
        <v>2</v>
      </c>
    </row>
    <row r="6" spans="2:21">
      <c r="B6" s="2">
        <v>0.56202985999999999</v>
      </c>
      <c r="C6" s="40">
        <v>0</v>
      </c>
      <c r="D6" s="40">
        <f>(B6*C6)</f>
        <v>0</v>
      </c>
      <c r="E6" s="38">
        <f>(B6*J3)</f>
        <v>0.10937411966824374</v>
      </c>
      <c r="M6" s="14" t="s">
        <v>11</v>
      </c>
      <c r="N6" s="29">
        <f>($B$14/5)</f>
        <v>1.9943369120000001</v>
      </c>
      <c r="O6" s="38">
        <f>($C$5*Params!K8)</f>
        <v>0.27631194585705676</v>
      </c>
      <c r="P6" s="38">
        <f>(O6*N6)</f>
        <v>0.55105911284927378</v>
      </c>
      <c r="R6" s="36">
        <f>(B6)</f>
        <v>0.56202985999999999</v>
      </c>
      <c r="S6" s="40">
        <v>0</v>
      </c>
      <c r="T6" s="40">
        <f>(D6)</f>
        <v>0</v>
      </c>
      <c r="U6" s="38">
        <f>(E6)</f>
        <v>0.10937411966824374</v>
      </c>
    </row>
    <row r="7" spans="2:21">
      <c r="B7" s="29"/>
      <c r="C7" s="38"/>
      <c r="D7" s="38"/>
      <c r="N7" s="29">
        <f>($B$14/5)</f>
        <v>1.9943369120000001</v>
      </c>
      <c r="O7" s="38">
        <f>($C$5*Params!K9)</f>
        <v>0.34007624105483913</v>
      </c>
      <c r="P7" s="38">
        <f>(O7*N7)</f>
        <v>0.67822660042987548</v>
      </c>
      <c r="R7" s="29">
        <f>SUM(B7:B10)</f>
        <v>0</v>
      </c>
      <c r="S7" s="38">
        <v>0</v>
      </c>
      <c r="T7" s="38">
        <f>SUM(D7:D10)</f>
        <v>0</v>
      </c>
      <c r="U7" s="39"/>
    </row>
    <row r="8" spans="2:21">
      <c r="B8" s="29"/>
      <c r="C8" s="38"/>
      <c r="D8" s="38"/>
      <c r="N8" s="29">
        <f>($B$14/5)</f>
        <v>1.9943369120000001</v>
      </c>
      <c r="O8" s="38">
        <f>($C$5*Params!K10)</f>
        <v>0.46760483145040382</v>
      </c>
      <c r="P8" s="38">
        <f>(O8*N8)</f>
        <v>0.93256157559107888</v>
      </c>
      <c r="R8" s="29"/>
      <c r="S8" s="38"/>
      <c r="T8" s="38"/>
    </row>
    <row r="9" spans="2:21">
      <c r="B9" s="29"/>
      <c r="C9" s="38"/>
      <c r="D9" s="38"/>
      <c r="N9" s="29">
        <f>($B$14/5)</f>
        <v>1.9943369120000001</v>
      </c>
      <c r="O9" s="38">
        <f>($C$5*Params!K11)</f>
        <v>1.0627382532963723</v>
      </c>
      <c r="P9" s="38">
        <f>(O9*N9)</f>
        <v>2.1194581263433609</v>
      </c>
    </row>
    <row r="10" spans="2:21">
      <c r="B10" s="29"/>
      <c r="C10" s="38"/>
      <c r="D10" s="38"/>
    </row>
    <row r="12" spans="2:21">
      <c r="P12" s="38">
        <f>(SUM(P6:P9))</f>
        <v>4.2813054152135894</v>
      </c>
    </row>
    <row r="13" spans="2:21">
      <c r="F13" s="14" t="s">
        <v>9</v>
      </c>
      <c r="G13" s="38">
        <f>(D14/B14)</f>
        <v>0.20056791688163869</v>
      </c>
    </row>
    <row r="14" spans="2:21">
      <c r="B14" s="29">
        <f>(SUM(B5:B13))</f>
        <v>9.9716845599999999</v>
      </c>
      <c r="D14" s="38">
        <f>(SUM(D5:D13))</f>
        <v>2</v>
      </c>
    </row>
    <row r="17" spans="11:20">
      <c r="N17" s="29"/>
      <c r="R17" s="29">
        <f>(SUM(R5:R16))</f>
        <v>9.9716845599999999</v>
      </c>
      <c r="T17" s="38">
        <f>(SUM(T5:T16))</f>
        <v>2</v>
      </c>
    </row>
    <row r="20" spans="11:20">
      <c r="K20" s="39"/>
    </row>
  </sheetData>
  <conditionalFormatting sqref="C5">
    <cfRule type="cellIs" dxfId="23" priority="11" operator="lessThan">
      <formula>$J$3</formula>
    </cfRule>
    <cfRule type="cellIs" dxfId="22" priority="12" operator="greaterThan">
      <formula>$J$3</formula>
    </cfRule>
  </conditionalFormatting>
  <conditionalFormatting sqref="C9:C10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6:O9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S5 S7:S8">
    <cfRule type="cellIs" dxfId="11" priority="5" operator="lessThan">
      <formula>$J$3</formula>
    </cfRule>
    <cfRule type="cellIs" dxfId="10" priority="6" operator="greaterThan">
      <formula>$J$3</formula>
    </cfRule>
  </conditionalFormatting>
  <conditionalFormatting sqref="O6">
    <cfRule type="cellIs" dxfId="7" priority="3" operator="lessThan">
      <formula>$J$3</formula>
    </cfRule>
    <cfRule type="cellIs" dxfId="6" priority="4" operator="greaterThan">
      <formula>$J$3</formula>
    </cfRule>
  </conditionalFormatting>
  <conditionalFormatting sqref="G13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0.55546454961044556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3.3793352269200287</v>
      </c>
      <c r="K4" s="4">
        <f>(J4/D9-1)</f>
        <v>-0.88293645603221749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31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31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50</v>
      </c>
      <c r="P14" s="38">
        <f>(O14*N14)</f>
        <v>15.47</v>
      </c>
    </row>
    <row r="17" spans="13:16">
      <c r="P17" s="38">
        <f>(SUM(P11:P14))</f>
        <v>31.249400000000001</v>
      </c>
    </row>
    <row r="19" spans="13:16">
      <c r="N19" t="s">
        <v>31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19.704999999999998</v>
      </c>
      <c r="P23" s="38">
        <f>(O23*N23)</f>
        <v>9.9975287999999995</v>
      </c>
    </row>
    <row r="26" spans="13:16">
      <c r="P26" s="38">
        <f>(SUM(P20:P23))</f>
        <v>20.195008176000002</v>
      </c>
    </row>
    <row r="28" spans="13:16">
      <c r="N28" t="s">
        <v>31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8.5</v>
      </c>
      <c r="P32" s="38">
        <f>(O32*N32)</f>
        <v>3.4000000000000004</v>
      </c>
    </row>
    <row r="35" spans="16:16">
      <c r="P35" s="38">
        <f>(SUM(P29:P32))</f>
        <v>6.8680000000000003</v>
      </c>
    </row>
  </sheetData>
  <conditionalFormatting sqref="C5:C7">
    <cfRule type="cellIs" dxfId="265" priority="9" operator="lessThan">
      <formula>$J$3</formula>
    </cfRule>
    <cfRule type="cellIs" dxfId="264" priority="10" operator="greaterThan">
      <formula>$J$3</formula>
    </cfRule>
  </conditionalFormatting>
  <conditionalFormatting sqref="O11:O14">
    <cfRule type="cellIs" dxfId="263" priority="7" operator="lessThan">
      <formula>$J$3</formula>
    </cfRule>
    <cfRule type="cellIs" dxfId="262" priority="8" operator="greaterThan">
      <formula>$J$3</formula>
    </cfRule>
  </conditionalFormatting>
  <conditionalFormatting sqref="O20:O23">
    <cfRule type="cellIs" dxfId="261" priority="5" operator="lessThan">
      <formula>$J$3</formula>
    </cfRule>
    <cfRule type="cellIs" dxfId="260" priority="6" operator="greaterThan">
      <formula>$J$3</formula>
    </cfRule>
  </conditionalFormatting>
  <conditionalFormatting sqref="O29:O32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N6">
    <cfRule type="cellIs" dxfId="257" priority="1" operator="lessThan">
      <formula>$J$3</formula>
    </cfRule>
    <cfRule type="cellIs" dxfId="25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32</v>
      </c>
      <c r="H2">
        <v>729</v>
      </c>
    </row>
    <row r="3" spans="2:14">
      <c r="B3" s="5" t="s">
        <v>33</v>
      </c>
      <c r="C3" s="6"/>
      <c r="D3" s="6"/>
      <c r="E3" s="6"/>
      <c r="F3" s="7"/>
      <c r="I3" t="s">
        <v>34</v>
      </c>
      <c r="J3" s="28">
        <v>6.0790951335919722E-3</v>
      </c>
    </row>
    <row r="4" spans="2:14">
      <c r="B4" s="8"/>
      <c r="C4" t="s">
        <v>6</v>
      </c>
      <c r="D4" t="s">
        <v>35</v>
      </c>
      <c r="E4" t="s">
        <v>36</v>
      </c>
      <c r="F4" s="9" t="s">
        <v>37</v>
      </c>
      <c r="I4" t="s">
        <v>38</v>
      </c>
      <c r="J4">
        <v>6.1439999999999997E-4</v>
      </c>
      <c r="K4" t="s">
        <v>39</v>
      </c>
      <c r="N4" t="s">
        <v>40</v>
      </c>
    </row>
    <row r="5" spans="2:14">
      <c r="B5" s="8" t="s">
        <v>41</v>
      </c>
      <c r="C5" s="40">
        <v>135</v>
      </c>
      <c r="D5" s="38">
        <v>3.5</v>
      </c>
      <c r="E5" s="39">
        <f t="shared" ref="E5:E29" si="0">C5+D5</f>
        <v>138.5</v>
      </c>
      <c r="F5" s="9" t="s">
        <v>42</v>
      </c>
      <c r="I5" t="s">
        <v>43</v>
      </c>
      <c r="J5">
        <v>2.1503999999999998E-3</v>
      </c>
      <c r="K5" t="s">
        <v>39</v>
      </c>
      <c r="N5">
        <v>0.80249999999999999</v>
      </c>
    </row>
    <row r="6" spans="2:14">
      <c r="B6" s="8" t="s">
        <v>44</v>
      </c>
      <c r="C6" s="40">
        <v>18</v>
      </c>
      <c r="D6" s="38">
        <v>3.5</v>
      </c>
      <c r="E6" s="39">
        <f t="shared" si="0"/>
        <v>21.5</v>
      </c>
      <c r="F6" s="9" t="s">
        <v>42</v>
      </c>
      <c r="I6" t="s">
        <v>45</v>
      </c>
      <c r="J6">
        <v>1.4335999999999999E-3</v>
      </c>
      <c r="K6" t="s">
        <v>39</v>
      </c>
    </row>
    <row r="7" spans="2:14">
      <c r="B7" s="8" t="s">
        <v>46</v>
      </c>
      <c r="C7" s="38">
        <v>18</v>
      </c>
      <c r="D7" s="38">
        <v>3.5</v>
      </c>
      <c r="E7" s="39">
        <f t="shared" si="0"/>
        <v>21.5</v>
      </c>
      <c r="F7" s="9" t="s">
        <v>42</v>
      </c>
      <c r="I7" t="s">
        <v>47</v>
      </c>
      <c r="J7">
        <v>1.7408E-3</v>
      </c>
      <c r="K7" t="s">
        <v>39</v>
      </c>
    </row>
    <row r="8" spans="2:14">
      <c r="B8" s="8" t="s">
        <v>48</v>
      </c>
      <c r="C8" s="38">
        <v>55</v>
      </c>
      <c r="D8" s="38">
        <v>3.5</v>
      </c>
      <c r="E8" s="39">
        <f t="shared" si="0"/>
        <v>58.5</v>
      </c>
      <c r="F8" s="9" t="s">
        <v>42</v>
      </c>
    </row>
    <row r="9" spans="2:14">
      <c r="B9" s="8" t="s">
        <v>48</v>
      </c>
      <c r="C9" s="38">
        <v>-134.99</v>
      </c>
      <c r="D9" s="38">
        <v>0.01</v>
      </c>
      <c r="E9" s="39">
        <f t="shared" si="0"/>
        <v>-134.98000000000002</v>
      </c>
      <c r="F9" s="9" t="s">
        <v>49</v>
      </c>
    </row>
    <row r="10" spans="2:14">
      <c r="B10" s="8" t="s">
        <v>48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42</v>
      </c>
    </row>
    <row r="11" spans="2:14">
      <c r="B11" s="8" t="s">
        <v>48</v>
      </c>
      <c r="C11" s="38">
        <v>-144.96</v>
      </c>
      <c r="D11" s="38">
        <v>0.01</v>
      </c>
      <c r="E11" s="39">
        <f t="shared" si="0"/>
        <v>-144.95000000000002</v>
      </c>
      <c r="F11" s="9" t="s">
        <v>49</v>
      </c>
    </row>
    <row r="12" spans="2:14">
      <c r="B12" s="8" t="s">
        <v>48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42</v>
      </c>
      <c r="I12" t="s">
        <v>50</v>
      </c>
      <c r="J12" s="38">
        <f>(SUM(D5:E8))</f>
        <v>254</v>
      </c>
    </row>
    <row r="13" spans="2:14">
      <c r="B13" s="8" t="s">
        <v>48</v>
      </c>
      <c r="C13" s="38">
        <v>-144.94999999999999</v>
      </c>
      <c r="D13" s="38">
        <v>0.01</v>
      </c>
      <c r="E13" s="39">
        <f t="shared" si="0"/>
        <v>-144.94</v>
      </c>
      <c r="F13" s="9" t="s">
        <v>49</v>
      </c>
      <c r="I13" t="s">
        <v>51</v>
      </c>
      <c r="J13" s="38">
        <f>(SUM(K35:K43)-C77*J3+D77)</f>
        <v>9.6986820137052625</v>
      </c>
    </row>
    <row r="14" spans="2:14">
      <c r="B14" s="8" t="s">
        <v>48</v>
      </c>
      <c r="C14" s="38">
        <v>130</v>
      </c>
      <c r="D14" s="38">
        <f>0.01</f>
        <v>0.01</v>
      </c>
      <c r="E14" s="39">
        <f t="shared" si="0"/>
        <v>130.01</v>
      </c>
      <c r="F14" s="9" t="s">
        <v>42</v>
      </c>
      <c r="I14" t="s">
        <v>52</v>
      </c>
      <c r="J14" s="38">
        <f>(-SUM(E9:E31))</f>
        <v>-7.0166399999999376</v>
      </c>
      <c r="K14" s="39">
        <f>(J14-M38-M39-M40-M42-L43)</f>
        <v>-56.266639999999931</v>
      </c>
    </row>
    <row r="15" spans="2:14">
      <c r="B15" s="8" t="s">
        <v>48</v>
      </c>
      <c r="C15" s="38">
        <v>-144.97999999999999</v>
      </c>
      <c r="D15" s="38">
        <v>0.01</v>
      </c>
      <c r="E15" s="39">
        <f t="shared" si="0"/>
        <v>-144.97</v>
      </c>
      <c r="F15" s="9" t="s">
        <v>49</v>
      </c>
      <c r="I15" t="s">
        <v>36</v>
      </c>
      <c r="J15" s="38">
        <f>(J13-J12+J14)</f>
        <v>-251.31795798629469</v>
      </c>
    </row>
    <row r="16" spans="2:14">
      <c r="B16" s="8" t="s">
        <v>48</v>
      </c>
      <c r="C16" s="38">
        <v>130</v>
      </c>
      <c r="D16" s="38">
        <f>0.01</f>
        <v>0.01</v>
      </c>
      <c r="E16" s="39">
        <f t="shared" si="0"/>
        <v>130.01</v>
      </c>
      <c r="F16" s="9" t="s">
        <v>42</v>
      </c>
      <c r="I16" t="s">
        <v>53</v>
      </c>
      <c r="J16" s="38">
        <f>(J15+M47)</f>
        <v>-136.46795798629469</v>
      </c>
    </row>
    <row r="17" spans="2:18">
      <c r="B17" s="8" t="s">
        <v>46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42</v>
      </c>
    </row>
    <row r="18" spans="2:18">
      <c r="B18" s="8" t="s">
        <v>46</v>
      </c>
      <c r="C18" s="38">
        <v>38</v>
      </c>
      <c r="D18" s="38">
        <v>0.01</v>
      </c>
      <c r="E18" s="39">
        <f t="shared" si="0"/>
        <v>38.01</v>
      </c>
      <c r="F18" s="9" t="s">
        <v>54</v>
      </c>
      <c r="R18" s="39"/>
    </row>
    <row r="19" spans="2:18">
      <c r="B19" s="8" t="s">
        <v>46</v>
      </c>
      <c r="C19" s="38">
        <v>11.25</v>
      </c>
      <c r="D19" s="38">
        <v>0.01</v>
      </c>
      <c r="E19" s="39">
        <f t="shared" si="0"/>
        <v>11.26</v>
      </c>
      <c r="F19" s="9" t="s">
        <v>42</v>
      </c>
    </row>
    <row r="20" spans="2:18">
      <c r="B20" s="8" t="s">
        <v>46</v>
      </c>
      <c r="C20" s="40">
        <v>8.02</v>
      </c>
      <c r="D20" s="38">
        <v>0.01</v>
      </c>
      <c r="E20" s="39">
        <f t="shared" si="0"/>
        <v>8.0299999999999994</v>
      </c>
      <c r="F20" s="9" t="s">
        <v>42</v>
      </c>
    </row>
    <row r="21" spans="2:18">
      <c r="B21" s="8" t="s">
        <v>44</v>
      </c>
      <c r="C21" s="38">
        <v>6.01</v>
      </c>
      <c r="D21" s="38">
        <v>0</v>
      </c>
      <c r="E21" s="39">
        <f t="shared" si="0"/>
        <v>6.01</v>
      </c>
      <c r="F21" s="9" t="s">
        <v>42</v>
      </c>
    </row>
    <row r="22" spans="2:18">
      <c r="B22" s="8" t="s">
        <v>48</v>
      </c>
      <c r="C22" s="38">
        <v>-30.99</v>
      </c>
      <c r="D22" s="38">
        <v>0</v>
      </c>
      <c r="E22" s="39">
        <f t="shared" si="0"/>
        <v>-30.99</v>
      </c>
      <c r="F22" s="9" t="s">
        <v>49</v>
      </c>
    </row>
    <row r="23" spans="2:18">
      <c r="B23" s="8" t="s">
        <v>48</v>
      </c>
      <c r="C23" s="38">
        <v>27.01</v>
      </c>
      <c r="D23" s="38">
        <v>0</v>
      </c>
      <c r="E23" s="39">
        <f t="shared" si="0"/>
        <v>27.01</v>
      </c>
      <c r="F23" s="9" t="s">
        <v>42</v>
      </c>
    </row>
    <row r="24" spans="2:18">
      <c r="B24" s="8" t="s">
        <v>48</v>
      </c>
      <c r="C24" s="38">
        <v>-47.22</v>
      </c>
      <c r="D24" s="38">
        <v>0</v>
      </c>
      <c r="E24" s="39">
        <f t="shared" si="0"/>
        <v>-47.22</v>
      </c>
      <c r="F24" s="9" t="s">
        <v>49</v>
      </c>
    </row>
    <row r="25" spans="2:18">
      <c r="B25" s="8" t="s">
        <v>48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42</v>
      </c>
    </row>
    <row r="26" spans="2:18">
      <c r="B26" s="8" t="s">
        <v>48</v>
      </c>
      <c r="C26" s="38">
        <v>-59.99</v>
      </c>
      <c r="D26" s="38">
        <v>0</v>
      </c>
      <c r="E26" s="39">
        <f t="shared" si="0"/>
        <v>-59.99</v>
      </c>
      <c r="F26" s="9" t="s">
        <v>49</v>
      </c>
    </row>
    <row r="27" spans="2:18">
      <c r="B27" s="8" t="s">
        <v>48</v>
      </c>
      <c r="C27" s="40">
        <v>30.05</v>
      </c>
      <c r="D27" s="38">
        <v>0</v>
      </c>
      <c r="E27" s="39">
        <f t="shared" si="0"/>
        <v>30.05</v>
      </c>
      <c r="F27" s="9" t="s">
        <v>42</v>
      </c>
    </row>
    <row r="28" spans="2:18">
      <c r="B28" s="8" t="s">
        <v>48</v>
      </c>
      <c r="C28" s="40">
        <v>36.01</v>
      </c>
      <c r="D28" s="38">
        <v>0</v>
      </c>
      <c r="E28" s="39">
        <f t="shared" si="0"/>
        <v>36.01</v>
      </c>
      <c r="F28" s="9" t="s">
        <v>42</v>
      </c>
    </row>
    <row r="29" spans="2:18">
      <c r="B29" s="8" t="s">
        <v>44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49</v>
      </c>
    </row>
    <row r="30" spans="2:18">
      <c r="B30" s="8" t="s">
        <v>46</v>
      </c>
      <c r="C30" s="38">
        <v>4</v>
      </c>
      <c r="D30" s="38">
        <v>0.01</v>
      </c>
      <c r="E30" s="38">
        <f>(C30+D30)</f>
        <v>4.01</v>
      </c>
      <c r="F30" s="9" t="s">
        <v>42</v>
      </c>
    </row>
    <row r="31" spans="2:18">
      <c r="B31" s="10" t="s">
        <v>46</v>
      </c>
      <c r="C31" s="43">
        <v>-8.4440000000000008</v>
      </c>
      <c r="D31" s="43">
        <f>-C31*6%</f>
        <v>0.50663999999999998</v>
      </c>
      <c r="E31" s="43">
        <f>(C31+D31)</f>
        <v>-7.9373600000000009</v>
      </c>
      <c r="F31" s="12" t="s">
        <v>49</v>
      </c>
    </row>
    <row r="33" spans="2:22">
      <c r="B33" s="5" t="s">
        <v>55</v>
      </c>
      <c r="C33" s="6"/>
      <c r="D33" s="6"/>
      <c r="E33" s="6"/>
      <c r="F33" s="6"/>
      <c r="G33" s="6"/>
      <c r="H33" s="6"/>
      <c r="I33" s="6"/>
      <c r="J33" s="6"/>
      <c r="K33" s="7"/>
      <c r="L33" t="s">
        <v>56</v>
      </c>
      <c r="M33" t="s">
        <v>57</v>
      </c>
      <c r="N33" t="s">
        <v>37</v>
      </c>
    </row>
    <row r="34" spans="2:22">
      <c r="B34" s="8"/>
      <c r="C34" t="s">
        <v>58</v>
      </c>
      <c r="D34" t="s">
        <v>59</v>
      </c>
      <c r="E34" t="s">
        <v>60</v>
      </c>
      <c r="F34" t="s">
        <v>61</v>
      </c>
      <c r="G34" t="s">
        <v>62</v>
      </c>
      <c r="H34" s="13" t="s">
        <v>63</v>
      </c>
      <c r="I34" t="s">
        <v>64</v>
      </c>
      <c r="J34" t="s">
        <v>5</v>
      </c>
      <c r="K34" s="9" t="s">
        <v>65</v>
      </c>
    </row>
    <row r="35" spans="2:22">
      <c r="B35" s="8" t="s">
        <v>41</v>
      </c>
      <c r="C35">
        <v>6.2539999999999996</v>
      </c>
      <c r="D35">
        <f>$H$2</f>
        <v>729</v>
      </c>
      <c r="E35">
        <f t="shared" ref="E35:E41" si="1">C35*D35</f>
        <v>4559.1659999999993</v>
      </c>
      <c r="F35" s="29">
        <f t="shared" ref="F35:F41" si="2">E35*$N$5</f>
        <v>3658.7307149999992</v>
      </c>
      <c r="G35" s="38">
        <v>3.5</v>
      </c>
      <c r="H35" s="30">
        <f>G51</f>
        <v>1.5615590400000001</v>
      </c>
      <c r="I35" s="39">
        <f t="shared" ref="I35:I42" si="3">((F35-H35*D35)*$J$3-G35)</f>
        <v>11.82147279919805</v>
      </c>
      <c r="J35">
        <v>1</v>
      </c>
      <c r="K35" s="44">
        <f t="shared" ref="K35:K41" si="4">I35*J35</f>
        <v>11.82147279919805</v>
      </c>
      <c r="L35" s="31">
        <v>33.5</v>
      </c>
      <c r="M35" s="31">
        <f t="shared" ref="M35:M41" si="5">L35*J35</f>
        <v>33.5</v>
      </c>
    </row>
    <row r="36" spans="2:22">
      <c r="B36" s="8" t="s">
        <v>44</v>
      </c>
      <c r="C36">
        <v>0.96599999999999997</v>
      </c>
      <c r="D36">
        <f>$H$2</f>
        <v>729</v>
      </c>
      <c r="E36">
        <f t="shared" si="1"/>
        <v>704.21399999999994</v>
      </c>
      <c r="F36" s="29">
        <f t="shared" si="2"/>
        <v>565.13173499999994</v>
      </c>
      <c r="G36" s="38">
        <v>3.5</v>
      </c>
      <c r="H36" s="30">
        <f>G52</f>
        <v>0.21337130135885166</v>
      </c>
      <c r="I36" s="39">
        <f t="shared" si="3"/>
        <v>-1.0100995564926842</v>
      </c>
      <c r="J36">
        <v>1</v>
      </c>
      <c r="K36" s="44">
        <f t="shared" si="4"/>
        <v>-1.0100995564926842</v>
      </c>
      <c r="L36" s="31">
        <v>8.8000000000000007</v>
      </c>
      <c r="M36" s="31">
        <f t="shared" si="5"/>
        <v>8.8000000000000007</v>
      </c>
    </row>
    <row r="37" spans="2:22">
      <c r="B37" s="8" t="s">
        <v>46</v>
      </c>
      <c r="C37">
        <v>0.85099999999999998</v>
      </c>
      <c r="D37">
        <f>$H$2</f>
        <v>729</v>
      </c>
      <c r="E37">
        <f t="shared" si="1"/>
        <v>620.37900000000002</v>
      </c>
      <c r="F37" s="29">
        <f t="shared" si="2"/>
        <v>497.85414750000001</v>
      </c>
      <c r="G37" s="38">
        <v>3.5</v>
      </c>
      <c r="H37" s="30">
        <f>G53</f>
        <v>0.18479602162162162</v>
      </c>
      <c r="I37" s="39">
        <f t="shared" si="3"/>
        <v>-1.2924504769938472</v>
      </c>
      <c r="J37">
        <v>1</v>
      </c>
      <c r="K37" s="44">
        <f t="shared" si="4"/>
        <v>-1.2924504769938472</v>
      </c>
      <c r="L37" s="31">
        <v>7.05</v>
      </c>
      <c r="M37" s="31">
        <f t="shared" si="5"/>
        <v>7.05</v>
      </c>
    </row>
    <row r="38" spans="2:22">
      <c r="B38" s="8" t="s">
        <v>46</v>
      </c>
      <c r="C38">
        <v>0.85099999999999998</v>
      </c>
      <c r="D38">
        <f>$H$2-34</f>
        <v>695</v>
      </c>
      <c r="E38">
        <f t="shared" si="1"/>
        <v>591.44499999999994</v>
      </c>
      <c r="F38" s="29">
        <f t="shared" si="2"/>
        <v>474.63461249999995</v>
      </c>
      <c r="G38" s="38">
        <v>0</v>
      </c>
      <c r="H38" s="30">
        <f>G53</f>
        <v>0.18479602162162162</v>
      </c>
      <c r="I38" s="39">
        <f t="shared" si="3"/>
        <v>2.104591109038787</v>
      </c>
      <c r="J38">
        <v>3</v>
      </c>
      <c r="K38" s="44">
        <f t="shared" si="4"/>
        <v>6.313773327116361</v>
      </c>
      <c r="L38" s="31">
        <f>L37</f>
        <v>7.05</v>
      </c>
      <c r="M38" s="31">
        <f t="shared" si="5"/>
        <v>21.15</v>
      </c>
    </row>
    <row r="39" spans="2:22">
      <c r="B39" s="8" t="s">
        <v>46</v>
      </c>
      <c r="C39">
        <v>0.85099999999999998</v>
      </c>
      <c r="D39">
        <f>$H$2-34-58</f>
        <v>637</v>
      </c>
      <c r="E39">
        <f t="shared" si="1"/>
        <v>542.08699999999999</v>
      </c>
      <c r="F39" s="29">
        <f t="shared" si="2"/>
        <v>435.02481749999998</v>
      </c>
      <c r="G39" s="38">
        <v>0</v>
      </c>
      <c r="H39" s="30">
        <f>H38</f>
        <v>0.18479602162162162</v>
      </c>
      <c r="I39" s="39">
        <f t="shared" si="3"/>
        <v>1.9289561675650466</v>
      </c>
      <c r="J39">
        <v>1</v>
      </c>
      <c r="K39" s="44">
        <f t="shared" si="4"/>
        <v>1.9289561675650466</v>
      </c>
      <c r="L39" s="31">
        <f>L38</f>
        <v>7.05</v>
      </c>
      <c r="M39" s="31">
        <f t="shared" si="5"/>
        <v>7.05</v>
      </c>
    </row>
    <row r="40" spans="2:22">
      <c r="B40" s="8" t="s">
        <v>46</v>
      </c>
      <c r="C40">
        <v>0.85099999999999998</v>
      </c>
      <c r="D40">
        <f>$H$2-140</f>
        <v>589</v>
      </c>
      <c r="E40">
        <f t="shared" si="1"/>
        <v>501.23899999999998</v>
      </c>
      <c r="F40" s="29">
        <f t="shared" si="2"/>
        <v>402.24429749999996</v>
      </c>
      <c r="G40" s="38">
        <v>0</v>
      </c>
      <c r="H40" s="30">
        <f>H39</f>
        <v>0.18479602162162162</v>
      </c>
      <c r="I40" s="39">
        <f t="shared" si="3"/>
        <v>1.783603112552296</v>
      </c>
      <c r="J40">
        <v>1</v>
      </c>
      <c r="K40" s="44">
        <f t="shared" si="4"/>
        <v>1.783603112552296</v>
      </c>
      <c r="L40" s="31">
        <f>L39</f>
        <v>7.05</v>
      </c>
      <c r="M40" s="31">
        <f t="shared" si="5"/>
        <v>7.05</v>
      </c>
    </row>
    <row r="41" spans="2:22">
      <c r="B41" s="15" t="s">
        <v>44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45">
        <v>0</v>
      </c>
      <c r="H41" s="32">
        <f>H36</f>
        <v>0.21337130135885166</v>
      </c>
      <c r="I41" s="45">
        <f t="shared" si="3"/>
        <v>0.23908509059741037</v>
      </c>
      <c r="J41" s="16">
        <v>1</v>
      </c>
      <c r="K41" s="46">
        <f t="shared" si="4"/>
        <v>0.23908509059741037</v>
      </c>
      <c r="L41" s="33">
        <v>0</v>
      </c>
      <c r="M41" s="33">
        <f t="shared" si="5"/>
        <v>0</v>
      </c>
      <c r="N41" t="s">
        <v>66</v>
      </c>
    </row>
    <row r="42" spans="2:22">
      <c r="B42" s="15" t="s">
        <v>46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45">
        <v>0</v>
      </c>
      <c r="H42" s="32">
        <f>(H38)</f>
        <v>0.18479602162162162</v>
      </c>
      <c r="I42" s="45">
        <f t="shared" si="3"/>
        <v>1.3324030042835489</v>
      </c>
      <c r="J42" s="16">
        <v>1</v>
      </c>
      <c r="K42" s="46">
        <f>(I42*J42)</f>
        <v>1.3324030042835489</v>
      </c>
      <c r="L42" s="33">
        <v>0</v>
      </c>
      <c r="M42" s="33">
        <f>(L42*J42)</f>
        <v>0</v>
      </c>
      <c r="N42" t="s">
        <v>66</v>
      </c>
    </row>
    <row r="43" spans="2:22">
      <c r="B43" s="8" t="s">
        <v>48</v>
      </c>
      <c r="H43" s="21"/>
      <c r="J43">
        <v>2</v>
      </c>
      <c r="K43" s="44"/>
      <c r="L43" s="31">
        <v>14</v>
      </c>
      <c r="M43" s="31">
        <f>L43*J43</f>
        <v>28</v>
      </c>
    </row>
    <row r="44" spans="2:22">
      <c r="B44" s="8" t="s">
        <v>67</v>
      </c>
      <c r="J44">
        <v>1</v>
      </c>
      <c r="K44" s="9"/>
      <c r="L44" s="31">
        <v>0.4</v>
      </c>
      <c r="M44" s="31">
        <f>(L44*J44)</f>
        <v>0.4</v>
      </c>
    </row>
    <row r="45" spans="2:22">
      <c r="B45" s="8" t="s">
        <v>68</v>
      </c>
      <c r="J45">
        <v>1</v>
      </c>
      <c r="K45" s="9"/>
      <c r="L45" s="31">
        <v>0.35</v>
      </c>
      <c r="M45" s="31">
        <f>(L45*J45)</f>
        <v>0.35</v>
      </c>
    </row>
    <row r="46" spans="2:22">
      <c r="B46" s="10" t="s">
        <v>69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1">
        <v>1.5</v>
      </c>
      <c r="M46" s="31">
        <f>(L46*J46)</f>
        <v>1.5</v>
      </c>
      <c r="V46" s="39"/>
    </row>
    <row r="47" spans="2:22">
      <c r="L47" t="s">
        <v>36</v>
      </c>
      <c r="M47" s="31">
        <f>(SUM(M34:M46))</f>
        <v>114.85</v>
      </c>
      <c r="O47" s="31">
        <f>(J13+SUM(G35:G41)-D77)</f>
        <v>1.7189300137052648</v>
      </c>
      <c r="P47">
        <f>(O47/J3)</f>
        <v>282.76083461941084</v>
      </c>
    </row>
    <row r="49" spans="2:7">
      <c r="B49" s="18" t="s">
        <v>63</v>
      </c>
      <c r="C49" s="6"/>
      <c r="D49" s="6"/>
      <c r="E49" s="6"/>
      <c r="F49" s="6"/>
      <c r="G49" s="7"/>
    </row>
    <row r="50" spans="2:7">
      <c r="B50" s="8"/>
      <c r="C50" t="s">
        <v>70</v>
      </c>
      <c r="D50" t="s">
        <v>71</v>
      </c>
      <c r="E50" t="s">
        <v>72</v>
      </c>
      <c r="F50" t="s">
        <v>73</v>
      </c>
      <c r="G50" s="9" t="s">
        <v>74</v>
      </c>
    </row>
    <row r="51" spans="2:7">
      <c r="B51" s="8" t="s">
        <v>41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34">
        <f>(C51*$J$4+D51*$J$5+E51*$J$6+F51*$J$7)</f>
        <v>1.5615590400000001</v>
      </c>
    </row>
    <row r="52" spans="2:7">
      <c r="B52" s="8" t="s">
        <v>44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34">
        <f>(C52*$J$4+D52*$J$5+E52*$J$6+F52*$J$7)</f>
        <v>0.21337130135885166</v>
      </c>
    </row>
    <row r="53" spans="2:7">
      <c r="B53" s="8" t="s">
        <v>46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34">
        <f>(C53*$J$4+D53*$J$5+E53*$J$6+F53*$J$7)</f>
        <v>0.18479602162162162</v>
      </c>
    </row>
    <row r="54" spans="2:7">
      <c r="B54" s="10" t="s">
        <v>48</v>
      </c>
      <c r="C54" s="11"/>
      <c r="D54" s="11"/>
      <c r="E54" s="11"/>
      <c r="F54" s="11"/>
      <c r="G54" s="12"/>
    </row>
    <row r="56" spans="2:7">
      <c r="B56" s="5" t="s">
        <v>75</v>
      </c>
      <c r="C56" s="6" t="s">
        <v>76</v>
      </c>
      <c r="D56" s="7" t="s">
        <v>77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7">
        <v>1.1399999999999999</v>
      </c>
      <c r="E60" s="42">
        <f t="shared" ref="E60:E67" si="6">D60/C60</f>
        <v>1.0039857823396298E-2</v>
      </c>
    </row>
    <row r="61" spans="2:7">
      <c r="B61" s="8"/>
      <c r="C61" s="19">
        <v>130.53974622000001</v>
      </c>
      <c r="D61" s="47">
        <v>1.1793119999999999</v>
      </c>
      <c r="E61" s="42">
        <f t="shared" si="6"/>
        <v>9.0341220520874389E-3</v>
      </c>
    </row>
    <row r="62" spans="2:7">
      <c r="B62" s="8"/>
      <c r="C62" s="19">
        <v>167.40487411999999</v>
      </c>
      <c r="D62" s="47">
        <v>1.05481</v>
      </c>
      <c r="E62" s="42">
        <f t="shared" si="6"/>
        <v>6.3009515436443378E-3</v>
      </c>
    </row>
    <row r="63" spans="2:7">
      <c r="B63" s="8"/>
      <c r="C63" s="19">
        <v>167.96827999999999</v>
      </c>
      <c r="D63" s="47">
        <f>1.0512-0.00017</f>
        <v>1.0510299999999999</v>
      </c>
      <c r="E63" s="42">
        <f t="shared" si="6"/>
        <v>6.2573123925541178E-3</v>
      </c>
    </row>
    <row r="64" spans="2:7">
      <c r="B64" s="8"/>
      <c r="C64" s="19">
        <v>123.66</v>
      </c>
      <c r="D64" s="47">
        <v>1.0489999999999999</v>
      </c>
      <c r="E64" s="42">
        <f t="shared" si="6"/>
        <v>8.4829370855571719E-3</v>
      </c>
    </row>
    <row r="65" spans="2:5">
      <c r="B65" s="8"/>
      <c r="C65" s="19">
        <v>149.5</v>
      </c>
      <c r="D65" s="47">
        <v>1.17</v>
      </c>
      <c r="E65" s="42">
        <f t="shared" si="6"/>
        <v>7.826086956521738E-3</v>
      </c>
    </row>
    <row r="66" spans="2:5">
      <c r="B66" s="8"/>
      <c r="C66" s="19">
        <v>170.62</v>
      </c>
      <c r="D66" s="47">
        <v>1.1579999999999999</v>
      </c>
      <c r="E66" s="42">
        <f t="shared" si="6"/>
        <v>6.7870120736138783E-3</v>
      </c>
    </row>
    <row r="67" spans="2:5">
      <c r="B67" s="8"/>
      <c r="C67" s="19">
        <v>192.66</v>
      </c>
      <c r="D67" s="47">
        <v>1.0900000000000001</v>
      </c>
      <c r="E67" s="42">
        <f t="shared" si="6"/>
        <v>5.6576352122910834E-3</v>
      </c>
    </row>
    <row r="68" spans="2:5">
      <c r="B68" s="8"/>
      <c r="C68" s="19">
        <v>257.33999999999997</v>
      </c>
      <c r="D68" s="47">
        <v>1.1299999999999999</v>
      </c>
      <c r="E68" s="42">
        <f t="shared" ref="E68:E74" si="7">(D68/C68)</f>
        <v>4.3910779513484108E-3</v>
      </c>
    </row>
    <row r="69" spans="2:5">
      <c r="B69" s="8"/>
      <c r="C69" s="19">
        <v>312.13</v>
      </c>
      <c r="D69" s="47">
        <v>0.82</v>
      </c>
      <c r="E69" s="42">
        <f t="shared" si="7"/>
        <v>2.6271104988306155E-3</v>
      </c>
    </row>
    <row r="70" spans="2:5">
      <c r="B70" s="8"/>
      <c r="C70" s="19">
        <v>352.46100000000001</v>
      </c>
      <c r="D70" s="47">
        <v>1.2074</v>
      </c>
      <c r="E70" s="42">
        <f t="shared" si="7"/>
        <v>3.4256272325165053E-3</v>
      </c>
    </row>
    <row r="71" spans="2:5">
      <c r="B71" s="8"/>
      <c r="C71" s="19">
        <v>263.04000000000002</v>
      </c>
      <c r="D71" s="47">
        <v>1.0588</v>
      </c>
      <c r="E71" s="42">
        <f t="shared" si="7"/>
        <v>4.0252433090024325E-3</v>
      </c>
    </row>
    <row r="72" spans="2:5">
      <c r="B72" s="8"/>
      <c r="C72" s="19">
        <v>359.00495999999998</v>
      </c>
      <c r="D72" s="47">
        <v>1.1194999999999999</v>
      </c>
      <c r="E72" s="42">
        <f t="shared" si="7"/>
        <v>3.1183413176241355E-3</v>
      </c>
    </row>
    <row r="73" spans="2:5">
      <c r="B73" s="8"/>
      <c r="C73" s="19">
        <v>327.91</v>
      </c>
      <c r="D73" s="47">
        <v>1.0785</v>
      </c>
      <c r="E73" s="42">
        <f t="shared" si="7"/>
        <v>3.2890122289652647E-3</v>
      </c>
    </row>
    <row r="74" spans="2:5">
      <c r="B74" s="8"/>
      <c r="C74" s="19">
        <v>925.39</v>
      </c>
      <c r="D74" s="47">
        <v>3.1734</v>
      </c>
      <c r="E74" s="42">
        <f t="shared" si="7"/>
        <v>3.4292568538670182E-3</v>
      </c>
    </row>
    <row r="75" spans="2:5">
      <c r="B75" s="8"/>
      <c r="C75" s="19">
        <v>109.44</v>
      </c>
      <c r="D75" s="47"/>
      <c r="E75" s="42"/>
    </row>
    <row r="76" spans="2:5">
      <c r="B76" s="10"/>
      <c r="C76" s="11"/>
      <c r="D76" s="12"/>
    </row>
    <row r="77" spans="2:5">
      <c r="B77" t="s">
        <v>36</v>
      </c>
      <c r="C77" s="19">
        <f>(SUM(C57:C76))</f>
        <v>4918.1354785700005</v>
      </c>
      <c r="D77" s="38">
        <f>(SUM(D57:D76))</f>
        <v>18.479751999999998</v>
      </c>
    </row>
  </sheetData>
  <conditionalFormatting sqref="L35">
    <cfRule type="cellIs" dxfId="255" priority="17" operator="lessThan">
      <formula>$C$5</formula>
    </cfRule>
    <cfRule type="cellIs" dxfId="254" priority="18" operator="greaterThan">
      <formula>$C$5</formula>
    </cfRule>
  </conditionalFormatting>
  <conditionalFormatting sqref="L36">
    <cfRule type="cellIs" dxfId="253" priority="15" operator="lessThan">
      <formula>$C$6</formula>
    </cfRule>
    <cfRule type="cellIs" dxfId="252" priority="16" operator="greaterThan">
      <formula>$C$6</formula>
    </cfRule>
  </conditionalFormatting>
  <conditionalFormatting sqref="L40">
    <cfRule type="cellIs" dxfId="251" priority="13" operator="lessThan">
      <formula>$C$20</formula>
    </cfRule>
    <cfRule type="cellIs" dxfId="250" priority="14" operator="greaterThan">
      <formula>$C$20</formula>
    </cfRule>
  </conditionalFormatting>
  <conditionalFormatting sqref="L39">
    <cfRule type="cellIs" dxfId="249" priority="11" operator="lessThan">
      <formula>$C$19</formula>
    </cfRule>
    <cfRule type="cellIs" dxfId="248" priority="12" operator="greaterThan">
      <formula>$C$19</formula>
    </cfRule>
  </conditionalFormatting>
  <conditionalFormatting sqref="L38">
    <cfRule type="cellIs" dxfId="247" priority="9" operator="lessThan">
      <formula>$C$17</formula>
    </cfRule>
    <cfRule type="cellIs" dxfId="246" priority="10" operator="greaterThan">
      <formula>$C$17</formula>
    </cfRule>
  </conditionalFormatting>
  <conditionalFormatting sqref="L37">
    <cfRule type="cellIs" dxfId="245" priority="7" operator="lessThan">
      <formula>$C$7</formula>
    </cfRule>
    <cfRule type="cellIs" dxfId="244" priority="8" operator="greaterThan">
      <formula>$C$7</formula>
    </cfRule>
  </conditionalFormatting>
  <conditionalFormatting sqref="L43">
    <cfRule type="cellIs" dxfId="243" priority="3" operator="lessThan">
      <formula>$C$27</formula>
    </cfRule>
    <cfRule type="cellIs" dxfId="242" priority="4" operator="greaterThan">
      <formula>$C$27</formula>
    </cfRule>
  </conditionalFormatting>
  <conditionalFormatting sqref="L44:L46">
    <cfRule type="cellIs" dxfId="241" priority="1" operator="lessThan">
      <formula>$C$7</formula>
    </cfRule>
    <cfRule type="cellIs" dxfId="24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35</v>
      </c>
    </row>
    <row r="4" spans="2:4">
      <c r="B4" t="s">
        <v>78</v>
      </c>
      <c r="C4" s="38">
        <f>(-385/3)</f>
        <v>-128.33333333333334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79</v>
      </c>
      <c r="D4" t="s">
        <v>6</v>
      </c>
      <c r="E4" t="s">
        <v>36</v>
      </c>
    </row>
    <row r="5" spans="2:7">
      <c r="B5" t="s">
        <v>80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81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E7" sqref="E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0.59451290399437784</v>
      </c>
      <c r="M3" t="s">
        <v>4</v>
      </c>
      <c r="N3" s="24">
        <f>(INDEX(N5:N21,MATCH(MAX(O6:O7),O5:O21,0))/0.9)</f>
        <v>25</v>
      </c>
      <c r="O3" s="39">
        <f>(MAX(O6:O7)*0.85)</f>
        <v>0.47176311805041954</v>
      </c>
      <c r="P3" s="35">
        <f>(O3*N3)</f>
        <v>11.794077951260489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42.183177344262617</v>
      </c>
      <c r="K4" s="4">
        <f>(J4/D13-1)</f>
        <v>1.4811287430630995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31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0.71774159999999998</v>
      </c>
      <c r="C6" s="40">
        <v>0</v>
      </c>
      <c r="D6" s="40">
        <f>(B6*C6)</f>
        <v>0</v>
      </c>
      <c r="E6" s="38">
        <f>(B6*J3)</f>
        <v>0.42670664293357113</v>
      </c>
      <c r="M6" t="s">
        <v>11</v>
      </c>
      <c r="N6" s="1">
        <f>-B10</f>
        <v>22.57</v>
      </c>
      <c r="O6" s="38">
        <f>P6/N6</f>
        <v>0.44671816437749229</v>
      </c>
      <c r="P6" s="38">
        <f>-D10</f>
        <v>10.08242897</v>
      </c>
      <c r="Q6" t="s">
        <v>12</v>
      </c>
      <c r="R6" s="2">
        <f>(B6)</f>
        <v>0.71774159999999998</v>
      </c>
      <c r="S6" s="40">
        <v>0</v>
      </c>
      <c r="T6" s="40">
        <f>(D6)</f>
        <v>0</v>
      </c>
      <c r="U6" s="38">
        <f>(R6*J3)</f>
        <v>0.42670664293357113</v>
      </c>
    </row>
    <row r="7" spans="2:21">
      <c r="B7" s="1">
        <v>112.66705213</v>
      </c>
      <c r="C7" s="38">
        <f>(D7/B7)</f>
        <v>0.3452650909434955</v>
      </c>
      <c r="D7" s="38">
        <v>38.9</v>
      </c>
      <c r="E7" t="s">
        <v>15</v>
      </c>
      <c r="N7" s="1">
        <f>-B11</f>
        <v>22.5</v>
      </c>
      <c r="O7" s="38">
        <f>($S$7*Params!K9)</f>
        <v>0.55501543300049361</v>
      </c>
      <c r="P7" s="38">
        <f>-D11</f>
        <v>12.305999999999999</v>
      </c>
      <c r="Q7" t="s">
        <v>12</v>
      </c>
      <c r="R7" s="29">
        <f>B7+B10</f>
        <v>90.097052130000009</v>
      </c>
      <c r="S7" s="38">
        <f>(T7/R7)</f>
        <v>0.34688464562530852</v>
      </c>
      <c r="T7" s="38">
        <f>D7+B10*0.3388</f>
        <v>31.253284000000001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3*($B$13-B11-B10)/5-N7-N6</f>
        <v>24.544509757999997</v>
      </c>
      <c r="O8" s="38">
        <f>($C$7*Params!K10)</f>
        <v>0.75958320007569013</v>
      </c>
      <c r="P8" s="38">
        <f>(O8*N8)</f>
        <v>18.643597266270639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14.190836586</v>
      </c>
      <c r="O9" s="38">
        <f>($C$7*Params!K11)</f>
        <v>1.7263254547174776</v>
      </c>
      <c r="P9" s="38">
        <f>(O9*N9)</f>
        <v>24.498002422147866</v>
      </c>
      <c r="R9" s="1">
        <f>B10-B10</f>
        <v>0</v>
      </c>
      <c r="S9" s="39">
        <v>0</v>
      </c>
      <c r="T9" s="39">
        <f>D10-B10*0.3388</f>
        <v>-2.4357129700000009</v>
      </c>
    </row>
    <row r="10" spans="2:21">
      <c r="B10" s="1">
        <v>-22.57</v>
      </c>
      <c r="C10" s="39">
        <f>D10/B10</f>
        <v>0.44671816437749229</v>
      </c>
      <c r="D10" s="38">
        <v>-10.08242897</v>
      </c>
      <c r="N10" s="1"/>
      <c r="P10" s="38"/>
    </row>
    <row r="11" spans="2:21">
      <c r="B11" s="1">
        <v>-22.5</v>
      </c>
      <c r="C11" s="39">
        <f>D11/B11</f>
        <v>0.54693333333333327</v>
      </c>
      <c r="D11" s="38">
        <v>-12.305999999999999</v>
      </c>
      <c r="P11" s="38">
        <f>(SUM(P6:P9))</f>
        <v>65.530028658418502</v>
      </c>
    </row>
    <row r="12" spans="2:21">
      <c r="F12" t="s">
        <v>9</v>
      </c>
      <c r="G12" s="35">
        <f>(D13/B13)</f>
        <v>0.23961388769387948</v>
      </c>
    </row>
    <row r="13" spans="2:21">
      <c r="B13" s="1">
        <f>(SUM(B5:B12))</f>
        <v>70.954182930000002</v>
      </c>
      <c r="D13" s="38">
        <f>(SUM(D5:D12))</f>
        <v>17.001607620000001</v>
      </c>
      <c r="R13" s="1">
        <f>(SUM(R5:R12))</f>
        <v>93.454182930000002</v>
      </c>
      <c r="T13" s="38">
        <f>(SUM(T5:T12))</f>
        <v>29.307607619999999</v>
      </c>
    </row>
  </sheetData>
  <conditionalFormatting sqref="C5 C7 G12 S5 S7">
    <cfRule type="cellIs" dxfId="239" priority="19" operator="lessThan">
      <formula>$J$3</formula>
    </cfRule>
    <cfRule type="cellIs" dxfId="238" priority="20" operator="greaterThan">
      <formula>$J$3</formula>
    </cfRule>
  </conditionalFormatting>
  <conditionalFormatting sqref="O8:O9">
    <cfRule type="cellIs" dxfId="237" priority="15" operator="lessThan">
      <formula>$J$3</formula>
    </cfRule>
    <cfRule type="cellIs" dxfId="236" priority="16" operator="greaterThan">
      <formula>$J$3</formula>
    </cfRule>
  </conditionalFormatting>
  <conditionalFormatting sqref="C9">
    <cfRule type="cellIs" dxfId="235" priority="3" operator="lessThan">
      <formula>$J$3</formula>
    </cfRule>
    <cfRule type="cellIs" dxfId="234" priority="4" operator="greaterThan">
      <formula>$J$3</formula>
    </cfRule>
  </conditionalFormatting>
  <conditionalFormatting sqref="O3">
    <cfRule type="cellIs" dxfId="233" priority="1" operator="greaterThan">
      <formula>$J$3</formula>
    </cfRule>
    <cfRule type="cellIs" dxfId="232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A1:XFD104857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0.19460553157841781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12.319471924869424</v>
      </c>
      <c r="K4" s="4">
        <f>(J4/D14-1)</f>
        <v>0.25378001617663593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31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0.56202985999999999</v>
      </c>
      <c r="C6" s="40">
        <v>0</v>
      </c>
      <c r="D6" s="40">
        <f>(B6*C6)</f>
        <v>0</v>
      </c>
      <c r="E6" s="38">
        <f>(B6*J3)</f>
        <v>0.10937411966824374</v>
      </c>
      <c r="M6" t="s">
        <v>11</v>
      </c>
      <c r="N6" s="29">
        <f>($B$14/5)</f>
        <v>12.660967882</v>
      </c>
      <c r="O6" s="38">
        <f>($C$5*Params!K8)</f>
        <v>0.21940472231459929</v>
      </c>
      <c r="P6" s="38">
        <f>(O6*N6)</f>
        <v>2.7778761423842702</v>
      </c>
      <c r="R6" s="36">
        <f>(B6)</f>
        <v>0.56202985999999999</v>
      </c>
      <c r="S6" s="40">
        <v>0</v>
      </c>
      <c r="T6" s="40">
        <f>(D6)</f>
        <v>0</v>
      </c>
      <c r="U6" s="38">
        <f>(E6)</f>
        <v>0.10937411966824374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12.660967882</v>
      </c>
      <c r="O7" s="38">
        <f>($C$5*Params!K9)</f>
        <v>0.27003658131027602</v>
      </c>
      <c r="P7" s="38">
        <f>(O7*N7)</f>
        <v>3.4189244829344863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12.660967882</v>
      </c>
      <c r="O8" s="38">
        <f>($C$5*Params!K10)</f>
        <v>0.37130029930162955</v>
      </c>
      <c r="P8" s="38">
        <f>(O8*N8)</f>
        <v>4.7010211640349189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12.660967882</v>
      </c>
      <c r="O9" s="38">
        <f>($C$5*Params!K11)</f>
        <v>0.84386431659461258</v>
      </c>
      <c r="P9" s="38">
        <f>(O9*N9)</f>
        <v>10.68413900917027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21.581960798523944</v>
      </c>
    </row>
    <row r="13" spans="2:21">
      <c r="F13" t="s">
        <v>9</v>
      </c>
      <c r="G13" s="38">
        <f>(D14/B14)</f>
        <v>0.155215052933976</v>
      </c>
    </row>
    <row r="14" spans="2:21">
      <c r="B14" s="29">
        <f>(SUM(B5:B13))</f>
        <v>63.30483941</v>
      </c>
      <c r="D14" s="38">
        <f>(SUM(D5:D13))</f>
        <v>9.8258639999999993</v>
      </c>
    </row>
    <row r="17" spans="11:20">
      <c r="N17" s="29"/>
      <c r="R17" s="29">
        <f>(SUM(R5:R16))</f>
        <v>63.304839410000007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31" priority="13" operator="lessThan">
      <formula>$J$3</formula>
    </cfRule>
    <cfRule type="cellIs" dxfId="230" priority="14" operator="greaterThan">
      <formula>$J$3</formula>
    </cfRule>
  </conditionalFormatting>
  <conditionalFormatting sqref="C9:C10">
    <cfRule type="cellIs" dxfId="229" priority="11" operator="lessThan">
      <formula>$J$3</formula>
    </cfRule>
    <cfRule type="cellIs" dxfId="228" priority="12" operator="greaterThan">
      <formula>$J$3</formula>
    </cfRule>
  </conditionalFormatting>
  <conditionalFormatting sqref="O6:O9">
    <cfRule type="cellIs" dxfId="227" priority="9" operator="lessThan">
      <formula>$J$3</formula>
    </cfRule>
    <cfRule type="cellIs" dxfId="226" priority="10" operator="greaterThan">
      <formula>$J$3</formula>
    </cfRule>
  </conditionalFormatting>
  <conditionalFormatting sqref="S5 S7:S8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O6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36</vt:i4>
      </vt:variant>
    </vt:vector>
  </HeadingPairs>
  <TitlesOfParts>
    <vt:vector size="36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  <vt:lpstr>SEI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2023-12-16T00:41:59Z</dcterms:modified>
</cp:coreProperties>
</file>