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2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2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1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5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5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4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</numCache>
            </numRef>
          </val>
        </ser>
        <marker val="1"/>
        <axId val="75515392"/>
        <axId val="75517312"/>
      </lineChart>
      <dateAx>
        <axId val="7551539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517312"/>
        <crosses val="autoZero"/>
        <lblOffset val="100"/>
      </dateAx>
      <valAx>
        <axId val="7551731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515392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41" sqref="B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1818.284076902907</v>
      </c>
      <c r="M3" t="inlineStr">
        <is>
          <t>Objectif :</t>
        </is>
      </c>
      <c r="N3">
        <f>(INDEX(N5:N29,MATCH(MAX(O18,O10),O5:O29,0))/0.9)</f>
        <v/>
      </c>
      <c r="O3" s="50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0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0" t="n">
        <v>4000</v>
      </c>
      <c r="T5" s="23">
        <f>(R5*S5)</f>
        <v/>
      </c>
    </row>
    <row r="6">
      <c r="B6" s="24" t="n">
        <v>0.0005999999999999999</v>
      </c>
      <c r="C6" s="50" t="n">
        <v>3950</v>
      </c>
      <c r="D6" s="23">
        <f>B6*C6</f>
        <v/>
      </c>
      <c r="M6" t="inlineStr">
        <is>
          <t>Objectif :</t>
        </is>
      </c>
      <c r="N6" s="50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0" t="n">
        <v>3950</v>
      </c>
      <c r="T6" s="23">
        <f>(R6*S6)</f>
        <v/>
      </c>
    </row>
    <row r="7">
      <c r="B7" s="24" t="n">
        <v>0.0034</v>
      </c>
      <c r="C7" s="50" t="n">
        <v>3428</v>
      </c>
      <c r="D7" s="23">
        <f>B7*C7</f>
        <v/>
      </c>
      <c r="F7" t="inlineStr">
        <is>
          <t>Moy</t>
        </is>
      </c>
      <c r="G7" s="49">
        <f>(D42/B42)</f>
        <v/>
      </c>
      <c r="R7" s="24">
        <f>(B7)</f>
        <v/>
      </c>
      <c r="S7" s="50" t="n">
        <v>3428</v>
      </c>
      <c r="T7" s="23">
        <f>(R7*S7)</f>
        <v/>
      </c>
    </row>
    <row r="8">
      <c r="B8" s="24" t="n">
        <v>-0.0076</v>
      </c>
      <c r="C8" s="49" t="n">
        <v>3216.89</v>
      </c>
      <c r="D8" s="23">
        <f>B8*C8</f>
        <v/>
      </c>
      <c r="R8" s="24">
        <f>(B11+B10+B9+B8)</f>
        <v/>
      </c>
      <c r="S8" s="49" t="n">
        <v>0</v>
      </c>
      <c r="T8" s="23">
        <f>(D11+D10+D9+D8)</f>
        <v/>
      </c>
    </row>
    <row r="9">
      <c r="B9" s="24" t="n">
        <v>-0.0076</v>
      </c>
      <c r="C9" s="49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49" t="n">
        <v>0</v>
      </c>
      <c r="T9" s="23">
        <f>(R9*S9)</f>
        <v/>
      </c>
    </row>
    <row r="10">
      <c r="B10" s="24" t="n">
        <v>-0.0076</v>
      </c>
      <c r="C10" s="49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0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0">
        <f>(T10/R10)</f>
        <v/>
      </c>
      <c r="T10" s="23">
        <f>(SUM(D13:D20))</f>
        <v/>
      </c>
    </row>
    <row r="11">
      <c r="B11" s="24" t="n">
        <v>0.0243</v>
      </c>
      <c r="C11" s="50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0">
        <f>($S$18*Params!K16)</f>
        <v/>
      </c>
      <c r="P11" s="23">
        <f>(O11*N11)</f>
        <v/>
      </c>
      <c r="R11" s="24">
        <f>(B21)</f>
        <v/>
      </c>
      <c r="S11" s="50" t="n">
        <v>1895</v>
      </c>
      <c r="T11" s="23">
        <f>(R11*S11)</f>
        <v/>
      </c>
    </row>
    <row r="12">
      <c r="B12" s="25" t="n">
        <v>0.00378618</v>
      </c>
      <c r="C12" s="51" t="n">
        <v>0</v>
      </c>
      <c r="D12" s="26">
        <f>B12*C12</f>
        <v/>
      </c>
      <c r="E12" s="49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0">
        <f>($S$18*Params!K17)</f>
        <v/>
      </c>
      <c r="P12" s="23">
        <f>(O12*N12)</f>
        <v/>
      </c>
      <c r="R12" s="24">
        <f>(B22)</f>
        <v/>
      </c>
      <c r="S12" s="50" t="n">
        <v>1890.15</v>
      </c>
      <c r="T12" s="23">
        <f>(R12*S12)</f>
        <v/>
      </c>
    </row>
    <row r="13">
      <c r="B13" s="24" t="n">
        <v>-0.008</v>
      </c>
      <c r="C13" s="49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0">
        <f>($S$18*Params!K18)</f>
        <v/>
      </c>
      <c r="P13" s="23">
        <f>(O13*N13)</f>
        <v/>
      </c>
      <c r="R13" s="24">
        <f>(B23)</f>
        <v/>
      </c>
      <c r="S13" s="50">
        <f>(T13/R13)</f>
        <v/>
      </c>
      <c r="T13" s="23">
        <f>(82.1)</f>
        <v/>
      </c>
    </row>
    <row r="14">
      <c r="B14" s="24" t="n">
        <v>-0.01</v>
      </c>
      <c r="C14" s="49" t="n">
        <v>2263</v>
      </c>
      <c r="D14" s="23">
        <f>B14*C14</f>
        <v/>
      </c>
      <c r="R14" s="24">
        <f>(B24)</f>
        <v/>
      </c>
      <c r="S14" s="50" t="n">
        <v>1709</v>
      </c>
      <c r="T14" s="23">
        <f>(S14*R14)</f>
        <v/>
      </c>
    </row>
    <row r="15">
      <c r="B15" s="24" t="n">
        <v>-0.008999999999999999</v>
      </c>
      <c r="C15" s="49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0" t="n">
        <v>1617.3</v>
      </c>
      <c r="T15" s="23">
        <f>(S15*R15)</f>
        <v/>
      </c>
    </row>
    <row r="16">
      <c r="B16" s="24" t="n">
        <v>-0.008</v>
      </c>
      <c r="C16" s="49" t="n">
        <v>2027.47</v>
      </c>
      <c r="D16" s="23">
        <f>B16*C16</f>
        <v/>
      </c>
      <c r="R16" s="24">
        <f>(SUM(B26:B33))</f>
        <v/>
      </c>
      <c r="S16" s="49" t="n">
        <v>0</v>
      </c>
      <c r="T16" s="23">
        <f>(SUM(D26:D33))</f>
        <v/>
      </c>
    </row>
    <row r="17">
      <c r="B17" s="24" t="n">
        <v>-0.008200000000000001</v>
      </c>
      <c r="C17" s="49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49">
        <f>(T17/R17)</f>
        <v/>
      </c>
      <c r="T17" s="23" t="n">
        <v>-12.19326523</v>
      </c>
    </row>
    <row r="18">
      <c r="B18" s="24" t="n">
        <v>0.016</v>
      </c>
      <c r="C18" s="50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0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0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0">
        <f>1/0.0008564</f>
        <v/>
      </c>
      <c r="D19" s="23">
        <f>B19*C19</f>
        <v/>
      </c>
      <c r="N19">
        <f>(2*($R$19+N18)/5-N18)</f>
        <v/>
      </c>
      <c r="O19" s="50">
        <f>($S$19*Params!K16)</f>
        <v/>
      </c>
      <c r="P19" s="23">
        <f>(O19*N19)</f>
        <v/>
      </c>
      <c r="R19" s="24">
        <f>(B36+B38)</f>
        <v/>
      </c>
      <c r="S19" s="50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0">
        <f>D20/B20</f>
        <v/>
      </c>
      <c r="D20" s="23" t="n">
        <v>50</v>
      </c>
      <c r="N20">
        <f>($B$36/5)</f>
        <v/>
      </c>
      <c r="O20" s="50">
        <f>($S$19*Params!K17)</f>
        <v/>
      </c>
      <c r="P20" s="23">
        <f>(O20*N20)</f>
        <v/>
      </c>
      <c r="R20" s="24">
        <f>(B37)</f>
        <v/>
      </c>
      <c r="S20" s="50">
        <f>(C37)</f>
        <v/>
      </c>
      <c r="T20" s="23">
        <f>(D37)</f>
        <v/>
      </c>
    </row>
    <row r="21">
      <c r="B21" s="24" t="n">
        <v>0.01</v>
      </c>
      <c r="C21" s="50" t="n">
        <v>1895</v>
      </c>
      <c r="D21" s="23">
        <f>B21*C21</f>
        <v/>
      </c>
      <c r="N21">
        <f>($B$36/5)</f>
        <v/>
      </c>
      <c r="O21" s="50">
        <f>($S$19*Params!K18)</f>
        <v/>
      </c>
      <c r="P21" s="23">
        <f>(O21*N21)</f>
        <v/>
      </c>
      <c r="R21" s="24">
        <f>(B38-B38)</f>
        <v/>
      </c>
      <c r="S21" s="49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0" t="n">
        <v>1890.15</v>
      </c>
      <c r="D22" s="23">
        <f>B22*C22</f>
        <v/>
      </c>
      <c r="R22" s="24">
        <f>(B39-B39)</f>
        <v/>
      </c>
      <c r="S22" s="49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0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0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0" t="n">
        <v>1709</v>
      </c>
      <c r="D24" s="23">
        <f>C24*B24</f>
        <v/>
      </c>
    </row>
    <row r="25">
      <c r="B25" s="24" t="n">
        <v>0.01</v>
      </c>
      <c r="C25" s="50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49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0">
        <f>($S$20*Params!K15)</f>
        <v/>
      </c>
      <c r="P26" s="23">
        <f>(O26*N26)</f>
        <v/>
      </c>
    </row>
    <row r="27">
      <c r="B27" s="24" t="n">
        <v>0.01</v>
      </c>
      <c r="C27" s="50" t="n">
        <v>1500</v>
      </c>
      <c r="D27" s="23">
        <f>(C27*B27)</f>
        <v/>
      </c>
      <c r="N27" s="24">
        <f>($R$20/5)</f>
        <v/>
      </c>
      <c r="O27" s="50">
        <f>($S$20*Params!K16)</f>
        <v/>
      </c>
      <c r="P27" s="23">
        <f>(O27*N27)</f>
        <v/>
      </c>
    </row>
    <row r="28">
      <c r="B28" s="24" t="n">
        <v>-0.01</v>
      </c>
      <c r="C28" s="49">
        <f>(D28/B28)</f>
        <v/>
      </c>
      <c r="D28" s="23" t="n">
        <v>-14.43</v>
      </c>
      <c r="N28" s="24">
        <f>($R$20/5)</f>
        <v/>
      </c>
      <c r="O28" s="50">
        <f>($S$20*Params!K17)</f>
        <v/>
      </c>
      <c r="P28" s="23">
        <f>(O28*N28)</f>
        <v/>
      </c>
    </row>
    <row r="29">
      <c r="B29" s="24" t="n">
        <v>0.01</v>
      </c>
      <c r="C29" s="50" t="n">
        <v>1428.89</v>
      </c>
      <c r="D29" s="23">
        <f>(C29*B29)</f>
        <v/>
      </c>
      <c r="N29" s="24">
        <f>($R$20/5)</f>
        <v/>
      </c>
      <c r="O29" s="50">
        <f>($S$20*Params!K18)</f>
        <v/>
      </c>
      <c r="P29" s="23">
        <f>(O29*N29)</f>
        <v/>
      </c>
    </row>
    <row r="30">
      <c r="B30" s="24" t="n">
        <v>-0.01</v>
      </c>
      <c r="C30" s="49" t="n">
        <v>1402.5</v>
      </c>
      <c r="D30" s="23">
        <f>(C30*B30)</f>
        <v/>
      </c>
    </row>
    <row r="31">
      <c r="B31" s="24" t="n">
        <v>0.01</v>
      </c>
      <c r="C31" s="50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49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0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49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0">
        <f>($S$23*Params!K15)</f>
        <v/>
      </c>
      <c r="P34" s="23">
        <f>(O34*N34)</f>
        <v/>
      </c>
    </row>
    <row r="35">
      <c r="B35" s="24" t="n">
        <v>0.08555</v>
      </c>
      <c r="C35" s="50">
        <f>(D35/B35)</f>
        <v/>
      </c>
      <c r="D35" s="23" t="n">
        <v>135.78</v>
      </c>
      <c r="E35" t="inlineStr">
        <is>
          <t>DCA1</t>
        </is>
      </c>
      <c r="N35">
        <f>($R$23/5)</f>
        <v/>
      </c>
      <c r="O35" s="50">
        <f>($S$23*Params!K16)</f>
        <v/>
      </c>
      <c r="P35" s="23">
        <f>(O35*N35)</f>
        <v/>
      </c>
    </row>
    <row r="36">
      <c r="B36" s="24" t="n">
        <v>0.01626</v>
      </c>
      <c r="C36" s="50">
        <f>(D36/B36)</f>
        <v/>
      </c>
      <c r="D36" s="23" t="n">
        <v>26.5</v>
      </c>
      <c r="E36" t="inlineStr">
        <is>
          <t>DCA2</t>
        </is>
      </c>
      <c r="N36">
        <f>($R$23/5)</f>
        <v/>
      </c>
      <c r="O36" s="50">
        <f>($S$23*Params!K17)</f>
        <v/>
      </c>
      <c r="P36" s="23">
        <f>(O36*N36)</f>
        <v/>
      </c>
    </row>
    <row r="37">
      <c r="B37" s="24" t="n">
        <v>0.00041228</v>
      </c>
      <c r="C37" s="50">
        <f>(D37/B37)</f>
        <v/>
      </c>
      <c r="D37" s="23" t="n">
        <v>0.5</v>
      </c>
      <c r="N37">
        <f>($R$23/5)</f>
        <v/>
      </c>
      <c r="O37" s="50">
        <f>($S$23*Params!K18)</f>
        <v/>
      </c>
      <c r="P37" s="23">
        <f>(O37*N37)</f>
        <v/>
      </c>
    </row>
    <row r="38">
      <c r="B38" s="24">
        <f>(-0.000705)</f>
        <v/>
      </c>
      <c r="C38" s="49" t="n">
        <v>1605</v>
      </c>
      <c r="D38" s="23">
        <f>(C38*B38)</f>
        <v/>
      </c>
    </row>
    <row r="39">
      <c r="B39" s="24">
        <f>(-0.00535-B38)</f>
        <v/>
      </c>
      <c r="C39" s="49" t="n">
        <v>1605</v>
      </c>
      <c r="D39" s="23">
        <f>(C39*B39)</f>
        <v/>
      </c>
      <c r="P39" s="23">
        <f>(SUM(P34:P37))</f>
        <v/>
      </c>
    </row>
    <row r="40">
      <c r="B40" s="24" t="n">
        <v>0.0239</v>
      </c>
      <c r="C40" s="50">
        <f>(D40/B40)</f>
        <v/>
      </c>
      <c r="D40" s="23" t="n">
        <v>43.55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0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49" t="n">
        <v>3.393925322224079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6.04377</v>
      </c>
      <c r="C5" s="49">
        <f>(D5/B5)</f>
        <v/>
      </c>
      <c r="D5" s="49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1" t="n">
        <v>0</v>
      </c>
      <c r="T5" s="26">
        <f>(D6)</f>
        <v/>
      </c>
      <c r="U5" s="49">
        <f>(R5*J3)</f>
        <v/>
      </c>
    </row>
    <row r="6">
      <c r="B6" s="36" t="n">
        <v>0.21203615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9">
        <f>(SUM(R5:R7)/5)</f>
        <v/>
      </c>
      <c r="O6" s="49">
        <f>($C$5*Params!K8)</f>
        <v/>
      </c>
      <c r="P6" s="49">
        <f>(O6*N6)</f>
        <v/>
      </c>
      <c r="R6" s="29">
        <f>(B5)</f>
        <v/>
      </c>
      <c r="S6" s="49">
        <f>(T6/R6)</f>
        <v/>
      </c>
      <c r="T6" s="49">
        <f>(D5)</f>
        <v/>
      </c>
      <c r="U6" t="inlineStr">
        <is>
          <t>DCA2</t>
        </is>
      </c>
    </row>
    <row r="7">
      <c r="B7" s="29" t="n">
        <v>-0.2273</v>
      </c>
      <c r="C7" s="49">
        <f>(D7/B7)</f>
        <v/>
      </c>
      <c r="D7" s="49" t="n">
        <v>-1.125135</v>
      </c>
      <c r="N7" s="29">
        <f>(SUM(R5:R7)/5)</f>
        <v/>
      </c>
      <c r="O7" s="49">
        <f>($C$5*Params!K9)</f>
        <v/>
      </c>
      <c r="P7" s="49">
        <f>(O7*N7)</f>
        <v/>
      </c>
      <c r="R7" s="29">
        <f>(SUM(B7:B12))</f>
        <v/>
      </c>
      <c r="S7" s="49" t="n">
        <v>0</v>
      </c>
      <c r="T7" s="49">
        <f>(SUM(D7:D12))</f>
        <v/>
      </c>
    </row>
    <row r="8">
      <c r="B8" s="29" t="n">
        <v>-0.305</v>
      </c>
      <c r="C8" s="49">
        <f>(D8/B8)</f>
        <v/>
      </c>
      <c r="D8" s="49" t="n">
        <v>-1.91101378</v>
      </c>
      <c r="N8" s="29">
        <f>(SUM(R5:R7)/5)</f>
        <v/>
      </c>
      <c r="O8" s="49">
        <f>($C$5*Params!K10)</f>
        <v/>
      </c>
      <c r="P8" s="49">
        <f>(O8*N8)</f>
        <v/>
      </c>
    </row>
    <row r="9">
      <c r="B9" s="29" t="n">
        <v>0.34203371</v>
      </c>
      <c r="C9" s="49">
        <f>(D9/B9)</f>
        <v/>
      </c>
      <c r="D9" s="49" t="n">
        <v>1.8</v>
      </c>
      <c r="N9" s="29">
        <f>(SUM(R5:R7)/5)</f>
        <v/>
      </c>
      <c r="O9" s="49">
        <f>($C$5*Params!K11)</f>
        <v/>
      </c>
      <c r="P9" s="49">
        <f>(O9*N9)</f>
        <v/>
      </c>
    </row>
    <row r="10">
      <c r="B10" s="29" t="n">
        <v>0.25620803</v>
      </c>
      <c r="C10" s="49">
        <f>(D10/B10)</f>
        <v/>
      </c>
      <c r="D10" s="49" t="n">
        <v>1.06</v>
      </c>
    </row>
    <row r="11">
      <c r="B11" s="29" t="n">
        <v>-0.4</v>
      </c>
      <c r="C11" s="49">
        <f>(D11/B11)</f>
        <v/>
      </c>
      <c r="D11" s="49" t="n">
        <v>-1.66251396</v>
      </c>
      <c r="P11" s="49">
        <f>(SUM(P6:P9))</f>
        <v/>
      </c>
    </row>
    <row r="12">
      <c r="B12" s="29" t="n">
        <v>0.4</v>
      </c>
      <c r="C12" s="49">
        <f>(D12/B12)</f>
        <v/>
      </c>
      <c r="D12" s="49">
        <f>(1.64908115)</f>
        <v/>
      </c>
    </row>
    <row r="13">
      <c r="F13" t="inlineStr">
        <is>
          <t>Moy</t>
        </is>
      </c>
      <c r="G13" s="49">
        <f>(D14/B14)</f>
        <v/>
      </c>
    </row>
    <row r="14">
      <c r="B14" s="29">
        <f>(SUM(B5:B13))</f>
        <v/>
      </c>
      <c r="D14" s="49">
        <f>(SUM(D5:D13))</f>
        <v/>
      </c>
      <c r="R14" s="29">
        <f>(SUM(R5:R13))</f>
        <v/>
      </c>
      <c r="T14" s="49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10.84050876296409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</row>
    <row r="5">
      <c r="B5" s="29" t="n">
        <v>1.11</v>
      </c>
      <c r="C5" s="49">
        <f>(D5/B5)</f>
        <v/>
      </c>
      <c r="D5" s="49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49" t="n">
        <v>0</v>
      </c>
      <c r="D6" s="49">
        <f>(B6*C6)</f>
        <v/>
      </c>
      <c r="E6" s="49">
        <f>(B6*J3)</f>
        <v/>
      </c>
      <c r="M6" t="inlineStr">
        <is>
          <t>Objectif</t>
        </is>
      </c>
      <c r="N6" s="1">
        <f>(SUM($B$5:$B$7)/5)</f>
        <v/>
      </c>
      <c r="O6" s="49">
        <f>($C$5*Params!K8)</f>
        <v/>
      </c>
      <c r="P6" s="49">
        <f>(O6*N6)</f>
        <v/>
      </c>
    </row>
    <row r="7">
      <c r="B7" s="36" t="n">
        <v>0.00411956</v>
      </c>
      <c r="C7" s="51" t="n">
        <v>0</v>
      </c>
      <c r="D7" s="26">
        <f>(C7*B7)</f>
        <v/>
      </c>
      <c r="E7" s="49">
        <f>(B7*J4)</f>
        <v/>
      </c>
      <c r="N7" s="1">
        <f>(SUM($B$5:$B$7)/5)</f>
        <v/>
      </c>
      <c r="O7" s="49">
        <f>($C$5*Params!K9)</f>
        <v/>
      </c>
      <c r="P7" s="49">
        <f>(O7*N7)</f>
        <v/>
      </c>
    </row>
    <row r="8">
      <c r="N8" s="1">
        <f>(SUM($B$5:$B$7)/5)</f>
        <v/>
      </c>
      <c r="O8" s="49">
        <f>($C$5*Params!K10)</f>
        <v/>
      </c>
      <c r="P8" s="49">
        <f>(O8*N8)</f>
        <v/>
      </c>
    </row>
    <row r="9">
      <c r="N9" s="1">
        <f>(SUM($B$5:$B$7)/5)</f>
        <v/>
      </c>
      <c r="O9" s="49">
        <f>($C$5*Params!K11)</f>
        <v/>
      </c>
      <c r="P9" s="49">
        <f>(O9*N9)</f>
        <v/>
      </c>
    </row>
    <row r="10"/>
    <row r="11"/>
    <row r="12">
      <c r="P12" s="49">
        <f>(SUM(P6:P9))</f>
        <v/>
      </c>
    </row>
    <row r="13">
      <c r="F13" t="inlineStr">
        <is>
          <t>Moy</t>
        </is>
      </c>
      <c r="G13" s="49">
        <f>(D14/B14)</f>
        <v/>
      </c>
    </row>
    <row r="14">
      <c r="B14" s="19">
        <f>(SUM(B5:B13))</f>
        <v/>
      </c>
      <c r="D14" s="49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15.00524907957155</v>
      </c>
      <c r="M3" t="inlineStr">
        <is>
          <t>Objectif :</t>
        </is>
      </c>
      <c r="N3" s="24">
        <f>(INDEX(N6:N15,MATCH(MAX(O6),O6:O15,0))/0.9)</f>
        <v/>
      </c>
      <c r="O3" s="50">
        <f>(MAX(O6)*0.85)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1.61047</v>
      </c>
      <c r="C5" s="49">
        <f>(D5/B5)</f>
        <v/>
      </c>
      <c r="D5" s="49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1" t="n">
        <v>0</v>
      </c>
      <c r="T5" s="26">
        <f>(D6)</f>
        <v/>
      </c>
      <c r="U5" s="49">
        <f>(R5*J3)</f>
        <v/>
      </c>
    </row>
    <row r="6">
      <c r="B6" s="25" t="n">
        <v>0.00708824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(-B7)</f>
        <v/>
      </c>
      <c r="O6" s="49">
        <f>(C7)</f>
        <v/>
      </c>
      <c r="P6" s="49">
        <f>(O6*N6)</f>
        <v/>
      </c>
      <c r="Q6" t="inlineStr">
        <is>
          <t>Done</t>
        </is>
      </c>
      <c r="R6" s="24">
        <f>(B5-N6)</f>
        <v/>
      </c>
      <c r="S6" s="49">
        <f>(T6/R6)</f>
        <v/>
      </c>
      <c r="T6" s="49">
        <f>(D5+12.54*-N6)</f>
        <v/>
      </c>
      <c r="U6" t="inlineStr">
        <is>
          <t>DCA2</t>
        </is>
      </c>
    </row>
    <row r="7">
      <c r="B7" s="24" t="n">
        <v>-0.0717</v>
      </c>
      <c r="C7" s="49">
        <f>(D7/B7)</f>
        <v/>
      </c>
      <c r="D7" s="49" t="n">
        <v>-1.132143</v>
      </c>
      <c r="N7" s="24">
        <f>(2*($R$6+N6)/5-N6)</f>
        <v/>
      </c>
      <c r="O7" s="49">
        <f>($C$5*Params!K9)</f>
        <v/>
      </c>
      <c r="P7" s="49">
        <f>(O7*N7)</f>
        <v/>
      </c>
      <c r="R7" s="24">
        <f>(N14-N14)</f>
        <v/>
      </c>
      <c r="S7" s="49" t="n">
        <v>0</v>
      </c>
      <c r="T7" s="49">
        <f>(12.54*N6-P6)</f>
        <v/>
      </c>
      <c r="U7" t="inlineStr">
        <is>
          <t>DCA2 1/5</t>
        </is>
      </c>
    </row>
    <row r="8">
      <c r="B8" t="n">
        <v>-0.114356</v>
      </c>
      <c r="C8" s="49">
        <f>(D8/B8)</f>
        <v/>
      </c>
      <c r="D8" s="49" t="n">
        <v>-2.35151189</v>
      </c>
      <c r="N8" s="24">
        <f>($B$5/5)</f>
        <v/>
      </c>
      <c r="O8" s="49">
        <f>($C$5*Params!K10)</f>
        <v/>
      </c>
      <c r="P8" s="49">
        <f>(O8*N8)</f>
        <v/>
      </c>
      <c r="R8" s="24">
        <f>(B8+B9)</f>
        <v/>
      </c>
      <c r="S8" s="49" t="n">
        <v>0</v>
      </c>
      <c r="T8" s="49">
        <f>(D8+D9)</f>
        <v/>
      </c>
    </row>
    <row r="9">
      <c r="B9" s="24" t="n">
        <v>0.1272787</v>
      </c>
      <c r="C9" s="49">
        <f>(D9/B9)</f>
        <v/>
      </c>
      <c r="D9" s="49" t="n">
        <v>2.22</v>
      </c>
      <c r="N9" s="24">
        <f>($B$5/5)</f>
        <v/>
      </c>
      <c r="O9" s="49">
        <f>($C$5*Params!K11)</f>
        <v/>
      </c>
      <c r="P9" s="49">
        <f>(O9*N9)</f>
        <v/>
      </c>
      <c r="R9" s="24">
        <f>(B10)</f>
        <v/>
      </c>
      <c r="S9" s="49">
        <f>(T9/R9)</f>
        <v/>
      </c>
      <c r="T9" s="49">
        <f>(D10)</f>
        <v/>
      </c>
      <c r="U9">
        <f>E10</f>
        <v/>
      </c>
    </row>
    <row r="10">
      <c r="B10" t="n">
        <v>0.27148</v>
      </c>
      <c r="C10" s="49">
        <f>(D10/B10)</f>
        <v/>
      </c>
      <c r="D10" s="49" t="n">
        <v>4.65</v>
      </c>
      <c r="E10" t="inlineStr">
        <is>
          <t>DCA4</t>
        </is>
      </c>
    </row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 s="24">
        <f>(SUM(B5:B12))</f>
        <v/>
      </c>
      <c r="D13" s="49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49">
        <f>(SUM(T5:T12))</f>
        <v/>
      </c>
    </row>
    <row r="14">
      <c r="M14" t="inlineStr">
        <is>
          <t>Objectif</t>
        </is>
      </c>
      <c r="N14" s="24">
        <f>($B$10/5)</f>
        <v/>
      </c>
      <c r="O14" s="49">
        <f>($C$10*Params!K8)</f>
        <v/>
      </c>
      <c r="P14" s="49">
        <f>(O14*N14)</f>
        <v/>
      </c>
    </row>
    <row r="15">
      <c r="N15" s="24">
        <f>($B$10/5)</f>
        <v/>
      </c>
      <c r="O15" s="49">
        <f>($C$10*Params!K9)</f>
        <v/>
      </c>
      <c r="P15" s="49">
        <f>(O15*N15)</f>
        <v/>
      </c>
    </row>
    <row r="16">
      <c r="N16" s="24">
        <f>($B$10/5)</f>
        <v/>
      </c>
      <c r="O16" s="49">
        <f>($C$10*Params!K10)</f>
        <v/>
      </c>
      <c r="P16" s="49">
        <f>(O16*N16)</f>
        <v/>
      </c>
    </row>
    <row r="17">
      <c r="N17" s="24">
        <f>($B$10/5)</f>
        <v/>
      </c>
      <c r="O17" s="49">
        <f>($C$10*Params!K11)</f>
        <v/>
      </c>
      <c r="P17" s="49">
        <f>(O17*N17)</f>
        <v/>
      </c>
    </row>
    <row r="18"/>
    <row r="19">
      <c r="P19" s="49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57" t="n">
        <v>0.002953108010731638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57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57">
        <f>(T5/R5)</f>
        <v/>
      </c>
      <c r="T5" s="50">
        <f>(D5)</f>
        <v/>
      </c>
    </row>
    <row r="6">
      <c r="B6" s="19" t="n">
        <v>-170.21276596</v>
      </c>
      <c r="C6" s="57">
        <f>(D6/B6)</f>
        <v/>
      </c>
      <c r="D6" s="49" t="n">
        <v>-0.778379</v>
      </c>
      <c r="M6" t="inlineStr">
        <is>
          <t>Objectif</t>
        </is>
      </c>
      <c r="N6" s="19">
        <f>(($B$5+$R$6)/5)</f>
        <v/>
      </c>
      <c r="O6" s="57">
        <f>(C6)</f>
        <v/>
      </c>
      <c r="P6" s="49">
        <f>(O6*N6)</f>
        <v/>
      </c>
      <c r="R6" s="19">
        <f>(SUM(B6:B11))</f>
        <v/>
      </c>
      <c r="S6" s="57" t="n">
        <v>0</v>
      </c>
      <c r="T6" s="50">
        <f>(SUM(D6:D11))</f>
        <v/>
      </c>
    </row>
    <row r="7">
      <c r="B7" s="19" t="n">
        <v>-175.57251908</v>
      </c>
      <c r="C7" s="57">
        <f>(D7/B7)</f>
        <v/>
      </c>
      <c r="D7" s="49" t="n">
        <v>-0.893567</v>
      </c>
      <c r="N7" s="19">
        <f>(($B$5+$R$6)/5)</f>
        <v/>
      </c>
      <c r="O7" s="57">
        <f>($C$5*Params!K9)</f>
        <v/>
      </c>
      <c r="P7" s="49">
        <f>(O7*N7)</f>
        <v/>
      </c>
      <c r="S7" s="57" t="n"/>
    </row>
    <row r="8">
      <c r="B8" s="19" t="n">
        <v>-167.7852349</v>
      </c>
      <c r="C8" s="57">
        <f>(D8/B8)</f>
        <v/>
      </c>
      <c r="D8" s="49" t="n">
        <v>-1.213721</v>
      </c>
      <c r="N8" s="19">
        <f>(($B$5+$R$6)/5)</f>
        <v/>
      </c>
      <c r="O8" s="57">
        <f>($C$5*Params!K10)</f>
        <v/>
      </c>
      <c r="P8" s="49">
        <f>(O8*N8)</f>
        <v/>
      </c>
    </row>
    <row r="9">
      <c r="B9" s="19" t="n">
        <v>196.03891277</v>
      </c>
      <c r="C9" s="57">
        <f>(D9/B9)</f>
        <v/>
      </c>
      <c r="D9" s="49" t="n">
        <v>1.130011</v>
      </c>
      <c r="N9" s="19">
        <f>(($B$5+$R$6)/5)</f>
        <v/>
      </c>
      <c r="O9" s="57">
        <f>($C$5*Params!K11)</f>
        <v/>
      </c>
      <c r="P9" s="49">
        <f>(O9*N9)</f>
        <v/>
      </c>
    </row>
    <row r="10">
      <c r="B10" s="19" t="n">
        <v>197.79050008</v>
      </c>
      <c r="C10" s="57">
        <f>(D10/B10)</f>
        <v/>
      </c>
      <c r="D10" s="49" t="n">
        <v>0.85006</v>
      </c>
    </row>
    <row r="11">
      <c r="B11" s="19" t="n">
        <v>191.37734579</v>
      </c>
      <c r="C11" s="57">
        <f>(D11/B11)</f>
        <v/>
      </c>
      <c r="D11" s="49" t="n">
        <v>0.737757</v>
      </c>
    </row>
    <row r="12">
      <c r="F12" t="inlineStr">
        <is>
          <t>Moy</t>
        </is>
      </c>
      <c r="G12" s="57">
        <f>(D13/B13)</f>
        <v/>
      </c>
      <c r="P12" s="49">
        <f>(SUM(P6:P9))</f>
        <v/>
      </c>
    </row>
    <row r="13">
      <c r="B13">
        <f>(SUM(B5:B12))</f>
        <v/>
      </c>
      <c r="D13" s="50">
        <f>(SUM(D5:D12))</f>
        <v/>
      </c>
    </row>
    <row r="14"/>
    <row r="15">
      <c r="R15">
        <f>(SUM(R5:R14))</f>
        <v/>
      </c>
      <c r="T15" s="50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3" sqref="B13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49" t="n">
        <v>312.9980344176736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0.00021512</v>
      </c>
      <c r="C5" s="49" t="n">
        <v>244</v>
      </c>
      <c r="D5" s="49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(B5+B13+B9)</f>
        <v/>
      </c>
      <c r="S5" s="49">
        <f>(T5/R5)</f>
        <v/>
      </c>
      <c r="T5" s="49">
        <f>(D5+D13+D9)</f>
        <v/>
      </c>
    </row>
    <row r="6">
      <c r="B6" s="58" t="n">
        <v>0.00664788</v>
      </c>
      <c r="C6" s="49" t="n">
        <v>373</v>
      </c>
      <c r="D6" s="49">
        <f>(C6*B6)</f>
        <v/>
      </c>
      <c r="M6" t="inlineStr">
        <is>
          <t>Objectif</t>
        </is>
      </c>
      <c r="N6">
        <f>($R$8/5)</f>
        <v/>
      </c>
      <c r="O6" s="49">
        <f>($S$8*Params!K8)</f>
        <v/>
      </c>
      <c r="P6" s="49">
        <f>(O6*N6)</f>
        <v/>
      </c>
      <c r="R6" s="58">
        <f>(B6)</f>
        <v/>
      </c>
      <c r="S6" s="49">
        <f>(C6)</f>
        <v/>
      </c>
      <c r="T6" s="49">
        <f>(R6*S6)</f>
        <v/>
      </c>
    </row>
    <row r="7">
      <c r="B7" s="58" t="n">
        <v>0.000235</v>
      </c>
      <c r="C7" s="49" t="n">
        <v>0</v>
      </c>
      <c r="D7" s="49" t="n">
        <v>0</v>
      </c>
      <c r="E7" s="49">
        <f>(B7*J3)</f>
        <v/>
      </c>
      <c r="N7">
        <f>($R$8/5)</f>
        <v/>
      </c>
      <c r="O7" s="49">
        <f>($S$8*Params!K9)</f>
        <v/>
      </c>
      <c r="P7" s="49">
        <f>(O7*N7)</f>
        <v/>
      </c>
      <c r="R7" s="58">
        <f>(B7+B8+B10)</f>
        <v/>
      </c>
      <c r="S7" s="49">
        <f>(C7)</f>
        <v/>
      </c>
      <c r="T7" s="49">
        <f>(R7*S7)</f>
        <v/>
      </c>
    </row>
    <row r="8">
      <c r="B8" s="58" t="n">
        <v>9.498e-05</v>
      </c>
      <c r="C8" s="49" t="n">
        <v>0</v>
      </c>
      <c r="D8" s="49" t="n">
        <v>0</v>
      </c>
      <c r="E8" s="49">
        <f>(B8*J3)</f>
        <v/>
      </c>
      <c r="N8">
        <f>($R$8/5)</f>
        <v/>
      </c>
      <c r="O8" s="49">
        <f>($S$8*Params!K10)</f>
        <v/>
      </c>
      <c r="P8" s="49">
        <f>(O8*N8)</f>
        <v/>
      </c>
      <c r="R8" s="58">
        <f>(B11)</f>
        <v/>
      </c>
      <c r="S8" s="49">
        <f>(C11)</f>
        <v/>
      </c>
      <c r="T8" s="49">
        <f>(R8*S8)</f>
        <v/>
      </c>
      <c r="U8" t="inlineStr">
        <is>
          <t>DCA1</t>
        </is>
      </c>
    </row>
    <row r="9">
      <c r="B9" s="58" t="n">
        <v>9.092e-05</v>
      </c>
      <c r="C9" s="49" t="n">
        <v>276</v>
      </c>
      <c r="D9" s="49">
        <f>(B9*C9)</f>
        <v/>
      </c>
      <c r="E9" s="49" t="n"/>
      <c r="N9">
        <f>($R$8/5)</f>
        <v/>
      </c>
      <c r="O9" s="49">
        <f>($S$8*Params!K11)</f>
        <v/>
      </c>
      <c r="P9" s="49">
        <f>(O9*N9)</f>
        <v/>
      </c>
      <c r="R9" s="58">
        <f>(B12)</f>
        <v/>
      </c>
      <c r="S9" s="49">
        <f>(C12)</f>
        <v/>
      </c>
      <c r="T9" s="49">
        <f>(R9*S9)</f>
        <v/>
      </c>
      <c r="U9" t="inlineStr">
        <is>
          <t>DCA2</t>
        </is>
      </c>
    </row>
    <row r="10">
      <c r="B10" s="58" t="n">
        <v>0.00030701</v>
      </c>
      <c r="C10" s="49" t="n">
        <v>0</v>
      </c>
      <c r="D10" s="49" t="n">
        <v>0</v>
      </c>
      <c r="E10" s="49">
        <f>(B10*J3)</f>
        <v/>
      </c>
      <c r="P10" s="49" t="n"/>
      <c r="R10" s="58" t="n"/>
    </row>
    <row r="11">
      <c r="B11" s="58" t="n">
        <v>0.32766</v>
      </c>
      <c r="C11" s="49">
        <f>(D11/B11)</f>
        <v/>
      </c>
      <c r="D11" s="49" t="n">
        <v>99.95999999999999</v>
      </c>
      <c r="E11" t="inlineStr">
        <is>
          <t>DCA1</t>
        </is>
      </c>
      <c r="P11" s="49">
        <f>(SUM(P6:P9))</f>
        <v/>
      </c>
    </row>
    <row r="12">
      <c r="B12" s="58" t="n">
        <v>0.08735</v>
      </c>
      <c r="C12" s="49">
        <f>(D12/B12)</f>
        <v/>
      </c>
      <c r="D12" s="49" t="n">
        <v>26.5</v>
      </c>
      <c r="E12" t="inlineStr">
        <is>
          <t>DCA2</t>
        </is>
      </c>
    </row>
    <row r="13">
      <c r="B13" s="58" t="n">
        <v>0.0020117</v>
      </c>
      <c r="C13" s="49">
        <f>(D13/B13)</f>
        <v/>
      </c>
      <c r="D13" s="49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>
        <f>($R$9/5)</f>
        <v/>
      </c>
      <c r="O14" s="49">
        <f>($S$9*Params!K8)</f>
        <v/>
      </c>
      <c r="P14" s="49">
        <f>(O14*N14)</f>
        <v/>
      </c>
    </row>
    <row r="15">
      <c r="B15" s="58">
        <f>(SUM(B5:B14))</f>
        <v/>
      </c>
      <c r="D15" s="49">
        <f>(SUM(D5:D14))</f>
        <v/>
      </c>
      <c r="F15" t="inlineStr">
        <is>
          <t>Moy</t>
        </is>
      </c>
      <c r="G15" s="49">
        <f>(SUM(D5:D14)/SUM(B5:B14))</f>
        <v/>
      </c>
      <c r="N15">
        <f>($R$9/5)</f>
        <v/>
      </c>
      <c r="O15" s="49">
        <f>($S$9*Params!K9)</f>
        <v/>
      </c>
      <c r="P15" s="49">
        <f>(O15*N15)</f>
        <v/>
      </c>
    </row>
    <row r="16">
      <c r="N16">
        <f>($R$9/5)</f>
        <v/>
      </c>
      <c r="O16" s="49">
        <f>($S$9*Params!K10)</f>
        <v/>
      </c>
      <c r="P16" s="49">
        <f>(O16*N16)</f>
        <v/>
      </c>
    </row>
    <row r="17">
      <c r="N17">
        <f>($R$9/5)</f>
        <v/>
      </c>
      <c r="O17" s="49">
        <f>($S$9*Params!K11)</f>
        <v/>
      </c>
      <c r="P17" s="49">
        <f>(O17*N17)</f>
        <v/>
      </c>
    </row>
    <row r="18">
      <c r="P18" s="49" t="n"/>
    </row>
    <row r="19">
      <c r="P19" s="49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>
        <f>(($R$5+$R$7)/5)</f>
        <v/>
      </c>
      <c r="O22" s="49">
        <f>($S$5*Params!K8)</f>
        <v/>
      </c>
      <c r="P22" s="49">
        <f>(O22*N22)</f>
        <v/>
      </c>
    </row>
    <row r="23">
      <c r="N23">
        <f>(($R$5+$R$7)/5)</f>
        <v/>
      </c>
      <c r="O23" s="49">
        <f>($S$5*Params!K9)</f>
        <v/>
      </c>
      <c r="P23" s="49">
        <f>(O23*N23)</f>
        <v/>
      </c>
    </row>
    <row r="24">
      <c r="N24">
        <f>(($R$5+$R$7)/5)</f>
        <v/>
      </c>
      <c r="O24" s="49">
        <f>($S$5*Params!K10)</f>
        <v/>
      </c>
      <c r="P24" s="49">
        <f>(O24*N24)</f>
        <v/>
      </c>
    </row>
    <row r="25">
      <c r="N25">
        <f>(($R$5+$R$7)/5)</f>
        <v/>
      </c>
      <c r="O25" s="49">
        <f>($S$5*Params!K11)</f>
        <v/>
      </c>
      <c r="P25" s="49">
        <f>(O25*N25)</f>
        <v/>
      </c>
    </row>
    <row r="26">
      <c r="P26" s="49" t="n"/>
    </row>
    <row r="27">
      <c r="P27" s="49">
        <f>(SUM(P22:P25))</f>
        <v/>
      </c>
    </row>
    <row r="28"/>
    <row r="29"/>
    <row r="30"/>
    <row r="31"/>
    <row r="32"/>
    <row r="33"/>
    <row r="34"/>
    <row r="35">
      <c r="R35" s="58">
        <f>(SUM(R5:R25))</f>
        <v/>
      </c>
      <c r="T35" s="49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K4" sqref="K4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9" t="n">
        <v>0.07210002065016971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9" t="n">
        <v>61.11911839</v>
      </c>
      <c r="C5" s="49">
        <f>(D5/B5)</f>
        <v/>
      </c>
      <c r="D5" s="49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($B$13/5)</f>
        <v/>
      </c>
      <c r="O6" s="49">
        <f>($C$5*Params!K8)</f>
        <v/>
      </c>
      <c r="P6" s="49">
        <f>(O6*N6)</f>
        <v/>
      </c>
    </row>
    <row r="7">
      <c r="N7">
        <f>($B$13/5)</f>
        <v/>
      </c>
      <c r="O7" s="49">
        <f>($C$5*Params!K9)</f>
        <v/>
      </c>
      <c r="P7" s="49">
        <f>(O7*N7)</f>
        <v/>
      </c>
    </row>
    <row r="8">
      <c r="N8">
        <f>($B$13/5)</f>
        <v/>
      </c>
      <c r="O8" s="49">
        <f>($C$5*Params!K10)</f>
        <v/>
      </c>
      <c r="P8" s="49">
        <f>(O8*N8)</f>
        <v/>
      </c>
    </row>
    <row r="9">
      <c r="N9">
        <f>($B$13/5)</f>
        <v/>
      </c>
      <c r="O9" s="49">
        <f>($C$5*Params!K11)</f>
        <v/>
      </c>
      <c r="P9" s="49">
        <f>(O9*N9)</f>
        <v/>
      </c>
    </row>
    <row r="10"/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 s="29">
        <f>(SUM(B5:B12))</f>
        <v/>
      </c>
      <c r="D13" s="49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6" sqref="B6"/>
    </sheetView>
  </sheetViews>
  <sheetFormatPr baseColWidth="10" defaultColWidth="9.140625" defaultRowHeight="15"/>
  <cols>
    <col width="11.28515625" bestFit="1" customWidth="1" style="14" min="14" max="14"/>
    <col width="11.28515625" bestFit="1" customWidth="1" style="14" min="15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5.291970281168187</v>
      </c>
      <c r="M3" t="inlineStr">
        <is>
          <t>Objectif :</t>
        </is>
      </c>
      <c r="N3">
        <f>(INDEX(N6:N30,MATCH(MAX(O6,O15),O6:O30,0))/0.9)</f>
        <v/>
      </c>
      <c r="O3" s="50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4.50692</v>
      </c>
      <c r="C5" s="49">
        <f>(D5/B5)</f>
        <v/>
      </c>
      <c r="D5" s="49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1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(-B8)</f>
        <v/>
      </c>
      <c r="O6" s="49">
        <f>(C8)</f>
        <v/>
      </c>
      <c r="P6" s="49">
        <f>(O6*N6)</f>
        <v/>
      </c>
      <c r="Q6" t="inlineStr">
        <is>
          <t>Done</t>
        </is>
      </c>
      <c r="R6" s="24">
        <f>(B5-N6)</f>
        <v/>
      </c>
      <c r="S6" s="49">
        <f>(T6/R6)</f>
        <v/>
      </c>
      <c r="T6" s="49">
        <f>(D5+4.710957*-N6)</f>
        <v/>
      </c>
      <c r="U6" t="inlineStr">
        <is>
          <t>DCA2</t>
        </is>
      </c>
    </row>
    <row r="7">
      <c r="B7" s="24" t="n">
        <v>0.11156135</v>
      </c>
      <c r="C7" s="49">
        <f>(D7/B7)</f>
        <v/>
      </c>
      <c r="D7" s="49" t="n">
        <v>0.5</v>
      </c>
      <c r="N7" s="24">
        <f>(2*($R$6+N6)/5-N6)</f>
        <v/>
      </c>
      <c r="O7" s="49">
        <f>($S$6*Params!K9)</f>
        <v/>
      </c>
      <c r="P7" s="49">
        <f>(O7*N7)</f>
        <v/>
      </c>
      <c r="R7" s="24">
        <f>(N6-N6)</f>
        <v/>
      </c>
      <c r="S7" s="49" t="n">
        <v>0</v>
      </c>
      <c r="T7" s="49">
        <f>(4.710957*N6-P6)</f>
        <v/>
      </c>
    </row>
    <row r="8">
      <c r="B8">
        <f>(-0.2134+N15)</f>
        <v/>
      </c>
      <c r="C8" s="49">
        <f>(D8/B8)</f>
        <v/>
      </c>
      <c r="D8" s="49">
        <f>(-1.27565659-D9)</f>
        <v/>
      </c>
      <c r="N8" s="24">
        <f>($B$5/5)</f>
        <v/>
      </c>
      <c r="O8" s="49">
        <f>($C$5*Params!K10)</f>
        <v/>
      </c>
      <c r="P8" s="49">
        <f>(O8*N8)</f>
        <v/>
      </c>
      <c r="R8" s="24">
        <f>(B7+B9)</f>
        <v/>
      </c>
      <c r="S8" s="49">
        <f>(T8/R8)</f>
        <v/>
      </c>
      <c r="T8" s="49">
        <f>(D7+D9)</f>
        <v/>
      </c>
    </row>
    <row r="9">
      <c r="B9">
        <f>(-N15)</f>
        <v/>
      </c>
      <c r="C9" s="49" t="n">
        <v>5.97777</v>
      </c>
      <c r="D9" s="49">
        <f>(C9*B9)</f>
        <v/>
      </c>
      <c r="N9" s="24">
        <f>($B$5/5)</f>
        <v/>
      </c>
      <c r="O9" s="49">
        <f>($C$5*Params!K11)</f>
        <v/>
      </c>
      <c r="P9" s="49">
        <f>(O9*N9)</f>
        <v/>
      </c>
    </row>
    <row r="10">
      <c r="N10" s="24" t="n"/>
      <c r="P10" s="49" t="n"/>
    </row>
    <row r="11">
      <c r="N11" s="24" t="n"/>
      <c r="P11" s="49" t="n"/>
    </row>
    <row r="12">
      <c r="N12" s="24" t="n"/>
      <c r="P12" s="49">
        <f>(SUM(P6:P9))</f>
        <v/>
      </c>
    </row>
    <row r="13">
      <c r="F13" t="inlineStr">
        <is>
          <t>Moy</t>
        </is>
      </c>
      <c r="G13" s="49">
        <f>(D14/B14)</f>
        <v/>
      </c>
      <c r="N13" s="24" t="n"/>
      <c r="P13" s="49" t="n"/>
      <c r="R13" s="24">
        <f>(SUM(R5:R12))</f>
        <v/>
      </c>
      <c r="T13" s="49">
        <f>(SUM(T5:T12))</f>
        <v/>
      </c>
    </row>
    <row r="14">
      <c r="B14">
        <f>(SUM(B5:B13))</f>
        <v/>
      </c>
      <c r="D14" s="49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49">
        <f>(C9)</f>
        <v/>
      </c>
      <c r="P15" s="49">
        <f>(O15*N15)</f>
        <v/>
      </c>
      <c r="Q15" t="inlineStr">
        <is>
          <t>Done</t>
        </is>
      </c>
    </row>
    <row r="16">
      <c r="N16" s="24">
        <f>($B$7/5)</f>
        <v/>
      </c>
      <c r="O16" s="49">
        <f>($C$7*Params!K9)</f>
        <v/>
      </c>
      <c r="P16" s="49">
        <f>(O16*N16)</f>
        <v/>
      </c>
    </row>
    <row r="17">
      <c r="N17" s="24">
        <f>($B$7/5)</f>
        <v/>
      </c>
      <c r="O17" s="49">
        <f>($C$7*Params!K10)</f>
        <v/>
      </c>
      <c r="P17" s="49">
        <f>(O17*N17)</f>
        <v/>
      </c>
    </row>
    <row r="18">
      <c r="N18" s="24">
        <f>($B$7/5)</f>
        <v/>
      </c>
      <c r="O18" s="49">
        <f>($C$7*Params!K11)</f>
        <v/>
      </c>
      <c r="P18" s="49">
        <f>(O18*N18)</f>
        <v/>
      </c>
    </row>
    <row r="19">
      <c r="P19" s="49" t="n"/>
    </row>
    <row r="20">
      <c r="P20" s="49" t="n"/>
    </row>
    <row r="21">
      <c r="P21" s="49">
        <f>(SUM(P15:P18))</f>
        <v/>
      </c>
    </row>
    <row r="22"/>
    <row r="23"/>
    <row r="24"/>
    <row r="25"/>
    <row r="26"/>
    <row r="27">
      <c r="G27" s="50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38.14949943464683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4" t="n">
        <v>0.12084767</v>
      </c>
      <c r="C5" s="49" t="n">
        <v>43.03</v>
      </c>
      <c r="D5" s="49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($B$13/5)</f>
        <v/>
      </c>
      <c r="O6" s="49">
        <f>($C$5*Params!K8)</f>
        <v/>
      </c>
      <c r="P6" s="49">
        <f>(O6*N6)</f>
        <v/>
      </c>
    </row>
    <row r="7">
      <c r="N7" s="24">
        <f>($B$13/5)</f>
        <v/>
      </c>
      <c r="O7" s="49">
        <f>($C$5*Params!K9)</f>
        <v/>
      </c>
      <c r="P7" s="49">
        <f>(O7*N7)</f>
        <v/>
      </c>
    </row>
    <row r="8">
      <c r="N8" s="24">
        <f>($B$13/5)</f>
        <v/>
      </c>
      <c r="O8" s="49">
        <f>($C$5*Params!K10)</f>
        <v/>
      </c>
      <c r="P8" s="49">
        <f>(O8*N8)</f>
        <v/>
      </c>
    </row>
    <row r="9">
      <c r="N9" s="24">
        <f>($B$13/5)</f>
        <v/>
      </c>
      <c r="O9" s="49">
        <f>($C$5*Params!K11)</f>
        <v/>
      </c>
      <c r="P9" s="49">
        <f>(O9*N9)</f>
        <v/>
      </c>
    </row>
    <row r="10"/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N6" sqref="N6: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5.218691844325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1.04708</v>
      </c>
      <c r="C5" s="49">
        <f>(D5/B5)</f>
        <v/>
      </c>
      <c r="D5" s="49" t="n">
        <v>5.61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($B$10/5)</f>
        <v/>
      </c>
      <c r="O6" s="49">
        <f>($C$5*Params!K8)</f>
        <v/>
      </c>
      <c r="P6" s="49">
        <f>(O6*N6)</f>
        <v/>
      </c>
    </row>
    <row r="7">
      <c r="N7" s="24">
        <f>($B$10/5)</f>
        <v/>
      </c>
      <c r="O7" s="49">
        <f>($C$5*Params!K9)</f>
        <v/>
      </c>
      <c r="P7" s="49">
        <f>(O7*N7)</f>
        <v/>
      </c>
    </row>
    <row r="8">
      <c r="N8" s="24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 s="24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D10" s="49">
        <f>(SUM(D5:D9))</f>
        <v/>
      </c>
    </row>
    <row r="11">
      <c r="P11" s="49">
        <f>(SUM(P6:P9))</f>
        <v/>
      </c>
    </row>
    <row r="12">
      <c r="P12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2.139054106691992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1" t="n">
        <v>3.35343</v>
      </c>
      <c r="C5" s="49">
        <f>(D5/B5)</f>
        <v/>
      </c>
      <c r="D5" s="49" t="n">
        <v>7.74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0.00521733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1">
        <f>($B$10/5)</f>
        <v/>
      </c>
      <c r="O6" s="49">
        <f>($C$5*Params!K8)</f>
        <v/>
      </c>
      <c r="P6" s="49">
        <f>(O6*N6)</f>
        <v/>
      </c>
    </row>
    <row r="7">
      <c r="N7" s="1">
        <f>($B$10/5)</f>
        <v/>
      </c>
      <c r="O7" s="49">
        <f>($C$5*Params!K9)</f>
        <v/>
      </c>
      <c r="P7" s="49">
        <f>(O7*N7)</f>
        <v/>
      </c>
    </row>
    <row r="8">
      <c r="N8" s="1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 s="1">
        <f>($B$10/5)</f>
        <v/>
      </c>
      <c r="O9" s="49">
        <f>($C$5*Params!K11)</f>
        <v/>
      </c>
      <c r="P9" s="49">
        <f>(O9*N9)</f>
        <v/>
      </c>
    </row>
    <row r="10">
      <c r="B10" s="1">
        <f>(SUM(B5:B9))</f>
        <v/>
      </c>
      <c r="D10" s="49">
        <f>(SUM(D5:D9))</f>
        <v/>
      </c>
    </row>
    <row r="11">
      <c r="P11" s="49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35" sqref="B3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49" t="n">
        <v>27203.23058797072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0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49" t="n">
        <v>41500</v>
      </c>
      <c r="D5" s="49">
        <f>(B5*C5)</f>
        <v/>
      </c>
      <c r="R5" s="24">
        <f>(B5)</f>
        <v/>
      </c>
      <c r="S5" s="49" t="n">
        <v>41500</v>
      </c>
      <c r="T5" s="49">
        <f>(R5*S5)</f>
        <v/>
      </c>
    </row>
    <row r="6">
      <c r="B6" s="25" t="n">
        <v>0.00031161</v>
      </c>
      <c r="C6" s="51" t="n">
        <v>0</v>
      </c>
      <c r="D6" s="26">
        <f>(B6*C6)</f>
        <v/>
      </c>
      <c r="E6" s="49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49" t="n">
        <v>0</v>
      </c>
      <c r="T6" s="49">
        <f>(R6*S6)</f>
        <v/>
      </c>
    </row>
    <row r="7">
      <c r="B7" s="24" t="n">
        <v>0.00051073</v>
      </c>
      <c r="C7" s="49">
        <f>D7/B7</f>
        <v/>
      </c>
      <c r="D7" s="49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49">
        <f>(T7/R7)</f>
        <v/>
      </c>
      <c r="T7" s="49" t="inlineStr">
        <is>
          <t>15.6</t>
        </is>
      </c>
    </row>
    <row r="8">
      <c r="B8" s="24" t="n">
        <v>0.00491083</v>
      </c>
      <c r="C8" s="49">
        <f>D8/B8</f>
        <v/>
      </c>
      <c r="D8" s="49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49">
        <f>(T8/R8)</f>
        <v/>
      </c>
      <c r="T8" s="49" t="inlineStr">
        <is>
          <t>105</t>
        </is>
      </c>
    </row>
    <row r="9">
      <c r="B9" s="24" t="n">
        <v>0.002</v>
      </c>
      <c r="C9" s="49">
        <f>D9/B9</f>
        <v/>
      </c>
      <c r="D9" s="49" t="n">
        <v>43.5</v>
      </c>
      <c r="L9" t="inlineStr">
        <is>
          <t>Objectif</t>
        </is>
      </c>
      <c r="M9">
        <f>($B$16/5)</f>
        <v/>
      </c>
      <c r="N9" s="49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49">
        <f>(T9/R9)</f>
        <v/>
      </c>
      <c r="T9" s="49" t="inlineStr">
        <is>
          <t>43.5</t>
        </is>
      </c>
    </row>
    <row r="10">
      <c r="B10" s="24" t="n">
        <v>0.0007</v>
      </c>
      <c r="C10" s="49" t="n">
        <v>20458</v>
      </c>
      <c r="D10" s="49">
        <f>(C10*B10)</f>
        <v/>
      </c>
      <c r="M10">
        <f>($B$16/5)</f>
        <v/>
      </c>
      <c r="N10" s="49">
        <f>($C$16*Params!K16)</f>
        <v/>
      </c>
      <c r="O10">
        <f>(N10*M10)</f>
        <v/>
      </c>
      <c r="R10" s="24">
        <f>(B10)</f>
        <v/>
      </c>
      <c r="S10" s="49" t="n">
        <v>20458</v>
      </c>
      <c r="T10" s="49">
        <f>(S10*R10)</f>
        <v/>
      </c>
    </row>
    <row r="11">
      <c r="B11" s="24" t="n">
        <v>0.00051</v>
      </c>
      <c r="C11" s="49" t="n">
        <v>19873.31</v>
      </c>
      <c r="D11" s="49">
        <f>(C11*B11)</f>
        <v/>
      </c>
      <c r="M11">
        <f>($B$16/5)</f>
        <v/>
      </c>
      <c r="N11" s="49">
        <f>($C$16*Params!K17)</f>
        <v/>
      </c>
      <c r="O11">
        <f>(N11*M11)</f>
        <v/>
      </c>
      <c r="R11" s="24">
        <f>(B12)</f>
        <v/>
      </c>
      <c r="S11" s="49" t="n">
        <v>19169.31</v>
      </c>
      <c r="T11" s="49">
        <f>(S11*R11)</f>
        <v/>
      </c>
    </row>
    <row r="12">
      <c r="B12" s="24" t="n">
        <v>0.0006400000000000001</v>
      </c>
      <c r="C12" s="49" t="n">
        <v>19169.31</v>
      </c>
      <c r="D12" s="49">
        <f>(C12*B12)</f>
        <v/>
      </c>
      <c r="M12">
        <f>($B$16/5)</f>
        <v/>
      </c>
      <c r="N12" s="49">
        <f>($C$16*Params!K18)</f>
        <v/>
      </c>
      <c r="O12">
        <f>(N12*M12)</f>
        <v/>
      </c>
      <c r="R12" s="24">
        <f>(B13+B11+B14)</f>
        <v/>
      </c>
      <c r="S12" s="49">
        <f>(T12/R12)</f>
        <v/>
      </c>
      <c r="T12" s="49">
        <f>(D13+D11+D14)</f>
        <v/>
      </c>
    </row>
    <row r="13">
      <c r="B13" s="24" t="n">
        <v>-0.0005</v>
      </c>
      <c r="C13" s="49" t="n">
        <v>20709.08</v>
      </c>
      <c r="D13" s="49">
        <f>(C13*B13)</f>
        <v/>
      </c>
      <c r="R13" s="24">
        <f>(B15)</f>
        <v/>
      </c>
      <c r="S13" s="49" t="n">
        <v>18969</v>
      </c>
      <c r="T13" s="49">
        <f>(S13*R13)</f>
        <v/>
      </c>
    </row>
    <row r="14">
      <c r="B14" s="24" t="n">
        <v>0.00054</v>
      </c>
      <c r="C14" s="49" t="n">
        <v>19000</v>
      </c>
      <c r="D14" s="49">
        <f>(C14*B14)</f>
        <v/>
      </c>
      <c r="O14">
        <f>(SUM(O9:O12))</f>
        <v/>
      </c>
      <c r="R14" s="24">
        <f>(B16+B26)</f>
        <v/>
      </c>
      <c r="S14" s="49">
        <f>(T14/R14)</f>
        <v/>
      </c>
      <c r="T14" s="49">
        <f>(D16+D26)</f>
        <v/>
      </c>
    </row>
    <row r="15">
      <c r="B15" s="24" t="n">
        <v>0.00258</v>
      </c>
      <c r="C15" s="49" t="n">
        <v>18969</v>
      </c>
      <c r="D15" s="49">
        <f>(C15*B15)</f>
        <v/>
      </c>
      <c r="R15" s="24">
        <f>(B17+B18+B21+B33)</f>
        <v/>
      </c>
      <c r="S15" s="49">
        <f>(T15/R15)</f>
        <v/>
      </c>
      <c r="T15" s="49">
        <f>(D17+D18+D21+D33)</f>
        <v/>
      </c>
    </row>
    <row r="16">
      <c r="B16" s="24" t="n">
        <v>0.00168</v>
      </c>
      <c r="C16" s="49" t="n">
        <v>16620.02</v>
      </c>
      <c r="D16" s="49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49">
        <f>(T16/R16)</f>
        <v/>
      </c>
      <c r="T16" s="49">
        <f>(D19+D27)</f>
        <v/>
      </c>
    </row>
    <row r="17">
      <c r="B17" s="24" t="n">
        <v>0.00092134</v>
      </c>
      <c r="C17" s="49">
        <f>(D17/B17)</f>
        <v/>
      </c>
      <c r="D17" s="49" t="n">
        <v>10.36</v>
      </c>
      <c r="L17" t="inlineStr">
        <is>
          <t>Objectif</t>
        </is>
      </c>
      <c r="M17">
        <f>($B$17/5)</f>
        <v/>
      </c>
      <c r="N17" s="49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49">
        <f>(T17/R17)</f>
        <v/>
      </c>
      <c r="T17" s="49">
        <f>(D20+D28)</f>
        <v/>
      </c>
    </row>
    <row r="18">
      <c r="B18" s="24" t="n">
        <v>-0.00018</v>
      </c>
      <c r="C18" s="49">
        <f>(D18/B18)</f>
        <v/>
      </c>
      <c r="D18" s="49">
        <f>(-2.96)</f>
        <v/>
      </c>
      <c r="M18">
        <f>($B$17/5)</f>
        <v/>
      </c>
      <c r="N18" s="49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49">
        <f>(T18/R18)</f>
        <v/>
      </c>
      <c r="T18" s="49">
        <f>(D22+D29)</f>
        <v/>
      </c>
    </row>
    <row r="19">
      <c r="B19" s="24" t="n">
        <v>0.000599999999999999</v>
      </c>
      <c r="C19" s="49">
        <f>(D19/B19)</f>
        <v/>
      </c>
      <c r="D19" s="49" t="n">
        <v>10.02</v>
      </c>
      <c r="F19" s="24" t="n"/>
      <c r="I19" s="50" t="n"/>
      <c r="M19">
        <f>($B$17/5)</f>
        <v/>
      </c>
      <c r="N19" s="49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49">
        <f>(T19/R19)</f>
        <v/>
      </c>
      <c r="T19" s="49">
        <f>(D23+17438.6*B32)</f>
        <v/>
      </c>
      <c r="U19" t="inlineStr">
        <is>
          <t>DCA1</t>
        </is>
      </c>
    </row>
    <row r="20">
      <c r="B20" s="24" t="n">
        <v>0.0009133</v>
      </c>
      <c r="C20" s="49">
        <f>(D20/B20)</f>
        <v/>
      </c>
      <c r="D20" s="49" t="n">
        <v>15.6</v>
      </c>
      <c r="M20">
        <f>($B$17/5)</f>
        <v/>
      </c>
      <c r="N20" s="49">
        <f>($C$17*Params!K18)</f>
        <v/>
      </c>
      <c r="O20">
        <f>(N20*M20)</f>
        <v/>
      </c>
      <c r="R20" s="24">
        <f>(B24+B31)</f>
        <v/>
      </c>
      <c r="S20" s="49">
        <f>(T20/R20)</f>
        <v/>
      </c>
      <c r="T20" s="49">
        <f>(D24+17211.7*B31)</f>
        <v/>
      </c>
      <c r="U20" t="inlineStr">
        <is>
          <t>DCA2</t>
        </is>
      </c>
    </row>
    <row r="21">
      <c r="B21" s="24" t="n">
        <v>-0.000184</v>
      </c>
      <c r="C21" s="49">
        <f>(D21/B21)</f>
        <v/>
      </c>
      <c r="D21" s="49" t="n">
        <v>-3.15</v>
      </c>
      <c r="R21" s="24">
        <f>(B25+B30)</f>
        <v/>
      </c>
      <c r="S21" s="49">
        <f>(T21/R21)</f>
        <v/>
      </c>
      <c r="T21" s="49">
        <f>(D25+D30)</f>
        <v/>
      </c>
    </row>
    <row r="22">
      <c r="B22" s="24" t="n">
        <v>0.00058</v>
      </c>
      <c r="C22" s="49">
        <f>(D22/B22)</f>
        <v/>
      </c>
      <c r="D22" s="49" t="n">
        <v>9.880000000000001</v>
      </c>
      <c r="O22">
        <f>(SUM(O17:O20))</f>
        <v/>
      </c>
      <c r="R22" s="24">
        <f>(B31-B31)</f>
        <v/>
      </c>
      <c r="S22" s="49" t="n">
        <v>0</v>
      </c>
      <c r="T22" s="49">
        <f>(17211.7*-B31+D31)</f>
        <v/>
      </c>
      <c r="U22" t="inlineStr">
        <is>
          <t>DCA2 1/5</t>
        </is>
      </c>
    </row>
    <row r="23">
      <c r="B23" s="24" t="n">
        <v>0.00555</v>
      </c>
      <c r="C23" s="49">
        <f>(D23/B23)</f>
        <v/>
      </c>
      <c r="D23" s="49" t="n">
        <v>122.91</v>
      </c>
      <c r="E23" t="inlineStr">
        <is>
          <t>DCA1</t>
        </is>
      </c>
      <c r="R23" s="24">
        <f>(B32-B32)</f>
        <v/>
      </c>
      <c r="S23" s="49" t="n">
        <v>0</v>
      </c>
      <c r="T23" s="49">
        <f>(17438.6*-B32+D32)</f>
        <v/>
      </c>
      <c r="U23" t="inlineStr">
        <is>
          <t>DCA1 1/5</t>
        </is>
      </c>
    </row>
    <row r="24">
      <c r="B24" s="24" t="n">
        <v>0.00112</v>
      </c>
      <c r="C24" s="49">
        <f>(D24/B24)</f>
        <v/>
      </c>
      <c r="D24" s="49" t="n">
        <v>26.5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49">
        <f>(T24/R24)</f>
        <v/>
      </c>
      <c r="T24" s="49">
        <f>(D34)</f>
        <v/>
      </c>
      <c r="U24" t="inlineStr">
        <is>
          <t>DCA3</t>
        </is>
      </c>
    </row>
    <row r="25">
      <c r="B25" s="24" t="n">
        <v>2.97e-05</v>
      </c>
      <c r="C25" s="49">
        <f>(D25/B25)</f>
        <v/>
      </c>
      <c r="D25" s="49" t="n">
        <v>0.5</v>
      </c>
      <c r="L25" t="inlineStr">
        <is>
          <t>Objectif</t>
        </is>
      </c>
      <c r="M25">
        <f>($B$19/5)</f>
        <v/>
      </c>
      <c r="N25" s="49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49">
        <f>(D26/B26)</f>
        <v/>
      </c>
      <c r="D26" s="49">
        <f>(-7.04895293)</f>
        <v/>
      </c>
      <c r="M26">
        <f>($B$19/5)</f>
        <v/>
      </c>
      <c r="N26" s="49">
        <f>($C$19*Params!K16)</f>
        <v/>
      </c>
      <c r="O26">
        <f>(N26*M26)</f>
        <v/>
      </c>
    </row>
    <row r="27">
      <c r="B27" s="24" t="n">
        <v>-0.00012</v>
      </c>
      <c r="C27" s="49" t="n">
        <v>20900</v>
      </c>
      <c r="D27" s="49">
        <f>(C27*B27)</f>
        <v/>
      </c>
      <c r="M27">
        <f>($B$19/5)</f>
        <v/>
      </c>
      <c r="N27" s="49">
        <f>($C$19*Params!K17)</f>
        <v/>
      </c>
      <c r="O27">
        <f>(N27*M27)</f>
        <v/>
      </c>
    </row>
    <row r="28">
      <c r="B28" s="24" t="n">
        <v>-0.00018</v>
      </c>
      <c r="C28" s="49" t="n">
        <v>21355</v>
      </c>
      <c r="D28" s="49">
        <f>(B28*C28)</f>
        <v/>
      </c>
      <c r="M28">
        <f>($B$19/5)</f>
        <v/>
      </c>
      <c r="N28" s="49">
        <f>($C$19*Params!K18)</f>
        <v/>
      </c>
      <c r="O28">
        <f>(N28*M28)</f>
        <v/>
      </c>
    </row>
    <row r="29">
      <c r="B29" s="24" t="n">
        <v>-0.00012</v>
      </c>
      <c r="C29" s="49" t="n">
        <v>21355</v>
      </c>
      <c r="D29" s="49">
        <f>(C29*B29)</f>
        <v/>
      </c>
    </row>
    <row r="30">
      <c r="B30" s="24">
        <f>(-M65)</f>
        <v/>
      </c>
      <c r="C30" s="49" t="n">
        <v>21560</v>
      </c>
      <c r="D30" s="49">
        <f>(C30*B30)</f>
        <v/>
      </c>
      <c r="O30">
        <f>(SUM(O25:O28))</f>
        <v/>
      </c>
    </row>
    <row r="31">
      <c r="B31" s="24">
        <f>(-0.000058-B30)</f>
        <v/>
      </c>
      <c r="C31" s="49" t="n">
        <v>21560</v>
      </c>
      <c r="D31" s="49">
        <f>(C31*B31)</f>
        <v/>
      </c>
    </row>
    <row r="32">
      <c r="B32" s="24" t="n">
        <v>-0.000342</v>
      </c>
      <c r="C32" s="49">
        <f>(D32/B32)</f>
        <v/>
      </c>
      <c r="D32" s="49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49">
        <f>(D33/B33)</f>
        <v/>
      </c>
      <c r="D33" s="49">
        <f>(-4.215072)</f>
        <v/>
      </c>
      <c r="L33" t="inlineStr">
        <is>
          <t>Objectif</t>
        </is>
      </c>
      <c r="M33">
        <f>($B$20/5)</f>
        <v/>
      </c>
      <c r="N33" s="49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0.00146</v>
      </c>
      <c r="C34" s="49">
        <f>(D34/B34)</f>
        <v/>
      </c>
      <c r="D34" s="49" t="n">
        <v>37.45</v>
      </c>
      <c r="E34" t="inlineStr">
        <is>
          <t>DCA3</t>
        </is>
      </c>
      <c r="M34">
        <f>($B$20/5)</f>
        <v/>
      </c>
      <c r="N34" s="49">
        <f>($C$20*Params!K16)</f>
        <v/>
      </c>
      <c r="O34">
        <f>(N34*M34)</f>
        <v/>
      </c>
    </row>
    <row r="35">
      <c r="B35" s="24">
        <f>0.00073-0.00000073</f>
        <v/>
      </c>
      <c r="C35" s="49">
        <f>(D35/B35)</f>
        <v/>
      </c>
      <c r="D35" s="49" t="n">
        <v>19.978567</v>
      </c>
      <c r="M35">
        <f>($B$20/5)</f>
        <v/>
      </c>
      <c r="N35" s="49">
        <f>($C$20*Params!K17)</f>
        <v/>
      </c>
      <c r="O35">
        <f>(N35*M35)</f>
        <v/>
      </c>
    </row>
    <row r="36">
      <c r="F36" t="inlineStr">
        <is>
          <t>Moy</t>
        </is>
      </c>
      <c r="G36" s="50">
        <f>(D37/B37)</f>
        <v/>
      </c>
      <c r="M36">
        <f>($B$20/5)</f>
        <v/>
      </c>
      <c r="N36" s="49">
        <f>($C$20*Params!K18)</f>
        <v/>
      </c>
      <c r="O36">
        <f>(N36*M36)</f>
        <v/>
      </c>
      <c r="R36">
        <f>(SUM(R5:R25))</f>
        <v/>
      </c>
      <c r="T36" s="49">
        <f>(SUM(T5:T25))</f>
        <v/>
      </c>
    </row>
    <row r="37">
      <c r="B37">
        <f>(SUM(B5:B36))</f>
        <v/>
      </c>
      <c r="D37" s="49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49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49">
        <f>($C$22*Params!K16)</f>
        <v/>
      </c>
      <c r="O42">
        <f>(N42*M42)</f>
        <v/>
      </c>
    </row>
    <row r="43">
      <c r="M43">
        <f>($B$22/5)</f>
        <v/>
      </c>
      <c r="N43" s="49">
        <f>($C$22*Params!K17)</f>
        <v/>
      </c>
      <c r="O43">
        <f>(N43*M43)</f>
        <v/>
      </c>
    </row>
    <row r="44">
      <c r="M44">
        <f>($B$22/5)</f>
        <v/>
      </c>
      <c r="N44" s="49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49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49">
        <f>($S$19*Params!K16)</f>
        <v/>
      </c>
      <c r="O50">
        <f>(N50*M50)</f>
        <v/>
      </c>
    </row>
    <row r="51">
      <c r="M51">
        <f>($B$23/5)</f>
        <v/>
      </c>
      <c r="N51" s="49">
        <f>($S$19*Params!K17)</f>
        <v/>
      </c>
      <c r="O51">
        <f>(N51*M51)</f>
        <v/>
      </c>
    </row>
    <row r="52">
      <c r="M52">
        <f>($B$23/5)</f>
        <v/>
      </c>
      <c r="N52" s="49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49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49">
        <f>($S$20*Params!K16)</f>
        <v/>
      </c>
      <c r="O58">
        <f>(N58*M58)</f>
        <v/>
      </c>
    </row>
    <row r="59">
      <c r="M59">
        <f>($B$24/5)</f>
        <v/>
      </c>
      <c r="N59" s="49">
        <f>($S$20*Params!K17)</f>
        <v/>
      </c>
      <c r="O59">
        <f>(N59*M59)</f>
        <v/>
      </c>
    </row>
    <row r="60">
      <c r="M60">
        <f>($B$24/5)</f>
        <v/>
      </c>
      <c r="N60" s="49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49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49">
        <f>($C$25*Params!K16)</f>
        <v/>
      </c>
      <c r="O66">
        <f>(N66*M66)</f>
        <v/>
      </c>
    </row>
    <row r="67">
      <c r="M67">
        <f>($B$25/5)</f>
        <v/>
      </c>
      <c r="N67" s="49">
        <f>($C$25*Params!K17)</f>
        <v/>
      </c>
      <c r="O67">
        <f>(N67*M67)</f>
        <v/>
      </c>
    </row>
    <row r="68">
      <c r="M68">
        <f>($B$25/5)</f>
        <v/>
      </c>
      <c r="N68" s="49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49">
        <f>($S$24*Params!K15)</f>
        <v/>
      </c>
      <c r="O73">
        <f>(N73*M73)</f>
        <v/>
      </c>
    </row>
    <row r="74">
      <c r="M74">
        <f>($R$24/5)</f>
        <v/>
      </c>
      <c r="N74" s="49">
        <f>($S$24*Params!K16)</f>
        <v/>
      </c>
      <c r="O74">
        <f>(N74*M74)</f>
        <v/>
      </c>
    </row>
    <row r="75">
      <c r="M75">
        <f>($R$24/5)</f>
        <v/>
      </c>
      <c r="N75" s="49">
        <f>($S$24*Params!K17)</f>
        <v/>
      </c>
      <c r="O75">
        <f>(N75*M75)</f>
        <v/>
      </c>
    </row>
    <row r="76">
      <c r="M76">
        <f>($R$24/5)</f>
        <v/>
      </c>
      <c r="N76" s="49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N6" sqref="N6: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6.683210103172057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0.75108</v>
      </c>
      <c r="C5" s="49">
        <f>(D5/B5)</f>
        <v/>
      </c>
      <c r="D5" s="49" t="n">
        <v>5.34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($B$10/5)</f>
        <v/>
      </c>
      <c r="O6" s="49">
        <f>($C$5*Params!K8)</f>
        <v/>
      </c>
      <c r="P6" s="49">
        <f>(O6*N6)</f>
        <v/>
      </c>
    </row>
    <row r="7">
      <c r="C7" s="49" t="n"/>
      <c r="D7" s="49" t="n"/>
      <c r="N7" s="24">
        <f>($B$10/5)</f>
        <v/>
      </c>
      <c r="O7" s="49">
        <f>($C$5*Params!K9)</f>
        <v/>
      </c>
      <c r="P7" s="49">
        <f>(O7*N7)</f>
        <v/>
      </c>
    </row>
    <row r="8">
      <c r="C8" s="49" t="n"/>
      <c r="D8" s="49" t="n"/>
      <c r="N8" s="24">
        <f>($B$10/5)</f>
        <v/>
      </c>
      <c r="O8" s="49">
        <f>($C$5*Params!K10)</f>
        <v/>
      </c>
      <c r="P8" s="49">
        <f>(O8*N8)</f>
        <v/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 s="24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88.20788001613019</v>
      </c>
      <c r="M3" t="inlineStr">
        <is>
          <t>Objectif :</t>
        </is>
      </c>
      <c r="N3">
        <f>(-R8/0.9)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49">
        <f>(D5/B5)</f>
        <v/>
      </c>
      <c r="D5" s="4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49">
        <f>(T5/R5)</f>
        <v/>
      </c>
      <c r="T5" s="49">
        <f>(D5)</f>
        <v/>
      </c>
    </row>
    <row r="6">
      <c r="B6" s="2" t="n">
        <v>0.00020965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(-B8)</f>
        <v/>
      </c>
      <c r="O6" s="49">
        <f>(C8)</f>
        <v/>
      </c>
      <c r="P6" s="49">
        <f>(-D8)</f>
        <v/>
      </c>
      <c r="Q6" t="inlineStr">
        <is>
          <t>Done</t>
        </is>
      </c>
      <c r="R6" s="2">
        <f>(B6)</f>
        <v/>
      </c>
      <c r="S6" s="51">
        <f>(T6/R6)</f>
        <v/>
      </c>
      <c r="T6" s="26">
        <f>(D6)</f>
        <v/>
      </c>
    </row>
    <row r="7">
      <c r="B7" t="n">
        <v>0.144855</v>
      </c>
      <c r="C7" s="49">
        <f>(D7/B7)</f>
        <v/>
      </c>
      <c r="D7" s="49" t="n">
        <v>9.9673</v>
      </c>
      <c r="N7">
        <f>(SUM($B$5:$B$7)/5)</f>
        <v/>
      </c>
      <c r="O7" s="49">
        <f>($C$7*Params!K9)</f>
        <v/>
      </c>
      <c r="P7" s="49">
        <f>(O7*N7)</f>
        <v/>
      </c>
      <c r="R7">
        <f>(B7)</f>
        <v/>
      </c>
      <c r="S7" s="49">
        <f>(T7/R7)</f>
        <v/>
      </c>
      <c r="T7" s="49">
        <f>(D7)</f>
        <v/>
      </c>
    </row>
    <row r="8">
      <c r="B8" t="n">
        <v>-0.0305107</v>
      </c>
      <c r="C8" s="49">
        <f>(D8/B8)</f>
        <v/>
      </c>
      <c r="D8" s="49" t="n">
        <v>-2.78264645</v>
      </c>
      <c r="N8">
        <f>(SUM($B$5:$B$7)/5)</f>
        <v/>
      </c>
      <c r="O8" s="49">
        <f>($C$7*Params!K10)</f>
        <v/>
      </c>
      <c r="P8" s="49">
        <f>(O8*N8)</f>
        <v/>
      </c>
      <c r="R8">
        <f>(B8)</f>
        <v/>
      </c>
      <c r="S8" s="49">
        <f>(T8/R8)</f>
        <v/>
      </c>
      <c r="T8" s="49">
        <f>(D8)</f>
        <v/>
      </c>
    </row>
    <row r="9">
      <c r="N9">
        <f>(SUM($B$5:$B$7)/5)</f>
        <v/>
      </c>
      <c r="O9" s="49">
        <f>($C$7*Params!K11)</f>
        <v/>
      </c>
      <c r="P9" s="49">
        <f>(O9*N9)</f>
        <v/>
      </c>
    </row>
    <row r="10">
      <c r="O10" s="49" t="n"/>
      <c r="P10" s="49" t="n"/>
    </row>
    <row r="11">
      <c r="O11" s="49" t="n"/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  <row r="14"/>
    <row r="15"/>
    <row r="16"/>
    <row r="17"/>
    <row r="18"/>
    <row r="19">
      <c r="R19">
        <f>(SUM(R5:R18))</f>
        <v/>
      </c>
      <c r="T19" s="49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49" t="n">
        <v>0.9407607275380641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</row>
    <row r="5">
      <c r="B5" t="n">
        <v>3.25270461</v>
      </c>
      <c r="C5" s="49" t="n">
        <v>0</v>
      </c>
      <c r="D5" s="49">
        <f>(B5*C5)</f>
        <v/>
      </c>
    </row>
    <row r="6">
      <c r="B6" s="2" t="n">
        <v>0.04027647</v>
      </c>
      <c r="C6" s="51" t="n">
        <v>0</v>
      </c>
      <c r="D6" s="26">
        <f>(B6*C6)</f>
        <v/>
      </c>
      <c r="E6" s="49">
        <f>(B6*J3)</f>
        <v/>
      </c>
    </row>
    <row r="7">
      <c r="B7" t="n">
        <v>-3.25700016</v>
      </c>
      <c r="C7" s="49">
        <f>(D7/B7)</f>
        <v/>
      </c>
      <c r="D7" s="49" t="n">
        <v>-5.39743191</v>
      </c>
    </row>
    <row r="8">
      <c r="B8" t="n">
        <v>0.31639059</v>
      </c>
      <c r="C8" s="49" t="n">
        <v>0</v>
      </c>
      <c r="D8" s="49">
        <f>(B8*C8)</f>
        <v/>
      </c>
    </row>
    <row r="9">
      <c r="B9" t="n">
        <v>0.31639059</v>
      </c>
      <c r="C9" s="49" t="n">
        <v>0</v>
      </c>
      <c r="D9" s="49">
        <f>(B9*C9)</f>
        <v/>
      </c>
    </row>
    <row r="10">
      <c r="B10" t="n">
        <v>0.31639059</v>
      </c>
      <c r="C10" s="49" t="n">
        <v>0</v>
      </c>
      <c r="D10" s="49">
        <f>(B10*C10)</f>
        <v/>
      </c>
    </row>
    <row r="11">
      <c r="B11" t="n">
        <v>0.31639059</v>
      </c>
      <c r="C11" s="49" t="n">
        <v>0</v>
      </c>
      <c r="D11" s="49">
        <f>(B11*C11)</f>
        <v/>
      </c>
    </row>
    <row r="12">
      <c r="B12" t="n">
        <v>0.31639059</v>
      </c>
      <c r="C12" s="49" t="n">
        <v>0</v>
      </c>
      <c r="D12" s="49">
        <f>(B12*C12)</f>
        <v/>
      </c>
    </row>
    <row r="13"/>
    <row r="14">
      <c r="B14">
        <f>(SUM(B5:B13))</f>
        <v/>
      </c>
      <c r="D14" s="49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:D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8.983359404368517e-05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4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49">
        <f>(R5*S5)</f>
        <v/>
      </c>
    </row>
    <row r="6">
      <c r="B6" s="29" t="n">
        <v>0.3</v>
      </c>
      <c r="C6" s="28" t="n">
        <v>91.3</v>
      </c>
      <c r="D6" s="49">
        <f>(B6*C6)</f>
        <v/>
      </c>
      <c r="M6" t="inlineStr">
        <is>
          <t>Objectif :</t>
        </is>
      </c>
      <c r="N6" s="28">
        <f>(MIN(C5:C8,C14:C16)*2)</f>
        <v/>
      </c>
      <c r="O6">
        <f>(INDEX(B5:B17,MATCH(N6/2,C5:C17,0)))</f>
        <v/>
      </c>
      <c r="P6" s="49">
        <f>(O6*N6/2)</f>
        <v/>
      </c>
      <c r="R6" s="29">
        <f>(B6)</f>
        <v/>
      </c>
      <c r="S6" s="28" t="n">
        <v>91.3</v>
      </c>
      <c r="T6" s="49">
        <f>(R6*S6)</f>
        <v/>
      </c>
    </row>
    <row r="7">
      <c r="B7" s="29" t="n">
        <v>2.79041387</v>
      </c>
      <c r="C7" s="28" t="n">
        <v>6.5</v>
      </c>
      <c r="D7" s="49">
        <f>(B7*C7)</f>
        <v/>
      </c>
      <c r="R7" s="29">
        <f>(B7)</f>
        <v/>
      </c>
      <c r="S7" s="28" t="n">
        <v>6.5</v>
      </c>
      <c r="T7" s="49">
        <f>(R7*S7)</f>
        <v/>
      </c>
    </row>
    <row r="8">
      <c r="B8" s="29" t="n">
        <v>722</v>
      </c>
      <c r="C8" s="28">
        <f>(D8/B8)</f>
        <v/>
      </c>
      <c r="D8" s="49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49" t="n">
        <v>15</v>
      </c>
    </row>
    <row r="9">
      <c r="B9" s="29">
        <f>(891400)</f>
        <v/>
      </c>
      <c r="C9" s="28">
        <f>(D9/B9)</f>
        <v/>
      </c>
      <c r="D9" s="49" t="n">
        <v>10</v>
      </c>
      <c r="M9" t="inlineStr">
        <is>
          <t>Objectif :</t>
        </is>
      </c>
      <c r="N9" s="28">
        <f>(C35*1.1)</f>
        <v/>
      </c>
      <c r="O9" s="21">
        <f>(B35/1.1)</f>
        <v/>
      </c>
      <c r="P9" s="49">
        <f>(O9*N9)</f>
        <v/>
      </c>
      <c r="R9" s="29">
        <f>(B9)</f>
        <v/>
      </c>
      <c r="S9" s="28">
        <f>(T9/R9)</f>
        <v/>
      </c>
      <c r="T9" s="49" t="n">
        <v>10</v>
      </c>
    </row>
    <row r="10">
      <c r="B10" s="29" t="n">
        <v>-200000</v>
      </c>
      <c r="C10" s="28">
        <f>(D10/B10)</f>
        <v/>
      </c>
      <c r="D10" s="49" t="n">
        <v>-12</v>
      </c>
      <c r="N10" s="28" t="n"/>
      <c r="R10" s="29">
        <f>(B10)</f>
        <v/>
      </c>
      <c r="S10" s="28">
        <f>(T10/R10)</f>
        <v/>
      </c>
      <c r="T10" s="49" t="n">
        <v>-12</v>
      </c>
    </row>
    <row r="11">
      <c r="B11" s="29" t="n">
        <v>-43873</v>
      </c>
      <c r="C11" s="28">
        <f>(D11/B11)</f>
        <v/>
      </c>
      <c r="D11" s="49" t="n">
        <v>-10</v>
      </c>
      <c r="R11" s="29">
        <f>(B11)</f>
        <v/>
      </c>
      <c r="S11" s="28">
        <f>(T11/R11)</f>
        <v/>
      </c>
      <c r="T11" s="49" t="n">
        <v>-10</v>
      </c>
    </row>
    <row r="12">
      <c r="B12" s="29" t="n">
        <v>-20000</v>
      </c>
      <c r="C12" s="28">
        <f>(D12/B12)</f>
        <v/>
      </c>
      <c r="D12" s="49" t="n">
        <v>-10</v>
      </c>
      <c r="R12" s="29">
        <f>(B12)</f>
        <v/>
      </c>
      <c r="S12" s="28">
        <f>(T12/R12)</f>
        <v/>
      </c>
      <c r="T12" s="49" t="n">
        <v>-10</v>
      </c>
    </row>
    <row r="13">
      <c r="B13" s="29" t="n">
        <v>-66800</v>
      </c>
      <c r="C13" s="28">
        <f>(D13/B13)</f>
        <v/>
      </c>
      <c r="D13" s="49" t="n">
        <v>-33.4</v>
      </c>
      <c r="R13" s="29">
        <f>(B13+B14+B15+B16)</f>
        <v/>
      </c>
      <c r="S13" s="28">
        <f>(T13/R13)</f>
        <v/>
      </c>
      <c r="T13" s="49">
        <f>(D13+D15+D14+D16)</f>
        <v/>
      </c>
    </row>
    <row r="14">
      <c r="B14" s="29" t="n">
        <v>22223</v>
      </c>
      <c r="C14" s="28">
        <f>(D14/B14)</f>
        <v/>
      </c>
      <c r="D14" s="49" t="n">
        <v>10.00035</v>
      </c>
      <c r="R14" s="29">
        <f>(B17)</f>
        <v/>
      </c>
      <c r="S14" s="28" t="n">
        <v>0.0001</v>
      </c>
      <c r="T14" s="49">
        <f>(S14*R14)</f>
        <v/>
      </c>
    </row>
    <row r="15">
      <c r="B15" s="29" t="n">
        <v>48000</v>
      </c>
      <c r="C15" s="28">
        <f>(D15/B15)</f>
        <v/>
      </c>
      <c r="D15" s="49" t="n">
        <v>18</v>
      </c>
      <c r="R15" s="29">
        <f>(B18)</f>
        <v/>
      </c>
      <c r="S15" s="28" t="n">
        <v>0</v>
      </c>
      <c r="T15" s="49">
        <f>(R15*S15)</f>
        <v/>
      </c>
    </row>
    <row r="16">
      <c r="B16" s="29" t="n">
        <v>40000</v>
      </c>
      <c r="C16" s="28">
        <f>(D16/B16)</f>
        <v/>
      </c>
      <c r="D16" s="49" t="n">
        <v>10</v>
      </c>
      <c r="R16" s="29">
        <f>(B19)</f>
        <v/>
      </c>
      <c r="S16" s="28" t="n">
        <v>0.0001829</v>
      </c>
      <c r="T16" s="49">
        <f>(S16*R16)</f>
        <v/>
      </c>
    </row>
    <row r="17">
      <c r="B17" s="29" t="n">
        <v>-150000</v>
      </c>
      <c r="C17" s="28" t="n">
        <v>0.0001</v>
      </c>
      <c r="D17" s="49">
        <f>(C17*B17)</f>
        <v/>
      </c>
      <c r="R17" s="29">
        <f>(B20)</f>
        <v/>
      </c>
      <c r="S17" s="28" t="n">
        <v>0.0001828</v>
      </c>
      <c r="T17" s="49">
        <f>(S17*R17)</f>
        <v/>
      </c>
    </row>
    <row r="18">
      <c r="B18" s="36" t="n">
        <v>4527.17681199</v>
      </c>
      <c r="C18" s="51" t="n">
        <v>0</v>
      </c>
      <c r="D18" s="26">
        <f>(B18*C18)</f>
        <v/>
      </c>
      <c r="E18" s="49">
        <f>(B18*J3)</f>
        <v/>
      </c>
      <c r="R18" s="29">
        <f>(B21)</f>
        <v/>
      </c>
      <c r="S18" s="28">
        <f>(T18/R18)</f>
        <v/>
      </c>
      <c r="T18" s="49" t="n">
        <v>-10.875</v>
      </c>
    </row>
    <row r="19">
      <c r="B19" s="29" t="n">
        <v>-60293.19</v>
      </c>
      <c r="C19" s="28" t="n">
        <v>0.0001829</v>
      </c>
      <c r="D19" s="49">
        <f>(C19*B19)</f>
        <v/>
      </c>
      <c r="R19" s="29">
        <f>(B22)</f>
        <v/>
      </c>
      <c r="S19" s="28">
        <f>(T19/R19)</f>
        <v/>
      </c>
      <c r="T19" s="49" t="n">
        <v>-15.777</v>
      </c>
    </row>
    <row r="20">
      <c r="B20" s="29" t="n">
        <v>-41141.35</v>
      </c>
      <c r="C20" s="28" t="n">
        <v>0.0001828</v>
      </c>
      <c r="D20" s="49">
        <f>(C20*B20)</f>
        <v/>
      </c>
      <c r="R20" s="29">
        <f>(B23)</f>
        <v/>
      </c>
      <c r="S20" s="28">
        <f>(T20/R20)</f>
        <v/>
      </c>
      <c r="T20" s="49" t="n">
        <v>-12.7</v>
      </c>
    </row>
    <row r="21">
      <c r="B21" s="29" t="n">
        <v>-26969.34</v>
      </c>
      <c r="C21" s="28">
        <f>(D21/B21)</f>
        <v/>
      </c>
      <c r="D21" s="49" t="n">
        <v>-10.875</v>
      </c>
      <c r="R21" s="29">
        <f>(B24+B25+B26)</f>
        <v/>
      </c>
      <c r="S21" s="28">
        <f>(T21/R21)</f>
        <v/>
      </c>
      <c r="T21" s="49">
        <f>(D24+D25+D26)</f>
        <v/>
      </c>
    </row>
    <row r="22">
      <c r="B22" s="29" t="n">
        <v>-39131.89</v>
      </c>
      <c r="C22" s="28">
        <f>(D22/B22)</f>
        <v/>
      </c>
      <c r="D22" s="49" t="n">
        <v>-15.777</v>
      </c>
      <c r="R22" s="29">
        <f>(B27+B28)</f>
        <v/>
      </c>
      <c r="S22" s="28" t="n">
        <v>0</v>
      </c>
      <c r="T22" s="49">
        <f>(D27+D28)</f>
        <v/>
      </c>
    </row>
    <row r="23">
      <c r="B23" s="29" t="n">
        <v>-31019.52</v>
      </c>
      <c r="C23" s="28">
        <f>(D23/B23)</f>
        <v/>
      </c>
      <c r="D23" s="49" t="n">
        <v>-12.7</v>
      </c>
      <c r="R23" s="29">
        <f>(B29+B30)</f>
        <v/>
      </c>
      <c r="S23" s="28" t="n">
        <v>0</v>
      </c>
      <c r="T23" s="49">
        <f>(D29+D30)</f>
        <v/>
      </c>
    </row>
    <row r="24">
      <c r="B24" s="29" t="n">
        <v>-20035.65</v>
      </c>
      <c r="C24" s="28">
        <f>(D24/B24)</f>
        <v/>
      </c>
      <c r="D24" s="49" t="n">
        <v>-11.12</v>
      </c>
      <c r="R24" s="29">
        <f>(B31+B32)</f>
        <v/>
      </c>
      <c r="S24" s="28" t="n">
        <v>0</v>
      </c>
      <c r="T24" s="49">
        <f>(D31+D32)</f>
        <v/>
      </c>
    </row>
    <row r="25">
      <c r="B25" s="29">
        <f>(15252.99-15.25299)</f>
        <v/>
      </c>
      <c r="C25" s="28" t="n">
        <v>0.00051739</v>
      </c>
      <c r="D25" s="49">
        <f>(B25*C25)</f>
        <v/>
      </c>
      <c r="R25" s="29">
        <f>(B33+B34+B35)</f>
        <v/>
      </c>
      <c r="S25" s="28" t="n">
        <v>0</v>
      </c>
      <c r="T25" s="49">
        <f>(D33+D34+D35)</f>
        <v/>
      </c>
    </row>
    <row r="26">
      <c r="B26" s="29">
        <f>(4747.01-4.74701)</f>
        <v/>
      </c>
      <c r="C26" s="28" t="n">
        <v>0.00051738</v>
      </c>
      <c r="D26" s="49">
        <f>(B26*C26)</f>
        <v/>
      </c>
    </row>
    <row r="27">
      <c r="B27" s="29" t="n">
        <v>-40000</v>
      </c>
      <c r="C27" s="28">
        <f>(D27/B27)</f>
        <v/>
      </c>
      <c r="D27" s="49" t="n">
        <v>-12.44</v>
      </c>
    </row>
    <row r="28">
      <c r="B28" s="29" t="n">
        <v>40000</v>
      </c>
      <c r="C28" s="28">
        <f>(D28/B28)</f>
        <v/>
      </c>
      <c r="D28" s="49" t="n">
        <v>10</v>
      </c>
    </row>
    <row r="29">
      <c r="B29" s="29" t="n">
        <v>-40000</v>
      </c>
      <c r="C29" s="28">
        <f>(D29/B29)</f>
        <v/>
      </c>
      <c r="D29" s="49" t="n">
        <v>-12.39</v>
      </c>
    </row>
    <row r="30">
      <c r="B30" s="29" t="n">
        <v>44000</v>
      </c>
      <c r="C30" s="28">
        <f>(D30/B30)</f>
        <v/>
      </c>
      <c r="D30" s="49" t="n">
        <v>10.42</v>
      </c>
    </row>
    <row r="31">
      <c r="B31" s="29" t="n">
        <v>-270017.67672339</v>
      </c>
      <c r="C31" s="28">
        <f>(D31/B31)</f>
        <v/>
      </c>
      <c r="D31" s="49" t="n">
        <v>-48.19233598</v>
      </c>
    </row>
    <row r="32">
      <c r="B32" s="29">
        <f>(272743.3*0.99)</f>
        <v/>
      </c>
      <c r="C32" s="28">
        <f>(D32/B32)</f>
        <v/>
      </c>
      <c r="D32" s="49" t="n">
        <v>34.21</v>
      </c>
    </row>
    <row r="33">
      <c r="B33" s="29" t="n">
        <v>-33998.23</v>
      </c>
      <c r="C33" s="28">
        <f>(D33/B33)</f>
        <v/>
      </c>
      <c r="D33" s="49" t="n">
        <v>-6.45</v>
      </c>
    </row>
    <row r="34">
      <c r="B34" s="29" t="n">
        <v>-20001.77</v>
      </c>
      <c r="C34" s="28">
        <f>(D34/B34)</f>
        <v/>
      </c>
      <c r="D34" s="49" t="n">
        <v>-3.795</v>
      </c>
    </row>
    <row r="35">
      <c r="B35" s="29">
        <f>(62154.32-62.15432)</f>
        <v/>
      </c>
      <c r="C35" s="28">
        <f>(D35/B35)</f>
        <v/>
      </c>
      <c r="D35" s="49" t="n">
        <v>10.1</v>
      </c>
      <c r="E35" s="49">
        <f>(B35*J3)</f>
        <v/>
      </c>
    </row>
    <row r="36"/>
    <row r="37">
      <c r="B37">
        <f>(SUM(B5:B36))</f>
        <v/>
      </c>
      <c r="D37" s="49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T28" sqref="T2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0.8597868060462273</v>
      </c>
      <c r="N3" s="19" t="n"/>
      <c r="O3" s="50" t="n"/>
      <c r="P3" s="4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(B18*J3)</f>
        <v/>
      </c>
      <c r="K4" s="4">
        <f>(J4/D18-1)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49">
        <f>(D5/B5)</f>
        <v/>
      </c>
      <c r="D5" s="49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49">
        <f>(T5/R5)</f>
        <v/>
      </c>
      <c r="T5" s="49">
        <f>D5</f>
        <v/>
      </c>
    </row>
    <row r="6">
      <c r="B6" s="36" t="n">
        <v>0.2291883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19">
        <f>($B$7+$R$9)/5</f>
        <v/>
      </c>
      <c r="O6" s="49">
        <f>($S$7*Params!K8)</f>
        <v/>
      </c>
      <c r="P6" s="49">
        <f>(O6*N6)</f>
        <v/>
      </c>
      <c r="R6" s="36">
        <f>(B6)</f>
        <v/>
      </c>
      <c r="S6" s="51" t="n">
        <v>0</v>
      </c>
      <c r="T6" s="26">
        <f>(D6)</f>
        <v/>
      </c>
      <c r="U6" s="49">
        <f>(R6*J3)</f>
        <v/>
      </c>
    </row>
    <row r="7">
      <c r="B7" s="19" t="n">
        <v>25.23775</v>
      </c>
      <c r="C7" s="49">
        <f>(D7/B7)</f>
        <v/>
      </c>
      <c r="D7" s="49" t="n">
        <v>26.5</v>
      </c>
      <c r="E7" t="inlineStr">
        <is>
          <t>DCA2</t>
        </is>
      </c>
      <c r="N7" s="19">
        <f>($B$7+$R$9)/5</f>
        <v/>
      </c>
      <c r="O7" s="49">
        <f>($S$7*Params!K9)</f>
        <v/>
      </c>
      <c r="P7" s="49">
        <f>(O7*N7)</f>
        <v/>
      </c>
      <c r="R7" s="19">
        <f>B7</f>
        <v/>
      </c>
      <c r="S7" s="49">
        <f>(T7/R7)</f>
        <v/>
      </c>
      <c r="T7" s="49">
        <f>D7</f>
        <v/>
      </c>
      <c r="U7" t="inlineStr">
        <is>
          <t>DCA2</t>
        </is>
      </c>
    </row>
    <row r="8">
      <c r="B8" s="19" t="n">
        <v>0.63003905</v>
      </c>
      <c r="C8" s="49">
        <f>(D8/B8)</f>
        <v/>
      </c>
      <c r="D8" s="49" t="n">
        <v>0.5</v>
      </c>
      <c r="N8" s="19">
        <f>($B$7+$R$9)/5</f>
        <v/>
      </c>
      <c r="O8" s="49">
        <f>($S$7*Params!K10)</f>
        <v/>
      </c>
      <c r="P8" s="49">
        <f>(O8*N8)</f>
        <v/>
      </c>
      <c r="R8" s="19">
        <f>B8</f>
        <v/>
      </c>
      <c r="S8" s="49">
        <f>C8</f>
        <v/>
      </c>
      <c r="T8" s="50">
        <f>D8</f>
        <v/>
      </c>
    </row>
    <row r="9">
      <c r="B9" s="19" t="n">
        <v>-1.08</v>
      </c>
      <c r="C9" s="49">
        <f>(D9/B9)</f>
        <v/>
      </c>
      <c r="D9" s="49" t="n">
        <v>-1.134</v>
      </c>
      <c r="N9" s="19">
        <f>($B$7+$R$9)/5</f>
        <v/>
      </c>
      <c r="O9" s="49">
        <f>($C$7*Params!K11)</f>
        <v/>
      </c>
      <c r="P9" s="49">
        <f>(O9*N9)</f>
        <v/>
      </c>
      <c r="R9" s="19">
        <f>SUM(B9,B12,B13,B16)</f>
        <v/>
      </c>
      <c r="S9" s="49" t="n">
        <v>0</v>
      </c>
      <c r="T9" s="49">
        <f>SUM(D9,D12,D13,D16)</f>
        <v/>
      </c>
    </row>
    <row r="10">
      <c r="B10" s="19" t="n">
        <v>-2.44</v>
      </c>
      <c r="C10" s="49">
        <f>(D10/B10)</f>
        <v/>
      </c>
      <c r="D10" s="49" t="n">
        <v>-2.64426302</v>
      </c>
      <c r="O10" s="49" t="n"/>
      <c r="P10" s="49" t="n"/>
      <c r="R10" s="19">
        <f>SUM(B10,B11,B14,B15,)</f>
        <v/>
      </c>
      <c r="S10" s="49" t="n">
        <v>0</v>
      </c>
      <c r="T10" s="49">
        <f>SUM(D10,D11,D14,D15)</f>
        <v/>
      </c>
    </row>
    <row r="11">
      <c r="B11" s="19" t="n">
        <v>-2.44</v>
      </c>
      <c r="C11" s="49">
        <f>(D11/B11)</f>
        <v/>
      </c>
      <c r="D11" s="49" t="n">
        <v>-3.18898028</v>
      </c>
      <c r="O11" s="49" t="n"/>
      <c r="P11" s="49">
        <f>(SUM(P6:P9))</f>
        <v/>
      </c>
      <c r="R11" s="19" t="n"/>
      <c r="S11" s="49" t="n"/>
      <c r="T11" s="49" t="n"/>
    </row>
    <row r="12">
      <c r="B12" s="19" t="n">
        <v>-2.72</v>
      </c>
      <c r="C12" s="49">
        <f>(D12/B12)</f>
        <v/>
      </c>
      <c r="D12" s="49" t="n">
        <v>-4.01642344</v>
      </c>
      <c r="O12" s="49" t="n"/>
      <c r="P12" s="49" t="n"/>
      <c r="S12" s="49" t="n"/>
      <c r="T12" s="49" t="n"/>
    </row>
    <row r="13">
      <c r="B13" s="19" t="n">
        <v>3.02232854</v>
      </c>
      <c r="C13" s="49">
        <f>(D13/B13)</f>
        <v/>
      </c>
      <c r="D13" s="49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49" t="n"/>
      <c r="T13" s="49" t="n"/>
    </row>
    <row r="14">
      <c r="B14" s="19" t="n">
        <v>2.71232876</v>
      </c>
      <c r="C14" s="49">
        <f>(D14/B14)</f>
        <v/>
      </c>
      <c r="D14" s="49" t="n">
        <v>2.97</v>
      </c>
      <c r="M14" t="inlineStr">
        <is>
          <t>Objectif</t>
        </is>
      </c>
      <c r="N14" s="19">
        <f>($B$5+$R$10)/5</f>
        <v/>
      </c>
      <c r="O14" s="49">
        <f>($C$5*Params!K8)</f>
        <v/>
      </c>
      <c r="P14" s="49">
        <f>(O14*N14)</f>
        <v/>
      </c>
      <c r="S14" s="49" t="n"/>
      <c r="T14" s="49" t="n"/>
    </row>
    <row r="15">
      <c r="B15" s="19">
        <f>2.44/0.9</f>
        <v/>
      </c>
      <c r="C15" s="49" t="n">
        <v>0.847152</v>
      </c>
      <c r="D15" s="49">
        <f>B15*C15</f>
        <v/>
      </c>
      <c r="N15" s="19">
        <f>($B$5+$R$10)/5</f>
        <v/>
      </c>
      <c r="O15" s="49">
        <f>($C$5*Params!K9)</f>
        <v/>
      </c>
      <c r="P15" s="49">
        <f>(O15*N15)</f>
        <v/>
      </c>
      <c r="S15" s="49" t="n"/>
      <c r="T15" s="49" t="n"/>
    </row>
    <row r="16">
      <c r="B16" s="19">
        <f>4.11968757-B15</f>
        <v/>
      </c>
      <c r="C16" s="49" t="n">
        <v>0.847152</v>
      </c>
      <c r="D16" s="49">
        <f>B16*C16</f>
        <v/>
      </c>
      <c r="N16" s="19">
        <f>($B$5+$R$10)/5</f>
        <v/>
      </c>
      <c r="O16" s="49">
        <f>($C$5*Params!K10)</f>
        <v/>
      </c>
      <c r="P16" s="49">
        <f>(O16*N16)</f>
        <v/>
      </c>
      <c r="S16" s="49" t="n"/>
      <c r="T16" s="49" t="n"/>
    </row>
    <row r="17">
      <c r="B17" s="19" t="n"/>
      <c r="F17" t="inlineStr">
        <is>
          <t>Moy</t>
        </is>
      </c>
      <c r="G17" s="49">
        <f>(D18/B18)</f>
        <v/>
      </c>
      <c r="N17" s="19">
        <f>($B$5+$R$10)/5</f>
        <v/>
      </c>
      <c r="O17" s="49">
        <f>($C$5*Params!K11)</f>
        <v/>
      </c>
      <c r="P17" s="49">
        <f>(O17*N17)</f>
        <v/>
      </c>
      <c r="R17">
        <f>(SUM(R5:R12))</f>
        <v/>
      </c>
      <c r="S17" s="49" t="n"/>
      <c r="T17" s="49">
        <f>(SUM(T5:T12))</f>
        <v/>
      </c>
    </row>
    <row r="18">
      <c r="B18" s="19">
        <f>(SUM(B5:B17))</f>
        <v/>
      </c>
      <c r="D18" s="49">
        <f>(SUM(D5:D17))</f>
        <v/>
      </c>
      <c r="O18" s="49" t="n"/>
      <c r="P18" s="49" t="n"/>
    </row>
    <row r="19">
      <c r="O19" s="49" t="n"/>
      <c r="P19" s="49" t="n"/>
    </row>
    <row r="20">
      <c r="O20" s="49" t="n"/>
      <c r="P20" s="49">
        <f>(SUM(P14:P17))</f>
        <v/>
      </c>
    </row>
    <row r="21"/>
    <row r="22"/>
    <row r="23"/>
    <row r="24"/>
    <row r="25"/>
    <row r="26"/>
    <row r="27">
      <c r="H27" s="50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N6" sqref="N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0.5668490668279229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29" t="n">
        <v>52.2477</v>
      </c>
      <c r="C5" s="49">
        <f>(D5/B5)</f>
        <v/>
      </c>
      <c r="D5" s="49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0.56432322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9">
        <f>($B$10/5)</f>
        <v/>
      </c>
      <c r="O6" s="49">
        <f>($C$5*Params!K8)</f>
        <v/>
      </c>
      <c r="P6" s="49">
        <f>(O6*N6)</f>
        <v/>
      </c>
    </row>
    <row r="7">
      <c r="B7" s="36" t="n">
        <v>0.00050677</v>
      </c>
      <c r="C7" s="51" t="n">
        <v>0</v>
      </c>
      <c r="D7" s="26">
        <f>(B7*C7)</f>
        <v/>
      </c>
      <c r="E7" s="49">
        <f>(B7*J4)</f>
        <v/>
      </c>
      <c r="N7" s="29">
        <f>($B$10/5)</f>
        <v/>
      </c>
      <c r="O7" s="49">
        <f>($C$5*Params!K9)</f>
        <v/>
      </c>
      <c r="P7" s="49">
        <f>(O7*N7)</f>
        <v/>
      </c>
    </row>
    <row r="8">
      <c r="N8" s="29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 s="2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D10" s="49">
        <f>(SUM(D5:D9))</f>
        <v/>
      </c>
    </row>
    <row r="11">
      <c r="P11" s="49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2:U22"/>
  <sheetViews>
    <sheetView workbookViewId="0">
      <selection activeCell="N15" sqref="N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1.655772879896166</v>
      </c>
      <c r="M3" t="inlineStr">
        <is>
          <t>Objectif :</t>
        </is>
      </c>
      <c r="N3" s="1">
        <f>(INDEX(N6:N37,MATCH(MAX(O14),O6:O37,0))/0.9)</f>
        <v/>
      </c>
      <c r="O3" s="50">
        <f>(MAX(O14)*0.85)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(B19*J3)</f>
        <v/>
      </c>
      <c r="K4" s="4">
        <f>(J4/D19-1)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49">
        <f>(D5/B5)</f>
        <v/>
      </c>
      <c r="D5" s="49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49">
        <f>(T5/R5)</f>
        <v/>
      </c>
      <c r="T5" s="49">
        <f>(D5)</f>
        <v/>
      </c>
    </row>
    <row r="6">
      <c r="B6" s="1" t="n">
        <v>13.5844</v>
      </c>
      <c r="C6" s="49">
        <f>(D6/B6)</f>
        <v/>
      </c>
      <c r="D6" s="49" t="n">
        <v>26.5</v>
      </c>
      <c r="E6" t="inlineStr">
        <is>
          <t>DCA2</t>
        </is>
      </c>
      <c r="M6" t="inlineStr">
        <is>
          <t>Objectif</t>
        </is>
      </c>
      <c r="N6" s="1">
        <f>(($B$5+$R$10)/5)</f>
        <v/>
      </c>
      <c r="O6" s="49">
        <f>($C$5*Params!K8)</f>
        <v/>
      </c>
      <c r="P6" s="49">
        <f>(O6*N6)</f>
        <v/>
      </c>
      <c r="R6" s="1">
        <f>(B6+B8)</f>
        <v/>
      </c>
      <c r="S6" s="49">
        <f>(T6/R6)</f>
        <v/>
      </c>
      <c r="T6" s="49">
        <f>(D6+B8*1.5)</f>
        <v/>
      </c>
      <c r="U6" s="49">
        <f>(E6)</f>
        <v/>
      </c>
    </row>
    <row r="7">
      <c r="B7" s="36" t="n">
        <v>0.04222363</v>
      </c>
      <c r="C7" s="51" t="n">
        <v>0</v>
      </c>
      <c r="D7" s="26" t="n">
        <v>0</v>
      </c>
      <c r="E7" s="50">
        <f>B7*J3</f>
        <v/>
      </c>
      <c r="N7" s="1">
        <f>(($B$5+$R$10)/5)</f>
        <v/>
      </c>
      <c r="O7" s="49">
        <f>($C$5*Params!K9)</f>
        <v/>
      </c>
      <c r="P7" s="49">
        <f>(O7*N7)</f>
        <v/>
      </c>
      <c r="R7" s="1">
        <f>(B7)</f>
        <v/>
      </c>
      <c r="S7" s="49" t="n">
        <v>0</v>
      </c>
      <c r="T7" s="49">
        <f>(D7)</f>
        <v/>
      </c>
    </row>
    <row r="8">
      <c r="B8" s="1" t="n">
        <v>-0.6</v>
      </c>
      <c r="C8" s="49">
        <f>(D8/B8)</f>
        <v/>
      </c>
      <c r="D8" s="49" t="n">
        <v>-1.15882087</v>
      </c>
      <c r="E8" t="inlineStr">
        <is>
          <t>DCA2 1/5</t>
        </is>
      </c>
      <c r="N8" s="1">
        <f>(($B$5+$R$10)/5)</f>
        <v/>
      </c>
      <c r="O8" s="49">
        <f>($C$5*Params!K10)</f>
        <v/>
      </c>
      <c r="P8" s="49">
        <f>(O8*N8)</f>
        <v/>
      </c>
      <c r="R8" s="1">
        <f>(B8-B8)</f>
        <v/>
      </c>
      <c r="S8" s="49" t="n">
        <v>0</v>
      </c>
      <c r="T8" s="49">
        <f>(1.5*-B8+D8)</f>
        <v/>
      </c>
      <c r="U8" t="inlineStr">
        <is>
          <t>DCA2 1/5</t>
        </is>
      </c>
    </row>
    <row r="9">
      <c r="B9" s="1" t="n">
        <v>-0.358</v>
      </c>
      <c r="C9" s="49">
        <f>(D9/B9)</f>
        <v/>
      </c>
      <c r="D9" s="49">
        <f>(-0.764+0.005)</f>
        <v/>
      </c>
      <c r="N9" s="1">
        <f>(($B$5+$R$10)/5)</f>
        <v/>
      </c>
      <c r="O9" s="49">
        <f>($C$5*Params!K11)</f>
        <v/>
      </c>
      <c r="P9" s="49">
        <f>(O9*N9)</f>
        <v/>
      </c>
      <c r="R9" s="1">
        <f>(B10+B13)</f>
        <v/>
      </c>
      <c r="S9" s="49" t="n">
        <v>0</v>
      </c>
      <c r="T9" s="49">
        <f>(D10+D13)</f>
        <v/>
      </c>
    </row>
    <row r="10">
      <c r="B10" s="1" t="n">
        <v>-0.6</v>
      </c>
      <c r="C10" s="49">
        <f>(D10/B10)</f>
        <v/>
      </c>
      <c r="D10" s="49" t="n">
        <v>-1.353</v>
      </c>
      <c r="N10" s="1" t="n"/>
      <c r="O10" s="49" t="n"/>
      <c r="P10" s="49" t="n"/>
      <c r="R10" s="1">
        <f>(B12+B11+B9+B14+B15+B16)</f>
        <v/>
      </c>
      <c r="S10" s="49" t="n">
        <v>0</v>
      </c>
      <c r="T10" s="49">
        <f>(D12+D11+D9+D14)+D15+D16</f>
        <v/>
      </c>
    </row>
    <row r="11">
      <c r="B11" s="1" t="n">
        <v>-0.357420357420357</v>
      </c>
      <c r="C11" s="49">
        <f>(D11/B11)</f>
        <v/>
      </c>
      <c r="D11" s="49" t="n">
        <v>-0.895829</v>
      </c>
      <c r="N11" s="1" t="n"/>
      <c r="O11" s="49" t="n"/>
      <c r="P11" s="49">
        <f>(SUM(P6:P9))</f>
        <v/>
      </c>
      <c r="S11" s="49" t="n"/>
      <c r="T11" s="49" t="n"/>
    </row>
    <row r="12">
      <c r="B12" s="1" t="n">
        <v>0.388533371311533</v>
      </c>
      <c r="C12" s="49">
        <f>(D12/B12)</f>
        <v/>
      </c>
      <c r="D12" s="49" t="n">
        <v>0.84983</v>
      </c>
      <c r="N12" s="1" t="n"/>
      <c r="O12" s="49" t="n"/>
      <c r="P12" s="49" t="n"/>
      <c r="S12" s="49" t="n"/>
      <c r="T12" s="49" t="n"/>
    </row>
    <row r="13">
      <c r="B13" s="1" t="n">
        <v>0.66773927</v>
      </c>
      <c r="C13" s="49">
        <f>(D13/B13)</f>
        <v/>
      </c>
      <c r="D13" s="49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49" t="n"/>
      <c r="T13" s="49" t="n"/>
    </row>
    <row r="14">
      <c r="B14" s="1" t="n">
        <v>0.393802115862377</v>
      </c>
      <c r="C14" s="49">
        <f>(D14/B14)</f>
        <v/>
      </c>
      <c r="D14" s="49" t="n">
        <v>0.696157</v>
      </c>
      <c r="M14" t="inlineStr">
        <is>
          <t>Objectif</t>
        </is>
      </c>
      <c r="N14" s="1">
        <f>(-B8)</f>
        <v/>
      </c>
      <c r="O14" s="49">
        <f>(C8)</f>
        <v/>
      </c>
      <c r="P14" s="49">
        <f>(-D8)</f>
        <v/>
      </c>
      <c r="Q14" t="inlineStr">
        <is>
          <t>Done</t>
        </is>
      </c>
      <c r="S14" s="49" t="n"/>
      <c r="T14" s="49" t="n"/>
    </row>
    <row r="15">
      <c r="B15" s="1" t="n">
        <v>-0.364896073903002</v>
      </c>
      <c r="C15" s="49">
        <f>(D15/B15)</f>
        <v/>
      </c>
      <c r="D15" s="49" t="n">
        <v>-0.767007</v>
      </c>
      <c r="N15" s="1">
        <f>(2*($R$6+N14+2*$R$9)/5-N14)</f>
        <v/>
      </c>
      <c r="O15" s="49">
        <f>($C$6*Params!K9)</f>
        <v/>
      </c>
      <c r="P15" s="49">
        <f>(O15*N15)</f>
        <v/>
      </c>
      <c r="S15" s="49" t="n"/>
      <c r="T15" s="49" t="n"/>
    </row>
    <row r="16">
      <c r="B16" s="1" t="n">
        <v>0.419286856535433</v>
      </c>
      <c r="C16" s="49">
        <f>(D16/B16)</f>
        <v/>
      </c>
      <c r="D16" s="49" t="n">
        <v>0.709744</v>
      </c>
      <c r="N16" s="1">
        <f>(($B$6+$R$9)/5)</f>
        <v/>
      </c>
      <c r="O16" s="49">
        <f>($C$6*Params!K10)</f>
        <v/>
      </c>
      <c r="P16" s="49">
        <f>(O16*N16)</f>
        <v/>
      </c>
      <c r="S16" s="49" t="n"/>
      <c r="T16" s="49" t="n"/>
    </row>
    <row r="17">
      <c r="B17" s="1" t="n"/>
      <c r="C17" s="49" t="n"/>
      <c r="D17" s="49" t="n"/>
      <c r="N17" s="1">
        <f>(($B$6+$R$9)/5)</f>
        <v/>
      </c>
      <c r="O17" s="49">
        <f>($C$6*Params!K11)</f>
        <v/>
      </c>
      <c r="P17" s="49">
        <f>(O17*N17)</f>
        <v/>
      </c>
      <c r="S17" s="49" t="n"/>
      <c r="T17" s="49" t="n"/>
    </row>
    <row r="18">
      <c r="C18" s="49" t="n"/>
      <c r="D18" s="49" t="n"/>
      <c r="F18" t="inlineStr">
        <is>
          <t>Moy</t>
        </is>
      </c>
      <c r="G18">
        <f>(D19/B19)</f>
        <v/>
      </c>
      <c r="O18" s="49" t="n"/>
      <c r="P18" s="49" t="n"/>
      <c r="S18" s="49" t="n"/>
      <c r="T18" s="49" t="n"/>
    </row>
    <row r="19">
      <c r="B19" s="1">
        <f>(SUM(B5:B18))</f>
        <v/>
      </c>
      <c r="C19" s="49" t="n"/>
      <c r="D19" s="49">
        <f>(SUM(D5:D18))</f>
        <v/>
      </c>
      <c r="O19" s="49" t="n"/>
      <c r="P19" s="49">
        <f>(SUM(P14:P17))</f>
        <v/>
      </c>
      <c r="S19" s="49" t="n"/>
      <c r="T19" s="49" t="n"/>
    </row>
    <row r="20">
      <c r="S20" s="49" t="n"/>
      <c r="T20" s="49" t="n"/>
    </row>
    <row r="21">
      <c r="S21" s="49" t="n"/>
      <c r="T21" s="49" t="n"/>
    </row>
    <row r="22">
      <c r="R22" s="1">
        <f>(SUM(R5:R21))</f>
        <v/>
      </c>
      <c r="S22" s="49" t="n"/>
      <c r="T22" s="49">
        <f>(SUM(T5:T21))</f>
        <v/>
      </c>
    </row>
  </sheetData>
  <conditionalFormatting sqref="C5:C6 C12:C14 O6:O9 O15 S5:S6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16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J4" sqref="J4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0" t="n">
        <v>8.807558682002413e-06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2" t="n">
        <v>439531.68</v>
      </c>
      <c r="C5" s="60">
        <f>(D5/B5)</f>
        <v/>
      </c>
      <c r="D5" s="49" t="n">
        <v>5.03</v>
      </c>
      <c r="E5" s="49" t="n"/>
      <c r="F5" s="49" t="n"/>
      <c r="G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1" t="n">
        <v>0</v>
      </c>
      <c r="D6" s="26">
        <f>(B6*C6)</f>
        <v/>
      </c>
      <c r="E6" s="49">
        <f>(B6*J3)</f>
        <v/>
      </c>
      <c r="F6" s="49" t="n"/>
      <c r="G6" s="49" t="n"/>
      <c r="M6" t="inlineStr">
        <is>
          <t>Objectif</t>
        </is>
      </c>
      <c r="N6" s="22">
        <f>($B$5/5)</f>
        <v/>
      </c>
      <c r="O6" s="60">
        <f>($C$5*Params!K8)</f>
        <v/>
      </c>
      <c r="P6" s="49">
        <f>(O6*N6)</f>
        <v/>
      </c>
    </row>
    <row r="7">
      <c r="C7" s="49" t="n"/>
      <c r="D7" s="49" t="n"/>
      <c r="E7" s="49" t="n"/>
      <c r="F7" s="49" t="n"/>
      <c r="G7" s="49" t="n"/>
      <c r="N7" s="22">
        <f>($B$5/5)</f>
        <v/>
      </c>
      <c r="O7" s="60">
        <f>($C$5*Params!K9)</f>
        <v/>
      </c>
      <c r="P7" s="49">
        <f>(O7*N7)</f>
        <v/>
      </c>
    </row>
    <row r="8">
      <c r="C8" s="49" t="n"/>
      <c r="D8" s="49" t="n"/>
      <c r="E8" s="49" t="n"/>
      <c r="F8" s="49" t="n"/>
      <c r="G8" s="49" t="n"/>
      <c r="N8" s="22">
        <f>($B$5/5)</f>
        <v/>
      </c>
      <c r="O8" s="60">
        <f>($C$5*Params!K10)</f>
        <v/>
      </c>
      <c r="P8" s="49">
        <f>(O8*N8)</f>
        <v/>
      </c>
    </row>
    <row r="9">
      <c r="C9" s="49" t="n"/>
      <c r="D9" s="49" t="n"/>
      <c r="E9" s="49" t="n"/>
      <c r="F9" s="49" t="n"/>
      <c r="G9" s="49" t="n"/>
      <c r="N9" s="22">
        <f>($B$5/5)</f>
        <v/>
      </c>
      <c r="O9" s="60">
        <f>($C$5*Params!K11)</f>
        <v/>
      </c>
      <c r="P9" s="49">
        <f>(O9*N9)</f>
        <v/>
      </c>
    </row>
    <row r="10">
      <c r="C10" s="49" t="n"/>
      <c r="D10" s="49" t="n"/>
      <c r="E10" s="49" t="n"/>
      <c r="F10" s="49" t="n"/>
      <c r="G10" s="49" t="n"/>
      <c r="O10" s="49" t="n"/>
      <c r="P10" s="49" t="n"/>
    </row>
    <row r="11">
      <c r="C11" s="49" t="n"/>
      <c r="D11" s="49" t="n"/>
      <c r="E11" s="49" t="n"/>
      <c r="F11" s="49" t="n"/>
      <c r="G11" s="49" t="n"/>
      <c r="O11" s="49" t="n"/>
      <c r="P11" s="49">
        <f>(SUM(P6:P9))</f>
        <v/>
      </c>
    </row>
    <row r="12">
      <c r="C12" s="49" t="n"/>
      <c r="D12" s="49" t="n"/>
      <c r="E12" s="49" t="n"/>
      <c r="F12" s="49" t="inlineStr">
        <is>
          <t>Moy</t>
        </is>
      </c>
      <c r="G12" s="49">
        <f>(D13/B13)</f>
        <v/>
      </c>
    </row>
    <row r="13">
      <c r="B13">
        <f>(SUM(B5:B12))</f>
        <v/>
      </c>
      <c r="C13" s="49" t="n"/>
      <c r="D13" s="49">
        <f>(SUM(D5:D12))</f>
        <v/>
      </c>
      <c r="E13" s="49" t="n"/>
      <c r="F13" s="49" t="n"/>
      <c r="G13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B20" sqref="B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20.95468895348495</v>
      </c>
      <c r="M3" t="inlineStr">
        <is>
          <t>Objectif :</t>
        </is>
      </c>
      <c r="N3" s="24">
        <f>(INDEX(N5:N26,MATCH(MAX(O6:O7,O23,O14:O15),O5:O26,0))/0.9)</f>
        <v/>
      </c>
      <c r="O3" s="50">
        <f>(MAX(O14:O15,O23,O6:O7)*0.85)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49">
        <f>(B31*J3)</f>
        <v/>
      </c>
      <c r="K4" s="4">
        <f>(J4/D31-1)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49" t="n">
        <v>196</v>
      </c>
      <c r="D5" s="49">
        <f>(B5*C5)</f>
        <v/>
      </c>
      <c r="E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49">
        <f>(C5)</f>
        <v/>
      </c>
      <c r="T5" s="49">
        <f>(R5*S5)</f>
        <v/>
      </c>
    </row>
    <row r="6">
      <c r="B6" s="24">
        <f>(-0.00801)</f>
        <v/>
      </c>
      <c r="C6" s="49">
        <f>(D6/B6)</f>
        <v/>
      </c>
      <c r="D6" s="49" t="n">
        <v>-0.300785</v>
      </c>
      <c r="E6" s="49" t="n"/>
      <c r="M6" t="inlineStr">
        <is>
          <t>Objectif</t>
        </is>
      </c>
      <c r="N6" s="24">
        <f>($B$16/5)</f>
        <v/>
      </c>
      <c r="O6" s="49">
        <f>(C23)</f>
        <v/>
      </c>
      <c r="P6" s="49">
        <f>(O6*N6)</f>
        <v/>
      </c>
      <c r="Q6" t="inlineStr">
        <is>
          <t>Done</t>
        </is>
      </c>
      <c r="R6" s="24">
        <f>(B6+B7+B8+B9)</f>
        <v/>
      </c>
      <c r="S6" s="49" t="n">
        <v>0</v>
      </c>
      <c r="T6" s="49">
        <f>(D6+D7+D8+D9)</f>
        <v/>
      </c>
    </row>
    <row r="7">
      <c r="B7" s="24" t="n">
        <v>-0.007325</v>
      </c>
      <c r="C7" s="49">
        <f>(D7/B7)</f>
        <v/>
      </c>
      <c r="D7" s="49" t="n">
        <v>-0.3</v>
      </c>
      <c r="E7" s="49" t="n"/>
      <c r="N7" s="24">
        <f>(-B29)</f>
        <v/>
      </c>
      <c r="O7" s="49">
        <f>(C29)</f>
        <v/>
      </c>
      <c r="P7" s="49">
        <f>(O7*N7)</f>
        <v/>
      </c>
      <c r="Q7" t="inlineStr">
        <is>
          <t>Done</t>
        </is>
      </c>
      <c r="R7" s="24">
        <f>(B10+B11)</f>
        <v/>
      </c>
      <c r="S7" s="49" t="n">
        <v>0</v>
      </c>
      <c r="T7" s="49">
        <f>(D10+D11)</f>
        <v/>
      </c>
    </row>
    <row r="8">
      <c r="B8" s="24">
        <f>(0.00803628-0.0000683)</f>
        <v/>
      </c>
      <c r="C8" s="49">
        <f>(D8/B8)</f>
        <v/>
      </c>
      <c r="D8" s="49" t="n">
        <v>0.29</v>
      </c>
      <c r="E8" s="49" t="n"/>
      <c r="N8" s="24">
        <f>(($B$16+$R$21)/5)</f>
        <v/>
      </c>
      <c r="O8" s="49">
        <f>($C$16*Params!K10)</f>
        <v/>
      </c>
      <c r="P8" s="49">
        <f>(O8*N8)</f>
        <v/>
      </c>
      <c r="R8" s="24">
        <f>(B12)</f>
        <v/>
      </c>
      <c r="S8" s="49" t="n">
        <v>0</v>
      </c>
      <c r="T8" s="49">
        <f>(R8*S8)</f>
        <v/>
      </c>
    </row>
    <row r="9">
      <c r="B9" s="24">
        <f>(0.00884882-0.00007521)</f>
        <v/>
      </c>
      <c r="C9" s="49">
        <f>(D9/B9)</f>
        <v/>
      </c>
      <c r="D9" s="49" t="n">
        <v>0.28</v>
      </c>
      <c r="E9" s="49" t="n"/>
      <c r="N9" s="24">
        <f>(($B$16+$R$21)/5)</f>
        <v/>
      </c>
      <c r="O9" s="49">
        <f>($C$16*Params!K11)</f>
        <v/>
      </c>
      <c r="P9" s="49">
        <f>(O9*N9)</f>
        <v/>
      </c>
      <c r="R9" s="24">
        <f>(B13)</f>
        <v/>
      </c>
      <c r="S9" s="49">
        <f>(T9/R9)</f>
        <v/>
      </c>
      <c r="T9" s="49" t="n">
        <v>0</v>
      </c>
    </row>
    <row r="10">
      <c r="B10" s="24" t="n">
        <v>0.10169404</v>
      </c>
      <c r="C10" s="49">
        <f>(D10/B10)</f>
        <v/>
      </c>
      <c r="D10" s="49" t="n">
        <v>3.56</v>
      </c>
      <c r="E10" s="49" t="n"/>
      <c r="O10" s="49" t="n"/>
      <c r="P10" s="49" t="n"/>
      <c r="R10" s="24">
        <f>(B14)</f>
        <v/>
      </c>
      <c r="S10" s="49">
        <f>(C14)</f>
        <v/>
      </c>
      <c r="T10" s="49">
        <f>(D14)</f>
        <v/>
      </c>
    </row>
    <row r="11">
      <c r="B11" s="24" t="n">
        <v>-0.1</v>
      </c>
      <c r="C11" s="49">
        <f>(D11/B11)</f>
        <v/>
      </c>
      <c r="D11" s="49" t="n">
        <v>-3.7812</v>
      </c>
      <c r="E11" s="49" t="n"/>
      <c r="O11" s="49" t="n"/>
      <c r="P11" s="49">
        <f>(SUM(P6:P9))</f>
        <v/>
      </c>
      <c r="R11" s="24">
        <f>(B15)</f>
        <v/>
      </c>
      <c r="S11" s="49">
        <f>(C15)</f>
        <v/>
      </c>
      <c r="T11" s="49">
        <f>(D15)</f>
        <v/>
      </c>
    </row>
    <row r="12">
      <c r="B12" s="24" t="n">
        <v>0.0021</v>
      </c>
      <c r="C12" s="49" t="n">
        <v>0</v>
      </c>
      <c r="D12" s="49" t="n">
        <v>0</v>
      </c>
      <c r="E12" s="49">
        <f>(B12*$J$3)</f>
        <v/>
      </c>
      <c r="O12" s="49" t="n"/>
      <c r="P12" s="49" t="n"/>
      <c r="R12" s="24">
        <f>(B16+B23+B29)</f>
        <v/>
      </c>
      <c r="S12" s="49">
        <f>(T12/R12)</f>
        <v/>
      </c>
      <c r="T12" s="49">
        <f>(D16+D23+D29)</f>
        <v/>
      </c>
    </row>
    <row r="13">
      <c r="B13" s="24">
        <f>(0.002039*2)</f>
        <v/>
      </c>
      <c r="C13" s="49" t="n">
        <v>0</v>
      </c>
      <c r="D13" s="49">
        <f>(C13*B13)</f>
        <v/>
      </c>
      <c r="E13" t="inlineStr">
        <is>
          <t>NFT Burn</t>
        </is>
      </c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49">
        <f>(T13/R13)</f>
        <v/>
      </c>
      <c r="T13" s="49">
        <f>(D17+11.97*B21+B24*12.17)</f>
        <v/>
      </c>
    </row>
    <row r="14">
      <c r="B14" s="24">
        <f>(0.60148-0.595318987)</f>
        <v/>
      </c>
      <c r="C14" s="49" t="n">
        <v>0</v>
      </c>
      <c r="D14" s="49" t="n">
        <v>0</v>
      </c>
      <c r="E14" s="49">
        <f>(B14*$J$3)</f>
        <v/>
      </c>
      <c r="M14" t="inlineStr">
        <is>
          <t>Objectif</t>
        </is>
      </c>
      <c r="N14" s="24">
        <f>(-B21)</f>
        <v/>
      </c>
      <c r="O14" s="49">
        <f>(C21)</f>
        <v/>
      </c>
      <c r="P14" s="49">
        <f>(O14*N14)</f>
        <v/>
      </c>
      <c r="Q14" t="inlineStr">
        <is>
          <t>Done</t>
        </is>
      </c>
      <c r="R14" s="24">
        <f>(B18)</f>
        <v/>
      </c>
      <c r="S14" s="49">
        <f>(C18)</f>
        <v/>
      </c>
      <c r="T14" s="49">
        <f>(D18)</f>
        <v/>
      </c>
    </row>
    <row r="15">
      <c r="B15" s="24">
        <f>(0.10209-0.101562222)</f>
        <v/>
      </c>
      <c r="C15" s="49" t="n">
        <v>0</v>
      </c>
      <c r="D15" s="49" t="n">
        <v>0</v>
      </c>
      <c r="E15" s="49">
        <f>(B15*$J$3)</f>
        <v/>
      </c>
      <c r="N15" s="24">
        <f>(-B24)</f>
        <v/>
      </c>
      <c r="O15" s="49">
        <f>(C24)</f>
        <v/>
      </c>
      <c r="P15" s="49">
        <f>(-D24)</f>
        <v/>
      </c>
      <c r="Q15" t="inlineStr">
        <is>
          <t>Done</t>
        </is>
      </c>
      <c r="R15" s="24">
        <f>(B19+B22)</f>
        <v/>
      </c>
      <c r="S15" s="49">
        <f>(T15/R15)</f>
        <v/>
      </c>
      <c r="T15" s="49">
        <f>(D19+12.6*B22)</f>
        <v/>
      </c>
    </row>
    <row r="16">
      <c r="B16" s="24" t="n">
        <v>0.49053</v>
      </c>
      <c r="C16" s="49">
        <f>(D16/B16)</f>
        <v/>
      </c>
      <c r="D16" s="49" t="n">
        <v>6.3</v>
      </c>
      <c r="E16" s="49" t="n"/>
      <c r="N16" s="24">
        <f>(3*($R$13+N14+N15)/5-N14-N15)</f>
        <v/>
      </c>
      <c r="O16" s="49">
        <f>($S$13*Params!K10)</f>
        <v/>
      </c>
      <c r="P16" s="49">
        <f>(O16*N16)</f>
        <v/>
      </c>
      <c r="R16" s="24">
        <f>(B20)</f>
        <v/>
      </c>
      <c r="S16" s="49">
        <f>(T16/R16)</f>
        <v/>
      </c>
      <c r="T16" s="49">
        <f>(D20)</f>
        <v/>
      </c>
    </row>
    <row r="17">
      <c r="B17" s="24" t="n">
        <v>4.5187</v>
      </c>
      <c r="C17" s="49">
        <f>(D17/B17)</f>
        <v/>
      </c>
      <c r="D17" s="49" t="n">
        <v>84.75</v>
      </c>
      <c r="E17" t="inlineStr">
        <is>
          <t>DCA1</t>
        </is>
      </c>
      <c r="N17" s="24">
        <f>(($R$13+N14+N15)/5)</f>
        <v/>
      </c>
      <c r="O17" s="49">
        <f>($S$13*Params!K11)</f>
        <v/>
      </c>
      <c r="P17" s="49">
        <f>(O17*N17)</f>
        <v/>
      </c>
      <c r="R17" s="24">
        <f>(B21-B21)</f>
        <v/>
      </c>
      <c r="S17" s="49" t="n">
        <v>0</v>
      </c>
      <c r="T17" s="49">
        <f>(14.952/1.25*-B21+D21)</f>
        <v/>
      </c>
      <c r="U17" t="inlineStr">
        <is>
          <t>DCA1 1/5</t>
        </is>
      </c>
    </row>
    <row r="18">
      <c r="B18" s="24" t="n">
        <v>0.02089291</v>
      </c>
      <c r="C18" s="49" t="n">
        <v>0</v>
      </c>
      <c r="D18" s="49" t="n">
        <v>0</v>
      </c>
      <c r="E18" s="50">
        <f>B18*J3</f>
        <v/>
      </c>
      <c r="O18" s="49" t="n"/>
      <c r="P18" s="49" t="n"/>
      <c r="R18" s="24">
        <f>(B22-B22)</f>
        <v/>
      </c>
      <c r="S18" s="49" t="n">
        <v>0</v>
      </c>
      <c r="T18" s="49">
        <f>(12.6*-B22+D22)</f>
        <v/>
      </c>
      <c r="U18" t="inlineStr">
        <is>
          <t>DCA2 1/5</t>
        </is>
      </c>
    </row>
    <row r="19">
      <c r="B19" s="24" t="n">
        <v>1.3636</v>
      </c>
      <c r="C19" s="49">
        <f>(D19/B19)</f>
        <v/>
      </c>
      <c r="D19" s="49" t="n">
        <v>26.5</v>
      </c>
      <c r="E19" t="inlineStr">
        <is>
          <t>DCA2</t>
        </is>
      </c>
      <c r="O19" s="49" t="n"/>
      <c r="P19" s="49">
        <f>(SUM(P14:P17))</f>
        <v/>
      </c>
      <c r="R19" s="24">
        <f>(B24-B24)</f>
        <v/>
      </c>
      <c r="S19" s="49" t="n">
        <v>0</v>
      </c>
      <c r="T19" s="49">
        <f>(12.17*-B24+D24)</f>
        <v/>
      </c>
      <c r="U19" t="inlineStr">
        <is>
          <t>DCA1 2/5</t>
        </is>
      </c>
    </row>
    <row r="20">
      <c r="B20" s="24" t="n">
        <v>0.0414744</v>
      </c>
      <c r="C20" s="49">
        <f>(D20/B20)</f>
        <v/>
      </c>
      <c r="D20" s="49" t="n">
        <v>0.5</v>
      </c>
      <c r="E20" s="49" t="n"/>
      <c r="O20" s="49" t="n"/>
      <c r="P20" s="49" t="n"/>
      <c r="R20" s="24">
        <f>(B26+B27)</f>
        <v/>
      </c>
      <c r="S20" s="49" t="n">
        <v>0</v>
      </c>
      <c r="T20" s="49">
        <f>(D26+D27)</f>
        <v/>
      </c>
    </row>
    <row r="21">
      <c r="B21" s="24" t="n">
        <v>-0.2809</v>
      </c>
      <c r="C21" s="49">
        <f>(D21/B21)</f>
        <v/>
      </c>
      <c r="D21" s="49" t="n">
        <v>-4.2022</v>
      </c>
      <c r="E21" s="49" t="n"/>
      <c r="O21" s="49" t="n"/>
      <c r="P21" s="49" t="n"/>
      <c r="R21" s="24">
        <f>(B28+B25)</f>
        <v/>
      </c>
      <c r="S21" s="49" t="n">
        <v>0</v>
      </c>
      <c r="T21" s="49">
        <f>(D28+D25)</f>
        <v/>
      </c>
    </row>
    <row r="22">
      <c r="B22" s="24" t="n">
        <v>-0.07144</v>
      </c>
      <c r="C22" s="49">
        <f>(D22/B22)</f>
        <v/>
      </c>
      <c r="D22" s="49" t="n">
        <v>-1.16310352</v>
      </c>
      <c r="E22" s="49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49" t="n"/>
      <c r="T22" s="49" t="n"/>
    </row>
    <row r="23">
      <c r="B23" s="24" t="n">
        <v>-0.09811</v>
      </c>
      <c r="C23" s="49">
        <f>(D23/B23)</f>
        <v/>
      </c>
      <c r="D23" s="49" t="n">
        <v>-1.59267</v>
      </c>
      <c r="E23" s="49" t="n"/>
      <c r="M23" t="inlineStr">
        <is>
          <t>Objectif</t>
        </is>
      </c>
      <c r="N23" s="24">
        <f>(-B22)</f>
        <v/>
      </c>
      <c r="O23" s="49">
        <f>(C22)</f>
        <v/>
      </c>
      <c r="P23" s="49">
        <f>(O23*N23)</f>
        <v/>
      </c>
      <c r="Q23" t="inlineStr">
        <is>
          <t>Done</t>
        </is>
      </c>
      <c r="S23" s="49" t="n"/>
      <c r="T23" s="49" t="n"/>
    </row>
    <row r="24">
      <c r="B24" s="24" t="n">
        <v>-0.31</v>
      </c>
      <c r="C24" s="49">
        <f>(D24/B24)</f>
        <v/>
      </c>
      <c r="D24" s="49" t="n">
        <v>-5.704</v>
      </c>
      <c r="E24" s="49" t="n"/>
      <c r="N24" s="24">
        <f>(2*($R$15+N23)/5-N23)</f>
        <v/>
      </c>
      <c r="O24" s="49">
        <f>($S$15*Params!K9)</f>
        <v/>
      </c>
      <c r="P24" s="49">
        <f>(O24*N24)</f>
        <v/>
      </c>
      <c r="S24" s="49" t="n"/>
      <c r="T24" s="49" t="n"/>
    </row>
    <row r="25">
      <c r="B25" s="24" t="n">
        <v>-0.098095</v>
      </c>
      <c r="C25" s="49">
        <f>(D25/B25)</f>
        <v/>
      </c>
      <c r="D25" s="49" t="n">
        <v>-2.16</v>
      </c>
      <c r="E25" s="49" t="n"/>
      <c r="N25" s="24">
        <f>($R$15/5)</f>
        <v/>
      </c>
      <c r="O25" s="49">
        <f>($S$15*Params!K10)</f>
        <v/>
      </c>
      <c r="P25" s="49">
        <f>(O25*N25)</f>
        <v/>
      </c>
      <c r="S25" s="49" t="n"/>
      <c r="T25" s="49" t="n"/>
    </row>
    <row r="26">
      <c r="B26" s="24">
        <f>(-0.05715)</f>
        <v/>
      </c>
      <c r="C26" s="49">
        <f>(D26/B26)</f>
        <v/>
      </c>
      <c r="D26" s="49" t="n">
        <v>-1.25988073</v>
      </c>
      <c r="E26" s="49" t="n"/>
      <c r="N26" s="24">
        <f>($R$15/5)</f>
        <v/>
      </c>
      <c r="O26" s="49">
        <f>($S$15*Params!K11)</f>
        <v/>
      </c>
      <c r="P26" s="49">
        <f>(O26*N26)</f>
        <v/>
      </c>
      <c r="S26" s="49" t="n"/>
      <c r="T26" s="49" t="n"/>
    </row>
    <row r="27">
      <c r="B27" s="24" t="n">
        <v>0.06353443</v>
      </c>
      <c r="C27" s="49">
        <f>(D27/B27)</f>
        <v/>
      </c>
      <c r="D27" s="49" t="n">
        <v>1.19</v>
      </c>
      <c r="E27" s="49" t="n"/>
      <c r="O27" s="49" t="n"/>
      <c r="P27" s="49" t="n"/>
      <c r="S27" s="49" t="n"/>
      <c r="T27" s="49" t="n"/>
    </row>
    <row r="28">
      <c r="B28" s="24">
        <f>(0.02767109+0.08304053-0.00094104)</f>
        <v/>
      </c>
      <c r="C28" s="49">
        <f>(D28/B28)</f>
        <v/>
      </c>
      <c r="D28" s="49" t="n">
        <v>2.04</v>
      </c>
      <c r="E28" s="49" t="n"/>
      <c r="O28" s="49" t="n"/>
      <c r="P28" s="49">
        <f>(SUM(P23:P26))</f>
        <v/>
      </c>
      <c r="S28" s="49" t="n"/>
      <c r="T28" s="49" t="n"/>
    </row>
    <row r="29">
      <c r="B29" s="24" t="n">
        <v>-0.102</v>
      </c>
      <c r="C29" s="49">
        <f>(D29/B29)</f>
        <v/>
      </c>
      <c r="D29" s="49">
        <f>(-2.275+0.019338)</f>
        <v/>
      </c>
      <c r="E29" s="49" t="n"/>
      <c r="S29" s="49" t="n"/>
      <c r="T29" s="49" t="n"/>
    </row>
    <row r="30">
      <c r="C30" s="49" t="n"/>
      <c r="D30" s="49" t="n"/>
      <c r="E30" s="49" t="n"/>
      <c r="S30" s="49" t="n"/>
      <c r="T30" s="49" t="n"/>
    </row>
    <row r="31">
      <c r="B31" s="24">
        <f>(SUM(B5:B30))</f>
        <v/>
      </c>
      <c r="C31" s="49" t="n"/>
      <c r="D31" s="49">
        <f>(SUM(D5:D30))</f>
        <v/>
      </c>
      <c r="E31" s="49" t="n"/>
      <c r="F31" t="inlineStr">
        <is>
          <t>Moy</t>
        </is>
      </c>
      <c r="G31" s="49">
        <f>(D31/B31)</f>
        <v/>
      </c>
      <c r="S31" s="49" t="n"/>
      <c r="T31" s="49" t="n"/>
    </row>
    <row r="32">
      <c r="S32" s="49" t="n"/>
      <c r="T32" s="49" t="n"/>
    </row>
    <row r="33">
      <c r="R33" s="24">
        <f>(SUM(R5:R32))</f>
        <v/>
      </c>
      <c r="S33" s="49" t="n"/>
      <c r="T33" s="49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0.07051077575968698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49" t="n">
        <v>0.5</v>
      </c>
      <c r="E5" s="49" t="n"/>
      <c r="G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0.11085627</v>
      </c>
      <c r="C6" s="51" t="n">
        <v>0</v>
      </c>
      <c r="D6" s="26">
        <f>(B6*C6)</f>
        <v/>
      </c>
      <c r="E6" s="49">
        <f>(B6*J3)</f>
        <v/>
      </c>
      <c r="G6" s="49" t="n"/>
      <c r="M6" t="inlineStr">
        <is>
          <t>Objectif</t>
        </is>
      </c>
      <c r="N6" s="19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E7" s="49" t="n"/>
      <c r="G7" s="49" t="n"/>
      <c r="N7" s="19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E8" s="49" t="n"/>
      <c r="G8" s="49" t="n"/>
      <c r="N8" s="19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E9" s="49" t="n"/>
      <c r="G9" s="49" t="n"/>
      <c r="N9" s="19">
        <f>($B$5/5)</f>
        <v/>
      </c>
      <c r="O9" s="35">
        <f>($C$5*Params!K11)</f>
        <v/>
      </c>
      <c r="P9" s="49">
        <f>(O9*N9)</f>
        <v/>
      </c>
    </row>
    <row r="10">
      <c r="C10" s="49" t="n"/>
      <c r="D10" s="49" t="n"/>
      <c r="E10" s="49" t="n"/>
      <c r="G10" s="49" t="n"/>
      <c r="O10" s="49" t="n"/>
      <c r="P10" s="49" t="n"/>
    </row>
    <row r="11">
      <c r="C11" s="49" t="n"/>
      <c r="D11" s="49" t="n"/>
      <c r="E11" s="49" t="n"/>
      <c r="G11" s="49" t="n"/>
      <c r="O11" s="49" t="n"/>
      <c r="P11" s="49">
        <f>(SUM(P6:P9))</f>
        <v/>
      </c>
    </row>
    <row r="12">
      <c r="C12" s="49" t="n"/>
      <c r="D12" s="49" t="n"/>
      <c r="E12" s="49" t="n"/>
      <c r="F12" t="inlineStr">
        <is>
          <t>Moy</t>
        </is>
      </c>
      <c r="G12" s="49">
        <f>(D13/B13)</f>
        <v/>
      </c>
    </row>
    <row r="13">
      <c r="B13">
        <f>(SUM(B5:B12))</f>
        <v/>
      </c>
      <c r="C13" s="49" t="n"/>
      <c r="D13" s="49">
        <f>(SUM(D5:D12))</f>
        <v/>
      </c>
      <c r="E13" s="49" t="n"/>
      <c r="G13" s="49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3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(C223)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49" t="n"/>
      <c r="D3" s="49" t="n"/>
      <c r="E3" s="49" t="n"/>
      <c r="G3" s="49" t="n"/>
      <c r="H3" s="49" t="n"/>
      <c r="I3" t="inlineStr">
        <is>
          <t>Actual Price :</t>
        </is>
      </c>
      <c r="J3" s="49" t="n">
        <v>5.120710038045033</v>
      </c>
      <c r="O3" s="49" t="n"/>
      <c r="P3" s="4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49" t="n"/>
      <c r="G4" s="49" t="n"/>
      <c r="H4" s="49" t="n"/>
      <c r="I4" t="inlineStr">
        <is>
          <t>Total :</t>
        </is>
      </c>
      <c r="J4" s="49">
        <f>(B10*J3)</f>
        <v/>
      </c>
      <c r="K4" s="4">
        <f>(J4/D10-1)</f>
        <v/>
      </c>
      <c r="O4" s="49" t="n"/>
      <c r="P4" s="49" t="n"/>
    </row>
    <row r="5">
      <c r="B5" s="1" t="n">
        <v>1.12886</v>
      </c>
      <c r="C5" s="49">
        <f>(D5/B5)</f>
        <v/>
      </c>
      <c r="D5" s="49" t="n">
        <v>6.66</v>
      </c>
      <c r="E5" t="inlineStr">
        <is>
          <t>DCA4</t>
        </is>
      </c>
      <c r="G5" s="49" t="n"/>
      <c r="H5" s="49" t="n"/>
      <c r="J5" s="49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1" t="n">
        <v>0</v>
      </c>
      <c r="D6" s="51">
        <f>(B6*C6)</f>
        <v/>
      </c>
      <c r="E6" s="49">
        <f>(B6*J3)</f>
        <v/>
      </c>
      <c r="G6" s="49" t="n"/>
      <c r="H6" s="49" t="n"/>
      <c r="J6" s="49" t="n"/>
      <c r="M6" t="inlineStr">
        <is>
          <t>Objectif</t>
        </is>
      </c>
      <c r="N6" s="1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E7" s="49" t="n"/>
      <c r="G7" s="49" t="n"/>
      <c r="H7" s="49" t="n"/>
      <c r="J7" s="49" t="n"/>
      <c r="N7" s="1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E8" s="49" t="n"/>
      <c r="G8" s="49" t="n"/>
      <c r="H8" s="49" t="n"/>
      <c r="J8" s="49" t="n"/>
      <c r="N8" s="1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E9" s="49" t="n"/>
      <c r="F9" t="inlineStr">
        <is>
          <t>Moy</t>
        </is>
      </c>
      <c r="G9" s="49">
        <f>(D10/B10)</f>
        <v/>
      </c>
      <c r="H9" s="49" t="n"/>
      <c r="J9" s="49" t="n"/>
      <c r="N9" s="1">
        <f>($B$5/5)</f>
        <v/>
      </c>
      <c r="O9" s="35">
        <f>($C$5*Params!K11)</f>
        <v/>
      </c>
      <c r="P9" s="49">
        <f>(O9*N9)</f>
        <v/>
      </c>
    </row>
    <row r="10">
      <c r="B10" s="1">
        <f>(SUM(B5:B9))</f>
        <v/>
      </c>
      <c r="C10" s="49" t="n"/>
      <c r="D10" s="49">
        <f>(SUM(D5:D9))</f>
        <v/>
      </c>
      <c r="E10" s="49" t="n"/>
      <c r="G10" s="49" t="n"/>
      <c r="H10" s="49" t="n"/>
      <c r="J10" s="49" t="n"/>
      <c r="O10" s="49" t="n"/>
      <c r="P10" s="49" t="n"/>
    </row>
    <row r="11">
      <c r="O11" s="49" t="n"/>
      <c r="P11" s="49">
        <f>(SUM(P6:P9))</f>
        <v/>
      </c>
    </row>
    <row r="12">
      <c r="O12" s="49" t="n"/>
      <c r="P12" s="49" t="n"/>
    </row>
    <row r="13">
      <c r="O13" s="49" t="n"/>
      <c r="P13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0.4253125360699393</v>
      </c>
      <c r="M3" t="inlineStr">
        <is>
          <t>Objectif :</t>
        </is>
      </c>
      <c r="N3" s="19">
        <f>(INDEX(N5:N13,MATCH(MAX(O6),O5:O13,0))/0.9)</f>
        <v/>
      </c>
      <c r="O3" s="50">
        <f>(MAX(O6)*0.85)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52.11282</v>
      </c>
      <c r="C5" s="49">
        <f>(D5/B5)</f>
        <v/>
      </c>
      <c r="D5" s="49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49">
        <f>(T5/R5)</f>
        <v/>
      </c>
      <c r="T5" s="49">
        <f>(SUM(D5:D7))</f>
        <v/>
      </c>
    </row>
    <row r="6">
      <c r="B6" t="n">
        <v>0.3489776</v>
      </c>
      <c r="C6" s="49" t="n">
        <v>0</v>
      </c>
      <c r="D6" s="49">
        <f>(B6*C6)</f>
        <v/>
      </c>
      <c r="E6">
        <f>(B6*J3)</f>
        <v/>
      </c>
      <c r="M6" t="inlineStr">
        <is>
          <t>Objectif</t>
        </is>
      </c>
      <c r="N6">
        <f>(-B8)</f>
        <v/>
      </c>
      <c r="O6" s="49">
        <f>(P6/N6)</f>
        <v/>
      </c>
      <c r="P6" s="49">
        <f>(-D8)</f>
        <v/>
      </c>
      <c r="Q6" t="inlineStr">
        <is>
          <t>Done</t>
        </is>
      </c>
      <c r="R6">
        <f>(B8)</f>
        <v/>
      </c>
      <c r="S6" s="49">
        <f>(C8)</f>
        <v/>
      </c>
      <c r="T6" s="49">
        <f>(D8)</f>
        <v/>
      </c>
    </row>
    <row r="7">
      <c r="B7" t="n">
        <v>1.46219147</v>
      </c>
      <c r="C7" s="49">
        <f>(D7/B7)</f>
        <v/>
      </c>
      <c r="D7" s="49" t="n">
        <v>0.5</v>
      </c>
      <c r="N7" s="19">
        <f>(2*SUM(B$5:B$7)/5-N6)</f>
        <v/>
      </c>
      <c r="O7" s="49">
        <f>($C$5*Params!K9)</f>
        <v/>
      </c>
      <c r="P7" s="49">
        <f>(O7*N7)</f>
        <v/>
      </c>
    </row>
    <row r="8">
      <c r="B8" t="n">
        <v>-10.76</v>
      </c>
      <c r="C8" s="49">
        <f>(D8/B8)</f>
        <v/>
      </c>
      <c r="D8" s="49" t="n">
        <v>-5.05269736</v>
      </c>
      <c r="N8" s="19">
        <f>(SUM(B$5:B$7)/5)</f>
        <v/>
      </c>
      <c r="O8" s="49">
        <f>($C$5*Params!K10)</f>
        <v/>
      </c>
      <c r="P8" s="49">
        <f>(O8*N8)</f>
        <v/>
      </c>
    </row>
    <row r="9">
      <c r="N9" s="19">
        <f>(SUM(B$5:B$7)/5)</f>
        <v/>
      </c>
      <c r="O9" s="49">
        <f>($C$5*Params!K11)</f>
        <v/>
      </c>
      <c r="P9" s="49">
        <f>(O9*N9)</f>
        <v/>
      </c>
    </row>
    <row r="10"/>
    <row r="11">
      <c r="P11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  <row r="14"/>
    <row r="15"/>
    <row r="16"/>
    <row r="17">
      <c r="R17">
        <f>(SUM(R5:R16))</f>
        <v/>
      </c>
      <c r="T17" s="49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0.1222324073300265</v>
      </c>
      <c r="M3" t="inlineStr">
        <is>
          <t>Objectif :</t>
        </is>
      </c>
      <c r="N3" s="29">
        <f>(INDEX(N5:N25,MATCH(MAX(O6:O7),O5:O25,0))/0.9)</f>
        <v/>
      </c>
      <c r="O3" s="50">
        <f>(MAX(O6:O8)*0.85)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19" t="n">
        <v>63.429</v>
      </c>
      <c r="C5" s="49">
        <f>(D5/B5)</f>
        <v/>
      </c>
      <c r="D5" s="49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49">
        <f>(D6/B6)</f>
        <v/>
      </c>
      <c r="D6" s="49" t="n">
        <v>-0.983378</v>
      </c>
      <c r="M6" t="inlineStr">
        <is>
          <t>Objectif</t>
        </is>
      </c>
      <c r="N6" s="29">
        <f>(-B6)</f>
        <v/>
      </c>
      <c r="O6" s="49">
        <f>(C6)</f>
        <v/>
      </c>
      <c r="P6" s="49">
        <f>(O6*N6)</f>
        <v/>
      </c>
      <c r="Q6" t="inlineStr">
        <is>
          <t>Done</t>
        </is>
      </c>
    </row>
    <row r="7">
      <c r="B7" s="19" t="n">
        <v>-12.70325203</v>
      </c>
      <c r="C7" s="49">
        <f>(D7/B7)</f>
        <v/>
      </c>
      <c r="D7" s="49" t="n">
        <v>-1.217268</v>
      </c>
      <c r="N7" s="29">
        <f>(-B7)</f>
        <v/>
      </c>
      <c r="O7" s="49">
        <f>(C7)</f>
        <v/>
      </c>
      <c r="P7" s="49">
        <f>(O7*N7)</f>
        <v/>
      </c>
      <c r="Q7" t="inlineStr">
        <is>
          <t>Done</t>
        </is>
      </c>
    </row>
    <row r="8">
      <c r="B8" s="19" t="n">
        <v>-12.62063846</v>
      </c>
      <c r="C8" s="49">
        <f>(D8/B8)</f>
        <v/>
      </c>
      <c r="D8" s="49" t="n">
        <v>-1.656203</v>
      </c>
      <c r="N8" s="29">
        <f>(-B8)</f>
        <v/>
      </c>
      <c r="O8" s="49">
        <f>(C8)</f>
        <v/>
      </c>
      <c r="P8" s="49">
        <f>(O8*N8)</f>
        <v/>
      </c>
      <c r="Q8" t="inlineStr">
        <is>
          <t>Done</t>
        </is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 s="29">
        <f>($B$5/5)</f>
        <v/>
      </c>
      <c r="O9" s="49">
        <f>($C$5*Params!K11)</f>
        <v/>
      </c>
      <c r="P9" s="49">
        <f>(O9*N9)</f>
        <v/>
      </c>
    </row>
    <row r="10">
      <c r="B10" s="19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tabSelected="1"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0.9858667846345652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29" t="n">
        <v>2.924319</v>
      </c>
      <c r="C5" s="49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49" t="n"/>
      <c r="D6" s="49" t="n"/>
      <c r="M6" t="inlineStr">
        <is>
          <t>Objectif</t>
        </is>
      </c>
      <c r="N6" s="24">
        <f>($B$5/5)</f>
        <v/>
      </c>
      <c r="O6" s="49">
        <f>($C$5*Params!K8)</f>
        <v/>
      </c>
      <c r="P6" s="49">
        <f>(O6*N6)</f>
        <v/>
      </c>
    </row>
    <row r="7">
      <c r="B7" s="24" t="n"/>
      <c r="C7" s="49" t="n"/>
      <c r="D7" s="49" t="n"/>
      <c r="N7" s="24">
        <f>($B$5/5)</f>
        <v/>
      </c>
      <c r="O7" s="49">
        <f>($C$5*Params!K9)</f>
        <v/>
      </c>
      <c r="P7" s="49">
        <f>(O7*N7)</f>
        <v/>
      </c>
    </row>
    <row r="8">
      <c r="B8" s="24" t="n"/>
      <c r="C8" s="49" t="n"/>
      <c r="D8" s="49" t="n"/>
      <c r="N8" s="24">
        <f>($B$5/5)</f>
        <v/>
      </c>
      <c r="O8" s="49">
        <f>($C$5*Params!K10)</f>
        <v/>
      </c>
      <c r="P8" s="49">
        <f>(O8*N8)</f>
        <v/>
      </c>
    </row>
    <row r="9">
      <c r="B9" s="24" t="n"/>
      <c r="C9" s="49" t="n"/>
      <c r="D9" s="49" t="n"/>
      <c r="F9" t="inlineStr">
        <is>
          <t>Moy</t>
        </is>
      </c>
      <c r="G9" s="49">
        <f>(D10/B10)</f>
        <v/>
      </c>
      <c r="H9" s="49" t="n"/>
      <c r="N9" s="24">
        <f>($B$5/5)</f>
        <v/>
      </c>
      <c r="O9" s="49">
        <f>($C$5*Params!K11)</f>
        <v/>
      </c>
      <c r="P9" s="49">
        <f>(O9*N9)</f>
        <v/>
      </c>
    </row>
    <row r="10">
      <c r="B10" s="29">
        <f>(SUM(B5:B9))</f>
        <v/>
      </c>
      <c r="C10" s="49" t="n"/>
      <c r="D10" s="49">
        <f>(SUM(D5:D9))</f>
        <v/>
      </c>
      <c r="O10" s="49" t="n"/>
      <c r="P10" s="49" t="n"/>
    </row>
    <row r="11">
      <c r="C11" s="49" t="n"/>
      <c r="D11" s="49" t="n"/>
      <c r="O11" s="49" t="n"/>
      <c r="P11" s="49">
        <f>(SUM(P6:P9))</f>
        <v/>
      </c>
    </row>
    <row r="12">
      <c r="O12" s="49" t="n"/>
      <c r="P12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0.003805623156333846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49" t="n"/>
      <c r="D6" s="49" t="n"/>
      <c r="M6" t="inlineStr">
        <is>
          <t>Objectif</t>
        </is>
      </c>
      <c r="N6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N7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N8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>
        <f>($B$5/5)</f>
        <v/>
      </c>
      <c r="O9" s="35">
        <f>($C$5*Params!K11)</f>
        <v/>
      </c>
      <c r="P9" s="49">
        <f>(O9*N9)</f>
        <v/>
      </c>
    </row>
    <row r="10">
      <c r="B10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49" t="n">
        <v>0.1650153671381378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(B9*J3)</f>
        <v/>
      </c>
      <c r="K4" s="4">
        <f>(J4/D9-1)</f>
        <v/>
      </c>
    </row>
    <row r="5">
      <c r="B5" s="19" t="n">
        <v>1.547</v>
      </c>
      <c r="C5" s="49" t="n">
        <v>10</v>
      </c>
      <c r="D5" s="4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49" t="n">
        <v>3.941</v>
      </c>
      <c r="D6" s="49">
        <f>(B6*C6)</f>
        <v/>
      </c>
      <c r="M6" t="inlineStr">
        <is>
          <t>Objectif :</t>
        </is>
      </c>
      <c r="N6" s="49">
        <f>(MIN(C5:C8)*2)</f>
        <v/>
      </c>
      <c r="O6">
        <f>(INDEX(B5:B8,MATCH(N6/2,C5:C8,0)))</f>
        <v/>
      </c>
      <c r="P6" s="49">
        <f>(N6*O6/2)</f>
        <v/>
      </c>
    </row>
    <row r="7">
      <c r="B7" s="19" t="n">
        <v>2</v>
      </c>
      <c r="C7" s="49" t="n">
        <v>1.7</v>
      </c>
      <c r="D7" s="49">
        <f>(B7*C7)</f>
        <v/>
      </c>
    </row>
    <row r="8">
      <c r="F8" t="inlineStr">
        <is>
          <t>Moy</t>
        </is>
      </c>
      <c r="G8" s="49">
        <f>(SUM(D5:D8)/SUM(B5:B8))</f>
        <v/>
      </c>
    </row>
    <row r="9">
      <c r="B9" s="19">
        <f>(SUM(B5:B8))</f>
        <v/>
      </c>
      <c r="D9" s="49">
        <f>(SUM(D5:D8))</f>
        <v/>
      </c>
    </row>
    <row r="10">
      <c r="D10" s="49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49">
        <f>($C$5*Params!K8)</f>
        <v/>
      </c>
      <c r="P11" s="49">
        <f>(O11*N11)</f>
        <v/>
      </c>
    </row>
    <row r="12">
      <c r="N12">
        <f>($B$5/5)</f>
        <v/>
      </c>
      <c r="O12" s="49">
        <f>($C$5*Params!K9)</f>
        <v/>
      </c>
      <c r="P12" s="49">
        <f>(O12*N12)</f>
        <v/>
      </c>
    </row>
    <row r="13">
      <c r="N13">
        <f>($B$5/5)</f>
        <v/>
      </c>
      <c r="O13" s="49">
        <f>($C$5*Params!K10)</f>
        <v/>
      </c>
      <c r="P13" s="49">
        <f>(O13*N13)</f>
        <v/>
      </c>
    </row>
    <row r="14">
      <c r="N14">
        <f>($B$5/5)</f>
        <v/>
      </c>
      <c r="O14" s="49">
        <f>($C$5*Params!K11)</f>
        <v/>
      </c>
      <c r="P14" s="49">
        <f>(O14*N14)</f>
        <v/>
      </c>
    </row>
    <row r="15"/>
    <row r="16"/>
    <row r="17">
      <c r="P17" s="49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49">
        <f>($C$6*Params!K8)</f>
        <v/>
      </c>
      <c r="P20" s="49">
        <f>(O20*N20)</f>
        <v/>
      </c>
    </row>
    <row r="21">
      <c r="N21">
        <f>($B$6/5)</f>
        <v/>
      </c>
      <c r="O21" s="49">
        <f>($C$6*Params!K9)</f>
        <v/>
      </c>
      <c r="P21" s="49">
        <f>(O21*N21)</f>
        <v/>
      </c>
    </row>
    <row r="22">
      <c r="N22">
        <f>($B$6/5)</f>
        <v/>
      </c>
      <c r="O22" s="49">
        <f>($C$6*Params!K10)</f>
        <v/>
      </c>
      <c r="P22" s="49">
        <f>(O22*N22)</f>
        <v/>
      </c>
    </row>
    <row r="23">
      <c r="N23">
        <f>($B$6/5)</f>
        <v/>
      </c>
      <c r="O23" s="49">
        <f>($C$6*Params!K11)</f>
        <v/>
      </c>
      <c r="P23" s="49">
        <f>(O23*N23)</f>
        <v/>
      </c>
    </row>
    <row r="24"/>
    <row r="25"/>
    <row r="26">
      <c r="P26" s="49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49">
        <f>($C$7*Params!K8)</f>
        <v/>
      </c>
      <c r="P29" s="49">
        <f>(O29*N29)</f>
        <v/>
      </c>
    </row>
    <row r="30">
      <c r="N30">
        <f>($B$7/5)</f>
        <v/>
      </c>
      <c r="O30" s="49">
        <f>($C$7*Params!K9)</f>
        <v/>
      </c>
      <c r="P30" s="49">
        <f>(O30*N30)</f>
        <v/>
      </c>
    </row>
    <row r="31">
      <c r="N31">
        <f>($B$7/5)</f>
        <v/>
      </c>
      <c r="O31" s="49">
        <f>($C$7*Params!K10)</f>
        <v/>
      </c>
      <c r="P31" s="49">
        <f>(O31*N31)</f>
        <v/>
      </c>
    </row>
    <row r="32">
      <c r="N32">
        <f>($B$7/5)</f>
        <v/>
      </c>
      <c r="O32" s="49">
        <f>($C$7*Params!K11)</f>
        <v/>
      </c>
      <c r="P32" s="49">
        <f>(O32*N32)</f>
        <v/>
      </c>
    </row>
    <row r="33"/>
    <row r="34"/>
    <row r="35">
      <c r="P35" s="49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515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0.00220400734698204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1" t="n">
        <v>135</v>
      </c>
      <c r="D5" s="49" t="n">
        <v>3.5</v>
      </c>
      <c r="E5" s="50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0.895</v>
      </c>
    </row>
    <row r="6">
      <c r="B6" s="8" t="inlineStr">
        <is>
          <t>Pearce X4</t>
        </is>
      </c>
      <c r="C6" s="51" t="n">
        <v>18</v>
      </c>
      <c r="D6" s="49" t="n">
        <v>3.5</v>
      </c>
      <c r="E6" s="50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49" t="n">
        <v>18</v>
      </c>
      <c r="D7" s="49" t="n">
        <v>3.5</v>
      </c>
      <c r="E7" s="50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49" t="n">
        <v>55</v>
      </c>
      <c r="D8" s="49" t="n">
        <v>3.5</v>
      </c>
      <c r="E8" s="50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49" t="n">
        <v>-134.99</v>
      </c>
      <c r="D9" s="49" t="n">
        <v>0.01</v>
      </c>
      <c r="E9" s="50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49" t="n">
        <v>125</v>
      </c>
      <c r="D10" s="49">
        <f>0.002*151</f>
        <v/>
      </c>
      <c r="E10" s="50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49" t="n">
        <v>-144.96</v>
      </c>
      <c r="D11" s="49" t="n">
        <v>0.01</v>
      </c>
      <c r="E11" s="50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49" t="n">
        <v>130</v>
      </c>
      <c r="D12" s="49">
        <f>0.002*151</f>
        <v/>
      </c>
      <c r="E12" s="50">
        <f>C12+D12</f>
        <v/>
      </c>
      <c r="F12" s="9" t="inlineStr">
        <is>
          <t>Buy</t>
        </is>
      </c>
      <c r="I12" t="inlineStr">
        <is>
          <t>Total Investiment</t>
        </is>
      </c>
      <c r="J12" s="49">
        <f>(SUM(D5:E8))</f>
        <v/>
      </c>
    </row>
    <row r="13">
      <c r="B13" s="8" t="inlineStr">
        <is>
          <t>Power Plant</t>
        </is>
      </c>
      <c r="C13" s="49" t="n">
        <v>-144.95</v>
      </c>
      <c r="D13" s="49" t="n">
        <v>0.01</v>
      </c>
      <c r="E13" s="50">
        <f>C13+D13</f>
        <v/>
      </c>
      <c r="F13" s="9" t="inlineStr">
        <is>
          <t>Sell</t>
        </is>
      </c>
      <c r="I13" t="inlineStr">
        <is>
          <t>Total Stack gain</t>
        </is>
      </c>
      <c r="J13" s="49">
        <f>(SUM(K34:K42)-C74*J3+D74)</f>
        <v/>
      </c>
    </row>
    <row r="14">
      <c r="B14" s="8" t="inlineStr">
        <is>
          <t>Power Plant</t>
        </is>
      </c>
      <c r="C14" s="49" t="n">
        <v>130</v>
      </c>
      <c r="D14" s="49">
        <f>0.01</f>
        <v/>
      </c>
      <c r="E14" s="50">
        <f>C14+D14</f>
        <v/>
      </c>
      <c r="F14" s="9" t="inlineStr">
        <is>
          <t>Buy</t>
        </is>
      </c>
      <c r="I14" t="inlineStr">
        <is>
          <t>Trade gain</t>
        </is>
      </c>
      <c r="J14" s="49">
        <f>(-SUM(E9:E30))</f>
        <v/>
      </c>
      <c r="K14" s="50">
        <f>(J14-M37-M38-M39-M41-L42)</f>
        <v/>
      </c>
    </row>
    <row r="15">
      <c r="B15" s="8" t="inlineStr">
        <is>
          <t>Power Plant</t>
        </is>
      </c>
      <c r="C15" s="49" t="n">
        <v>-144.98</v>
      </c>
      <c r="D15" s="49" t="n">
        <v>0.01</v>
      </c>
      <c r="E15" s="50">
        <f>C15+D15</f>
        <v/>
      </c>
      <c r="F15" s="9" t="inlineStr">
        <is>
          <t>Sell</t>
        </is>
      </c>
      <c r="I15" t="inlineStr">
        <is>
          <t>Total</t>
        </is>
      </c>
      <c r="J15" s="49">
        <f>(J13-J12+J14)</f>
        <v/>
      </c>
    </row>
    <row r="16">
      <c r="B16" s="8" t="inlineStr">
        <is>
          <t>Power Plant</t>
        </is>
      </c>
      <c r="C16" s="49" t="n">
        <v>130</v>
      </c>
      <c r="D16" s="49">
        <f>0.01</f>
        <v/>
      </c>
      <c r="E16" s="50">
        <f>C16+D16</f>
        <v/>
      </c>
      <c r="F16" s="9" t="inlineStr">
        <is>
          <t>Buy</t>
        </is>
      </c>
      <c r="I16" t="inlineStr">
        <is>
          <t>Total with NFT</t>
        </is>
      </c>
      <c r="J16" s="49">
        <f>(J15+M46)</f>
        <v/>
      </c>
    </row>
    <row r="17">
      <c r="B17" s="8" t="inlineStr">
        <is>
          <t>Opal Jet</t>
        </is>
      </c>
      <c r="C17" s="49" t="n">
        <v>19.73</v>
      </c>
      <c r="D17" s="49" t="n">
        <v>0.28</v>
      </c>
      <c r="E17" s="50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49" t="n">
        <v>38</v>
      </c>
      <c r="D18" s="49" t="n">
        <v>0.01</v>
      </c>
      <c r="E18" s="50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49" t="n">
        <v>11.25</v>
      </c>
      <c r="D19" s="49" t="n">
        <v>0.01</v>
      </c>
      <c r="E19" s="50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1" t="n">
        <v>8.02</v>
      </c>
      <c r="D20" s="49" t="n">
        <v>0.01</v>
      </c>
      <c r="E20" s="50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49" t="n">
        <v>6.01</v>
      </c>
      <c r="D21" s="49" t="n">
        <v>0</v>
      </c>
      <c r="E21" s="50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49" t="n">
        <v>-30.99</v>
      </c>
      <c r="D22" s="49" t="n">
        <v>0</v>
      </c>
      <c r="E22" s="50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49" t="n">
        <v>27.01</v>
      </c>
      <c r="D23" s="49" t="n">
        <v>0</v>
      </c>
      <c r="E23" s="50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49" t="n">
        <v>-47.22</v>
      </c>
      <c r="D24" s="49" t="n">
        <v>0</v>
      </c>
      <c r="E24" s="50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49" t="n">
        <v>35.02</v>
      </c>
      <c r="D25" s="49" t="n">
        <v>0</v>
      </c>
      <c r="E25" s="50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49" t="n">
        <v>-59.99</v>
      </c>
      <c r="D26" s="49" t="n">
        <v>0</v>
      </c>
      <c r="E26" s="50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1" t="n">
        <v>30.05</v>
      </c>
      <c r="D27" s="49" t="n">
        <v>0</v>
      </c>
      <c r="E27" s="50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1" t="n">
        <v>36.01</v>
      </c>
      <c r="D28" s="49" t="n">
        <v>0</v>
      </c>
      <c r="E28" s="50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49" t="n">
        <v>-8.050000000000001</v>
      </c>
      <c r="D29" s="49" t="n">
        <v>0</v>
      </c>
      <c r="E29" s="50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11" t="n">
        <v>4</v>
      </c>
      <c r="D30" s="52" t="n">
        <v>0.01</v>
      </c>
      <c r="E30" s="52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49" t="n">
        <v>3.5</v>
      </c>
      <c r="H34" s="30">
        <f>G50</f>
        <v/>
      </c>
      <c r="I34" s="50">
        <f>((F34-H34*D34)*$J$3-G34)</f>
        <v/>
      </c>
      <c r="J34" t="n">
        <v>1</v>
      </c>
      <c r="K34" s="53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49" t="n">
        <v>3.5</v>
      </c>
      <c r="H35" s="30">
        <f>G51</f>
        <v/>
      </c>
      <c r="I35" s="50">
        <f>((F35-H35*D35)*$J$3-G35)</f>
        <v/>
      </c>
      <c r="J35" t="n">
        <v>1</v>
      </c>
      <c r="K35" s="53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49" t="n">
        <v>3.5</v>
      </c>
      <c r="H36" s="30">
        <f>G52</f>
        <v/>
      </c>
      <c r="I36" s="50">
        <f>((F36-H36*D36)*$J$3-G36)</f>
        <v/>
      </c>
      <c r="J36" t="n">
        <v>1</v>
      </c>
      <c r="K36" s="53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49" t="n">
        <v>0</v>
      </c>
      <c r="H37" s="30">
        <f>G52</f>
        <v/>
      </c>
      <c r="I37" s="50">
        <f>((F37-H37*D37)*$J$3-G37)</f>
        <v/>
      </c>
      <c r="J37" t="n">
        <v>3</v>
      </c>
      <c r="K37" s="53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49" t="n">
        <v>0</v>
      </c>
      <c r="H38" s="30">
        <f>H37</f>
        <v/>
      </c>
      <c r="I38" s="50">
        <f>((F38-H38*D38)*$J$3-G38)</f>
        <v/>
      </c>
      <c r="J38" t="n">
        <v>1</v>
      </c>
      <c r="K38" s="53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49" t="n">
        <v>0</v>
      </c>
      <c r="H39" s="30">
        <f>H38</f>
        <v/>
      </c>
      <c r="I39" s="50">
        <f>((F39-H39*D39)*$J$3-G39)</f>
        <v/>
      </c>
      <c r="J39" t="n">
        <v>1</v>
      </c>
      <c r="K39" s="53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4" t="n">
        <v>0</v>
      </c>
      <c r="H40" s="32">
        <f>H35</f>
        <v/>
      </c>
      <c r="I40" s="54">
        <f>((F40-H40*D40)*$J$3-G40)</f>
        <v/>
      </c>
      <c r="J40" s="16" t="n">
        <v>1</v>
      </c>
      <c r="K40" s="55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49" t="n">
        <v>0</v>
      </c>
      <c r="H41" s="29">
        <f>(H37)</f>
        <v/>
      </c>
      <c r="I41" s="50">
        <f>((F41-H41*D41)*$J$3-G41)</f>
        <v/>
      </c>
      <c r="J41" t="n">
        <v>1</v>
      </c>
      <c r="K41" s="53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3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56" t="n">
        <v>1.14</v>
      </c>
      <c r="E59">
        <f>D59/C59</f>
        <v/>
      </c>
    </row>
    <row r="60">
      <c r="B60" s="8" t="n"/>
      <c r="C60" s="19" t="n">
        <v>130.53974622</v>
      </c>
      <c r="D60" s="56" t="n">
        <v>1.179312</v>
      </c>
      <c r="E60">
        <f>D60/C60</f>
        <v/>
      </c>
    </row>
    <row r="61">
      <c r="B61" s="8" t="n"/>
      <c r="C61" s="19" t="n">
        <v>167.40487412</v>
      </c>
      <c r="D61" s="56" t="n">
        <v>1.05481</v>
      </c>
      <c r="E61">
        <f>D61/C61</f>
        <v/>
      </c>
    </row>
    <row r="62">
      <c r="B62" s="8" t="n"/>
      <c r="C62" s="19" t="n">
        <v>167.96828</v>
      </c>
      <c r="D62" s="56">
        <f>1.0512-0.00017</f>
        <v/>
      </c>
      <c r="E62">
        <f>D62/C62</f>
        <v/>
      </c>
    </row>
    <row r="63">
      <c r="B63" s="8" t="n"/>
      <c r="C63" s="19" t="n">
        <v>123.66</v>
      </c>
      <c r="D63" s="56" t="n">
        <v>1.049</v>
      </c>
      <c r="E63">
        <f>D63/C63</f>
        <v/>
      </c>
    </row>
    <row r="64">
      <c r="B64" s="8" t="n"/>
      <c r="C64" s="19" t="n">
        <v>149.5</v>
      </c>
      <c r="D64" s="56" t="n">
        <v>1.17</v>
      </c>
      <c r="E64">
        <f>D64/C64</f>
        <v/>
      </c>
    </row>
    <row r="65">
      <c r="B65" s="8" t="n"/>
      <c r="C65" s="19" t="n">
        <v>170.62</v>
      </c>
      <c r="D65" s="56" t="n">
        <v>1.158</v>
      </c>
      <c r="E65">
        <f>D65/C65</f>
        <v/>
      </c>
    </row>
    <row r="66">
      <c r="B66" s="8" t="n"/>
      <c r="C66" s="19" t="n">
        <v>192.66</v>
      </c>
      <c r="D66" s="56" t="n">
        <v>1.09</v>
      </c>
      <c r="E66">
        <f>D66/C66</f>
        <v/>
      </c>
    </row>
    <row r="67">
      <c r="B67" s="8" t="n"/>
      <c r="C67" s="19" t="n">
        <v>257.34</v>
      </c>
      <c r="D67" s="56" t="n">
        <v>1.13</v>
      </c>
      <c r="E67">
        <f>(D67/C67)</f>
        <v/>
      </c>
    </row>
    <row r="68">
      <c r="B68" s="8" t="n"/>
      <c r="C68" s="19" t="n">
        <v>312.13</v>
      </c>
      <c r="D68" s="56" t="n">
        <v>0.82</v>
      </c>
      <c r="E68">
        <f>(D68/C68)</f>
        <v/>
      </c>
    </row>
    <row r="69">
      <c r="B69" s="8" t="n"/>
      <c r="C69" s="19" t="n">
        <v>352.461</v>
      </c>
      <c r="D69" s="56" t="n">
        <v>1.2074</v>
      </c>
      <c r="E69">
        <f>(D69/C69)</f>
        <v/>
      </c>
    </row>
    <row r="70">
      <c r="B70" s="8" t="n"/>
      <c r="C70" s="19" t="n">
        <v>263.04</v>
      </c>
      <c r="D70" s="56" t="n">
        <v>1.0588</v>
      </c>
      <c r="E70">
        <f>(D70/C70)</f>
        <v/>
      </c>
    </row>
    <row r="71">
      <c r="B71" s="8" t="n"/>
      <c r="C71" s="19" t="n">
        <v>359.00496</v>
      </c>
      <c r="D71" s="56" t="n">
        <v>1.1195</v>
      </c>
      <c r="E71">
        <f>(D71/C71)</f>
        <v/>
      </c>
    </row>
    <row r="72">
      <c r="B72" s="8" t="n"/>
      <c r="C72" s="19" t="n">
        <v>327.91</v>
      </c>
      <c r="D72" s="56" t="n">
        <v>1.0785</v>
      </c>
      <c r="E72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49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49">
        <f>(-60/3)</f>
        <v/>
      </c>
      <c r="D4" s="49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0.3679972987887936</v>
      </c>
      <c r="M3" t="inlineStr">
        <is>
          <t>Objectif :</t>
        </is>
      </c>
      <c r="N3">
        <f>(INDEX((N6:N65),MATCH(O3/0.85,O6:O67,0))/0.9)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49">
        <f>(D5/B5)</f>
        <v/>
      </c>
      <c r="D5" s="4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49">
        <f>(T5/R5)</f>
        <v/>
      </c>
      <c r="T5" s="49">
        <f>(D5-P6)</f>
        <v/>
      </c>
    </row>
    <row r="6">
      <c r="B6" s="2" t="n">
        <v>0.27311658</v>
      </c>
      <c r="C6" s="51" t="n">
        <v>0</v>
      </c>
      <c r="D6" s="51">
        <f>(B6*C6)</f>
        <v/>
      </c>
      <c r="E6" s="49">
        <f>(B6*J3)</f>
        <v/>
      </c>
      <c r="M6" t="inlineStr">
        <is>
          <t>Objectif</t>
        </is>
      </c>
      <c r="N6" s="1">
        <f>($B$5/5)</f>
        <v/>
      </c>
      <c r="O6" s="49">
        <f>(C8)</f>
        <v/>
      </c>
      <c r="P6" s="49">
        <f>(O6*N6)</f>
        <v/>
      </c>
      <c r="Q6" t="inlineStr">
        <is>
          <t>Done</t>
        </is>
      </c>
      <c r="R6" s="25">
        <f>(B6)</f>
        <v/>
      </c>
      <c r="S6" s="51" t="n">
        <v>0</v>
      </c>
      <c r="T6" s="51">
        <f>(D6)</f>
        <v/>
      </c>
      <c r="U6" s="49">
        <f>(R6*J3)</f>
        <v/>
      </c>
    </row>
    <row r="7">
      <c r="B7" s="1" t="n">
        <v>75.27941</v>
      </c>
      <c r="C7" s="49">
        <f>(D7/B7)</f>
        <v/>
      </c>
      <c r="D7" s="49" t="n">
        <v>26.5</v>
      </c>
      <c r="E7" t="inlineStr">
        <is>
          <t>DCA2</t>
        </is>
      </c>
      <c r="N7" s="1">
        <f>($B$5/5)</f>
        <v/>
      </c>
      <c r="O7" s="49">
        <f>($C$5*Params!K9)</f>
        <v/>
      </c>
      <c r="P7" s="49">
        <f>(O7*N7)</f>
        <v/>
      </c>
      <c r="R7" s="29">
        <f>(B7-N14)</f>
        <v/>
      </c>
      <c r="S7" s="49">
        <f>(T7/R7)</f>
        <v/>
      </c>
      <c r="T7" s="49">
        <f>(D7+0.274811*-N14)</f>
        <v/>
      </c>
      <c r="U7" t="inlineStr">
        <is>
          <t>DCA2</t>
        </is>
      </c>
    </row>
    <row r="8">
      <c r="B8" s="1" t="n">
        <v>-3.1157</v>
      </c>
      <c r="C8" s="49">
        <f>(D8/B8)</f>
        <v/>
      </c>
      <c r="D8" s="49" t="n">
        <v>-1.00996341</v>
      </c>
      <c r="N8" s="1">
        <f>($B$5/5)</f>
        <v/>
      </c>
      <c r="O8" s="49">
        <f>($C$5*Params!K10)</f>
        <v/>
      </c>
      <c r="P8" s="49">
        <f>(O8*N8)</f>
        <v/>
      </c>
      <c r="R8" s="29">
        <f>(N14-N14)</f>
        <v/>
      </c>
      <c r="S8" s="49" t="n">
        <v>0</v>
      </c>
      <c r="T8" s="49">
        <f>(0.274811*N14-P14)</f>
        <v/>
      </c>
    </row>
    <row r="9">
      <c r="N9" s="1">
        <f>($B$5/5)</f>
        <v/>
      </c>
      <c r="O9" s="49">
        <f>($C$5*Params!K11)</f>
        <v/>
      </c>
      <c r="P9" s="49">
        <f>(O9*N9)</f>
        <v/>
      </c>
    </row>
    <row r="10">
      <c r="N10" s="1" t="n"/>
      <c r="P10" s="49" t="n"/>
    </row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49">
        <f>(SUM(T5:T12))</f>
        <v/>
      </c>
    </row>
    <row r="14">
      <c r="M14" t="inlineStr">
        <is>
          <t>Objectif</t>
        </is>
      </c>
      <c r="N14" s="1">
        <f>(-B8-N6)</f>
        <v/>
      </c>
      <c r="O14" s="49">
        <f>(C8)</f>
        <v/>
      </c>
      <c r="P14" s="49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49">
        <f>($S$7*Params!K9)</f>
        <v/>
      </c>
      <c r="P15" s="49">
        <f>(O15*N15)</f>
        <v/>
      </c>
    </row>
    <row r="16">
      <c r="N16" s="1">
        <f>(($B$7+R6+R5)/5)</f>
        <v/>
      </c>
      <c r="O16" s="49">
        <f>($C$7*Params!K10)</f>
        <v/>
      </c>
      <c r="P16" s="49">
        <f>(O16*N16)</f>
        <v/>
      </c>
    </row>
    <row r="17">
      <c r="N17" s="1">
        <f>(($B$7+R6+R5)/5)</f>
        <v/>
      </c>
      <c r="O17" s="49">
        <f>($C$7*Params!K11)</f>
        <v/>
      </c>
      <c r="P17" s="49">
        <f>(O17*N17)</f>
        <v/>
      </c>
    </row>
    <row r="18">
      <c r="N18" s="1" t="n"/>
      <c r="P18" s="49" t="n"/>
    </row>
    <row r="19">
      <c r="P19" s="49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5" t="n">
        <v>0.1687935169155238</v>
      </c>
      <c r="O3" s="50" t="n"/>
      <c r="P3" s="4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49">
        <f>(D5/B5)</f>
        <v/>
      </c>
      <c r="D5" s="49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49">
        <f>(T5/R5)</f>
        <v/>
      </c>
      <c r="T5" s="49">
        <f>D5</f>
        <v/>
      </c>
    </row>
    <row r="6">
      <c r="B6" s="25" t="n">
        <v>0.23851601</v>
      </c>
      <c r="C6" s="51" t="n">
        <v>0</v>
      </c>
      <c r="D6" s="51">
        <f>(B6*C6)</f>
        <v/>
      </c>
      <c r="E6" s="49">
        <f>(B6*J3)</f>
        <v/>
      </c>
      <c r="M6" t="inlineStr">
        <is>
          <t>Objectif</t>
        </is>
      </c>
      <c r="N6" s="29">
        <f>($B$14/5)</f>
        <v/>
      </c>
      <c r="O6" s="49">
        <f>($C$5*Params!K8)</f>
        <v/>
      </c>
      <c r="P6" s="49">
        <f>(O6*N6)</f>
        <v/>
      </c>
      <c r="R6" s="25">
        <f>(B6)</f>
        <v/>
      </c>
      <c r="S6" s="51" t="n">
        <v>0</v>
      </c>
      <c r="T6" s="51">
        <f>(D6)</f>
        <v/>
      </c>
      <c r="U6" s="49">
        <f>(E6)</f>
        <v/>
      </c>
    </row>
    <row r="7">
      <c r="B7" s="29" t="n">
        <v>-12.028</v>
      </c>
      <c r="C7" s="49">
        <f>(D7/B7)</f>
        <v/>
      </c>
      <c r="D7" s="49" t="n">
        <v>-2.549936</v>
      </c>
      <c r="N7" s="29">
        <f>($B$14/5)</f>
        <v/>
      </c>
      <c r="O7" s="49">
        <f>($C$5*Params!K9)</f>
        <v/>
      </c>
      <c r="P7" s="49">
        <f>(O7*N7)</f>
        <v/>
      </c>
      <c r="R7" s="29">
        <f>(B8+B9)</f>
        <v/>
      </c>
      <c r="S7" s="49" t="n">
        <v>0</v>
      </c>
      <c r="T7" s="49">
        <f>(D9+D8)</f>
        <v/>
      </c>
    </row>
    <row r="8">
      <c r="B8" s="29" t="n">
        <v>-12</v>
      </c>
      <c r="C8" s="49">
        <f>(D8/B8)</f>
        <v/>
      </c>
      <c r="D8" s="49" t="n">
        <v>-3.06</v>
      </c>
      <c r="N8" s="29">
        <f>($B$14/5)</f>
        <v/>
      </c>
      <c r="O8" s="49">
        <f>($C$5*Params!K10)</f>
        <v/>
      </c>
      <c r="P8" s="49">
        <f>(O8*N8)</f>
        <v/>
      </c>
      <c r="R8" s="29">
        <f>B7+B10</f>
        <v/>
      </c>
      <c r="S8" s="49" t="n">
        <v>0</v>
      </c>
      <c r="T8" s="49">
        <f>D7+D10</f>
        <v/>
      </c>
    </row>
    <row r="9">
      <c r="B9" s="29" t="n">
        <v>13.39371616</v>
      </c>
      <c r="C9" s="49">
        <f>(D9/B9)</f>
        <v/>
      </c>
      <c r="D9" s="49" t="n">
        <v>2.8758</v>
      </c>
      <c r="N9" s="29">
        <f>($B$14/5)</f>
        <v/>
      </c>
      <c r="O9" s="49">
        <f>($C$5*Params!K11)</f>
        <v/>
      </c>
      <c r="P9" s="49">
        <f>(O9*N9)</f>
        <v/>
      </c>
    </row>
    <row r="10">
      <c r="B10" s="29" t="n">
        <v>13.23709339</v>
      </c>
      <c r="C10" s="49">
        <f>(D10/B10)</f>
        <v/>
      </c>
      <c r="D10" s="49" t="n">
        <v>2.41</v>
      </c>
    </row>
    <row r="11"/>
    <row r="12">
      <c r="P12" s="49">
        <f>(SUM(P6:P9))</f>
        <v/>
      </c>
    </row>
    <row r="13">
      <c r="F13" t="inlineStr">
        <is>
          <t>Moy</t>
        </is>
      </c>
      <c r="G13" s="49">
        <f>(D14/B14)</f>
        <v/>
      </c>
    </row>
    <row r="14">
      <c r="B14" s="29">
        <f>(SUM(B5:B13))</f>
        <v/>
      </c>
      <c r="D14" s="49">
        <f>(SUM(D5:D13))</f>
        <v/>
      </c>
    </row>
    <row r="15"/>
    <row r="16"/>
    <row r="17">
      <c r="N17" s="29" t="n"/>
      <c r="R17" s="29">
        <f>(SUM(R5:R16))</f>
        <v/>
      </c>
      <c r="T17" s="49">
        <f>(SUM(T5:T16))</f>
        <v/>
      </c>
    </row>
    <row r="18"/>
    <row r="19"/>
    <row r="20">
      <c r="K20" s="50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2023-05-16T07:22:43Z</dcterms:modified>
  <cp:lastModifiedBy>Tiko</cp:lastModifiedBy>
</cp:coreProperties>
</file>