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1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B14" i="38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D14" i="37"/>
  <c r="B14"/>
  <c r="G13"/>
  <c r="N9"/>
  <c r="N8"/>
  <c r="T7"/>
  <c r="R7"/>
  <c r="N7"/>
  <c r="C7"/>
  <c r="T6"/>
  <c r="S6"/>
  <c r="R6"/>
  <c r="P6"/>
  <c r="O6"/>
  <c r="O3" s="1"/>
  <c r="N6"/>
  <c r="E6"/>
  <c r="D6"/>
  <c r="T5"/>
  <c r="T18" s="1"/>
  <c r="R5"/>
  <c r="R18" s="1"/>
  <c r="C5"/>
  <c r="K4"/>
  <c r="J4"/>
  <c r="N3"/>
  <c r="B14" i="36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K4" s="1"/>
  <c r="B11" i="35"/>
  <c r="N8" s="1"/>
  <c r="N9"/>
  <c r="D9"/>
  <c r="C9"/>
  <c r="R8"/>
  <c r="O8"/>
  <c r="C8"/>
  <c r="T7"/>
  <c r="N7"/>
  <c r="D7"/>
  <c r="C7"/>
  <c r="B7"/>
  <c r="R7" s="1"/>
  <c r="V7" s="1"/>
  <c r="T6"/>
  <c r="S6"/>
  <c r="R6"/>
  <c r="P6"/>
  <c r="T8" s="1"/>
  <c r="O6"/>
  <c r="O3" s="1"/>
  <c r="N6"/>
  <c r="E6"/>
  <c r="D6"/>
  <c r="D11" s="1"/>
  <c r="G10" s="1"/>
  <c r="T5"/>
  <c r="T19" s="1"/>
  <c r="R5"/>
  <c r="R19" s="1"/>
  <c r="C5"/>
  <c r="O9" s="1"/>
  <c r="P9" s="1"/>
  <c r="N3"/>
  <c r="B13" i="34"/>
  <c r="J4" s="1"/>
  <c r="N9"/>
  <c r="N8"/>
  <c r="N7"/>
  <c r="N6"/>
  <c r="Q6" s="1"/>
  <c r="E6"/>
  <c r="D6"/>
  <c r="D13" s="1"/>
  <c r="G12" s="1"/>
  <c r="C5"/>
  <c r="O9" s="1"/>
  <c r="P9" s="1"/>
  <c r="D44" i="33"/>
  <c r="C44" s="1"/>
  <c r="C43"/>
  <c r="C42"/>
  <c r="C41"/>
  <c r="D40"/>
  <c r="C40"/>
  <c r="C39"/>
  <c r="O25" s="1"/>
  <c r="P25" s="1"/>
  <c r="T23" s="1"/>
  <c r="D38"/>
  <c r="C38"/>
  <c r="D37"/>
  <c r="C37"/>
  <c r="O8" s="1"/>
  <c r="C36"/>
  <c r="C35"/>
  <c r="C34"/>
  <c r="C33"/>
  <c r="B33"/>
  <c r="D32"/>
  <c r="C32" s="1"/>
  <c r="C31"/>
  <c r="C30"/>
  <c r="C29"/>
  <c r="D28"/>
  <c r="C28" s="1"/>
  <c r="C27"/>
  <c r="B27"/>
  <c r="C26"/>
  <c r="N25"/>
  <c r="R23" s="1"/>
  <c r="B25"/>
  <c r="C25" s="1"/>
  <c r="T24"/>
  <c r="S24"/>
  <c r="R24"/>
  <c r="N24"/>
  <c r="C24"/>
  <c r="N23"/>
  <c r="C23"/>
  <c r="C22"/>
  <c r="T21"/>
  <c r="R21"/>
  <c r="C21"/>
  <c r="O23" s="1"/>
  <c r="T20"/>
  <c r="S20" s="1"/>
  <c r="R20"/>
  <c r="C20"/>
  <c r="T19"/>
  <c r="R19"/>
  <c r="C19"/>
  <c r="T18"/>
  <c r="S18"/>
  <c r="R18"/>
  <c r="C18"/>
  <c r="T17"/>
  <c r="V18" s="1"/>
  <c r="R17"/>
  <c r="E17"/>
  <c r="R16"/>
  <c r="O16"/>
  <c r="C16"/>
  <c r="T15"/>
  <c r="R15"/>
  <c r="N26" s="1"/>
  <c r="O15"/>
  <c r="P15" s="1"/>
  <c r="N15"/>
  <c r="C15"/>
  <c r="O9" s="1"/>
  <c r="P9" s="1"/>
  <c r="T14"/>
  <c r="R14"/>
  <c r="O14"/>
  <c r="P14" s="1"/>
  <c r="N14"/>
  <c r="E14"/>
  <c r="B14"/>
  <c r="T13"/>
  <c r="R13"/>
  <c r="E13"/>
  <c r="B13"/>
  <c r="T12"/>
  <c r="S12" s="1"/>
  <c r="R12"/>
  <c r="E12"/>
  <c r="T11"/>
  <c r="S11" s="1"/>
  <c r="R11"/>
  <c r="C11"/>
  <c r="T10"/>
  <c r="S10"/>
  <c r="R10"/>
  <c r="C10"/>
  <c r="N9"/>
  <c r="B9"/>
  <c r="C9" s="1"/>
  <c r="T8"/>
  <c r="S8"/>
  <c r="R8"/>
  <c r="P8"/>
  <c r="N8"/>
  <c r="B8"/>
  <c r="C8" s="1"/>
  <c r="R7"/>
  <c r="T7" s="1"/>
  <c r="P7"/>
  <c r="O7"/>
  <c r="N7"/>
  <c r="C7"/>
  <c r="T6"/>
  <c r="R6"/>
  <c r="O6"/>
  <c r="P6" s="1"/>
  <c r="P11" s="1"/>
  <c r="N6"/>
  <c r="C6"/>
  <c r="B6"/>
  <c r="S5"/>
  <c r="B5"/>
  <c r="R5" s="1"/>
  <c r="D10" i="32"/>
  <c r="B10"/>
  <c r="N9"/>
  <c r="G9"/>
  <c r="N8"/>
  <c r="N7"/>
  <c r="N6"/>
  <c r="C5"/>
  <c r="O9" s="1"/>
  <c r="P9" s="1"/>
  <c r="J4"/>
  <c r="K4" s="1"/>
  <c r="B13" i="31"/>
  <c r="N9" s="1"/>
  <c r="N8"/>
  <c r="C7"/>
  <c r="E6"/>
  <c r="D6"/>
  <c r="D13" s="1"/>
  <c r="G12" s="1"/>
  <c r="C5"/>
  <c r="O9" s="1"/>
  <c r="P9" s="1"/>
  <c r="J4"/>
  <c r="K4" s="1"/>
  <c r="B14" i="30"/>
  <c r="N9" s="1"/>
  <c r="P8"/>
  <c r="O8" s="1"/>
  <c r="N8"/>
  <c r="C8"/>
  <c r="P7"/>
  <c r="N7"/>
  <c r="D7"/>
  <c r="C7" s="1"/>
  <c r="U6"/>
  <c r="R6"/>
  <c r="R17" s="1"/>
  <c r="N6"/>
  <c r="P6" s="1"/>
  <c r="E6"/>
  <c r="D6"/>
  <c r="D14" s="1"/>
  <c r="G13" s="1"/>
  <c r="T5"/>
  <c r="S5"/>
  <c r="R5"/>
  <c r="C5"/>
  <c r="O9" s="1"/>
  <c r="P9" s="1"/>
  <c r="J4"/>
  <c r="K4" s="1"/>
  <c r="C25" i="29"/>
  <c r="C24"/>
  <c r="B24"/>
  <c r="B27" s="1"/>
  <c r="J4" s="1"/>
  <c r="D23"/>
  <c r="C23" s="1"/>
  <c r="C22"/>
  <c r="C21"/>
  <c r="D20"/>
  <c r="D27" s="1"/>
  <c r="G26" s="1"/>
  <c r="C19"/>
  <c r="E18"/>
  <c r="C18"/>
  <c r="C17"/>
  <c r="C16"/>
  <c r="P15"/>
  <c r="O15" s="1"/>
  <c r="N15"/>
  <c r="N17" s="1"/>
  <c r="C15"/>
  <c r="P14"/>
  <c r="N14"/>
  <c r="C14"/>
  <c r="T13"/>
  <c r="R13"/>
  <c r="C13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8"/>
  <c r="C8"/>
  <c r="T7"/>
  <c r="R7"/>
  <c r="N7"/>
  <c r="E7"/>
  <c r="U6"/>
  <c r="T6"/>
  <c r="S6"/>
  <c r="O17" s="1"/>
  <c r="P17" s="1"/>
  <c r="R6"/>
  <c r="P6"/>
  <c r="N6"/>
  <c r="C6"/>
  <c r="T5"/>
  <c r="R5"/>
  <c r="R30" s="1"/>
  <c r="C5"/>
  <c r="O9" s="1"/>
  <c r="P9" s="1"/>
  <c r="B13" i="28"/>
  <c r="N8" s="1"/>
  <c r="C11"/>
  <c r="R10"/>
  <c r="D10"/>
  <c r="T10" s="1"/>
  <c r="U10" s="1"/>
  <c r="C10"/>
  <c r="T9"/>
  <c r="S9"/>
  <c r="R9"/>
  <c r="C9"/>
  <c r="R8"/>
  <c r="O8"/>
  <c r="D8"/>
  <c r="T8" s="1"/>
  <c r="S8" s="1"/>
  <c r="R7"/>
  <c r="P7"/>
  <c r="O7" s="1"/>
  <c r="N7"/>
  <c r="N9" s="1"/>
  <c r="E7"/>
  <c r="D7"/>
  <c r="T7" s="1"/>
  <c r="T6"/>
  <c r="O6"/>
  <c r="N6"/>
  <c r="E6"/>
  <c r="U6" s="1"/>
  <c r="D6"/>
  <c r="D13" s="1"/>
  <c r="G11" s="1"/>
  <c r="T5"/>
  <c r="T30" s="1"/>
  <c r="R5"/>
  <c r="R30" s="1"/>
  <c r="C5"/>
  <c r="O9" s="1"/>
  <c r="P9" s="1"/>
  <c r="B10" i="27"/>
  <c r="N9"/>
  <c r="N8"/>
  <c r="O7"/>
  <c r="P7" s="1"/>
  <c r="N7"/>
  <c r="N6"/>
  <c r="E6"/>
  <c r="D6"/>
  <c r="D10" s="1"/>
  <c r="C5"/>
  <c r="O9" s="1"/>
  <c r="P9" s="1"/>
  <c r="J4"/>
  <c r="O17" i="26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E38" i="25"/>
  <c r="D38"/>
  <c r="C38" s="1"/>
  <c r="O6" s="1"/>
  <c r="P6" s="1"/>
  <c r="C37"/>
  <c r="C36"/>
  <c r="C35"/>
  <c r="B35"/>
  <c r="C34"/>
  <c r="C33"/>
  <c r="C32"/>
  <c r="B32"/>
  <c r="C31"/>
  <c r="C30"/>
  <c r="C29"/>
  <c r="C28"/>
  <c r="C27"/>
  <c r="R26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O7" s="1"/>
  <c r="R14"/>
  <c r="T14" s="1"/>
  <c r="C14"/>
  <c r="T13"/>
  <c r="S13" s="1"/>
  <c r="R13"/>
  <c r="C13"/>
  <c r="S12"/>
  <c r="R12"/>
  <c r="C12"/>
  <c r="R11"/>
  <c r="S11" s="1"/>
  <c r="C11"/>
  <c r="S10"/>
  <c r="R10"/>
  <c r="C10"/>
  <c r="B9"/>
  <c r="B40" s="1"/>
  <c r="R8"/>
  <c r="S8" s="1"/>
  <c r="C8"/>
  <c r="T7"/>
  <c r="R7"/>
  <c r="D7"/>
  <c r="T6"/>
  <c r="R6"/>
  <c r="N6"/>
  <c r="D6"/>
  <c r="T5"/>
  <c r="R5"/>
  <c r="D5"/>
  <c r="D40" s="1"/>
  <c r="G40" s="1"/>
  <c r="C21" i="24"/>
  <c r="O6" s="1"/>
  <c r="D20"/>
  <c r="D19"/>
  <c r="D18"/>
  <c r="D17"/>
  <c r="D16"/>
  <c r="D15"/>
  <c r="D14"/>
  <c r="D13"/>
  <c r="D12"/>
  <c r="D11"/>
  <c r="D10"/>
  <c r="D9"/>
  <c r="D8"/>
  <c r="C7"/>
  <c r="B7"/>
  <c r="B23" s="1"/>
  <c r="J4" s="1"/>
  <c r="N6"/>
  <c r="P6" s="1"/>
  <c r="E6"/>
  <c r="D6"/>
  <c r="D23" s="1"/>
  <c r="D5"/>
  <c r="N3"/>
  <c r="P3" s="1"/>
  <c r="B15" i="23"/>
  <c r="C13"/>
  <c r="C12"/>
  <c r="C11"/>
  <c r="C10"/>
  <c r="C9"/>
  <c r="T8"/>
  <c r="R8"/>
  <c r="U8" s="1"/>
  <c r="C8"/>
  <c r="T7"/>
  <c r="S7" s="1"/>
  <c r="R7"/>
  <c r="R21" s="1"/>
  <c r="C7"/>
  <c r="O9" s="1"/>
  <c r="R6"/>
  <c r="N6"/>
  <c r="E6"/>
  <c r="D6"/>
  <c r="D15" s="1"/>
  <c r="G14" s="1"/>
  <c r="T5"/>
  <c r="S5"/>
  <c r="R5"/>
  <c r="N9" s="1"/>
  <c r="C5"/>
  <c r="J4"/>
  <c r="K4" s="1"/>
  <c r="B11" i="22"/>
  <c r="R9"/>
  <c r="R22" s="1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O9" s="1"/>
  <c r="R5"/>
  <c r="C5"/>
  <c r="J4"/>
  <c r="B11" i="21"/>
  <c r="N8" s="1"/>
  <c r="C9"/>
  <c r="T8"/>
  <c r="R8"/>
  <c r="C8"/>
  <c r="T7"/>
  <c r="R7"/>
  <c r="D7"/>
  <c r="C7"/>
  <c r="R6"/>
  <c r="P6"/>
  <c r="N6"/>
  <c r="N9" s="1"/>
  <c r="E6"/>
  <c r="D6"/>
  <c r="T5"/>
  <c r="S5"/>
  <c r="R5"/>
  <c r="R23" s="1"/>
  <c r="C5"/>
  <c r="J4"/>
  <c r="D10" i="20"/>
  <c r="B10"/>
  <c r="N9"/>
  <c r="G9"/>
  <c r="N8"/>
  <c r="N7"/>
  <c r="N6"/>
  <c r="C5"/>
  <c r="O7" s="1"/>
  <c r="P7" s="1"/>
  <c r="J4"/>
  <c r="K4" s="1"/>
  <c r="B13" i="19"/>
  <c r="J4" s="1"/>
  <c r="D11"/>
  <c r="C11"/>
  <c r="T10"/>
  <c r="R10"/>
  <c r="C10"/>
  <c r="T9"/>
  <c r="R9"/>
  <c r="N9"/>
  <c r="C9"/>
  <c r="T8"/>
  <c r="R8"/>
  <c r="P8"/>
  <c r="O8" s="1"/>
  <c r="N8"/>
  <c r="C8"/>
  <c r="T7"/>
  <c r="R7"/>
  <c r="P7"/>
  <c r="O7" s="1"/>
  <c r="N7"/>
  <c r="C7"/>
  <c r="T6"/>
  <c r="R6"/>
  <c r="P6"/>
  <c r="O6"/>
  <c r="N6"/>
  <c r="E6"/>
  <c r="D6"/>
  <c r="D13" s="1"/>
  <c r="G12" s="1"/>
  <c r="T5"/>
  <c r="R5"/>
  <c r="R25" s="1"/>
  <c r="C5"/>
  <c r="K4"/>
  <c r="O3"/>
  <c r="N3"/>
  <c r="D14" i="18"/>
  <c r="B14"/>
  <c r="G13"/>
  <c r="C12"/>
  <c r="D11"/>
  <c r="C11"/>
  <c r="C10"/>
  <c r="T9"/>
  <c r="S9" s="1"/>
  <c r="R9"/>
  <c r="C9"/>
  <c r="T8"/>
  <c r="S8"/>
  <c r="R8"/>
  <c r="C8"/>
  <c r="T7"/>
  <c r="R7"/>
  <c r="N8" s="1"/>
  <c r="P7"/>
  <c r="N7"/>
  <c r="C7"/>
  <c r="S7" s="1"/>
  <c r="T6"/>
  <c r="S6"/>
  <c r="R6"/>
  <c r="N6"/>
  <c r="C6"/>
  <c r="O6" s="1"/>
  <c r="R5"/>
  <c r="R33" s="1"/>
  <c r="C5"/>
  <c r="O8" s="1"/>
  <c r="P8" s="1"/>
  <c r="K4"/>
  <c r="J4"/>
  <c r="O9" i="17"/>
  <c r="C9"/>
  <c r="B9"/>
  <c r="T8"/>
  <c r="O8"/>
  <c r="B8"/>
  <c r="R8" s="1"/>
  <c r="R7"/>
  <c r="O7"/>
  <c r="D7"/>
  <c r="T7" s="1"/>
  <c r="T6"/>
  <c r="S6" s="1"/>
  <c r="R6"/>
  <c r="N6"/>
  <c r="E6"/>
  <c r="D6"/>
  <c r="D13" s="1"/>
  <c r="T5"/>
  <c r="T22" s="1"/>
  <c r="R5"/>
  <c r="R22" s="1"/>
  <c r="C13" i="16"/>
  <c r="C12"/>
  <c r="D11"/>
  <c r="C11" s="1"/>
  <c r="O6" s="1"/>
  <c r="C10"/>
  <c r="T9"/>
  <c r="R9"/>
  <c r="B9"/>
  <c r="D9" s="1"/>
  <c r="D8" s="1"/>
  <c r="B8"/>
  <c r="B15" s="1"/>
  <c r="T7"/>
  <c r="S7"/>
  <c r="R7"/>
  <c r="C7"/>
  <c r="T6"/>
  <c r="S6" s="1"/>
  <c r="R6"/>
  <c r="P6"/>
  <c r="N6"/>
  <c r="E6"/>
  <c r="D6"/>
  <c r="T5"/>
  <c r="R5"/>
  <c r="C5"/>
  <c r="O7" s="1"/>
  <c r="B13" i="15"/>
  <c r="N9" s="1"/>
  <c r="N8"/>
  <c r="N7"/>
  <c r="N6"/>
  <c r="E6"/>
  <c r="D6"/>
  <c r="D13" s="1"/>
  <c r="G12" s="1"/>
  <c r="C5"/>
  <c r="O8" s="1"/>
  <c r="P8" s="1"/>
  <c r="J4"/>
  <c r="K4" s="1"/>
  <c r="B17" i="14"/>
  <c r="C15"/>
  <c r="D14"/>
  <c r="C14"/>
  <c r="C13"/>
  <c r="C12"/>
  <c r="C11"/>
  <c r="T10"/>
  <c r="R10"/>
  <c r="E10"/>
  <c r="S9"/>
  <c r="O15" s="1"/>
  <c r="R9"/>
  <c r="N17" s="1"/>
  <c r="D9"/>
  <c r="S8"/>
  <c r="O9" s="1"/>
  <c r="P9" s="1"/>
  <c r="R8"/>
  <c r="N9" s="1"/>
  <c r="O8"/>
  <c r="P8" s="1"/>
  <c r="N8"/>
  <c r="J8"/>
  <c r="J9" s="1"/>
  <c r="E8"/>
  <c r="S7"/>
  <c r="R7"/>
  <c r="T7" s="1"/>
  <c r="O7"/>
  <c r="P7" s="1"/>
  <c r="N7"/>
  <c r="E7"/>
  <c r="S6"/>
  <c r="R6"/>
  <c r="T6" s="1"/>
  <c r="O6"/>
  <c r="N6"/>
  <c r="P6" s="1"/>
  <c r="P11" s="1"/>
  <c r="D6"/>
  <c r="R5"/>
  <c r="R37" s="1"/>
  <c r="D5"/>
  <c r="D17" s="1"/>
  <c r="K4" s="1"/>
  <c r="J4"/>
  <c r="D13" i="13"/>
  <c r="B13"/>
  <c r="G12"/>
  <c r="C11"/>
  <c r="C10"/>
  <c r="C9"/>
  <c r="C8"/>
  <c r="C7"/>
  <c r="T6"/>
  <c r="R6"/>
  <c r="N9" s="1"/>
  <c r="C6"/>
  <c r="T5"/>
  <c r="T15" s="1"/>
  <c r="S5"/>
  <c r="R5"/>
  <c r="R15" s="1"/>
  <c r="C5"/>
  <c r="O9" s="1"/>
  <c r="J4"/>
  <c r="K4" s="1"/>
  <c r="B19" i="12"/>
  <c r="C17"/>
  <c r="P16"/>
  <c r="N16"/>
  <c r="C16"/>
  <c r="O16" s="1"/>
  <c r="N15"/>
  <c r="C15"/>
  <c r="T14"/>
  <c r="R14"/>
  <c r="P14"/>
  <c r="O14"/>
  <c r="N14"/>
  <c r="N17" s="1"/>
  <c r="D14"/>
  <c r="P15" s="1"/>
  <c r="C14"/>
  <c r="O15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17" s="1"/>
  <c r="P17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T5"/>
  <c r="T19" s="1"/>
  <c r="R5"/>
  <c r="R19" s="1"/>
  <c r="C5"/>
  <c r="O6" s="1"/>
  <c r="P6" s="1"/>
  <c r="J4"/>
  <c r="K4" s="1"/>
  <c r="B14" i="11"/>
  <c r="N9"/>
  <c r="N8"/>
  <c r="N7"/>
  <c r="D7"/>
  <c r="N6"/>
  <c r="E6"/>
  <c r="D6"/>
  <c r="D14" s="1"/>
  <c r="G13" s="1"/>
  <c r="C5"/>
  <c r="O8" s="1"/>
  <c r="P8" s="1"/>
  <c r="J4"/>
  <c r="E7" s="1"/>
  <c r="B14" i="10"/>
  <c r="D12"/>
  <c r="C12" s="1"/>
  <c r="C11"/>
  <c r="C10"/>
  <c r="C9"/>
  <c r="C8"/>
  <c r="T7"/>
  <c r="U7" s="1"/>
  <c r="R7"/>
  <c r="C7"/>
  <c r="T6"/>
  <c r="S6" s="1"/>
  <c r="R6"/>
  <c r="E6"/>
  <c r="D6"/>
  <c r="D14" s="1"/>
  <c r="T5"/>
  <c r="T14" s="1"/>
  <c r="R5"/>
  <c r="R14" s="1"/>
  <c r="C5"/>
  <c r="O9" s="1"/>
  <c r="J4"/>
  <c r="B14" i="9"/>
  <c r="C12"/>
  <c r="C11"/>
  <c r="C10"/>
  <c r="N9"/>
  <c r="C9"/>
  <c r="N8"/>
  <c r="C8"/>
  <c r="T7"/>
  <c r="R7"/>
  <c r="N7"/>
  <c r="C7"/>
  <c r="R6"/>
  <c r="P6"/>
  <c r="N6"/>
  <c r="E6"/>
  <c r="U6" s="1"/>
  <c r="D6"/>
  <c r="D14" s="1"/>
  <c r="G13" s="1"/>
  <c r="T5"/>
  <c r="R5"/>
  <c r="R17" s="1"/>
  <c r="C5"/>
  <c r="O9" s="1"/>
  <c r="P9" s="1"/>
  <c r="J4"/>
  <c r="K4" s="1"/>
  <c r="O3"/>
  <c r="B13" i="8"/>
  <c r="C11"/>
  <c r="C10"/>
  <c r="T9"/>
  <c r="R9"/>
  <c r="N9"/>
  <c r="C9"/>
  <c r="T8"/>
  <c r="R8"/>
  <c r="C8"/>
  <c r="T7"/>
  <c r="S7" s="1"/>
  <c r="O7" s="1"/>
  <c r="R7"/>
  <c r="P7"/>
  <c r="N7"/>
  <c r="N8" s="1"/>
  <c r="C7"/>
  <c r="O9" s="1"/>
  <c r="P9" s="1"/>
  <c r="R6"/>
  <c r="U6" s="1"/>
  <c r="P6"/>
  <c r="N6"/>
  <c r="E6"/>
  <c r="D6"/>
  <c r="D13" s="1"/>
  <c r="G12" s="1"/>
  <c r="T5"/>
  <c r="S5"/>
  <c r="R5"/>
  <c r="R13" s="1"/>
  <c r="C5"/>
  <c r="J4"/>
  <c r="K4" s="1"/>
  <c r="C7" i="7"/>
  <c r="R6"/>
  <c r="U6" s="1"/>
  <c r="E6"/>
  <c r="D6"/>
  <c r="T6" s="1"/>
  <c r="C5"/>
  <c r="O9" s="1"/>
  <c r="B5"/>
  <c r="B13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O6"/>
  <c r="D6"/>
  <c r="D5"/>
  <c r="D9" s="1"/>
  <c r="K4" s="1"/>
  <c r="J4"/>
  <c r="D235" i="3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74" i="2"/>
  <c r="N72"/>
  <c r="N59"/>
  <c r="N58"/>
  <c r="O56"/>
  <c r="N51"/>
  <c r="N50"/>
  <c r="N48"/>
  <c r="N43"/>
  <c r="O42"/>
  <c r="P42" s="1"/>
  <c r="N42"/>
  <c r="N41"/>
  <c r="O40"/>
  <c r="P40" s="1"/>
  <c r="N40"/>
  <c r="D36"/>
  <c r="B36"/>
  <c r="N35"/>
  <c r="B35"/>
  <c r="C35" s="1"/>
  <c r="N34"/>
  <c r="C34"/>
  <c r="N33"/>
  <c r="D33"/>
  <c r="C33" s="1"/>
  <c r="O18" s="1"/>
  <c r="P18" s="1"/>
  <c r="B33"/>
  <c r="O32"/>
  <c r="P32" s="1"/>
  <c r="N32"/>
  <c r="C32"/>
  <c r="O48" s="1"/>
  <c r="P48" s="1"/>
  <c r="B30"/>
  <c r="B31" s="1"/>
  <c r="D29"/>
  <c r="D28"/>
  <c r="N27"/>
  <c r="D27"/>
  <c r="N26"/>
  <c r="D26"/>
  <c r="C26"/>
  <c r="O8" s="1"/>
  <c r="O25"/>
  <c r="P25" s="1"/>
  <c r="N25"/>
  <c r="C25"/>
  <c r="U24"/>
  <c r="T24"/>
  <c r="O75" s="1"/>
  <c r="P75" s="1"/>
  <c r="S24"/>
  <c r="N75" s="1"/>
  <c r="O24"/>
  <c r="N24"/>
  <c r="P24" s="1"/>
  <c r="C24"/>
  <c r="U23"/>
  <c r="S23"/>
  <c r="C23"/>
  <c r="C22"/>
  <c r="O43" s="1"/>
  <c r="P43" s="1"/>
  <c r="S21"/>
  <c r="C21"/>
  <c r="C20"/>
  <c r="O34" s="1"/>
  <c r="P34" s="1"/>
  <c r="U19"/>
  <c r="T19"/>
  <c r="O51" s="1"/>
  <c r="P51" s="1"/>
  <c r="S19"/>
  <c r="N49" s="1"/>
  <c r="N19"/>
  <c r="C19"/>
  <c r="O27" s="1"/>
  <c r="P27" s="1"/>
  <c r="U18"/>
  <c r="T18" s="1"/>
  <c r="S18"/>
  <c r="N18"/>
  <c r="D18"/>
  <c r="C18" s="1"/>
  <c r="O16" s="1"/>
  <c r="P16" s="1"/>
  <c r="P21" s="1"/>
  <c r="U17"/>
  <c r="T17" s="1"/>
  <c r="S17"/>
  <c r="O17"/>
  <c r="P17" s="1"/>
  <c r="N17"/>
  <c r="C17"/>
  <c r="O19" s="1"/>
  <c r="P19" s="1"/>
  <c r="U16"/>
  <c r="T16"/>
  <c r="S16"/>
  <c r="N16"/>
  <c r="D16"/>
  <c r="U15"/>
  <c r="T15" s="1"/>
  <c r="S15"/>
  <c r="D15"/>
  <c r="U14"/>
  <c r="T14" s="1"/>
  <c r="S14"/>
  <c r="D14"/>
  <c r="U13"/>
  <c r="S13"/>
  <c r="D13"/>
  <c r="U12"/>
  <c r="T12" s="1"/>
  <c r="S12"/>
  <c r="D12"/>
  <c r="U11"/>
  <c r="S11"/>
  <c r="O11"/>
  <c r="N11"/>
  <c r="D11"/>
  <c r="U10"/>
  <c r="S10"/>
  <c r="O10"/>
  <c r="N10"/>
  <c r="P10" s="1"/>
  <c r="D10"/>
  <c r="T9"/>
  <c r="S9"/>
  <c r="O9"/>
  <c r="N9"/>
  <c r="P9" s="1"/>
  <c r="C9"/>
  <c r="T8"/>
  <c r="S8"/>
  <c r="P8"/>
  <c r="N8"/>
  <c r="C8"/>
  <c r="S7"/>
  <c r="T7" s="1"/>
  <c r="C7"/>
  <c r="S6"/>
  <c r="U6" s="1"/>
  <c r="E6"/>
  <c r="D6"/>
  <c r="S5"/>
  <c r="D5"/>
  <c r="B42" i="1"/>
  <c r="B41"/>
  <c r="C40"/>
  <c r="B38"/>
  <c r="C37"/>
  <c r="C36"/>
  <c r="C35"/>
  <c r="C34"/>
  <c r="D33"/>
  <c r="D32"/>
  <c r="D31"/>
  <c r="D30"/>
  <c r="D29"/>
  <c r="C28"/>
  <c r="D27"/>
  <c r="D26"/>
  <c r="N25"/>
  <c r="D25"/>
  <c r="T24"/>
  <c r="R24"/>
  <c r="D24"/>
  <c r="T23"/>
  <c r="S23"/>
  <c r="R23"/>
  <c r="N24" s="1"/>
  <c r="N23"/>
  <c r="D23"/>
  <c r="C23"/>
  <c r="B23"/>
  <c r="N22"/>
  <c r="D22"/>
  <c r="D21"/>
  <c r="T20"/>
  <c r="S20"/>
  <c r="R20"/>
  <c r="C20"/>
  <c r="C19"/>
  <c r="D19" s="1"/>
  <c r="D18"/>
  <c r="C18"/>
  <c r="S17"/>
  <c r="R17"/>
  <c r="N17"/>
  <c r="D17"/>
  <c r="T16"/>
  <c r="R16"/>
  <c r="N16"/>
  <c r="D16"/>
  <c r="T15"/>
  <c r="R15"/>
  <c r="D15"/>
  <c r="T14"/>
  <c r="R14"/>
  <c r="O14"/>
  <c r="N14"/>
  <c r="P14" s="1"/>
  <c r="D14"/>
  <c r="T13"/>
  <c r="S13" s="1"/>
  <c r="R13"/>
  <c r="D13"/>
  <c r="R12"/>
  <c r="T12" s="1"/>
  <c r="E12"/>
  <c r="D12"/>
  <c r="T11"/>
  <c r="R11"/>
  <c r="D11"/>
  <c r="T10"/>
  <c r="S10" s="1"/>
  <c r="R10"/>
  <c r="D10"/>
  <c r="T9"/>
  <c r="R9"/>
  <c r="N9"/>
  <c r="D9"/>
  <c r="T8"/>
  <c r="R8"/>
  <c r="N8"/>
  <c r="D8"/>
  <c r="T7"/>
  <c r="R7"/>
  <c r="D7"/>
  <c r="T6"/>
  <c r="R6"/>
  <c r="O6"/>
  <c r="D6"/>
  <c r="T5"/>
  <c r="R5"/>
  <c r="D5"/>
  <c r="O3"/>
  <c r="P8" i="28" l="1"/>
  <c r="P3" i="37"/>
  <c r="P11" i="2"/>
  <c r="P29" i="4"/>
  <c r="P35" s="1"/>
  <c r="P3" i="19"/>
  <c r="N3" i="28"/>
  <c r="P3" i="35"/>
  <c r="O25" i="1"/>
  <c r="P25" s="1"/>
  <c r="O23"/>
  <c r="P23" s="1"/>
  <c r="O22"/>
  <c r="P22" s="1"/>
  <c r="D38"/>
  <c r="T21" s="1"/>
  <c r="R21"/>
  <c r="T19"/>
  <c r="R19"/>
  <c r="N15" s="1"/>
  <c r="U5" i="2"/>
  <c r="K4" i="10"/>
  <c r="G13"/>
  <c r="N9" i="16"/>
  <c r="N8"/>
  <c r="J4"/>
  <c r="N7"/>
  <c r="P6" i="18"/>
  <c r="P13" i="2"/>
  <c r="O3"/>
  <c r="P11" i="12"/>
  <c r="P9" i="13"/>
  <c r="D15" i="16"/>
  <c r="G14" s="1"/>
  <c r="S22" i="2"/>
  <c r="N56"/>
  <c r="D31"/>
  <c r="U22" s="1"/>
  <c r="U20"/>
  <c r="T20" s="1"/>
  <c r="S20"/>
  <c r="N57" s="1"/>
  <c r="H38" i="5"/>
  <c r="I38" s="1"/>
  <c r="K38" s="1"/>
  <c r="H37"/>
  <c r="I37" s="1"/>
  <c r="K37" s="1"/>
  <c r="J4" i="7"/>
  <c r="N9"/>
  <c r="P9" s="1"/>
  <c r="R32" i="12"/>
  <c r="G18"/>
  <c r="O3"/>
  <c r="N3"/>
  <c r="C8" i="16"/>
  <c r="T8"/>
  <c r="O3"/>
  <c r="N3"/>
  <c r="O24" i="1"/>
  <c r="P24" s="1"/>
  <c r="S24"/>
  <c r="B39"/>
  <c r="B44"/>
  <c r="P56" i="2"/>
  <c r="P19" i="12"/>
  <c r="P7" i="16"/>
  <c r="T14"/>
  <c r="T25" i="19"/>
  <c r="S5"/>
  <c r="O9" s="1"/>
  <c r="P9" s="1"/>
  <c r="T9" i="22"/>
  <c r="C9"/>
  <c r="K4" i="27"/>
  <c r="G9"/>
  <c r="O26" i="33"/>
  <c r="P26" s="1"/>
  <c r="O24"/>
  <c r="P24" s="1"/>
  <c r="K4" i="38"/>
  <c r="G13"/>
  <c r="O26" i="2"/>
  <c r="P26" s="1"/>
  <c r="P29" s="1"/>
  <c r="D30"/>
  <c r="U21" s="1"/>
  <c r="T21" s="1"/>
  <c r="O35"/>
  <c r="P35" s="1"/>
  <c r="B39"/>
  <c r="O41"/>
  <c r="P41" s="1"/>
  <c r="P45" s="1"/>
  <c r="O50"/>
  <c r="P50" s="1"/>
  <c r="O72"/>
  <c r="P72" s="1"/>
  <c r="N73"/>
  <c r="O74"/>
  <c r="P74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L39" i="5"/>
  <c r="D77"/>
  <c r="R5" i="7"/>
  <c r="R13" s="1"/>
  <c r="O6"/>
  <c r="N7"/>
  <c r="O8"/>
  <c r="O6" i="8"/>
  <c r="O8"/>
  <c r="P8" s="1"/>
  <c r="P11" s="1"/>
  <c r="O6" i="9"/>
  <c r="N6" i="10"/>
  <c r="O7"/>
  <c r="N8"/>
  <c r="N9"/>
  <c r="P9" s="1"/>
  <c r="K4" i="11"/>
  <c r="O7"/>
  <c r="P7" s="1"/>
  <c r="O9"/>
  <c r="P9" s="1"/>
  <c r="U5" i="12"/>
  <c r="N6" i="13"/>
  <c r="N7"/>
  <c r="N8"/>
  <c r="T5" i="14"/>
  <c r="T8"/>
  <c r="T9"/>
  <c r="N14"/>
  <c r="N15"/>
  <c r="P15" s="1"/>
  <c r="O16"/>
  <c r="G17"/>
  <c r="O17"/>
  <c r="P17" s="1"/>
  <c r="O7" i="15"/>
  <c r="P7" s="1"/>
  <c r="O9"/>
  <c r="P9" s="1"/>
  <c r="U5" i="16"/>
  <c r="O8"/>
  <c r="P8" s="1"/>
  <c r="R8"/>
  <c r="R14" s="1"/>
  <c r="O9"/>
  <c r="P9" s="1"/>
  <c r="B13" i="17"/>
  <c r="G12" s="1"/>
  <c r="O7" i="18"/>
  <c r="O3" s="1"/>
  <c r="O9"/>
  <c r="P11" i="19"/>
  <c r="O6" i="20"/>
  <c r="P6" s="1"/>
  <c r="O8"/>
  <c r="P8" s="1"/>
  <c r="O6" i="21"/>
  <c r="N9" i="22"/>
  <c r="P9" s="1"/>
  <c r="P11" s="1"/>
  <c r="P9" i="23"/>
  <c r="O3" i="28"/>
  <c r="P3" s="1"/>
  <c r="P8" i="35"/>
  <c r="O9" i="21"/>
  <c r="P9" s="1"/>
  <c r="O8"/>
  <c r="P8" s="1"/>
  <c r="O7"/>
  <c r="D11"/>
  <c r="G10" s="1"/>
  <c r="T6"/>
  <c r="O6" i="22"/>
  <c r="N8" i="25"/>
  <c r="P8" s="1"/>
  <c r="J4"/>
  <c r="N3"/>
  <c r="P3" s="1"/>
  <c r="O3" i="30"/>
  <c r="N3"/>
  <c r="T5" i="33"/>
  <c r="P23"/>
  <c r="P28" s="1"/>
  <c r="O3"/>
  <c r="Q9" i="34"/>
  <c r="Q8"/>
  <c r="Q7"/>
  <c r="O33" i="2"/>
  <c r="P33" s="1"/>
  <c r="P37" s="1"/>
  <c r="O49"/>
  <c r="P49" s="1"/>
  <c r="P53" s="1"/>
  <c r="O73"/>
  <c r="P73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N6" i="4"/>
  <c r="P6" s="1"/>
  <c r="G8"/>
  <c r="D5" i="7"/>
  <c r="N6"/>
  <c r="O7"/>
  <c r="P7" s="1"/>
  <c r="N8"/>
  <c r="T6" i="8"/>
  <c r="T13" s="1"/>
  <c r="S5" i="9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V7" i="12"/>
  <c r="O6" i="13"/>
  <c r="P6" s="1"/>
  <c r="O7"/>
  <c r="P7" s="1"/>
  <c r="O8"/>
  <c r="P8" s="1"/>
  <c r="O14" i="14"/>
  <c r="P14" s="1"/>
  <c r="N16"/>
  <c r="O6" i="15"/>
  <c r="P6" s="1"/>
  <c r="P11" s="1"/>
  <c r="S5" i="17"/>
  <c r="P6"/>
  <c r="C7"/>
  <c r="C8"/>
  <c r="S5" i="18"/>
  <c r="T5" s="1"/>
  <c r="T33" s="1"/>
  <c r="W33" s="1"/>
  <c r="N9"/>
  <c r="S6" i="19"/>
  <c r="O9" i="20"/>
  <c r="P9" s="1"/>
  <c r="N7" i="21"/>
  <c r="T22" i="22"/>
  <c r="D11"/>
  <c r="G10" s="1"/>
  <c r="K4" i="29"/>
  <c r="P12" i="30"/>
  <c r="K4" i="34"/>
  <c r="O6" i="23"/>
  <c r="P6" s="1"/>
  <c r="T6"/>
  <c r="S6" s="1"/>
  <c r="N7"/>
  <c r="O8"/>
  <c r="C9" i="25"/>
  <c r="N7" s="1"/>
  <c r="P7" s="1"/>
  <c r="T26"/>
  <c r="T40" s="1"/>
  <c r="S5" i="26"/>
  <c r="T6"/>
  <c r="O7"/>
  <c r="N14"/>
  <c r="P14" s="1"/>
  <c r="D15"/>
  <c r="T10" s="1"/>
  <c r="B16"/>
  <c r="N16"/>
  <c r="P16" s="1"/>
  <c r="N17"/>
  <c r="P17" s="1"/>
  <c r="O6" i="27"/>
  <c r="P6" s="1"/>
  <c r="O8"/>
  <c r="P8" s="1"/>
  <c r="J4" i="28"/>
  <c r="K4" s="1"/>
  <c r="S5"/>
  <c r="P6"/>
  <c r="P11" s="1"/>
  <c r="C8"/>
  <c r="S5" i="29"/>
  <c r="O6"/>
  <c r="O7"/>
  <c r="P7" s="1"/>
  <c r="O8"/>
  <c r="P8" s="1"/>
  <c r="T12"/>
  <c r="S12" s="1"/>
  <c r="O14"/>
  <c r="O16"/>
  <c r="C20"/>
  <c r="T6" i="30"/>
  <c r="T17" s="1"/>
  <c r="N6" i="31"/>
  <c r="N7"/>
  <c r="O8"/>
  <c r="P8" s="1"/>
  <c r="O7" i="32"/>
  <c r="P7" s="1"/>
  <c r="N3" i="33"/>
  <c r="D5"/>
  <c r="D48" s="1"/>
  <c r="N16"/>
  <c r="T16"/>
  <c r="V17" s="1"/>
  <c r="B48"/>
  <c r="J4" s="1"/>
  <c r="K4" s="1"/>
  <c r="O6" i="34"/>
  <c r="P6" s="1"/>
  <c r="O7"/>
  <c r="P7" s="1"/>
  <c r="O8"/>
  <c r="P8" s="1"/>
  <c r="J4" i="35"/>
  <c r="K4" s="1"/>
  <c r="S5"/>
  <c r="O7"/>
  <c r="P7" s="1"/>
  <c r="P11" s="1"/>
  <c r="T5" i="36"/>
  <c r="O6"/>
  <c r="O9"/>
  <c r="P9" s="1"/>
  <c r="P11" s="1"/>
  <c r="S5" i="37"/>
  <c r="S5" i="38"/>
  <c r="N7"/>
  <c r="O8"/>
  <c r="P8" s="1"/>
  <c r="O7" i="23"/>
  <c r="P7" s="1"/>
  <c r="N8"/>
  <c r="R9" i="25"/>
  <c r="S9" s="1"/>
  <c r="N16" i="29"/>
  <c r="O6" i="31"/>
  <c r="P6" s="1"/>
  <c r="O7"/>
  <c r="P7" s="1"/>
  <c r="O6" i="32"/>
  <c r="P6" s="1"/>
  <c r="P11" s="1"/>
  <c r="O8"/>
  <c r="P8" s="1"/>
  <c r="V16" i="33"/>
  <c r="O7" i="38"/>
  <c r="P7" s="1"/>
  <c r="P11" s="1"/>
  <c r="P11" i="29" l="1"/>
  <c r="P11" i="27"/>
  <c r="P12" i="9"/>
  <c r="P3" i="12"/>
  <c r="P12" i="16"/>
  <c r="P20" i="26"/>
  <c r="S5" i="36"/>
  <c r="T18"/>
  <c r="O6" i="17"/>
  <c r="D13" i="7"/>
  <c r="G12" s="1"/>
  <c r="T5"/>
  <c r="N3" i="22"/>
  <c r="O3"/>
  <c r="T23" i="21"/>
  <c r="S6"/>
  <c r="P6" i="7"/>
  <c r="O3"/>
  <c r="N3"/>
  <c r="J7" i="2"/>
  <c r="J8" s="1"/>
  <c r="J4"/>
  <c r="D39" i="1"/>
  <c r="D44" s="1"/>
  <c r="R22"/>
  <c r="T18"/>
  <c r="R18"/>
  <c r="T22"/>
  <c r="N6"/>
  <c r="N3" i="2"/>
  <c r="P3" s="1"/>
  <c r="P11" i="34"/>
  <c r="G48" i="33"/>
  <c r="P16" i="29"/>
  <c r="P19" s="1"/>
  <c r="K4" i="22"/>
  <c r="P3" i="30"/>
  <c r="P7" i="21"/>
  <c r="P11" s="1"/>
  <c r="K4"/>
  <c r="P11" i="20"/>
  <c r="P9" i="18"/>
  <c r="P16" i="14"/>
  <c r="P19" s="1"/>
  <c r="P8" i="7"/>
  <c r="D39" i="2"/>
  <c r="G38" s="1"/>
  <c r="S8" i="16"/>
  <c r="N3" i="18"/>
  <c r="P3" s="1"/>
  <c r="K4" i="16"/>
  <c r="S38" i="2"/>
  <c r="S19" i="1"/>
  <c r="O8" i="37"/>
  <c r="P8" s="1"/>
  <c r="O9"/>
  <c r="P9" s="1"/>
  <c r="O7"/>
  <c r="P7" s="1"/>
  <c r="P11" s="1"/>
  <c r="O3" i="36"/>
  <c r="N3"/>
  <c r="T22" i="33"/>
  <c r="N39"/>
  <c r="R22"/>
  <c r="T9"/>
  <c r="S9" s="1"/>
  <c r="O17" s="1"/>
  <c r="R9"/>
  <c r="N3" i="29"/>
  <c r="O3"/>
  <c r="D16" i="26"/>
  <c r="T9" s="1"/>
  <c r="T17" s="1"/>
  <c r="R9"/>
  <c r="N3" i="21"/>
  <c r="O3"/>
  <c r="N9" i="17"/>
  <c r="P9" s="1"/>
  <c r="N7"/>
  <c r="P7" s="1"/>
  <c r="N8"/>
  <c r="P8" s="1"/>
  <c r="J4"/>
  <c r="K4" s="1"/>
  <c r="S5" i="14"/>
  <c r="T37"/>
  <c r="O3" i="8"/>
  <c r="P3" s="1"/>
  <c r="N3"/>
  <c r="M39" i="5"/>
  <c r="L40"/>
  <c r="M40" s="1"/>
  <c r="J12" i="1"/>
  <c r="J13" s="1"/>
  <c r="J4"/>
  <c r="K4" s="1"/>
  <c r="H42" i="5"/>
  <c r="I42" s="1"/>
  <c r="K42" s="1"/>
  <c r="H39"/>
  <c r="O58" i="2"/>
  <c r="P58" s="1"/>
  <c r="O59"/>
  <c r="P59" s="1"/>
  <c r="O57"/>
  <c r="P57" s="1"/>
  <c r="P61" s="1"/>
  <c r="P11" i="31"/>
  <c r="P8" i="23"/>
  <c r="P11" s="1"/>
  <c r="T30" i="29"/>
  <c r="B18" i="26"/>
  <c r="J4" s="1"/>
  <c r="K4" s="1"/>
  <c r="T21" i="23"/>
  <c r="P12" i="13"/>
  <c r="N18" i="7"/>
  <c r="P3" i="33"/>
  <c r="T48"/>
  <c r="P16"/>
  <c r="D18" i="26"/>
  <c r="R40" i="25"/>
  <c r="P7" i="10"/>
  <c r="P11" s="1"/>
  <c r="N3" i="9"/>
  <c r="P3" s="1"/>
  <c r="P77" i="2"/>
  <c r="P3" i="16"/>
  <c r="K4" i="7"/>
  <c r="P11" i="18"/>
  <c r="U38" i="2"/>
  <c r="P27" i="1"/>
  <c r="P11" i="17" l="1"/>
  <c r="H40" i="5"/>
  <c r="I40" s="1"/>
  <c r="K40" s="1"/>
  <c r="I39"/>
  <c r="K39" s="1"/>
  <c r="J13" s="1"/>
  <c r="N9" i="26"/>
  <c r="P9" s="1"/>
  <c r="N7"/>
  <c r="P7" s="1"/>
  <c r="N8"/>
  <c r="P8" s="1"/>
  <c r="N6"/>
  <c r="P6" s="1"/>
  <c r="R17"/>
  <c r="N17" i="33"/>
  <c r="R48"/>
  <c r="O17" i="1"/>
  <c r="P17" s="1"/>
  <c r="O16"/>
  <c r="P16" s="1"/>
  <c r="O15"/>
  <c r="P15" s="1"/>
  <c r="P19" s="1"/>
  <c r="S18"/>
  <c r="T32"/>
  <c r="G43"/>
  <c r="G7"/>
  <c r="S5" i="7"/>
  <c r="T13"/>
  <c r="N3" i="17"/>
  <c r="O3"/>
  <c r="G17" i="26"/>
  <c r="W48" i="33"/>
  <c r="P3" i="21"/>
  <c r="P3" i="29"/>
  <c r="P3" i="36"/>
  <c r="P3" i="7"/>
  <c r="P3" i="22"/>
  <c r="K14" i="5"/>
  <c r="M47"/>
  <c r="N3" i="1"/>
  <c r="P3" s="1"/>
  <c r="P6"/>
  <c r="N7"/>
  <c r="R32"/>
  <c r="P17" i="33"/>
  <c r="P19" s="1"/>
  <c r="K4" i="2"/>
  <c r="P11" i="7"/>
  <c r="P3" i="17" l="1"/>
  <c r="P11" i="26"/>
  <c r="O9" i="1"/>
  <c r="P9" s="1"/>
  <c r="O8"/>
  <c r="P8" s="1"/>
  <c r="O7"/>
  <c r="P7" s="1"/>
  <c r="J15" i="5"/>
  <c r="J16" s="1"/>
  <c r="O47"/>
  <c r="P47" s="1"/>
  <c r="P11" i="1"/>
</calcChain>
</file>

<file path=xl/sharedStrings.xml><?xml version="1.0" encoding="utf-8"?>
<sst xmlns="http://schemas.openxmlformats.org/spreadsheetml/2006/main" count="877" uniqueCount="97">
  <si>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</si>
  <si>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</si>
  <si>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</si>
  <si>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</si>
  <si>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</si>
  <si>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</si>
  <si>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</si>
  <si>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</si>
  <si>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</si>
  <si>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</si>
  <si>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</si>
  <si>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</si>
  <si>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</si>
  <si>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</si>
  <si>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</si>
  <si>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</si>
  <si>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</si>
  <si>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</si>
  <si>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</si>
  <si>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</si>
  <si>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</si>
  <si>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</si>
  <si>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</si>
  <si>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</si>
  <si>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</si>
  <si>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</si>
  <si>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</si>
  <si>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</si>
  <si>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</si>
  <si>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</si>
  <si>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</si>
  <si>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</si>
  <si>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</si>
  <si>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</si>
  <si>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</si>
  <si>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</si>
  <si>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</si>
  <si>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</si>
  <si>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</si>
  <si>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</si>
  <si>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</si>
  <si>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</si>
  <si>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</si>
  <si>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</si>
  <si>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</si>
  <si>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</si>
  <si>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</si>
  <si>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</si>
  <si>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</si>
  <si>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</si>
  <si>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</si>
  <si>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</si>
  <si>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</si>
  <si>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</si>
  <si>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</si>
  <si>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</si>
  <si>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</si>
  <si>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</si>
  <si>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</si>
  <si>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</si>
  <si>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</si>
  <si>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</si>
  <si>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</si>
  <si>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</si>
  <si>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</si>
  <si>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</si>
  <si>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</si>
  <si>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</si>
  <si>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</si>
  <si>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</si>
  <si>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</si>
  <si>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</si>
  <si>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</si>
  <si>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</si>
  <si>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</si>
  <si>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</si>
  <si>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</si>
  <si>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</si>
  <si>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DCA2 *</t>
  </si>
  <si>
    <t>DCA4</t>
  </si>
  <si>
    <t>Learn</t>
  </si>
  <si>
    <t>DCA4*</t>
  </si>
  <si>
    <t>DCA2*</t>
  </si>
  <si>
    <t>*</t>
  </si>
  <si>
    <t>Learn*</t>
  </si>
  <si>
    <t>Learn 1/5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</si>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</sst>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</c:numCache>
            </c:numRef>
          </c:val>
        </c:ser>
        <c:marker val="1"/>
        <c:axId val="82919424"/>
        <c:axId val="82921344"/>
      </c:lineChart>
      <c:dateAx>
        <c:axId val="82919424"/>
        <c:scaling>
          <c:orientation val="minMax"/>
        </c:scaling>
        <c:axPos val="b"/>
        <c:numFmt formatCode="dd/mm/yy;@" sourceLinked="1"/>
        <c:majorTickMark val="none"/>
        <c:tickLblPos val="nextTo"/>
        <c:crossAx val="82921344"/>
        <c:crosses val="autoZero"/>
        <c:lblOffset val="100"/>
      </c:dateAx>
      <c:valAx>
        <c:axId val="8292134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919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workbookViewId="0">
      <selection activeCell="B41" sqref="B41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2912.8103315005692</v>
      </c>
      <c r="M3" t="s">
        <v>4</v>
      </c>
      <c r="N3" s="23">
        <f>(INDEX(N5:N25,MATCH(MAX(O6,O14),O5:O25,0))/0.85)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(B44*J3)</f>
        <v>1915.8993934988173</v>
      </c>
      <c r="K4" s="4">
        <f>(J4/D44-1)</f>
        <v>0.25897013157760407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7">
        <v>4000</v>
      </c>
      <c r="T5" s="28">
        <f>(R5*S5)</f>
        <v>1000</v>
      </c>
    </row>
    <row r="6" spans="2:20">
      <c r="B6" s="23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3">
        <f>(B6)</f>
        <v>5.9999999999999995E-4</v>
      </c>
      <c r="S6" s="27">
        <v>3950</v>
      </c>
      <c r="T6" s="28">
        <f>(R6*S6)</f>
        <v>2.3699999999999997</v>
      </c>
    </row>
    <row r="7" spans="2:20">
      <c r="B7" s="23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(D44/B44)</f>
        <v>2313.645302967238</v>
      </c>
      <c r="N7">
        <f>(2*($R$18+N6)/5-N6)</f>
        <v>4.5751403999999996E-2</v>
      </c>
      <c r="O7" s="27">
        <f>($S$18*[1]Params!K16)</f>
        <v>3515.1927352205489</v>
      </c>
      <c r="P7" s="28">
        <f>(O7*N7)</f>
        <v>160.82500296694036</v>
      </c>
      <c r="R7" s="23">
        <f>(B7)</f>
        <v>3.3999999999999998E-3</v>
      </c>
      <c r="S7" s="27">
        <v>3428</v>
      </c>
      <c r="T7" s="28">
        <f>(R7*S7)</f>
        <v>11.655199999999999</v>
      </c>
    </row>
    <row r="8" spans="2:20">
      <c r="B8" s="23">
        <v>-7.6E-3</v>
      </c>
      <c r="C8" s="26">
        <v>3216.89</v>
      </c>
      <c r="D8" s="28">
        <f t="shared" si="0"/>
        <v>-24.448363999999998</v>
      </c>
      <c r="N8">
        <f>($B$35/5)</f>
        <v>2.5198201999999996E-2</v>
      </c>
      <c r="O8" s="27">
        <f>($S$18*[1]Params!K17)</f>
        <v>7030.3854704410978</v>
      </c>
      <c r="P8" s="28">
        <f>(O8*N8)</f>
        <v>177.15307322203978</v>
      </c>
      <c r="R8" s="23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3">
        <v>-7.6E-3</v>
      </c>
      <c r="C9" s="26">
        <v>3214.67</v>
      </c>
      <c r="D9" s="28">
        <f t="shared" si="0"/>
        <v>-24.431492000000002</v>
      </c>
      <c r="N9">
        <f>($B$35/5)</f>
        <v>2.5198201999999996E-2</v>
      </c>
      <c r="O9" s="27">
        <f>($S$18*[1]Params!K18)</f>
        <v>14060.770940882196</v>
      </c>
      <c r="P9" s="28">
        <f>(O9*N9)</f>
        <v>354.30614644407956</v>
      </c>
      <c r="R9" s="23">
        <f>(B12)</f>
        <v>7.2890400000000001E-3</v>
      </c>
      <c r="S9" s="26">
        <v>0</v>
      </c>
      <c r="T9" s="28">
        <f>(R9*S9)</f>
        <v>0</v>
      </c>
    </row>
    <row r="10" spans="2:20">
      <c r="B10" s="23">
        <v>-7.6E-3</v>
      </c>
      <c r="C10" s="26">
        <v>3213.16</v>
      </c>
      <c r="D10" s="28">
        <f t="shared" si="0"/>
        <v>-24.420016</v>
      </c>
      <c r="R10" s="23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3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699.73944763305974</v>
      </c>
      <c r="R11" s="23">
        <f>(B21)</f>
        <v>0.01</v>
      </c>
      <c r="S11" s="27">
        <v>1895</v>
      </c>
      <c r="T11" s="28">
        <f>(R11*S11)</f>
        <v>18.95</v>
      </c>
    </row>
    <row r="12" spans="2:20">
      <c r="B12" s="24">
        <v>7.2890400000000001E-3</v>
      </c>
      <c r="C12" s="29">
        <v>0</v>
      </c>
      <c r="D12" s="30">
        <f t="shared" si="0"/>
        <v>0</v>
      </c>
      <c r="E12" s="26">
        <f>(B12*J3)</f>
        <v>21.231591018720909</v>
      </c>
      <c r="I12" t="s">
        <v>13</v>
      </c>
      <c r="J12">
        <f>(J11-B44)</f>
        <v>-5.7749450000000091E-2</v>
      </c>
      <c r="R12" s="23">
        <f>(B22)</f>
        <v>0.01</v>
      </c>
      <c r="S12" s="27">
        <v>1890.15</v>
      </c>
      <c r="T12" s="28">
        <f>(R12*S12)</f>
        <v>18.901500000000002</v>
      </c>
    </row>
    <row r="13" spans="2:20">
      <c r="B13" s="23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-168.21319459847581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3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3">
        <f>(B24)</f>
        <v>0.01</v>
      </c>
      <c r="S14" s="27">
        <v>1709</v>
      </c>
      <c r="T14" s="28">
        <f>(S14*R14)</f>
        <v>17.09</v>
      </c>
    </row>
    <row r="15" spans="2:20">
      <c r="B15" s="23">
        <v>-8.9999999999999993E-3</v>
      </c>
      <c r="C15" s="26">
        <v>2114</v>
      </c>
      <c r="D15" s="28">
        <f t="shared" si="0"/>
        <v>-19.026</v>
      </c>
      <c r="N15">
        <f>(2*($R$19+N14)/5-N14)</f>
        <v>9.3932080000000001E-3</v>
      </c>
      <c r="O15" s="27">
        <f>($S$19*[1]Params!K16)</f>
        <v>3553.7002679649822</v>
      </c>
      <c r="P15" s="28">
        <f>(O15*N15)</f>
        <v>33.380645786650817</v>
      </c>
      <c r="R15" s="23">
        <f>(B25)</f>
        <v>0.01</v>
      </c>
      <c r="S15" s="27">
        <v>1617.3</v>
      </c>
      <c r="T15" s="28">
        <f>(S15*R15)</f>
        <v>16.172999999999998</v>
      </c>
    </row>
    <row r="16" spans="2:20">
      <c r="B16" s="23">
        <v>-8.0000000000000002E-3</v>
      </c>
      <c r="C16" s="26">
        <v>2027.47</v>
      </c>
      <c r="D16" s="28">
        <f t="shared" si="0"/>
        <v>-16.219760000000001</v>
      </c>
      <c r="N16">
        <f>($B$36/5)</f>
        <v>5.0491040000000004E-3</v>
      </c>
      <c r="O16" s="27">
        <f>($S$19*[1]Params!K17)</f>
        <v>7107.4005359299645</v>
      </c>
      <c r="P16" s="28">
        <f>(O16*N16)</f>
        <v>35.886004475566132</v>
      </c>
      <c r="R16" s="23">
        <f>(SUM(B26:B33))</f>
        <v>0</v>
      </c>
      <c r="S16" s="26">
        <v>0</v>
      </c>
      <c r="T16" s="28">
        <f>(SUM(D26:D33))</f>
        <v>-1.1127000000000002</v>
      </c>
    </row>
    <row r="17" spans="2:21">
      <c r="B17" s="23">
        <v>-8.2000000000000007E-3</v>
      </c>
      <c r="C17" s="26">
        <v>1961</v>
      </c>
      <c r="D17" s="28">
        <f t="shared" si="0"/>
        <v>-16.080200000000001</v>
      </c>
      <c r="N17">
        <f>($B$36/5)</f>
        <v>5.0491040000000004E-3</v>
      </c>
      <c r="O17" s="27">
        <f>($S$19*[1]Params!K18)</f>
        <v>14214.801071859929</v>
      </c>
      <c r="P17" s="28">
        <f>(O17*N17)</f>
        <v>71.772008951132264</v>
      </c>
      <c r="R17" s="23">
        <f>(B34)</f>
        <v>-0.01</v>
      </c>
      <c r="S17" s="26">
        <f>(T17/R17)</f>
        <v>1219.326523</v>
      </c>
      <c r="T17" s="28">
        <v>-12.19326523</v>
      </c>
    </row>
    <row r="18" spans="2:21">
      <c r="B18" s="23">
        <v>1.6E-2</v>
      </c>
      <c r="C18" s="27">
        <f>1/0.00048218</f>
        <v>2073.9143058608815</v>
      </c>
      <c r="D18" s="28">
        <f t="shared" si="0"/>
        <v>33.182628893774108</v>
      </c>
      <c r="R18" s="23">
        <f>(B35+B39)</f>
        <v>0.12134600999999999</v>
      </c>
      <c r="S18" s="27">
        <f>(T18/R18)</f>
        <v>1757.5963676102745</v>
      </c>
      <c r="T18" s="28">
        <f>(D35+1283.68*B39)</f>
        <v>213.27730640000001</v>
      </c>
      <c r="U18" t="s">
        <v>9</v>
      </c>
    </row>
    <row r="19" spans="2:21">
      <c r="B19" s="23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142.17018421334922</v>
      </c>
      <c r="R19" s="23">
        <f>(B36+B38)</f>
        <v>2.454052E-2</v>
      </c>
      <c r="S19" s="27">
        <f>(T19/R19)</f>
        <v>1776.8501339824911</v>
      </c>
      <c r="T19" s="28">
        <f>(D36+1269.75*B38)</f>
        <v>43.604826250000002</v>
      </c>
      <c r="U19" t="s">
        <v>15</v>
      </c>
    </row>
    <row r="20" spans="2:21">
      <c r="B20" s="23">
        <v>3.2104290000000001E-2</v>
      </c>
      <c r="C20" s="27">
        <f>D20/B20</f>
        <v>1557.4242570073968</v>
      </c>
      <c r="D20" s="28">
        <v>50</v>
      </c>
      <c r="R20" s="23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3">
        <v>0.01</v>
      </c>
      <c r="C21" s="27">
        <v>1895</v>
      </c>
      <c r="D21" s="28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6">
        <v>0</v>
      </c>
      <c r="T21" s="28">
        <f>(1269.75*-B38+D38)</f>
        <v>-0.23635125000000012</v>
      </c>
      <c r="U21" t="s">
        <v>17</v>
      </c>
    </row>
    <row r="22" spans="2:21">
      <c r="B22" s="23">
        <v>0.01</v>
      </c>
      <c r="C22" s="27">
        <v>1890.15</v>
      </c>
      <c r="D22" s="28">
        <f>B22*C22</f>
        <v>18.901500000000002</v>
      </c>
      <c r="M22" t="s">
        <v>10</v>
      </c>
      <c r="N22">
        <f>($R$23/5)</f>
        <v>1.1444401999999999E-2</v>
      </c>
      <c r="O22" s="27">
        <f>($S$23*[1]Params!K15)</f>
        <v>2827.1464074750256</v>
      </c>
      <c r="P22" s="28">
        <f>(O22*N22)</f>
        <v>32.354999999999997</v>
      </c>
      <c r="R22" s="23">
        <f>(B39-B39)</f>
        <v>0</v>
      </c>
      <c r="S22" s="26">
        <v>0</v>
      </c>
      <c r="T22" s="28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7">
        <f>D23/B23</f>
        <v>1643.6436436436434</v>
      </c>
      <c r="D23" s="28">
        <f>82.1</f>
        <v>82.1</v>
      </c>
      <c r="N23">
        <f>($R$23/5)</f>
        <v>1.1444401999999999E-2</v>
      </c>
      <c r="O23" s="27">
        <f>($S$23*[1]Params!K16)</f>
        <v>3769.5285433000345</v>
      </c>
      <c r="P23" s="28">
        <f>(O23*N23)</f>
        <v>43.14</v>
      </c>
      <c r="R23" s="23">
        <f>(B40)</f>
        <v>5.7222009999999997E-2</v>
      </c>
      <c r="S23" s="27">
        <f>(T23/R23)</f>
        <v>1884.7642716500172</v>
      </c>
      <c r="T23" s="28">
        <f>(D40)</f>
        <v>107.85</v>
      </c>
      <c r="U23" t="s">
        <v>16</v>
      </c>
    </row>
    <row r="24" spans="2:21">
      <c r="B24" s="23">
        <v>0.01</v>
      </c>
      <c r="C24" s="27">
        <v>1709</v>
      </c>
      <c r="D24" s="28">
        <f>C24*B24</f>
        <v>17.09</v>
      </c>
      <c r="N24">
        <f>($R$23/5)</f>
        <v>1.1444401999999999E-2</v>
      </c>
      <c r="O24" s="27">
        <f>($S$23*[1]Params!K17)</f>
        <v>7539.0570866000689</v>
      </c>
      <c r="P24" s="28">
        <f>(O24*N24)</f>
        <v>86.28</v>
      </c>
      <c r="R24" s="23">
        <f>B41</f>
        <v>3.7960000000000077E-4</v>
      </c>
      <c r="S24" s="27">
        <f>(T24/R24)</f>
        <v>0</v>
      </c>
      <c r="T24" s="28">
        <f>D41</f>
        <v>0</v>
      </c>
    </row>
    <row r="25" spans="2:21">
      <c r="B25" s="23">
        <v>0.01</v>
      </c>
      <c r="C25" s="27">
        <v>1617.3</v>
      </c>
      <c r="D25" s="28">
        <f>(C25*B25)</f>
        <v>16.172999999999998</v>
      </c>
      <c r="N25">
        <f>($R$23/5)</f>
        <v>1.1444401999999999E-2</v>
      </c>
      <c r="O25" s="27">
        <f>($S$23*[1]Params!K18)</f>
        <v>15078.114173200138</v>
      </c>
      <c r="P25" s="28">
        <f>(O25*N25)</f>
        <v>172.56</v>
      </c>
    </row>
    <row r="26" spans="2:21">
      <c r="B26" s="23">
        <v>-0.01</v>
      </c>
      <c r="C26" s="26">
        <v>1530</v>
      </c>
      <c r="D26" s="28">
        <f>(C26*B26)</f>
        <v>-15.3</v>
      </c>
    </row>
    <row r="27" spans="2:21">
      <c r="B27" s="23">
        <v>0.01</v>
      </c>
      <c r="C27" s="27">
        <v>1500</v>
      </c>
      <c r="D27" s="28">
        <f>(C27*B27)</f>
        <v>15</v>
      </c>
      <c r="P27" s="28">
        <f>(SUM(P22:P25))</f>
        <v>334.33500000000004</v>
      </c>
    </row>
    <row r="28" spans="2:21">
      <c r="B28" s="23">
        <v>-0.01</v>
      </c>
      <c r="C28" s="26">
        <f>(D28/B28)</f>
        <v>1443</v>
      </c>
      <c r="D28" s="28">
        <v>-14.43</v>
      </c>
    </row>
    <row r="29" spans="2:21">
      <c r="B29" s="23">
        <v>0.01</v>
      </c>
      <c r="C29" s="27">
        <v>1428.89</v>
      </c>
      <c r="D29" s="28">
        <f>(C29*B29)</f>
        <v>14.288900000000002</v>
      </c>
    </row>
    <row r="30" spans="2:21">
      <c r="B30" s="23">
        <v>-0.01</v>
      </c>
      <c r="C30" s="26">
        <v>1402.5</v>
      </c>
      <c r="D30" s="28">
        <f>(C30*B30)</f>
        <v>-14.025</v>
      </c>
    </row>
    <row r="31" spans="2:21">
      <c r="B31" s="23">
        <v>0.01</v>
      </c>
      <c r="C31" s="27">
        <v>1372</v>
      </c>
      <c r="D31" s="28">
        <f>(C31*B31)</f>
        <v>13.72</v>
      </c>
    </row>
    <row r="32" spans="2:21">
      <c r="B32" s="23">
        <v>-0.01</v>
      </c>
      <c r="C32" s="26">
        <v>1286.6600000000001</v>
      </c>
      <c r="D32" s="28">
        <f>(C32*B32)</f>
        <v>-12.866600000000002</v>
      </c>
      <c r="R32">
        <f>(SUM(R5:R31))</f>
        <v>0.56354375000000012</v>
      </c>
      <c r="T32" s="28">
        <f>(SUM(T5:T31))</f>
        <v>1521.7989255217842</v>
      </c>
    </row>
    <row r="33" spans="2:7">
      <c r="B33" s="23">
        <v>0.01</v>
      </c>
      <c r="C33" s="27">
        <v>1250</v>
      </c>
      <c r="D33" s="28">
        <f>(C33*B33)</f>
        <v>12.5</v>
      </c>
    </row>
    <row r="34" spans="2:7">
      <c r="B34" s="23">
        <v>-0.01</v>
      </c>
      <c r="C34" s="26">
        <f>(D34/B34)</f>
        <v>1219.326523</v>
      </c>
      <c r="D34" s="28">
        <v>-12.19326523</v>
      </c>
    </row>
    <row r="35" spans="2:7">
      <c r="B35" s="23">
        <v>0.12599100999999999</v>
      </c>
      <c r="C35" s="27">
        <f>(D35/B35)</f>
        <v>1740.1241564775139</v>
      </c>
      <c r="D35" s="28">
        <v>219.24</v>
      </c>
      <c r="E35" t="s">
        <v>9</v>
      </c>
    </row>
    <row r="36" spans="2:7">
      <c r="B36" s="23">
        <v>2.524552E-2</v>
      </c>
      <c r="C36" s="27">
        <f>(D36/B36)</f>
        <v>1762.6889840256806</v>
      </c>
      <c r="D36" s="28">
        <v>44.5</v>
      </c>
      <c r="E36" t="s">
        <v>15</v>
      </c>
    </row>
    <row r="37" spans="2:7">
      <c r="B37" s="23">
        <v>4.1228E-4</v>
      </c>
      <c r="C37" s="27">
        <f>(D37/B37)</f>
        <v>1212.7680217328029</v>
      </c>
      <c r="D37" s="28">
        <v>0.5</v>
      </c>
    </row>
    <row r="38" spans="2:7">
      <c r="B38" s="23">
        <f>(-0.000705)</f>
        <v>-7.0500000000000001E-4</v>
      </c>
      <c r="C38" s="26">
        <v>1605</v>
      </c>
      <c r="D38" s="28">
        <f>(C38*B38)</f>
        <v>-1.1315250000000001</v>
      </c>
    </row>
    <row r="39" spans="2:7">
      <c r="B39" s="23">
        <f>(-0.00535-B38)</f>
        <v>-4.6449999999999998E-3</v>
      </c>
      <c r="C39" s="26">
        <v>1605</v>
      </c>
      <c r="D39" s="28">
        <f>(C39*B39)</f>
        <v>-7.4552249999999995</v>
      </c>
    </row>
    <row r="40" spans="2:7">
      <c r="B40" s="23">
        <v>5.7222009999999997E-2</v>
      </c>
      <c r="C40" s="27">
        <f>(D40/B40)</f>
        <v>1884.7642716500172</v>
      </c>
      <c r="D40" s="28">
        <v>107.85</v>
      </c>
      <c r="E40" t="s">
        <v>16</v>
      </c>
    </row>
    <row r="41" spans="2:7">
      <c r="B41" s="23">
        <f>0.0203796-0.02</f>
        <v>3.7960000000000077E-4</v>
      </c>
      <c r="C41" s="27">
        <v>0</v>
      </c>
      <c r="D41" s="28">
        <v>0</v>
      </c>
      <c r="E41" s="31" t="s">
        <v>19</v>
      </c>
    </row>
    <row r="42" spans="2:7">
      <c r="B42" s="23">
        <f>0.0943*0.999</f>
        <v>9.4205699999999989E-2</v>
      </c>
      <c r="C42" s="27">
        <v>0</v>
      </c>
      <c r="D42" s="28">
        <v>0</v>
      </c>
      <c r="E42" s="31" t="s">
        <v>19</v>
      </c>
      <c r="F42">
        <v>0.52980000000000005</v>
      </c>
    </row>
    <row r="43" spans="2:7">
      <c r="F43" t="s">
        <v>12</v>
      </c>
      <c r="G43" s="27">
        <f>D44/B44</f>
        <v>2313.645302967238</v>
      </c>
    </row>
    <row r="44" spans="2:7">
      <c r="B44">
        <f>(SUM(B5:B43))</f>
        <v>0.65774945000000007</v>
      </c>
      <c r="D44" s="28">
        <f>(SUM(D5:D43))</f>
        <v>1521.7989255217842</v>
      </c>
    </row>
  </sheetData>
  <conditionalFormatting sqref="C5:C7 C11 C18:C25 C27 C29 C31 C33 C35:C37 C40 G43 O3 O7:O9 O15:O17 O22:O25 S5:S7 S10:S15 S18:S20 S23:S24">
    <cfRule type="cellIs" dxfId="287" priority="39" operator="lessThan">
      <formula>$J$3</formula>
    </cfRule>
    <cfRule type="cellIs" dxfId="286" priority="40" operator="greaterThan">
      <formula>$J$3</formula>
    </cfRule>
  </conditionalFormatting>
  <conditionalFormatting sqref="O3">
    <cfRule type="cellIs" dxfId="285" priority="1" operator="greaterThan">
      <formula>$J$3</formula>
    </cfRule>
    <cfRule type="cellIs" dxfId="28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1.7005660814643651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28.930715454985627</v>
      </c>
      <c r="K4" s="4">
        <f>(J4/D14-1)</f>
        <v>-0.34708999614283664</v>
      </c>
      <c r="R4" t="s">
        <v>5</v>
      </c>
      <c r="S4" t="s">
        <v>6</v>
      </c>
      <c r="T4" t="s">
        <v>7</v>
      </c>
    </row>
    <row r="5" spans="2:21">
      <c r="B5" s="37">
        <v>16.346165070000001</v>
      </c>
      <c r="C5" s="26">
        <f>(D5/B5)</f>
        <v>2.7223510719141415</v>
      </c>
      <c r="D5" s="26">
        <v>44.5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0.60029615999999997</v>
      </c>
      <c r="S5" s="29">
        <v>0</v>
      </c>
      <c r="T5" s="30">
        <f>(D6)</f>
        <v>0</v>
      </c>
      <c r="U5" s="26">
        <f>(R5*J3)</f>
        <v>1.0208432885293055</v>
      </c>
    </row>
    <row r="6" spans="2:21">
      <c r="B6" s="49">
        <v>0.60029615999999997</v>
      </c>
      <c r="C6" s="29">
        <v>0</v>
      </c>
      <c r="D6" s="30">
        <f>(B6*C6)</f>
        <v>0</v>
      </c>
      <c r="E6" s="26">
        <f>(B6*J3)</f>
        <v>1.0208432885293055</v>
      </c>
      <c r="M6" t="s">
        <v>10</v>
      </c>
      <c r="N6" s="37">
        <f>(SUM(R5:R7)/5)</f>
        <v>3.402480594</v>
      </c>
      <c r="O6" s="26">
        <f>($C$5*[1]Params!K8)</f>
        <v>3.5390563934883841</v>
      </c>
      <c r="P6" s="26">
        <f>(O6*N6)</f>
        <v>12.041570699915855</v>
      </c>
      <c r="R6" s="37">
        <f>(B5)</f>
        <v>16.346165070000001</v>
      </c>
      <c r="S6" s="26">
        <f>(T6/R6)</f>
        <v>2.7223510719141415</v>
      </c>
      <c r="T6" s="26">
        <f>(D5)</f>
        <v>44.5</v>
      </c>
      <c r="U6" t="s">
        <v>15</v>
      </c>
    </row>
    <row r="7" spans="2:21">
      <c r="B7" s="37">
        <v>-0.2273</v>
      </c>
      <c r="C7" s="26">
        <f t="shared" ref="C7:C12" si="0">(D7/B7)</f>
        <v>4.95</v>
      </c>
      <c r="D7" s="26">
        <v>-1.125135</v>
      </c>
      <c r="N7" s="37">
        <f>(SUM(R5:R7)/5)</f>
        <v>3.402480594</v>
      </c>
      <c r="O7" s="26">
        <f>($C$5*[1]Params!K9)</f>
        <v>4.3557617150626262</v>
      </c>
      <c r="P7" s="26">
        <f>(O7*N7)</f>
        <v>14.820394707588743</v>
      </c>
      <c r="R7" s="37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0.30171987639674192</v>
      </c>
    </row>
    <row r="8" spans="2:21">
      <c r="B8" s="37">
        <v>-0.30499999999999999</v>
      </c>
      <c r="C8" s="26">
        <f t="shared" si="0"/>
        <v>6.2656189508196727</v>
      </c>
      <c r="D8" s="26">
        <v>-1.91101378</v>
      </c>
      <c r="N8" s="37">
        <f>(SUM(R5:R7)/5)</f>
        <v>3.402480594</v>
      </c>
      <c r="O8" s="26">
        <f>($C$5*[1]Params!K10)</f>
        <v>5.9891723582111114</v>
      </c>
      <c r="P8" s="26">
        <f>(O8*N8)</f>
        <v>20.378042722934524</v>
      </c>
    </row>
    <row r="9" spans="2:21">
      <c r="B9" s="37">
        <v>0.34203370999999999</v>
      </c>
      <c r="C9" s="26">
        <f t="shared" si="0"/>
        <v>5.2626391708583347</v>
      </c>
      <c r="D9" s="26">
        <v>1.8</v>
      </c>
      <c r="N9" s="37">
        <f>(SUM(R5:R7)/5)</f>
        <v>3.402480594</v>
      </c>
      <c r="O9" s="26">
        <f>($C$5*[1]Params!K11)</f>
        <v>13.611755359570708</v>
      </c>
      <c r="P9" s="26">
        <f>(O9*N9)</f>
        <v>46.313733461214824</v>
      </c>
    </row>
    <row r="10" spans="2:21">
      <c r="B10" s="37">
        <v>0.25620802999999998</v>
      </c>
      <c r="C10" s="26">
        <f t="shared" si="0"/>
        <v>4.1372629889859427</v>
      </c>
      <c r="D10" s="26">
        <v>1.06</v>
      </c>
    </row>
    <row r="11" spans="2:21">
      <c r="B11" s="37">
        <v>-0.4</v>
      </c>
      <c r="C11" s="26">
        <f t="shared" si="0"/>
        <v>4.1562849000000002</v>
      </c>
      <c r="D11" s="26">
        <v>-1.6625139600000001</v>
      </c>
      <c r="P11" s="26">
        <f>(SUM(P6:P9))</f>
        <v>93.553741591653946</v>
      </c>
    </row>
    <row r="12" spans="2:21">
      <c r="B12" s="37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2.6045949233707812</v>
      </c>
    </row>
    <row r="14" spans="2:21">
      <c r="B14" s="37">
        <f>(SUM(B5:B13))</f>
        <v>17.01240297</v>
      </c>
      <c r="D14" s="26">
        <f>(SUM(D5:D13))</f>
        <v>44.310418410000004</v>
      </c>
      <c r="R14" s="37">
        <f>(SUM(R5:R13))</f>
        <v>17.01240297</v>
      </c>
      <c r="T14" s="26">
        <f>(SUM(T5:T13))</f>
        <v>44.310418409999997</v>
      </c>
    </row>
    <row r="22" spans="4:4">
      <c r="D22" s="37"/>
    </row>
  </sheetData>
  <conditionalFormatting sqref="C5 C7:C12">
    <cfRule type="cellIs" dxfId="233" priority="7" operator="lessThan">
      <formula>$J$3</formula>
    </cfRule>
    <cfRule type="cellIs" dxfId="232" priority="8" operator="greaterThan">
      <formula>$J$3</formula>
    </cfRule>
  </conditionalFormatting>
  <conditionalFormatting sqref="O6:O9">
    <cfRule type="cellIs" dxfId="231" priority="5" operator="lessThan">
      <formula>$J$3</formula>
    </cfRule>
    <cfRule type="cellIs" dxfId="230" priority="6" operator="greaterThan">
      <formula>$J$3</formula>
    </cfRule>
  </conditionalFormatting>
  <conditionalFormatting sqref="S6:S7">
    <cfRule type="cellIs" dxfId="229" priority="3" operator="lessThan">
      <formula>$J$3</formula>
    </cfRule>
    <cfRule type="cellIs" dxfId="228" priority="4" operator="greaterThan">
      <formula>$J$3</formula>
    </cfRule>
  </conditionalFormatting>
  <conditionalFormatting sqref="G13">
    <cfRule type="cellIs" dxfId="227" priority="1" operator="lessThan">
      <formula>$J$3</formula>
    </cfRule>
    <cfRule type="cellIs" dxfId="226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10.623653504123221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13.036742563192959</v>
      </c>
      <c r="K4" s="4">
        <f>(J4/D14-1)</f>
        <v>0.19274863341198167</v>
      </c>
    </row>
    <row r="5" spans="2:16">
      <c r="B5" s="37">
        <v>1.1100000000000001</v>
      </c>
      <c r="C5" s="26">
        <f>(D5/B5)</f>
        <v>9.8468468468468462</v>
      </c>
      <c r="D5" s="26">
        <v>10.93</v>
      </c>
      <c r="N5" t="s">
        <v>30</v>
      </c>
      <c r="O5" t="s">
        <v>1</v>
      </c>
      <c r="P5" t="s">
        <v>2</v>
      </c>
    </row>
    <row r="6" spans="2:16">
      <c r="B6" s="37">
        <v>8.7936070000000005E-2</v>
      </c>
      <c r="C6" s="26">
        <v>0</v>
      </c>
      <c r="D6" s="26">
        <f>(B6*C6)</f>
        <v>0</v>
      </c>
      <c r="E6" s="26">
        <f>(B6*J3)</f>
        <v>0.93420233819432486</v>
      </c>
      <c r="M6" t="s">
        <v>10</v>
      </c>
      <c r="N6" s="1">
        <f>(SUM($B$5:$B$7)/5)</f>
        <v>0.24542861000000005</v>
      </c>
      <c r="O6" s="26">
        <f>($C$5*[1]Params!K8)</f>
        <v>12.800900900900901</v>
      </c>
      <c r="P6" s="26">
        <f>(O6*N6)</f>
        <v>3.1417073148558563</v>
      </c>
    </row>
    <row r="7" spans="2:16">
      <c r="B7" s="49">
        <v>2.920698E-2</v>
      </c>
      <c r="C7" s="29">
        <v>0</v>
      </c>
      <c r="D7" s="30">
        <f>(C7*B7)</f>
        <v>0</v>
      </c>
      <c r="E7" s="26">
        <f>(B7*J4)</f>
        <v>0.3807638793083255</v>
      </c>
      <c r="N7" s="1">
        <f>(SUM($B$5:$B$7)/5)</f>
        <v>0.24542861000000005</v>
      </c>
      <c r="O7" s="26">
        <f>($C$5*[1]Params!K9)</f>
        <v>15.754954954954954</v>
      </c>
      <c r="P7" s="26">
        <f>(O7*N7)</f>
        <v>3.8667166952072076</v>
      </c>
    </row>
    <row r="8" spans="2:16">
      <c r="N8" s="1">
        <f>(SUM($B$5:$B$7)/5)</f>
        <v>0.24542861000000005</v>
      </c>
      <c r="O8" s="26">
        <f>($C$5*[1]Params!K10)</f>
        <v>21.663063063063063</v>
      </c>
      <c r="P8" s="26">
        <f>(O8*N8)</f>
        <v>5.3167354559099111</v>
      </c>
    </row>
    <row r="9" spans="2:16">
      <c r="N9" s="1">
        <f>(SUM($B$5:$B$7)/5)</f>
        <v>0.24542861000000005</v>
      </c>
      <c r="O9" s="26">
        <f>($C$5*[1]Params!K11)</f>
        <v>49.234234234234229</v>
      </c>
      <c r="P9" s="26">
        <f>(O9*N9)</f>
        <v>12.083489672522523</v>
      </c>
    </row>
    <row r="12" spans="2:16">
      <c r="P12" s="26">
        <f>(SUM(P6:P9))</f>
        <v>24.408649138495498</v>
      </c>
    </row>
    <row r="13" spans="2:16">
      <c r="F13" t="s">
        <v>12</v>
      </c>
      <c r="G13" s="26">
        <f>(D14/B14)</f>
        <v>8.9068670518893445</v>
      </c>
    </row>
    <row r="14" spans="2:16">
      <c r="B14" s="18">
        <f>(SUM(B5:B13))</f>
        <v>1.2271430500000002</v>
      </c>
      <c r="D14" s="26">
        <f>(SUM(D5:D13))</f>
        <v>10.93</v>
      </c>
    </row>
  </sheetData>
  <conditionalFormatting sqref="C5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O6:O9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32"/>
  <sheetViews>
    <sheetView tabSelected="1" workbookViewId="0">
      <selection activeCell="K30" sqref="K30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39.979233645181822</v>
      </c>
      <c r="M3" t="s">
        <v>4</v>
      </c>
      <c r="N3" s="23">
        <f>(INDEX(N5:N17,MATCH(MAX(O14:O16,O6:O8),O5:O17,0))/0.85)</f>
        <v>0.59400000000000008</v>
      </c>
      <c r="O3" s="27">
        <f>(MAX(O14:O16,O6:O8)*0.75)</f>
        <v>27.127959685086154</v>
      </c>
      <c r="P3" s="2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61.80158129508149</v>
      </c>
      <c r="K4" s="4">
        <f>(J4/D19-1)</f>
        <v>11.515695312173362</v>
      </c>
      <c r="R4" t="s">
        <v>5</v>
      </c>
      <c r="S4" t="s">
        <v>6</v>
      </c>
      <c r="T4" t="s">
        <v>7</v>
      </c>
    </row>
    <row r="5" spans="2:22">
      <c r="B5" s="23">
        <v>2.6595688200000001</v>
      </c>
      <c r="C5" s="26">
        <f>(D5/B5)</f>
        <v>16.732035533489221</v>
      </c>
      <c r="D5" s="26">
        <v>44.5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1.672825E-2</v>
      </c>
      <c r="S5" s="29">
        <v>0</v>
      </c>
      <c r="T5" s="30">
        <f>(D6)</f>
        <v>0</v>
      </c>
      <c r="U5" s="26">
        <f>(R5*J3)</f>
        <v>0.66878261522501281</v>
      </c>
    </row>
    <row r="6" spans="2:22">
      <c r="B6" s="24">
        <v>1.672825E-2</v>
      </c>
      <c r="C6" s="29">
        <v>0</v>
      </c>
      <c r="D6" s="30">
        <f>(B6*C6)</f>
        <v>0</v>
      </c>
      <c r="E6" s="26">
        <f>(B6*J3)</f>
        <v>0.66878261522501281</v>
      </c>
      <c r="M6" t="s">
        <v>10</v>
      </c>
      <c r="N6" s="23">
        <f>($B$5+$R$7)/5</f>
        <v>0.53837318000000001</v>
      </c>
      <c r="O6" s="26">
        <f>($C$5*[1]Params!K8)</f>
        <v>21.751646193535986</v>
      </c>
      <c r="P6" s="26">
        <f>(O6*N6)</f>
        <v>11.710502931448865</v>
      </c>
      <c r="Q6" t="s">
        <v>11</v>
      </c>
      <c r="R6" s="23">
        <f>B5+B13+B15+B17</f>
        <v>1.1612688200000001</v>
      </c>
      <c r="S6" s="26">
        <f>(T6/R6)</f>
        <v>18.746850535434163</v>
      </c>
      <c r="T6" s="26">
        <f>D5-(-B13-B15)*15.13+B17*15.25</f>
        <v>21.770133000000001</v>
      </c>
      <c r="U6" t="s">
        <v>15</v>
      </c>
    </row>
    <row r="7" spans="2:22">
      <c r="B7" s="23">
        <v>-7.17E-2</v>
      </c>
      <c r="C7" s="26">
        <f t="shared" ref="C7:C17" si="0">(D7/B7)</f>
        <v>15.79</v>
      </c>
      <c r="D7" s="26">
        <v>-1.1321429999999999</v>
      </c>
      <c r="N7" s="23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3">
        <f>(B7+B11+B8+B9)</f>
        <v>3.2297079999999992E-2</v>
      </c>
      <c r="S7" s="26">
        <v>0</v>
      </c>
      <c r="T7" s="26">
        <f>D7+D11+D8+D9</f>
        <v>-0.2036548899999997</v>
      </c>
      <c r="U7" t="s">
        <v>78</v>
      </c>
      <c r="V7" s="27">
        <f>-T7+R7*J3</f>
        <v>1.4948673973771283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3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3">
        <f>(B10)+B12+B14+B16</f>
        <v>0.33554791999999989</v>
      </c>
      <c r="S8" s="26">
        <f>(T8/R8)</f>
        <v>18.081247530904086</v>
      </c>
      <c r="T8" s="26">
        <f>(D10)-(-B12-B14-B16)*14.31</f>
        <v>6.0671249999999999</v>
      </c>
      <c r="U8" t="str">
        <f>E10</f>
        <v>DCA4</v>
      </c>
    </row>
    <row r="9" spans="2:22">
      <c r="B9" s="23">
        <v>0.12727869999999999</v>
      </c>
      <c r="C9" s="26">
        <f t="shared" si="0"/>
        <v>17.442038612902241</v>
      </c>
      <c r="D9" s="26">
        <v>2.2200000000000002</v>
      </c>
      <c r="N9" s="23">
        <f>4*($B$5+$R$7+R5)/5-N6-N7-N8</f>
        <v>0.62690214</v>
      </c>
      <c r="O9" s="26">
        <f>($S$6*[1]Params!K11)</f>
        <v>93.734252677170815</v>
      </c>
      <c r="P9" s="26">
        <f>(O9*N9)</f>
        <v>58.762203594619116</v>
      </c>
      <c r="R9" s="23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3">
        <v>0.74804791999999998</v>
      </c>
      <c r="C10" s="26">
        <f t="shared" si="0"/>
        <v>16.001648664433159</v>
      </c>
      <c r="D10" s="26">
        <v>11.97</v>
      </c>
      <c r="E10" t="s">
        <v>79</v>
      </c>
      <c r="R10" s="23">
        <f t="shared" si="1"/>
        <v>0</v>
      </c>
      <c r="S10" s="27">
        <v>0</v>
      </c>
      <c r="T10" s="27">
        <f>D13-B13*15.13</f>
        <v>-3.3300066700000004</v>
      </c>
    </row>
    <row r="11" spans="2:22">
      <c r="B11" s="23">
        <v>9.1074379999999996E-2</v>
      </c>
      <c r="C11" s="26">
        <f t="shared" si="0"/>
        <v>11.638838496622212</v>
      </c>
      <c r="D11" s="26">
        <v>1.06</v>
      </c>
      <c r="P11" s="26">
        <f>(SUM(P6:P9))</f>
        <v>100.86216521606798</v>
      </c>
      <c r="R11" s="23">
        <f t="shared" si="1"/>
        <v>0</v>
      </c>
      <c r="S11" s="27">
        <v>0</v>
      </c>
      <c r="T11" s="27">
        <f>D14-B14*14.31</f>
        <v>-1.1646581099999997</v>
      </c>
    </row>
    <row r="12" spans="2:22">
      <c r="B12" s="23">
        <v>-0.13750000000000001</v>
      </c>
      <c r="C12" s="26">
        <f t="shared" si="0"/>
        <v>18.539550399999996</v>
      </c>
      <c r="D12" s="26">
        <v>-2.5491881799999998</v>
      </c>
      <c r="P12" s="26"/>
      <c r="R12" s="23">
        <f t="shared" si="1"/>
        <v>0</v>
      </c>
      <c r="S12" s="27">
        <v>0</v>
      </c>
      <c r="T12" s="27">
        <f>D15-B15*15.13</f>
        <v>-4.611845230000001</v>
      </c>
    </row>
    <row r="13" spans="2:22">
      <c r="B13" s="23">
        <v>-0.49669999999999997</v>
      </c>
      <c r="C13" s="26">
        <f t="shared" si="0"/>
        <v>21.834261465673446</v>
      </c>
      <c r="D13" s="26">
        <v>-10.84507767</v>
      </c>
      <c r="M13" t="s">
        <v>79</v>
      </c>
      <c r="N13" t="s">
        <v>30</v>
      </c>
      <c r="O13" t="s">
        <v>1</v>
      </c>
      <c r="P13" t="s">
        <v>2</v>
      </c>
      <c r="R13" s="23">
        <f t="shared" si="1"/>
        <v>0</v>
      </c>
      <c r="S13" s="27">
        <v>0</v>
      </c>
      <c r="T13" s="27">
        <f>D16-B16*14.31</f>
        <v>-2.4447861399999997</v>
      </c>
    </row>
    <row r="14" spans="2:22">
      <c r="B14" s="23">
        <v>-0.13700000000000001</v>
      </c>
      <c r="C14" s="26">
        <f t="shared" si="0"/>
        <v>22.811154087591238</v>
      </c>
      <c r="D14" s="26">
        <f>-3.12512811</f>
        <v>-3.1251281099999999</v>
      </c>
      <c r="M14" t="s">
        <v>10</v>
      </c>
      <c r="N14" s="23">
        <f>-B12</f>
        <v>0.13750000000000001</v>
      </c>
      <c r="O14" s="26">
        <f>18.6</f>
        <v>18.600000000000001</v>
      </c>
      <c r="P14" s="26">
        <f>-D12</f>
        <v>2.5491881799999998</v>
      </c>
      <c r="Q14" t="s">
        <v>11</v>
      </c>
      <c r="R14" s="23">
        <f t="shared" si="1"/>
        <v>0</v>
      </c>
      <c r="T14" s="27">
        <f>D17-B17*15.25</f>
        <v>-10.562817459999998</v>
      </c>
    </row>
    <row r="15" spans="2:22">
      <c r="B15" s="23">
        <v>-0.49669999999999997</v>
      </c>
      <c r="C15" s="26">
        <f t="shared" si="0"/>
        <v>24.414971270384541</v>
      </c>
      <c r="D15" s="26">
        <v>-12.126916230000001</v>
      </c>
      <c r="N15" s="23">
        <f>-B14</f>
        <v>0.13700000000000001</v>
      </c>
      <c r="O15" s="26">
        <f>C14</f>
        <v>22.811154087591238</v>
      </c>
      <c r="P15" s="26">
        <f>-D14</f>
        <v>3.1251281099999999</v>
      </c>
      <c r="Q15" t="s">
        <v>11</v>
      </c>
    </row>
    <row r="16" spans="2:22">
      <c r="B16" s="23">
        <v>-0.13800000000000001</v>
      </c>
      <c r="C16" s="26">
        <f t="shared" si="0"/>
        <v>32.025841594202895</v>
      </c>
      <c r="D16" s="26">
        <v>-4.4195661399999997</v>
      </c>
      <c r="N16" s="23">
        <f>-B16</f>
        <v>0.13800000000000001</v>
      </c>
      <c r="O16" s="26">
        <f>C16</f>
        <v>32.025841594202895</v>
      </c>
      <c r="P16" s="26">
        <f>-D16</f>
        <v>4.4195661399999997</v>
      </c>
      <c r="Q16" t="s">
        <v>11</v>
      </c>
    </row>
    <row r="17" spans="2:20">
      <c r="B17" s="23">
        <v>-0.50490000000000002</v>
      </c>
      <c r="C17" s="26">
        <f t="shared" si="0"/>
        <v>36.170612913448203</v>
      </c>
      <c r="D17" s="26">
        <v>-18.262542459999999</v>
      </c>
      <c r="N17" s="23">
        <f>4*($B$10)/5-N14-N15-N16</f>
        <v>0.18593833599999993</v>
      </c>
      <c r="O17" s="26">
        <f>($S$8*[1]Params!K11)</f>
        <v>90.406237654520424</v>
      </c>
      <c r="P17" s="26">
        <f>(O17*N17)</f>
        <v>16.809985393502064</v>
      </c>
    </row>
    <row r="18" spans="2:20">
      <c r="F18" t="s">
        <v>12</v>
      </c>
      <c r="G18" s="26">
        <f>(D19/B19)</f>
        <v>3.1943278138367681</v>
      </c>
    </row>
    <row r="19" spans="2:20">
      <c r="B19" s="23">
        <f>(SUM(B5:B18))</f>
        <v>1.5458420699999995</v>
      </c>
      <c r="D19" s="26">
        <f>(SUM(D5:D18))</f>
        <v>4.9379263200000025</v>
      </c>
      <c r="P19" s="26">
        <f>(SUM(P14:P17))</f>
        <v>26.903867823502065</v>
      </c>
      <c r="R19" s="23">
        <f>(SUM(R5:R18))</f>
        <v>1.54584207</v>
      </c>
      <c r="T19" s="26">
        <f>(SUM(T5:T18))</f>
        <v>4.9379263200000043</v>
      </c>
    </row>
    <row r="32" spans="2:20">
      <c r="R32" s="27">
        <f>D19/B19</f>
        <v>3.1943278138367681</v>
      </c>
    </row>
  </sheetData>
  <conditionalFormatting sqref="C5 C9:C11 G18 O9 O17 S6 S8">
    <cfRule type="cellIs" dxfId="219" priority="19" operator="lessThan">
      <formula>$J$3</formula>
    </cfRule>
    <cfRule type="cellIs" dxfId="218" priority="20" operator="greaterThan">
      <formula>$J$3</formula>
    </cfRule>
  </conditionalFormatting>
  <conditionalFormatting sqref="O3">
    <cfRule type="cellIs" dxfId="217" priority="1" operator="greaterThan">
      <formula>$J$3</formula>
    </cfRule>
    <cfRule type="cellIs" dxfId="21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3" spans="2:20">
      <c r="I3" t="s">
        <v>3</v>
      </c>
      <c r="J3" s="50">
        <v>3.8210546582103551E-3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(B13*J3)</f>
        <v>3.6502009323088842</v>
      </c>
      <c r="K4" s="4">
        <f>(J4/D13-1)</f>
        <v>0.28883948769469114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0">
        <f t="shared" ref="C5:C11" si="0">(D5/B5)</f>
        <v>3.3950093362756749E-3</v>
      </c>
      <c r="D5" s="26">
        <v>3</v>
      </c>
      <c r="E5" t="s">
        <v>80</v>
      </c>
      <c r="N5" t="s">
        <v>30</v>
      </c>
      <c r="O5" t="s">
        <v>1</v>
      </c>
      <c r="P5" t="s">
        <v>2</v>
      </c>
      <c r="R5" s="18">
        <f>(B5)</f>
        <v>883.65</v>
      </c>
      <c r="S5" s="50">
        <f>(T5/R5)</f>
        <v>3.3950093362756749E-3</v>
      </c>
      <c r="T5" s="27">
        <f>(D5)</f>
        <v>3</v>
      </c>
    </row>
    <row r="6" spans="2:20">
      <c r="B6" s="18">
        <v>-170.21276596000001</v>
      </c>
      <c r="C6" s="50">
        <f t="shared" si="0"/>
        <v>4.5729766249314055E-3</v>
      </c>
      <c r="D6" s="26">
        <v>-0.77837900000000004</v>
      </c>
      <c r="M6" t="s">
        <v>10</v>
      </c>
      <c r="N6" s="18">
        <f>(($B$5+$R$6)/5)</f>
        <v>191.05724773999998</v>
      </c>
      <c r="O6" s="50">
        <f>($C$5*[1]Params!K8)</f>
        <v>4.4135121371583772E-3</v>
      </c>
      <c r="P6" s="26">
        <f>(O6*N6)</f>
        <v>0.84323348179256485</v>
      </c>
      <c r="R6" s="18">
        <f>(SUM(B6:B11))</f>
        <v>71.63623869999995</v>
      </c>
      <c r="S6" s="50">
        <v>0</v>
      </c>
      <c r="T6" s="27">
        <f>(SUM(D6:D11))</f>
        <v>-0.16783900000000007</v>
      </c>
    </row>
    <row r="7" spans="2:20">
      <c r="B7" s="18">
        <v>-175.57251908000001</v>
      </c>
      <c r="C7" s="50">
        <f t="shared" si="0"/>
        <v>5.0894468262020218E-3</v>
      </c>
      <c r="D7" s="26">
        <v>-0.893567</v>
      </c>
      <c r="N7" s="18">
        <f>(($B$5+$R$6)/5)</f>
        <v>191.05724773999998</v>
      </c>
      <c r="O7" s="50">
        <f>($C$5*[1]Params!K9)</f>
        <v>5.4320149380410803E-3</v>
      </c>
      <c r="P7" s="26">
        <f>(O7*N7)</f>
        <v>1.0378258237446953</v>
      </c>
      <c r="S7" s="50"/>
    </row>
    <row r="8" spans="2:20">
      <c r="B8" s="18">
        <v>-167.78523490000001</v>
      </c>
      <c r="C8" s="50">
        <f t="shared" si="0"/>
        <v>7.2337771599710653E-3</v>
      </c>
      <c r="D8" s="26">
        <v>-1.213721</v>
      </c>
      <c r="N8" s="18">
        <f>(($B$5+$R$6)/5)</f>
        <v>191.05724773999998</v>
      </c>
      <c r="O8" s="50">
        <f>($C$5*[1]Params!K10)</f>
        <v>7.4690205398064849E-3</v>
      </c>
      <c r="P8" s="26">
        <f>(O8*N8)</f>
        <v>1.4270105076489559</v>
      </c>
    </row>
    <row r="9" spans="2:20">
      <c r="B9" s="18">
        <v>196.03891277</v>
      </c>
      <c r="C9" s="50">
        <f t="shared" si="0"/>
        <v>5.7642178485542315E-3</v>
      </c>
      <c r="D9" s="26">
        <v>1.1300110000000001</v>
      </c>
      <c r="N9" s="18">
        <f>(($B$5+$R$6)/5)</f>
        <v>191.05724773999998</v>
      </c>
      <c r="O9" s="50">
        <f>($C$5*[1]Params!K11)</f>
        <v>1.6975046681378374E-2</v>
      </c>
      <c r="P9" s="26">
        <f>(O9*N9)</f>
        <v>3.2432056992021727</v>
      </c>
    </row>
    <row r="10" spans="2:20">
      <c r="B10" s="18">
        <v>197.79050007999999</v>
      </c>
      <c r="C10" s="50">
        <f t="shared" si="0"/>
        <v>4.2977797197346571E-3</v>
      </c>
      <c r="D10" s="26">
        <v>0.85006000000000004</v>
      </c>
    </row>
    <row r="11" spans="2:20">
      <c r="B11" s="18">
        <v>191.37734578999999</v>
      </c>
      <c r="C11" s="50">
        <f t="shared" si="0"/>
        <v>3.8549860588491342E-3</v>
      </c>
      <c r="D11" s="26">
        <v>0.737757</v>
      </c>
    </row>
    <row r="12" spans="2:20">
      <c r="F12" t="s">
        <v>12</v>
      </c>
      <c r="G12" s="50">
        <f>(D13/B13)</f>
        <v>2.9647250062495851E-3</v>
      </c>
      <c r="P12" s="26">
        <f>(SUM(P6:P9))</f>
        <v>6.5512755123883881</v>
      </c>
    </row>
    <row r="13" spans="2:20">
      <c r="B13">
        <f>(SUM(B5:B12))</f>
        <v>955.28623870000001</v>
      </c>
      <c r="D13" s="27">
        <f>(SUM(D5:D12))</f>
        <v>2.8321610000000002</v>
      </c>
    </row>
    <row r="15" spans="2:20">
      <c r="R15">
        <f>(SUM(R5:R14))</f>
        <v>955.2862386999999</v>
      </c>
      <c r="T15" s="27">
        <f>(SUM(T5:T14))</f>
        <v>2.8321610000000002</v>
      </c>
    </row>
    <row r="19" spans="11:11">
      <c r="K19" s="27"/>
    </row>
  </sheetData>
  <conditionalFormatting sqref="C5">
    <cfRule type="cellIs" dxfId="215" priority="17" operator="lessThan">
      <formula>$J$3</formula>
    </cfRule>
    <cfRule type="cellIs" dxfId="214" priority="18" operator="greaterThan">
      <formula>$J$3</formula>
    </cfRule>
  </conditionalFormatting>
  <conditionalFormatting sqref="C9:C11">
    <cfRule type="cellIs" dxfId="213" priority="15" operator="lessThan">
      <formula>$J$3</formula>
    </cfRule>
    <cfRule type="cellIs" dxfId="212" priority="16" operator="greaterThan">
      <formula>$J$3</formula>
    </cfRule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O6:O9">
    <cfRule type="cellIs" dxfId="209" priority="11" operator="lessThan">
      <formula>$J$3</formula>
    </cfRule>
    <cfRule type="cellIs" dxfId="208" priority="12" operator="greaterThan">
      <formula>$J$3</formula>
    </cfRule>
    <cfRule type="cellIs" dxfId="207" priority="9" operator="lessThan">
      <formula>$J$3</formula>
    </cfRule>
    <cfRule type="cellIs" dxfId="206" priority="10" operator="greaterThan">
      <formula>$J$3</formula>
    </cfRule>
  </conditionalFormatting>
  <conditionalFormatting sqref="S5">
    <cfRule type="cellIs" dxfId="205" priority="7" operator="lessThan">
      <formula>$J$3</formula>
    </cfRule>
    <cfRule type="cellIs" dxfId="204" priority="8" operator="greaterThan">
      <formula>$J$3</formula>
    </cfRule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G12">
    <cfRule type="cellIs" dxfId="201" priority="3" operator="lessThan">
      <formula>$J$3</formula>
    </cfRule>
    <cfRule type="cellIs" dxfId="200" priority="4" operator="greaterThan">
      <formula>$J$3</formula>
    </cfRule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6">
        <v>352.55380509034802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264.63118373169925</v>
      </c>
      <c r="K4" s="4">
        <f>(J4/D17-1)</f>
        <v>0.2562494996669169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1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1">
        <v>6.6478800000000001E-3</v>
      </c>
      <c r="C6" s="26">
        <v>373</v>
      </c>
      <c r="D6" s="26">
        <f>(C6*B6)</f>
        <v>2.4796592400000002</v>
      </c>
      <c r="M6" t="s">
        <v>10</v>
      </c>
      <c r="N6" s="23">
        <f>($R$8/5)</f>
        <v>0.11656644400000001</v>
      </c>
      <c r="O6" s="26">
        <f>($S$8*[1]Params!K8)</f>
        <v>370.64011320444837</v>
      </c>
      <c r="P6" s="26">
        <f>(O6*N6)</f>
        <v>43.204199999999993</v>
      </c>
      <c r="R6" s="51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1">
        <v>2.3499999999999999E-4</v>
      </c>
      <c r="C7" s="26">
        <v>0</v>
      </c>
      <c r="D7" s="26">
        <v>0</v>
      </c>
      <c r="E7" s="26">
        <f>(B7*J3)</f>
        <v>8.2850144196231781E-2</v>
      </c>
      <c r="I7" t="s">
        <v>10</v>
      </c>
      <c r="J7">
        <v>1</v>
      </c>
      <c r="N7" s="23">
        <f>($R$8/5)</f>
        <v>0.11656644400000001</v>
      </c>
      <c r="O7" s="26">
        <f>($S$8*[1]Params!K9)</f>
        <v>456.17244702085958</v>
      </c>
      <c r="P7" s="26">
        <f>(O7*N7)</f>
        <v>53.174399999999999</v>
      </c>
      <c r="R7" s="51">
        <f>(B7+B8+B10)</f>
        <v>3.07048E-3</v>
      </c>
      <c r="S7" s="26">
        <f>(C7)</f>
        <v>0</v>
      </c>
      <c r="T7" s="26">
        <f>(R7*S7)</f>
        <v>0</v>
      </c>
    </row>
    <row r="8" spans="2:21">
      <c r="B8" s="51">
        <v>9.4980000000000002E-5</v>
      </c>
      <c r="C8" s="26">
        <v>0</v>
      </c>
      <c r="D8" s="26">
        <v>0</v>
      </c>
      <c r="E8" s="26">
        <f>(B8*J3)</f>
        <v>3.3485560407481255E-2</v>
      </c>
      <c r="I8" t="s">
        <v>13</v>
      </c>
      <c r="J8" s="51">
        <f>(J7-B17)</f>
        <v>0.24938780999999999</v>
      </c>
      <c r="N8" s="23">
        <f>($R$8/5)</f>
        <v>0.11656644400000001</v>
      </c>
      <c r="O8" s="26">
        <f>($S$8*[1]Params!K10)</f>
        <v>627.23711465368194</v>
      </c>
      <c r="P8" s="26">
        <f>(O8*N8)</f>
        <v>73.114800000000002</v>
      </c>
      <c r="R8" s="51">
        <f>(B11)</f>
        <v>0.58283222000000001</v>
      </c>
      <c r="S8" s="26">
        <f>(C11)</f>
        <v>285.10777938803722</v>
      </c>
      <c r="T8" s="26">
        <f>(R8*S8)</f>
        <v>166.17</v>
      </c>
      <c r="U8" t="s">
        <v>9</v>
      </c>
    </row>
    <row r="9" spans="2:21">
      <c r="B9" s="51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2">
        <f>(J8*J3)</f>
        <v>87.92262135864874</v>
      </c>
      <c r="N9" s="23">
        <f>($R$8/5)</f>
        <v>0.11656644400000001</v>
      </c>
      <c r="O9" s="26">
        <f>($S$8*[1]Params!K11)</f>
        <v>1425.5388969401861</v>
      </c>
      <c r="P9" s="26">
        <f>(O9*N9)</f>
        <v>166.17</v>
      </c>
      <c r="R9" s="51">
        <f>(B12)</f>
        <v>0.15496513000000001</v>
      </c>
      <c r="S9" s="26">
        <f>(C12)</f>
        <v>287.16137623993217</v>
      </c>
      <c r="T9" s="26">
        <f>(R9*S9)</f>
        <v>44.5</v>
      </c>
      <c r="U9" t="s">
        <v>15</v>
      </c>
    </row>
    <row r="10" spans="2:21">
      <c r="B10" s="52">
        <v>2.7404999999999999E-3</v>
      </c>
      <c r="C10" s="29">
        <v>0</v>
      </c>
      <c r="D10" s="30">
        <v>0</v>
      </c>
      <c r="E10" s="26">
        <f>(B10*J3)</f>
        <v>0.96617370285009874</v>
      </c>
      <c r="P10" s="26"/>
      <c r="R10" s="51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1">
        <v>0.58283222000000001</v>
      </c>
      <c r="C11" s="26">
        <f>(D11/B11)</f>
        <v>285.10777938803722</v>
      </c>
      <c r="D11" s="26">
        <v>166.17</v>
      </c>
      <c r="E11" t="s">
        <v>9</v>
      </c>
      <c r="P11" s="26">
        <f>(SUM(P6:P9))</f>
        <v>335.66340000000002</v>
      </c>
    </row>
    <row r="12" spans="2:21">
      <c r="B12" s="51">
        <v>0.15496513000000001</v>
      </c>
      <c r="C12" s="26">
        <f>(D12/B12)</f>
        <v>287.16137623993217</v>
      </c>
      <c r="D12" s="26">
        <v>44.5</v>
      </c>
      <c r="E12" t="s">
        <v>15</v>
      </c>
    </row>
    <row r="13" spans="2:21">
      <c r="B13" s="51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1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3">
        <f>($R$9/5)</f>
        <v>3.0993026E-2</v>
      </c>
      <c r="O14" s="26">
        <f>($S$9*[1]Params!K8)</f>
        <v>373.30978911191181</v>
      </c>
      <c r="P14" s="26">
        <f>(O14*N14)</f>
        <v>11.57</v>
      </c>
    </row>
    <row r="15" spans="2:21">
      <c r="B15" s="51">
        <v>-0.29399999999999998</v>
      </c>
      <c r="C15" s="26">
        <f>(D15/B15)</f>
        <v>244.75500000000002</v>
      </c>
      <c r="D15" s="26">
        <v>-71.957970000000003</v>
      </c>
      <c r="N15" s="23">
        <f>($R$9/5)</f>
        <v>3.0993026E-2</v>
      </c>
      <c r="O15" s="26">
        <f>($S$9*[1]Params!K9)</f>
        <v>459.45820198389151</v>
      </c>
      <c r="P15" s="26">
        <f>(O15*N15)</f>
        <v>14.240000000000002</v>
      </c>
    </row>
    <row r="16" spans="2:21">
      <c r="N16" s="23">
        <f>($R$9/5)</f>
        <v>3.0993026E-2</v>
      </c>
      <c r="O16" s="26">
        <f>($S$9*[1]Params!K10)</f>
        <v>631.7550277278508</v>
      </c>
      <c r="P16" s="26">
        <f>(O16*N16)</f>
        <v>19.580000000000002</v>
      </c>
    </row>
    <row r="17" spans="2:16">
      <c r="B17" s="51">
        <f>(SUM(B5:B16))</f>
        <v>0.75061219000000001</v>
      </c>
      <c r="D17" s="26">
        <f>(SUM(D5:D16))</f>
        <v>210.65177244</v>
      </c>
      <c r="F17" t="s">
        <v>12</v>
      </c>
      <c r="G17" s="26">
        <f>(SUM(D5:D16)/SUM(B5:B16))</f>
        <v>280.63995661994244</v>
      </c>
      <c r="N17" s="23">
        <f>($R$9/5)</f>
        <v>3.0993026E-2</v>
      </c>
      <c r="O17" s="26">
        <f>($S$9*[1]Params!K11)</f>
        <v>1435.8068811996609</v>
      </c>
      <c r="P17" s="26">
        <f>(O17*N17)</f>
        <v>44.5</v>
      </c>
    </row>
    <row r="18" spans="2:16">
      <c r="P18" s="26"/>
    </row>
    <row r="19" spans="2:16">
      <c r="P19" s="26">
        <f>(SUM(P14:P17))</f>
        <v>89.89</v>
      </c>
    </row>
    <row r="22" spans="2:16">
      <c r="N22" s="23"/>
      <c r="O22" s="26"/>
      <c r="P22" s="26"/>
    </row>
    <row r="23" spans="2:16">
      <c r="N23" s="23"/>
      <c r="O23" s="26"/>
      <c r="P23" s="26"/>
    </row>
    <row r="24" spans="2:16">
      <c r="N24" s="23"/>
      <c r="O24" s="26"/>
      <c r="P24" s="26"/>
    </row>
    <row r="25" spans="2:16">
      <c r="N25" s="23"/>
      <c r="O25" s="26"/>
      <c r="P25" s="26"/>
    </row>
    <row r="26" spans="2:16">
      <c r="P26" s="26"/>
    </row>
    <row r="27" spans="2:16">
      <c r="P27" s="26"/>
    </row>
    <row r="37" spans="18:20">
      <c r="R37" s="51">
        <f>(SUM(R5:R27))</f>
        <v>0.75061219000000001</v>
      </c>
      <c r="T37" s="26">
        <f>(SUM(T5:T27))</f>
        <v>210.65177244</v>
      </c>
    </row>
  </sheetData>
  <conditionalFormatting sqref="C5:C6 C9 C11:C14 O6:O9 O14 S5:S6 S8:S9">
    <cfRule type="cellIs" dxfId="197" priority="11" operator="lessThan">
      <formula>$J$3</formula>
    </cfRule>
    <cfRule type="cellIs" dxfId="196" priority="12" operator="greaterThan">
      <formula>$J$3</formula>
    </cfRule>
  </conditionalFormatting>
  <conditionalFormatting sqref="O15:O17">
    <cfRule type="cellIs" dxfId="195" priority="7" operator="lessThan">
      <formula>$J$3</formula>
    </cfRule>
    <cfRule type="cellIs" dxfId="194" priority="8" operator="greaterThan">
      <formula>$J$3</formula>
    </cfRule>
  </conditionalFormatting>
  <conditionalFormatting sqref="G17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3">
        <v>8.6420755711851344E-2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5.3071683014190265</v>
      </c>
      <c r="K4" s="4">
        <f>(J4/D13-1)</f>
        <v>6.1433660283805258E-2</v>
      </c>
    </row>
    <row r="5" spans="2:16">
      <c r="B5" s="37">
        <v>61.119118389999997</v>
      </c>
      <c r="C5" s="47">
        <f>(D5/B5)</f>
        <v>8.1807462733593267E-2</v>
      </c>
      <c r="D5" s="26">
        <v>5</v>
      </c>
      <c r="N5" t="s">
        <v>30</v>
      </c>
      <c r="O5" t="s">
        <v>1</v>
      </c>
      <c r="P5" t="s">
        <v>2</v>
      </c>
    </row>
    <row r="6" spans="2:16">
      <c r="B6" s="49">
        <v>0.29168804999999998</v>
      </c>
      <c r="C6" s="29">
        <v>0</v>
      </c>
      <c r="D6" s="30">
        <f>(B6*C6)</f>
        <v>0</v>
      </c>
      <c r="E6" s="26">
        <f>(B6*J3)</f>
        <v>2.5207901713116279E-2</v>
      </c>
      <c r="M6" t="s">
        <v>10</v>
      </c>
      <c r="N6" s="37">
        <f>($B$13/5)</f>
        <v>12.282161287999999</v>
      </c>
      <c r="O6" s="26">
        <f>($C$5*[1]Params!K8)</f>
        <v>0.10634970155367125</v>
      </c>
      <c r="P6" s="26">
        <f>(O6*N6)</f>
        <v>1.3062041874128545</v>
      </c>
    </row>
    <row r="7" spans="2:16">
      <c r="N7" s="37">
        <f>($B$13/5)</f>
        <v>12.282161287999999</v>
      </c>
      <c r="O7" s="26">
        <f>($C$5*[1]Params!K9)</f>
        <v>0.13089194037374924</v>
      </c>
      <c r="P7" s="26">
        <f>(O7*N7)</f>
        <v>1.6076359229696671</v>
      </c>
    </row>
    <row r="8" spans="2:16">
      <c r="N8" s="37">
        <f>($B$13/5)</f>
        <v>12.282161287999999</v>
      </c>
      <c r="O8" s="26">
        <f>($C$5*[1]Params!K10)</f>
        <v>0.17997641801390521</v>
      </c>
      <c r="P8" s="26">
        <f>(O8*N8)</f>
        <v>2.2104993940832922</v>
      </c>
    </row>
    <row r="9" spans="2:16">
      <c r="N9" s="37">
        <f>($B$13/5)</f>
        <v>12.282161287999999</v>
      </c>
      <c r="O9" s="26">
        <f>($C$5*[1]Params!K11)</f>
        <v>0.40903731366796636</v>
      </c>
      <c r="P9" s="26">
        <f>(O9*N9)</f>
        <v>5.0238622592802091</v>
      </c>
    </row>
    <row r="11" spans="2:16">
      <c r="P11" s="26">
        <f>(SUM(P6:P9))</f>
        <v>10.148201763746023</v>
      </c>
    </row>
    <row r="12" spans="2:16">
      <c r="F12" t="s">
        <v>12</v>
      </c>
      <c r="G12" s="26">
        <f>(D13/B13)</f>
        <v>8.1418894977142733E-2</v>
      </c>
    </row>
    <row r="13" spans="2:16">
      <c r="B13" s="37">
        <f>(SUM(B5:B12))</f>
        <v>61.410806439999995</v>
      </c>
      <c r="D13" s="26">
        <f>(SUM(D5:D12))</f>
        <v>5</v>
      </c>
    </row>
  </sheetData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C5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2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0" sqref="M20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7.8021198330366106</v>
      </c>
      <c r="M3" t="s">
        <v>4</v>
      </c>
      <c r="N3" s="23">
        <f>(INDEX(N5:N17,MATCH(MAX(O6),O5:O17,0))/0.85)</f>
        <v>1.6154117647058823</v>
      </c>
      <c r="O3" s="27">
        <f>(MAX(O6)*0.75)</f>
        <v>5.4043818112300634</v>
      </c>
      <c r="P3" s="47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52.475631223350376</v>
      </c>
      <c r="K4" s="4">
        <f>(J4/D15-1)</f>
        <v>0.55408131934690941</v>
      </c>
      <c r="R4" t="s">
        <v>5</v>
      </c>
      <c r="S4" t="s">
        <v>6</v>
      </c>
      <c r="T4" t="s">
        <v>7</v>
      </c>
    </row>
    <row r="5" spans="2:21">
      <c r="B5" s="23">
        <v>7.7613180799999997</v>
      </c>
      <c r="C5" s="26">
        <f>(D5/B5)</f>
        <v>5.733562204423917</v>
      </c>
      <c r="D5" s="26">
        <v>44.5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7.9817600000000002E-2</v>
      </c>
      <c r="S5" s="29">
        <v>0</v>
      </c>
      <c r="T5" s="30">
        <f>(D6)</f>
        <v>0</v>
      </c>
      <c r="U5">
        <f>(R5*J3)</f>
        <v>0.62274647998538302</v>
      </c>
    </row>
    <row r="6" spans="2:21">
      <c r="B6" s="24">
        <v>7.9817600000000002E-2</v>
      </c>
      <c r="C6" s="29">
        <v>0</v>
      </c>
      <c r="D6" s="30">
        <f>(B6*C6)</f>
        <v>0</v>
      </c>
      <c r="E6" s="26">
        <f>(B6*J3)</f>
        <v>0.62274647998538302</v>
      </c>
      <c r="M6" t="s">
        <v>10</v>
      </c>
      <c r="N6" s="23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3">
        <f>B5+B11</f>
        <v>6.3882180799999997</v>
      </c>
      <c r="S6" s="26">
        <f>(T6/R6)</f>
        <v>5.77516696173904</v>
      </c>
      <c r="T6" s="26">
        <f>D5+B11*5.54</f>
        <v>36.893025999999999</v>
      </c>
      <c r="U6" t="s">
        <v>15</v>
      </c>
    </row>
    <row r="7" spans="2:21">
      <c r="B7" s="23">
        <v>0.11156135</v>
      </c>
      <c r="C7" s="26">
        <f>(D7/B7)</f>
        <v>4.4818389164347687</v>
      </c>
      <c r="D7" s="26">
        <v>0.5</v>
      </c>
      <c r="N7" s="23">
        <f>2*($B$15+$N$6)/5-$N$6</f>
        <v>1.8664668520000003</v>
      </c>
      <c r="O7" s="26">
        <f>($C$5*[1]Params!K9)</f>
        <v>9.1736995270782682</v>
      </c>
      <c r="P7" s="26">
        <f>(O7*N7)</f>
        <v>17.122406077499665</v>
      </c>
      <c r="R7" s="23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3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3">
        <f>2*($B$15+$N$6)/5-$N$6</f>
        <v>1.8664668520000003</v>
      </c>
      <c r="O8" s="26">
        <f>($C$5*[1]Params!K10)</f>
        <v>12.613836849732618</v>
      </c>
      <c r="P8" s="26">
        <f>(O8*N8)</f>
        <v>23.54330835656204</v>
      </c>
      <c r="R8" s="23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3">
        <f>2*($B$15+$N$6)/5-$N$6</f>
        <v>1.8664668520000003</v>
      </c>
      <c r="O9" s="26">
        <f>($C$5*[1]Params!K11)</f>
        <v>28.667811022119587</v>
      </c>
      <c r="P9" s="26">
        <f>(O9*N9)</f>
        <v>53.507518992186455</v>
      </c>
      <c r="R9" s="23">
        <f>B11-B11</f>
        <v>0</v>
      </c>
      <c r="S9" s="26">
        <v>0</v>
      </c>
      <c r="T9" s="27">
        <f>D11-B11*5.54</f>
        <v>-2.2873682200000003</v>
      </c>
    </row>
    <row r="10" spans="2:21">
      <c r="B10" s="23">
        <v>0.21193237000000001</v>
      </c>
      <c r="C10" s="26">
        <f>D10/B10</f>
        <v>5.0487804199047082</v>
      </c>
      <c r="D10" s="26">
        <v>1.07</v>
      </c>
      <c r="N10" s="23"/>
      <c r="P10" s="26"/>
      <c r="R10" s="23"/>
      <c r="S10" s="26"/>
      <c r="T10" s="27"/>
    </row>
    <row r="11" spans="2:21">
      <c r="B11" s="23">
        <v>-1.3731</v>
      </c>
      <c r="C11" s="26">
        <f>(D11/B11)</f>
        <v>7.2058424149734179</v>
      </c>
      <c r="D11" s="26">
        <f>-9.89434222</f>
        <v>-9.8943422200000004</v>
      </c>
      <c r="N11" s="23"/>
      <c r="P11" s="26"/>
    </row>
    <row r="12" spans="2:21">
      <c r="B12" s="23">
        <v>-1.53</v>
      </c>
      <c r="C12" s="26">
        <f>(D12/B12)</f>
        <v>9.0102145686274504</v>
      </c>
      <c r="D12" s="26">
        <v>-13.78562829</v>
      </c>
      <c r="N12" s="23"/>
      <c r="P12" s="26">
        <f>(SUM(P6:P9))</f>
        <v>104.06757564624817</v>
      </c>
    </row>
    <row r="13" spans="2:21">
      <c r="B13" s="23">
        <v>1.7</v>
      </c>
      <c r="C13" s="26">
        <f>(D13/B13)</f>
        <v>7.4423309411764702</v>
      </c>
      <c r="D13" s="26">
        <v>12.651962599999999</v>
      </c>
      <c r="N13" s="23"/>
      <c r="P13" s="26"/>
    </row>
    <row r="14" spans="2:21">
      <c r="F14" t="s">
        <v>12</v>
      </c>
      <c r="G14" s="26">
        <f>(D15/B15)</f>
        <v>5.0204064201192455</v>
      </c>
      <c r="N14" s="23"/>
      <c r="P14" s="26"/>
      <c r="R14" s="23">
        <f>(SUM(R5:R12))</f>
        <v>6.7258171299999994</v>
      </c>
      <c r="T14" s="26">
        <f>(SUM(T5:T12))</f>
        <v>33.766335500000004</v>
      </c>
    </row>
    <row r="15" spans="2:21">
      <c r="B15">
        <f>(SUM(B5:B14))</f>
        <v>6.7258171300000003</v>
      </c>
      <c r="D15" s="26">
        <f>(SUM(D5:D14))</f>
        <v>33.766335499999997</v>
      </c>
    </row>
    <row r="16" spans="2:21">
      <c r="N16" s="23"/>
      <c r="O16" s="26"/>
      <c r="P16" s="26"/>
    </row>
    <row r="17" spans="7:16">
      <c r="N17" s="23"/>
      <c r="O17" s="26"/>
      <c r="P17" s="26"/>
    </row>
    <row r="18" spans="7:16">
      <c r="N18" s="23"/>
      <c r="O18" s="26"/>
      <c r="P18" s="26"/>
    </row>
    <row r="19" spans="7:16">
      <c r="N19" s="23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85" priority="19" operator="lessThan">
      <formula>$J$3</formula>
    </cfRule>
    <cfRule type="cellIs" dxfId="184" priority="20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C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59.947728295981648</v>
      </c>
      <c r="M3" t="s">
        <v>4</v>
      </c>
      <c r="N3" s="23">
        <f>(INDEX(N5:N16,MATCH(MAX(O6),O5:O16,0))/0.85)</f>
        <v>2.9117647058823533E-2</v>
      </c>
      <c r="O3" s="27">
        <f>(MAX(O6)*0.75)</f>
        <v>43.077097272727272</v>
      </c>
      <c r="P3" s="47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6.2429042702199107</v>
      </c>
      <c r="K4" s="4">
        <f>(J4/D13-1)</f>
        <v>0.64967240307310159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6">
        <v>43.03</v>
      </c>
      <c r="D5" s="26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4">
        <v>2.99811E-3</v>
      </c>
      <c r="C6" s="29">
        <v>0</v>
      </c>
      <c r="D6" s="30">
        <f>(B6*C6)</f>
        <v>0</v>
      </c>
      <c r="E6" s="26">
        <f>(B6*J3)</f>
        <v>0.17972988368146553</v>
      </c>
      <c r="M6" t="s">
        <v>10</v>
      </c>
      <c r="N6" s="23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2.99811E-3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3">
        <f>2*($B$13-$B$7)/5+$B$7</f>
        <v>2.6805651999999992E-2</v>
      </c>
      <c r="O7" s="26">
        <f>($C$5*[1]Params!K9)</f>
        <v>68.847999999999999</v>
      </c>
      <c r="P7" s="26">
        <f>(O7*N7)</f>
        <v>1.8455155288959995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3">
        <f>-0.0247</f>
        <v>-2.47E-2</v>
      </c>
      <c r="C8" s="26">
        <f>D8/B8</f>
        <v>68.849477327935219</v>
      </c>
      <c r="D8" s="26">
        <v>-1.7005820899999999</v>
      </c>
      <c r="N8" s="23">
        <f>2*($B$13-$B$7)/5+$B$7</f>
        <v>2.6805651999999992E-2</v>
      </c>
      <c r="O8" s="26">
        <f>($C$5*[1]Params!K10)</f>
        <v>94.666000000000011</v>
      </c>
      <c r="P8" s="26">
        <f>(O8*N8)</f>
        <v>2.5375838522319998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3">
        <f>0.02974335</f>
        <v>2.9743350000000002E-2</v>
      </c>
      <c r="C9" s="26">
        <f>D9/B9</f>
        <v>57.372690029872217</v>
      </c>
      <c r="D9" s="26">
        <v>1.706456</v>
      </c>
      <c r="N9" s="23">
        <f>2*($B$13-$B$7)/5+$B$7</f>
        <v>2.6805651999999992E-2</v>
      </c>
      <c r="O9" s="26">
        <f>($C$5*[1]Params!K11)</f>
        <v>215.15</v>
      </c>
      <c r="P9" s="26">
        <f>(O9*N9)</f>
        <v>5.7672360277999983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11.571879618927998</v>
      </c>
      <c r="R11" s="1"/>
      <c r="S11" s="26"/>
      <c r="T11" s="27"/>
    </row>
    <row r="12" spans="2:20">
      <c r="F12" t="s">
        <v>12</v>
      </c>
      <c r="G12" s="26">
        <f>(D13/B13)</f>
        <v>36.339171452651861</v>
      </c>
    </row>
    <row r="13" spans="2:20">
      <c r="B13">
        <f>(SUM(B5:B12))</f>
        <v>0.10413913</v>
      </c>
      <c r="D13" s="26">
        <f>(SUM(D5:D12))</f>
        <v>3.7843297000000007</v>
      </c>
    </row>
    <row r="22" spans="18:20">
      <c r="R22">
        <f>(SUM(R5:R21))</f>
        <v>0.10413913</v>
      </c>
      <c r="T22" s="26">
        <f>(SUM(T5:T21))</f>
        <v>3.7843297000000002</v>
      </c>
    </row>
  </sheetData>
  <conditionalFormatting sqref="C5">
    <cfRule type="cellIs" dxfId="179" priority="13" operator="lessThan">
      <formula>$J$3</formula>
    </cfRule>
    <cfRule type="cellIs" dxfId="178" priority="14" operator="greaterThan">
      <formula>$J$3</formula>
    </cfRule>
  </conditionalFormatting>
  <conditionalFormatting sqref="O7:O9">
    <cfRule type="cellIs" dxfId="177" priority="11" operator="lessThan">
      <formula>$J$3</formula>
    </cfRule>
    <cfRule type="cellIs" dxfId="176" priority="12" operator="greaterThan">
      <formula>$J$3</formula>
    </cfRule>
  </conditionalFormatting>
  <conditionalFormatting sqref="G12">
    <cfRule type="cellIs" dxfId="175" priority="9" operator="lessThan">
      <formula>$J$3</formula>
    </cfRule>
    <cfRule type="cellIs" dxfId="174" priority="10" operator="greaterThan">
      <formula>$J$3</formula>
    </cfRule>
  </conditionalFormatting>
  <conditionalFormatting sqref="O3">
    <cfRule type="cellIs" dxfId="173" priority="5" operator="greaterThan">
      <formula>$J$3</formula>
    </cfRule>
    <cfRule type="cellIs" dxfId="172" priority="6" operator="lessThan">
      <formula>$J$3</formula>
    </cfRule>
  </conditionalFormatting>
  <conditionalFormatting sqref="S5">
    <cfRule type="cellIs" dxfId="171" priority="3" operator="lessThan">
      <formula>$J$3</formula>
    </cfRule>
    <cfRule type="cellIs" dxfId="170" priority="4" operator="greaterThan">
      <formula>$J$3</formula>
    </cfRule>
  </conditionalFormatting>
  <conditionalFormatting sqref="C9"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11" sqref="P1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7">
        <v>0.26414671759283809</v>
      </c>
      <c r="M3" t="s">
        <v>4</v>
      </c>
      <c r="N3" s="37">
        <f>(INDEX(N5:N29,MATCH(MAX(O6:O8),O5:O29,0))/0.85)</f>
        <v>18.528963141176472</v>
      </c>
      <c r="O3" s="54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7.1154065923018832</v>
      </c>
      <c r="K4" s="4">
        <f>(J4/D14-1)</f>
        <v>-11.891100714810108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7">
        <f t="shared" ref="C5:C10" si="0">(D5/B5)</f>
        <v>6.3062636964164656E-2</v>
      </c>
      <c r="D5" s="26">
        <v>4</v>
      </c>
      <c r="E5" t="s">
        <v>80</v>
      </c>
      <c r="N5" t="s">
        <v>30</v>
      </c>
      <c r="O5" t="s">
        <v>1</v>
      </c>
      <c r="P5" t="s">
        <v>2</v>
      </c>
      <c r="R5" s="37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8">
        <v>-12.25728155</v>
      </c>
      <c r="C6" s="47">
        <f t="shared" si="0"/>
        <v>8.0228066556894906E-2</v>
      </c>
      <c r="D6" s="26">
        <v>-0.98337799999999997</v>
      </c>
      <c r="M6" t="s">
        <v>10</v>
      </c>
      <c r="N6" s="37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7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8">
        <v>-12.70325203</v>
      </c>
      <c r="C7" s="47">
        <f t="shared" si="0"/>
        <v>9.5823336979011353E-2</v>
      </c>
      <c r="D7" s="26">
        <v>-1.217268</v>
      </c>
      <c r="N7" s="37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7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8">
        <v>-12.62063846</v>
      </c>
      <c r="C8" s="47">
        <f t="shared" si="0"/>
        <v>0.13122973178014641</v>
      </c>
      <c r="D8" s="26">
        <v>-1.6562030000000001</v>
      </c>
      <c r="N8" s="37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7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8">
        <v>15.037158760000001</v>
      </c>
      <c r="C9" s="47">
        <f t="shared" si="0"/>
        <v>0.103022321219411</v>
      </c>
      <c r="D9" s="26">
        <v>1.5491630000000001</v>
      </c>
      <c r="N9" s="37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3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8">
        <v>14.46759533</v>
      </c>
      <c r="C10" s="47">
        <f t="shared" si="0"/>
        <v>7.9516600634695803E-2</v>
      </c>
      <c r="D10" s="26">
        <v>1.150414</v>
      </c>
      <c r="N10" s="37"/>
      <c r="O10" s="26"/>
      <c r="P10" s="26"/>
      <c r="R10" s="23"/>
      <c r="S10" s="26"/>
      <c r="T10" s="26"/>
    </row>
    <row r="11" spans="2:20">
      <c r="B11" s="18">
        <v>-12.55901794</v>
      </c>
      <c r="C11" s="47">
        <f>D11/B11</f>
        <v>0.10304619407208204</v>
      </c>
      <c r="D11" s="26">
        <f>-1.294159</f>
        <v>-1.2941590000000001</v>
      </c>
      <c r="N11" s="37"/>
      <c r="O11" s="26"/>
      <c r="P11" s="26">
        <f>(SUM(P6:P9))</f>
        <v>8.6926426503492067</v>
      </c>
      <c r="R11" s="23"/>
      <c r="S11" s="26"/>
      <c r="T11" s="26"/>
    </row>
    <row r="12" spans="2:20">
      <c r="B12" s="18">
        <v>-15.856236790000001</v>
      </c>
      <c r="C12" s="47">
        <f>D12/B12</f>
        <v>0.13886598876907916</v>
      </c>
      <c r="D12" s="26">
        <v>-2.201892</v>
      </c>
      <c r="N12" s="37"/>
      <c r="O12" s="26"/>
      <c r="P12" s="26"/>
      <c r="R12" s="23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R13" s="23"/>
      <c r="S13" s="26"/>
      <c r="T13" s="26"/>
    </row>
    <row r="14" spans="2:20">
      <c r="B14" s="18">
        <f>(SUM(B5:B13))</f>
        <v>26.937327320000005</v>
      </c>
      <c r="C14" s="26"/>
      <c r="D14" s="26">
        <f>(SUM(D5:D13))</f>
        <v>-0.65332299999999988</v>
      </c>
      <c r="O14" s="26"/>
      <c r="R14" s="23"/>
      <c r="S14" s="26"/>
      <c r="T14" s="26"/>
    </row>
    <row r="15" spans="2:20">
      <c r="R15" s="23"/>
      <c r="S15" s="26"/>
      <c r="T15" s="26"/>
    </row>
    <row r="16" spans="2:20">
      <c r="R16" s="23"/>
      <c r="S16" s="26"/>
      <c r="T16" s="26"/>
    </row>
    <row r="17" spans="12:22">
      <c r="R17" s="23"/>
      <c r="S17" s="26"/>
      <c r="T17" s="26"/>
    </row>
    <row r="18" spans="12:22">
      <c r="R18" s="23"/>
      <c r="S18" s="26"/>
      <c r="T18" s="26"/>
    </row>
    <row r="19" spans="12:22">
      <c r="R19" s="23"/>
      <c r="S19" s="26"/>
      <c r="T19" s="26"/>
    </row>
    <row r="20" spans="12:22">
      <c r="R20" s="23"/>
      <c r="S20" s="26"/>
      <c r="T20" s="26"/>
    </row>
    <row r="21" spans="12:22">
      <c r="R21" s="23"/>
      <c r="S21" s="26"/>
      <c r="T21" s="26"/>
    </row>
    <row r="22" spans="12:22">
      <c r="R22" s="23"/>
      <c r="S22" s="26"/>
      <c r="T22" s="26"/>
    </row>
    <row r="23" spans="12:22">
      <c r="R23" s="23"/>
      <c r="S23" s="26"/>
      <c r="T23" s="26"/>
    </row>
    <row r="24" spans="12:22">
      <c r="R24" s="23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3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67" priority="23" operator="lessThan">
      <formula>$J$3</formula>
    </cfRule>
    <cfRule type="cellIs" dxfId="166" priority="24" operator="greaterThan">
      <formula>$J$3</formula>
    </cfRule>
  </conditionalFormatting>
  <conditionalFormatting sqref="O3">
    <cfRule type="cellIs" dxfId="165" priority="17" operator="greaterThan">
      <formula>$J$3</formula>
    </cfRule>
    <cfRule type="cellIs" dxfId="164" priority="18" operator="lessThan">
      <formula>$J$3</formula>
    </cfRule>
  </conditionalFormatting>
  <conditionalFormatting sqref="W33">
    <cfRule type="cellIs" dxfId="163" priority="1" operator="lessThan">
      <formula>$J$3</formula>
    </cfRule>
    <cfRule type="cellIs" dxfId="162" priority="2" operator="greaterThan">
      <formula>$J$3</formula>
    </cfRule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5" operator="lessThan">
      <formula>$J$3</formula>
    </cfRule>
    <cfRule type="cellIs" dxfId="158" priority="6" operator="greaterThan">
      <formula>$J$3</formula>
    </cfRule>
    <cfRule type="cellIs" dxfId="157" priority="7" operator="lessThan">
      <formula>$J$3</formula>
    </cfRule>
    <cfRule type="cellIs" dxfId="156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14.155744079180121</v>
      </c>
      <c r="M3" t="s">
        <v>4</v>
      </c>
      <c r="N3" s="23">
        <f>(INDEX(N5:N19,MATCH(MAX(O6:O8),O5:O19,0))/0.85)</f>
        <v>0.62352941176470589</v>
      </c>
      <c r="O3" s="27">
        <f>(MAX(O6:O8)*0.75)</f>
        <v>8.0377360613207536</v>
      </c>
      <c r="P3" s="47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15.367350777137714</v>
      </c>
      <c r="K4" s="4">
        <f>(J4/D13-1)</f>
        <v>-38.621442859292095</v>
      </c>
      <c r="R4" t="s">
        <v>5</v>
      </c>
      <c r="S4" t="s">
        <v>6</v>
      </c>
      <c r="T4" t="s">
        <v>7</v>
      </c>
    </row>
    <row r="5" spans="2:21">
      <c r="B5" s="1">
        <v>2.4936394599999998</v>
      </c>
      <c r="C5" s="26">
        <f>(D5/B5)</f>
        <v>5.0528555559511403</v>
      </c>
      <c r="D5" s="26">
        <v>12.6</v>
      </c>
      <c r="E5" t="s">
        <v>79</v>
      </c>
      <c r="M5" t="s">
        <v>79</v>
      </c>
      <c r="N5" t="s">
        <v>30</v>
      </c>
      <c r="O5" t="s">
        <v>1</v>
      </c>
      <c r="P5" t="s">
        <v>2</v>
      </c>
      <c r="R5" s="1">
        <f>(B5)+B7+B8+B11</f>
        <v>1.0281394599999996</v>
      </c>
      <c r="S5" s="26">
        <f>(T5/R5)</f>
        <v>5.5694462402989577</v>
      </c>
      <c r="T5" s="26">
        <f>(D5)+(B7)*4.615+(B8)*4.6733+B11*4.7693</f>
        <v>5.7261674499999984</v>
      </c>
    </row>
    <row r="6" spans="2:21">
      <c r="B6" s="2">
        <v>2.3614999999999999E-3</v>
      </c>
      <c r="C6" s="29">
        <v>0</v>
      </c>
      <c r="D6" s="30">
        <f>(B6*C6)</f>
        <v>0</v>
      </c>
      <c r="E6" s="26">
        <f>(B6*J3)</f>
        <v>3.3428789642983854E-2</v>
      </c>
      <c r="M6" t="s">
        <v>10</v>
      </c>
      <c r="N6" s="23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2.3614999999999999E-3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3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3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3">
        <f>B13/2</f>
        <v>0.5427955849999998</v>
      </c>
      <c r="O9" s="26">
        <f>($S$5*[1]Params!K11)</f>
        <v>27.84723120149479</v>
      </c>
      <c r="P9" s="26">
        <f>(O9*N9)</f>
        <v>15.115354150645611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P11" s="26">
        <f>(SUM(P6:P9))</f>
        <v>27.83404677064561</v>
      </c>
      <c r="R11" s="1"/>
      <c r="S11" s="26"/>
      <c r="T11" s="26"/>
    </row>
    <row r="12" spans="2:21">
      <c r="F12" t="s">
        <v>12</v>
      </c>
      <c r="G12" s="26">
        <f>(D13/B13)</f>
        <v>-0.37626797388191618</v>
      </c>
      <c r="R12" s="1"/>
      <c r="S12" s="26"/>
      <c r="T12" s="26"/>
    </row>
    <row r="13" spans="2:21">
      <c r="B13">
        <f>(SUM(B5:B12))</f>
        <v>1.0855911699999996</v>
      </c>
      <c r="D13" s="26">
        <f>(SUM(D5:D12))</f>
        <v>-0.40847318999999871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1.0855911699999994</v>
      </c>
      <c r="T25" s="26">
        <f>(SUM(T5:T24))</f>
        <v>-0.40847318999999915</v>
      </c>
    </row>
  </sheetData>
  <conditionalFormatting sqref="C5 C10 G12 O9 S5">
    <cfRule type="cellIs" dxfId="155" priority="11" operator="lessThan">
      <formula>$J$3</formula>
    </cfRule>
    <cfRule type="cellIs" dxfId="154" priority="12" operator="greaterThan">
      <formula>$J$3</formula>
    </cfRule>
  </conditionalFormatting>
  <conditionalFormatting sqref="O3">
    <cfRule type="cellIs" dxfId="153" priority="3" operator="greaterThan">
      <formula>$J$3</formula>
    </cfRule>
    <cfRule type="cellIs" dxfId="152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workbookViewId="0">
      <selection activeCell="F37" sqref="F37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52331.158651334787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2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(B39*J3)</f>
        <v>1382.2266094404802</v>
      </c>
      <c r="K4" s="4">
        <f>(J4/D39-1)</f>
        <v>0.77886248152646087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6">
        <v>41500</v>
      </c>
      <c r="D5" s="26">
        <f>(B5*C5)</f>
        <v>165.99294500000002</v>
      </c>
      <c r="S5" s="23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4">
        <v>3.5592000000000002E-4</v>
      </c>
      <c r="C6" s="29">
        <v>0</v>
      </c>
      <c r="D6" s="30">
        <f>(B6*C6)</f>
        <v>0</v>
      </c>
      <c r="E6" s="26">
        <f>(B6*J3)</f>
        <v>18.625705987183078</v>
      </c>
      <c r="I6" t="s">
        <v>10</v>
      </c>
      <c r="J6">
        <v>3.5000000000000003E-2</v>
      </c>
      <c r="S6" s="23">
        <f t="shared" si="0"/>
        <v>3.5592000000000002E-4</v>
      </c>
      <c r="T6" s="26">
        <v>0</v>
      </c>
      <c r="U6" s="26">
        <f>(S6*T6)</f>
        <v>0</v>
      </c>
    </row>
    <row r="7" spans="2:21">
      <c r="B7" s="23">
        <v>5.1073000000000004E-4</v>
      </c>
      <c r="C7" s="26">
        <f>D7/B7</f>
        <v>30544.514714232566</v>
      </c>
      <c r="D7" s="26">
        <v>15.6</v>
      </c>
      <c r="I7" t="s">
        <v>13</v>
      </c>
      <c r="J7" s="33">
        <f>(J6-B39)</f>
        <v>8.5869289910089873E-3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3">
        <v>4.9108299999999997E-3</v>
      </c>
      <c r="C8" s="26">
        <f>D8/B8</f>
        <v>21381.314360301621</v>
      </c>
      <c r="D8" s="26">
        <v>105</v>
      </c>
      <c r="I8" t="s">
        <v>14</v>
      </c>
      <c r="J8" s="32">
        <f>(J7*J3)</f>
        <v>449.36394335623743</v>
      </c>
      <c r="M8" t="s">
        <v>10</v>
      </c>
      <c r="N8">
        <f>($B$16/5)</f>
        <v>3.3600000000000004E-4</v>
      </c>
      <c r="O8" s="26">
        <f>(C26)</f>
        <v>20979.026577380951</v>
      </c>
      <c r="P8" s="32">
        <f>(O8*N8)</f>
        <v>7.0489529300000004</v>
      </c>
      <c r="Q8" t="s">
        <v>11</v>
      </c>
      <c r="S8" s="23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3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2">
        <f>(O9*N9)</f>
        <v>11.168653440000002</v>
      </c>
      <c r="S9" s="23">
        <f t="shared" si="0"/>
        <v>2E-3</v>
      </c>
      <c r="T9" s="26">
        <f>(U9/S9)</f>
        <v>21750</v>
      </c>
      <c r="U9" s="26" t="s">
        <v>22</v>
      </c>
    </row>
    <row r="10" spans="2:21">
      <c r="B10" s="23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2">
        <f>(O10*N10)</f>
        <v>22.337306880000003</v>
      </c>
      <c r="S10" s="23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3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2">
        <f>(O11*N11)</f>
        <v>44.674613760000007</v>
      </c>
      <c r="S11" s="23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3">
        <v>6.4000000000000005E-4</v>
      </c>
      <c r="C12" s="26">
        <v>19169.310000000001</v>
      </c>
      <c r="D12" s="26">
        <f t="shared" si="1"/>
        <v>12.268358400000002</v>
      </c>
      <c r="S12" s="23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3">
        <v>-5.0000000000000001E-4</v>
      </c>
      <c r="C13" s="26">
        <v>20709.080000000002</v>
      </c>
      <c r="D13" s="26">
        <f t="shared" si="1"/>
        <v>-10.354540000000002</v>
      </c>
      <c r="P13" s="32">
        <f>(SUM(P8:P11))</f>
        <v>85.229527010000012</v>
      </c>
      <c r="S13" s="23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3">
        <v>5.4000000000000001E-4</v>
      </c>
      <c r="C14" s="26">
        <v>19000</v>
      </c>
      <c r="D14" s="26">
        <f t="shared" si="1"/>
        <v>10.26</v>
      </c>
      <c r="S14" s="23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3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3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2">
        <f>(O16*N16)</f>
        <v>3.030184888888888</v>
      </c>
      <c r="Q16" t="s">
        <v>11</v>
      </c>
      <c r="S16" s="23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3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2">
        <f>(O17*N17)</f>
        <v>3.1545880434782605</v>
      </c>
      <c r="Q17" t="s">
        <v>11</v>
      </c>
      <c r="S17" s="23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3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2">
        <f>(O18*N18)</f>
        <v>4.2212113439999994</v>
      </c>
      <c r="Q18" t="s">
        <v>11</v>
      </c>
      <c r="S18" s="23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3">
        <v>5.9999999999999897E-4</v>
      </c>
      <c r="C19" s="26">
        <f t="shared" si="3"/>
        <v>16700.000000000029</v>
      </c>
      <c r="D19" s="26">
        <v>10.02</v>
      </c>
      <c r="F19" s="23"/>
      <c r="I19" s="27"/>
      <c r="N19">
        <f>($B$17/5)</f>
        <v>1.8426799999999999E-4</v>
      </c>
      <c r="O19" s="26">
        <f>($C$17*[1]Params!K18)</f>
        <v>89955.933748670417</v>
      </c>
      <c r="P19" s="32">
        <f>(O19*N19)</f>
        <v>16.576000000000001</v>
      </c>
      <c r="S19" s="23">
        <f>(B23+B32)</f>
        <v>7.2007099999999999E-3</v>
      </c>
      <c r="T19" s="26">
        <f t="shared" si="2"/>
        <v>26314.904891323215</v>
      </c>
      <c r="U19" s="26">
        <f>(D23+17438.6*B32)</f>
        <v>189.48599879999998</v>
      </c>
      <c r="V19" t="s">
        <v>9</v>
      </c>
    </row>
    <row r="20" spans="2:27">
      <c r="B20" s="23">
        <v>9.1330000000000003E-4</v>
      </c>
      <c r="C20" s="26">
        <f t="shared" si="3"/>
        <v>17080.915361874519</v>
      </c>
      <c r="D20" s="26">
        <v>15.6</v>
      </c>
      <c r="S20" s="23">
        <f>(B24+B31)</f>
        <v>1.5988199999999999E-3</v>
      </c>
      <c r="T20" s="26">
        <f t="shared" si="2"/>
        <v>27208.642248658387</v>
      </c>
      <c r="U20" s="26">
        <f>(D24+17211.7*B31)</f>
        <v>43.501721400000001</v>
      </c>
      <c r="V20" t="s">
        <v>15</v>
      </c>
    </row>
    <row r="21" spans="2:27">
      <c r="B21" s="23">
        <v>-1.84E-4</v>
      </c>
      <c r="C21" s="26">
        <f t="shared" si="3"/>
        <v>17119.565217391304</v>
      </c>
      <c r="D21" s="26">
        <v>-3.15</v>
      </c>
      <c r="P21" s="32">
        <f>(SUM(P16:P19))</f>
        <v>26.98198427636715</v>
      </c>
      <c r="S21" s="23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3">
        <v>5.8E-4</v>
      </c>
      <c r="C22" s="26">
        <f t="shared" si="3"/>
        <v>17034.482758620692</v>
      </c>
      <c r="D22" s="26">
        <v>9.8800000000000008</v>
      </c>
      <c r="S22" s="23">
        <f>(B31-B31)</f>
        <v>0</v>
      </c>
      <c r="T22" s="26">
        <v>0</v>
      </c>
      <c r="U22" s="26">
        <f>(17211.7*-B31+D31)</f>
        <v>-0.25220140000000002</v>
      </c>
      <c r="V22" t="s">
        <v>17</v>
      </c>
    </row>
    <row r="23" spans="2:27">
      <c r="B23" s="23">
        <v>7.5427100000000002E-3</v>
      </c>
      <c r="C23" s="26">
        <f t="shared" si="3"/>
        <v>25912.437307015647</v>
      </c>
      <c r="D23" s="26">
        <v>195.45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6">
        <v>0</v>
      </c>
      <c r="U23" s="26">
        <f>(17438.6*-B32+D32)</f>
        <v>-1.4915987999999993</v>
      </c>
      <c r="V23" t="s">
        <v>18</v>
      </c>
    </row>
    <row r="24" spans="2:27">
      <c r="B24" s="23">
        <v>1.65682E-3</v>
      </c>
      <c r="C24" s="26">
        <f t="shared" si="3"/>
        <v>26858.681087867117</v>
      </c>
      <c r="D24" s="26">
        <v>44.5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2">
        <f>(O24*N24)</f>
        <v>2.507999999999996</v>
      </c>
      <c r="Q24" t="s">
        <v>11</v>
      </c>
      <c r="S24" s="23">
        <f>(B34)</f>
        <v>2.0926999999999999E-3</v>
      </c>
      <c r="T24" s="26">
        <f>(U24/S24)</f>
        <v>29698.475653462036</v>
      </c>
      <c r="U24" s="26">
        <f>(D34)</f>
        <v>62.15</v>
      </c>
      <c r="V24" t="s">
        <v>16</v>
      </c>
    </row>
    <row r="25" spans="2:27">
      <c r="B25" s="23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2">
        <f>(O25*N25)</f>
        <v>4.008</v>
      </c>
    </row>
    <row r="26" spans="2:27">
      <c r="B26" s="23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2">
        <f>(O26*N26)</f>
        <v>8.016</v>
      </c>
    </row>
    <row r="27" spans="2:27">
      <c r="B27" s="23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2">
        <f>(O27*N27)</f>
        <v>16.032</v>
      </c>
    </row>
    <row r="28" spans="2:27">
      <c r="B28" s="23">
        <v>-1.8000000000000001E-4</v>
      </c>
      <c r="C28" s="26">
        <v>21355</v>
      </c>
      <c r="D28" s="26">
        <f>(B28*C28)</f>
        <v>-3.8439000000000001</v>
      </c>
    </row>
    <row r="29" spans="2:27">
      <c r="B29" s="23">
        <v>-1.2E-4</v>
      </c>
      <c r="C29" s="26">
        <v>21355</v>
      </c>
      <c r="D29" s="26">
        <f>(C29*B29)</f>
        <v>-2.5626000000000002</v>
      </c>
      <c r="P29" s="32">
        <f>(SUM(P24:P27))</f>
        <v>30.563999999999997</v>
      </c>
    </row>
    <row r="30" spans="2:27">
      <c r="B30" s="23">
        <f>(-N64)</f>
        <v>0</v>
      </c>
      <c r="C30" s="26">
        <v>21560</v>
      </c>
      <c r="D30" s="26">
        <f>(C30*B30)</f>
        <v>0</v>
      </c>
    </row>
    <row r="31" spans="2:27">
      <c r="B31" s="23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3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2">
        <f>(O32*N32)</f>
        <v>3.9007043000000006</v>
      </c>
      <c r="Q32" t="s">
        <v>11</v>
      </c>
      <c r="AA32" s="27"/>
    </row>
    <row r="33" spans="2:21">
      <c r="B33" s="23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2">
        <f>(O33*N33)</f>
        <v>6.2399999999999993</v>
      </c>
    </row>
    <row r="34" spans="2:21">
      <c r="B34" s="23">
        <v>2.0926999999999999E-3</v>
      </c>
      <c r="C34" s="26">
        <f>(D34/B34)</f>
        <v>29698.475653462036</v>
      </c>
      <c r="D34" s="26">
        <v>62.15</v>
      </c>
      <c r="E34" t="s">
        <v>16</v>
      </c>
      <c r="N34">
        <f>($B$20/5)</f>
        <v>1.8266000000000002E-4</v>
      </c>
      <c r="O34" s="26">
        <f>($C$20*[1]Params!K17)</f>
        <v>68323.661447498074</v>
      </c>
      <c r="P34" s="32">
        <f>(O34*N34)</f>
        <v>12.479999999999999</v>
      </c>
    </row>
    <row r="35" spans="2:21">
      <c r="B35" s="23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2">
        <f>(O35*N35)</f>
        <v>24.959999999999997</v>
      </c>
    </row>
    <row r="36" spans="2:21">
      <c r="B36" s="23">
        <f>-0.00108507+0.0012102/1.001</f>
        <v>1.2392100899100904E-4</v>
      </c>
      <c r="C36" s="26">
        <v>0</v>
      </c>
      <c r="D36" s="26">
        <f>C36*B36</f>
        <v>0</v>
      </c>
      <c r="E36" s="27" t="s">
        <v>19</v>
      </c>
    </row>
    <row r="37" spans="2:21">
      <c r="B37" s="23">
        <v>-5.0000000000000001E-3</v>
      </c>
      <c r="C37" s="26">
        <v>0</v>
      </c>
      <c r="D37" s="26">
        <v>0</v>
      </c>
      <c r="E37" s="27" t="s">
        <v>19</v>
      </c>
      <c r="F37">
        <v>0.52980000000000005</v>
      </c>
      <c r="P37" s="32">
        <f>(SUM(P32:P35))</f>
        <v>47.580704299999994</v>
      </c>
    </row>
    <row r="38" spans="2:21">
      <c r="F38" t="s">
        <v>12</v>
      </c>
      <c r="G38" s="27">
        <f>(D39/B39)</f>
        <v>29418.327270823578</v>
      </c>
      <c r="S38">
        <f>(SUM(S5:S25))</f>
        <v>3.0559879999999998E-2</v>
      </c>
      <c r="U38" s="26">
        <f>(SUM(U5:U25))</f>
        <v>592.94980017</v>
      </c>
    </row>
    <row r="39" spans="2:21">
      <c r="B39" s="23">
        <f>(SUM(B5:B38))</f>
        <v>2.6413071008991016E-2</v>
      </c>
      <c r="D39" s="26">
        <f>(SUM(D5:D38))</f>
        <v>777.02836717000002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2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2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2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2">
        <f>(O43*N43)</f>
        <v>15.808000000000002</v>
      </c>
    </row>
    <row r="45" spans="2:21">
      <c r="P45" s="32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2">
        <f>(O48*N48)</f>
        <v>7.4555999999999996</v>
      </c>
      <c r="Q48" t="s">
        <v>11</v>
      </c>
    </row>
    <row r="49" spans="13:17">
      <c r="N49">
        <f>(2*($S$19+N48)/5-N48)</f>
        <v>2.6750840000000003E-3</v>
      </c>
      <c r="O49" s="26">
        <f>($T$19*[1]Params!K16)</f>
        <v>52629.809782646429</v>
      </c>
      <c r="P49" s="32">
        <f>(O49*N49)</f>
        <v>140.78916207260096</v>
      </c>
    </row>
    <row r="50" spans="13:17">
      <c r="N50">
        <f>($B$23/5)</f>
        <v>1.5085420000000001E-3</v>
      </c>
      <c r="O50" s="26">
        <f>($T$19*[1]Params!K17)</f>
        <v>105259.61956529286</v>
      </c>
      <c r="P50" s="32">
        <f>(O50*N50)</f>
        <v>158.78855701826603</v>
      </c>
    </row>
    <row r="51" spans="13:17">
      <c r="N51">
        <f>($B$23/5)</f>
        <v>1.5085420000000001E-3</v>
      </c>
      <c r="O51" s="26">
        <f>($T$19*[1]Params!K18)</f>
        <v>210519.23913058572</v>
      </c>
      <c r="P51" s="32">
        <f>(O51*N51)</f>
        <v>317.57711403653207</v>
      </c>
    </row>
    <row r="53" spans="13:17">
      <c r="P53" s="32">
        <f>(SUM(P48:P51))</f>
        <v>624.61043312739912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2">
        <f>(O56*N56)</f>
        <v>1.25048</v>
      </c>
      <c r="Q56" t="s">
        <v>11</v>
      </c>
    </row>
    <row r="57" spans="13:17">
      <c r="N57">
        <f>(2*($S$20+N56)/5-N56)</f>
        <v>6.0472799999999991E-4</v>
      </c>
      <c r="O57" s="26">
        <f>($T$20*[1]Params!K16)</f>
        <v>54417.284497316774</v>
      </c>
      <c r="P57" s="32">
        <f>(O57*N57)</f>
        <v>32.907655619493376</v>
      </c>
    </row>
    <row r="58" spans="13:17">
      <c r="N58">
        <f>($B$24/5)</f>
        <v>3.3136400000000001E-4</v>
      </c>
      <c r="O58" s="26">
        <f>($T$20*[1]Params!K17)</f>
        <v>108834.56899463355</v>
      </c>
      <c r="P58" s="32">
        <f>(O58*N58)</f>
        <v>36.063858120337748</v>
      </c>
    </row>
    <row r="59" spans="13:17">
      <c r="N59">
        <f>($B$24/5)</f>
        <v>3.3136400000000001E-4</v>
      </c>
      <c r="O59" s="26">
        <f>($T$20*[1]Params!K18)</f>
        <v>217669.1379892671</v>
      </c>
      <c r="P59" s="32">
        <f>(O59*N59)</f>
        <v>72.127716240675497</v>
      </c>
    </row>
    <row r="61" spans="13:17">
      <c r="P61" s="32">
        <f>(SUM(P56:P59))</f>
        <v>142.34970998050665</v>
      </c>
    </row>
    <row r="64" spans="13:17">
      <c r="O64" s="26"/>
      <c r="P64" s="32"/>
    </row>
    <row r="65" spans="13:16">
      <c r="O65" s="26"/>
      <c r="P65" s="32"/>
    </row>
    <row r="66" spans="13:16">
      <c r="O66" s="26"/>
      <c r="P66" s="32"/>
    </row>
    <row r="67" spans="13:16">
      <c r="O67" s="26"/>
      <c r="P67" s="32"/>
    </row>
    <row r="69" spans="13:16">
      <c r="P69" s="32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4.1853999999999996E-4</v>
      </c>
      <c r="O72" s="26">
        <f>($T$24*[1]Params!K15)</f>
        <v>44547.713480193052</v>
      </c>
      <c r="P72" s="32">
        <f>(O72*N72)</f>
        <v>18.645</v>
      </c>
    </row>
    <row r="73" spans="13:16">
      <c r="N73">
        <f>($S$24/5)</f>
        <v>4.1853999999999996E-4</v>
      </c>
      <c r="O73" s="26">
        <f>($T$24*[1]Params!K16)</f>
        <v>59396.951306924071</v>
      </c>
      <c r="P73" s="32">
        <f>(O73*N73)</f>
        <v>24.86</v>
      </c>
    </row>
    <row r="74" spans="13:16">
      <c r="N74">
        <f>($S$24/5)</f>
        <v>4.1853999999999996E-4</v>
      </c>
      <c r="O74" s="26">
        <f>($T$24*[1]Params!K17)</f>
        <v>118793.90261384814</v>
      </c>
      <c r="P74" s="32">
        <f>(O74*N74)</f>
        <v>49.72</v>
      </c>
    </row>
    <row r="75" spans="13:16">
      <c r="N75">
        <f>($S$24/5)</f>
        <v>4.1853999999999996E-4</v>
      </c>
      <c r="O75" s="26">
        <f>($T$24*[1]Params!K18)</f>
        <v>237587.80522769628</v>
      </c>
      <c r="P75" s="32">
        <f>(O75*N75)</f>
        <v>99.44</v>
      </c>
    </row>
    <row r="77" spans="13:16">
      <c r="P77" s="32">
        <f>(SUM(P72:P75))</f>
        <v>192.66499999999999</v>
      </c>
    </row>
  </sheetData>
  <conditionalFormatting sqref="C5 C7:C17 C19:C20 C22:C25 C34:C35 G38 O9:O11 O19 O25:O27 O33:O35 O41:O43 O49:O51 O57:O59 O65:O67 O72:O75 T5 T7:T21 T24">
    <cfRule type="cellIs" dxfId="283" priority="45" operator="lessThan">
      <formula>$J$3</formula>
    </cfRule>
    <cfRule type="cellIs" dxfId="282" priority="46" operator="greaterThan">
      <formula>$J$3</formula>
    </cfRule>
  </conditionalFormatting>
  <conditionalFormatting sqref="O3">
    <cfRule type="cellIs" dxfId="281" priority="1" operator="greaterThan">
      <formula>$J$3</formula>
    </cfRule>
    <cfRule type="cellIs" dxfId="28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0.77477289268861882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2.2656830907742891</v>
      </c>
      <c r="K4" s="4">
        <f>(J4/D10-1)</f>
        <v>-0.24477230307523701</v>
      </c>
    </row>
    <row r="5" spans="2:16">
      <c r="B5" s="37">
        <v>2.9243190000000001</v>
      </c>
      <c r="C5" s="26">
        <f>(D5/B5)</f>
        <v>1.0258798715188049</v>
      </c>
      <c r="D5" s="26">
        <v>3</v>
      </c>
      <c r="E5" t="s">
        <v>80</v>
      </c>
      <c r="N5" t="s">
        <v>30</v>
      </c>
      <c r="O5" t="s">
        <v>1</v>
      </c>
      <c r="P5" t="s">
        <v>2</v>
      </c>
    </row>
    <row r="6" spans="2:16">
      <c r="B6" s="23"/>
      <c r="C6" s="26"/>
      <c r="D6" s="26"/>
      <c r="M6" t="s">
        <v>10</v>
      </c>
      <c r="N6" s="23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3"/>
      <c r="C7" s="26"/>
      <c r="D7" s="26"/>
      <c r="N7" s="23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3"/>
      <c r="C8" s="26"/>
      <c r="D8" s="26"/>
      <c r="N8" s="23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3"/>
      <c r="C9" s="26"/>
      <c r="D9" s="26"/>
      <c r="F9" t="s">
        <v>12</v>
      </c>
      <c r="G9" s="26">
        <f>(D10/B10)</f>
        <v>1.0258798715188049</v>
      </c>
      <c r="H9" s="26"/>
      <c r="N9" s="23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7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G9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6:O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3.3101707071241231</v>
      </c>
      <c r="M3" t="s">
        <v>4</v>
      </c>
      <c r="N3" s="1">
        <f>(INDEX(N5:N17,MATCH(MAX(O6),O5:O17,0))/0.85)</f>
        <v>1.4035294117647059</v>
      </c>
      <c r="O3" s="27">
        <f>(MAX(O6)*0.75)</f>
        <v>2.1284581056160938</v>
      </c>
      <c r="P3" s="26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19.099952938424931</v>
      </c>
      <c r="K4" s="4">
        <f>(J4/D11-1)</f>
        <v>0.67986034771347281</v>
      </c>
      <c r="R4" t="s">
        <v>5</v>
      </c>
      <c r="S4" t="s">
        <v>6</v>
      </c>
      <c r="T4" t="s">
        <v>7</v>
      </c>
    </row>
    <row r="5" spans="2:21">
      <c r="B5" s="1">
        <v>6.72890268</v>
      </c>
      <c r="C5" s="26">
        <f>(D5/B5)</f>
        <v>2.2693150319124542</v>
      </c>
      <c r="D5" s="26">
        <v>15.27</v>
      </c>
      <c r="E5" t="s">
        <v>79</v>
      </c>
      <c r="M5" t="s">
        <v>79</v>
      </c>
      <c r="N5" t="s">
        <v>30</v>
      </c>
      <c r="O5" t="s">
        <v>1</v>
      </c>
      <c r="P5" t="s">
        <v>2</v>
      </c>
      <c r="R5" s="1">
        <f>(B5)+B7</f>
        <v>5.5359026799999995</v>
      </c>
      <c r="S5" s="26">
        <f>(T5/R5)</f>
        <v>2.2887350324590603</v>
      </c>
      <c r="T5" s="26">
        <f>(D5)+(B7)*2.1792</f>
        <v>12.670214399999999</v>
      </c>
    </row>
    <row r="6" spans="2:21">
      <c r="B6" s="2">
        <v>2.0269909999999999E-2</v>
      </c>
      <c r="C6" s="29">
        <v>0</v>
      </c>
      <c r="D6" s="30">
        <f>(B6*C6)</f>
        <v>0</v>
      </c>
      <c r="E6" s="26">
        <f>(B6*J3)</f>
        <v>6.7096862318042336E-2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  <c r="R6" s="2">
        <f>(B6)</f>
        <v>2.0269909999999999E-2</v>
      </c>
      <c r="S6" s="29">
        <f>(T6/R6)</f>
        <v>0</v>
      </c>
      <c r="T6" s="30">
        <f>(D6)</f>
        <v>0</v>
      </c>
    </row>
    <row r="7" spans="2:21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2*($B$11+$N$6)/5-$N$6</f>
        <v>1.59223238</v>
      </c>
      <c r="O7" s="26">
        <f>($C$5*[1]Params!K9)</f>
        <v>3.6309040510599271</v>
      </c>
      <c r="P7" s="26">
        <f>(O7*N7)</f>
        <v>5.7812429987707894</v>
      </c>
      <c r="R7" s="1">
        <f>(B7)-B7</f>
        <v>0</v>
      </c>
      <c r="S7" s="26">
        <v>0</v>
      </c>
      <c r="T7" s="26">
        <f>(D7)-B7*2.1792</f>
        <v>-0.7858817600000001</v>
      </c>
    </row>
    <row r="8" spans="2:21">
      <c r="B8" s="1">
        <v>-1.19</v>
      </c>
      <c r="C8" s="27">
        <f>D8/B8</f>
        <v>3.6507293193277315</v>
      </c>
      <c r="D8" s="26">
        <v>-4.34436789</v>
      </c>
      <c r="N8" s="1">
        <f>($B$11+$N$6)/5</f>
        <v>1.39261619</v>
      </c>
      <c r="O8" s="26">
        <f>($C$5*[1]Params!K10)</f>
        <v>4.9924930702073995</v>
      </c>
      <c r="P8" s="26">
        <f>(O8*N8)</f>
        <v>6.9526266780336314</v>
      </c>
      <c r="R8" s="1">
        <f>(B8)+B9</f>
        <v>0.21390836000000002</v>
      </c>
      <c r="S8" s="26">
        <v>0</v>
      </c>
      <c r="T8" s="26">
        <f>(D8)+D9</f>
        <v>-0.51436788999999994</v>
      </c>
      <c r="U8" t="s">
        <v>81</v>
      </c>
    </row>
    <row r="9" spans="2:21">
      <c r="B9" s="1">
        <v>1.40390836</v>
      </c>
      <c r="C9" s="26">
        <f>(D9/B9)</f>
        <v>2.7280982926834341</v>
      </c>
      <c r="D9" s="26">
        <v>3.83</v>
      </c>
      <c r="N9" s="1">
        <f>($B$11+$N$6)/5</f>
        <v>1.39261619</v>
      </c>
      <c r="O9" s="26">
        <f>($C$5*[1]Params!K11)</f>
        <v>11.346575159562271</v>
      </c>
      <c r="P9" s="26">
        <f>(O9*N9)</f>
        <v>15.801424268258252</v>
      </c>
      <c r="R9" s="1"/>
      <c r="S9" s="26"/>
      <c r="T9" s="26"/>
    </row>
    <row r="10" spans="2:21">
      <c r="F10" t="s">
        <v>12</v>
      </c>
      <c r="G10" s="26">
        <f>(D11/B11)</f>
        <v>1.9705035074074657</v>
      </c>
      <c r="R10" s="1"/>
      <c r="S10" s="26"/>
      <c r="T10" s="26"/>
    </row>
    <row r="11" spans="2:21">
      <c r="B11" s="1">
        <f>(SUM(B5:B10))</f>
        <v>5.7700809499999997</v>
      </c>
      <c r="D11" s="26">
        <f>(SUM(D5:D10))</f>
        <v>11.369964750000001</v>
      </c>
      <c r="P11" s="26">
        <f>(SUM(P6:P9))</f>
        <v>31.920961305062672</v>
      </c>
      <c r="R11" s="1"/>
      <c r="S11" s="26"/>
      <c r="T11" s="26"/>
    </row>
    <row r="12" spans="2:21">
      <c r="R12" s="1"/>
      <c r="S12" s="26"/>
      <c r="T12" s="27"/>
    </row>
    <row r="23" spans="18:20">
      <c r="R23">
        <f>(SUM(R5:R22))</f>
        <v>5.7700809499999988</v>
      </c>
      <c r="T23" s="26">
        <f>(SUM(T5:T22))</f>
        <v>11.369964749999998</v>
      </c>
    </row>
  </sheetData>
  <conditionalFormatting sqref="C5 G10 O7:O8 S5">
    <cfRule type="cellIs" dxfId="145" priority="11" operator="lessThan">
      <formula>$J$3</formula>
    </cfRule>
    <cfRule type="cellIs" dxfId="144" priority="12" operator="greaterThan">
      <formula>$J$3</formula>
    </cfRule>
  </conditionalFormatting>
  <conditionalFormatting sqref="O9">
    <cfRule type="cellIs" dxfId="143" priority="9" operator="lessThan">
      <formula>$J$3</formula>
    </cfRule>
    <cfRule type="cellIs" dxfId="142" priority="10" operator="greaterThan">
      <formula>$J$3</formula>
    </cfRule>
  </conditionalFormatting>
  <conditionalFormatting sqref="O3">
    <cfRule type="cellIs" dxfId="141" priority="5" operator="greaterThan">
      <formula>$J$3</formula>
    </cfRule>
    <cfRule type="cellIs" dxfId="140" priority="6" operator="lessThan">
      <formula>$J$3</formula>
    </cfRule>
  </conditionalFormatting>
  <conditionalFormatting sqref="C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9" sqref="O9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19.910797312941661</v>
      </c>
      <c r="M3" t="s">
        <v>4</v>
      </c>
      <c r="N3" s="23">
        <f>(INDEX(N5:N16,MATCH(MAX(O6:O8),O5:O16,0))/0.9)</f>
        <v>0.29066666666666668</v>
      </c>
      <c r="O3" s="27">
        <f>(MAX(O6:O8)*0.85)</f>
        <v>13.030342087155963</v>
      </c>
      <c r="P3" s="47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13.544470198648279</v>
      </c>
      <c r="K4" s="4">
        <f>(J4/D11-1)</f>
        <v>7.1669655953182207</v>
      </c>
      <c r="R4" t="s">
        <v>5</v>
      </c>
      <c r="S4" t="s">
        <v>6</v>
      </c>
      <c r="T4" t="s">
        <v>7</v>
      </c>
    </row>
    <row r="5" spans="2:21">
      <c r="B5" s="1">
        <v>1.4593726600000001</v>
      </c>
      <c r="C5" s="26">
        <f>(D5/B5)</f>
        <v>7.7499053600195582</v>
      </c>
      <c r="D5" s="26">
        <v>11.31</v>
      </c>
      <c r="E5" t="s">
        <v>79</v>
      </c>
      <c r="M5" t="s">
        <v>79</v>
      </c>
      <c r="N5" t="s">
        <v>30</v>
      </c>
      <c r="O5" t="s">
        <v>1</v>
      </c>
      <c r="P5" t="s">
        <v>2</v>
      </c>
      <c r="R5" s="1">
        <f>(B5)+B7+B8+B9</f>
        <v>0.67777266000000003</v>
      </c>
      <c r="S5" s="26">
        <f>(T5/R5)</f>
        <v>8.728046480954248</v>
      </c>
      <c r="T5" s="26">
        <f>(D5)+(B7+B8+B9)*6.9017</f>
        <v>5.9156312800000004</v>
      </c>
    </row>
    <row r="6" spans="2:21">
      <c r="B6" s="2">
        <v>2.48489E-3</v>
      </c>
      <c r="C6" s="29">
        <v>0</v>
      </c>
      <c r="D6" s="30">
        <f>(B6*C6)</f>
        <v>0</v>
      </c>
      <c r="E6" s="26">
        <f>(B6*J3)</f>
        <v>4.9476141134955604E-2</v>
      </c>
      <c r="M6" t="s">
        <v>10</v>
      </c>
      <c r="N6" s="23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2.48489E-3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3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3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3">
        <f>4*($B$5+B6)/5-N8-N7-N6</f>
        <v>0.38788604000000015</v>
      </c>
      <c r="O9" s="26">
        <f>($S$5*[1]Params!K11)</f>
        <v>43.64023240477124</v>
      </c>
      <c r="P9" s="26">
        <f>(O9*N9)</f>
        <v>16.927436932166401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2.4379675756630697</v>
      </c>
      <c r="O10" s="26"/>
      <c r="P10" s="26"/>
      <c r="R10" s="1"/>
      <c r="S10" s="26"/>
      <c r="T10" s="26"/>
      <c r="U10" s="27"/>
    </row>
    <row r="11" spans="2:21">
      <c r="B11">
        <f>(SUM(B5:B10))</f>
        <v>0.6802575500000001</v>
      </c>
      <c r="C11" s="26"/>
      <c r="D11" s="26">
        <f>(SUM(D5:D10))</f>
        <v>1.6584458499999997</v>
      </c>
      <c r="O11" s="26"/>
      <c r="P11" s="26">
        <f>(SUM(P6:P9))</f>
        <v>26.5789910821664</v>
      </c>
      <c r="R11" s="1"/>
      <c r="S11" s="26"/>
      <c r="T11" s="27"/>
    </row>
    <row r="22" spans="18:20">
      <c r="R22">
        <f>(SUM(R5:R21))</f>
        <v>0.68025754999999999</v>
      </c>
      <c r="T22" s="26">
        <f>(SUM(T5:T21))</f>
        <v>1.6584458500000001</v>
      </c>
    </row>
  </sheetData>
  <conditionalFormatting sqref="C5 G10 O9 S5">
    <cfRule type="cellIs" dxfId="137" priority="9" operator="lessThan">
      <formula>$J$3</formula>
    </cfRule>
    <cfRule type="cellIs" dxfId="136" priority="10" operator="greaterThan">
      <formula>$J$3</formula>
    </cfRule>
  </conditionalFormatting>
  <conditionalFormatting sqref="O3">
    <cfRule type="cellIs" dxfId="135" priority="3" operator="greaterThan">
      <formula>$J$3</formula>
    </cfRule>
    <cfRule type="cellIs" dxfId="134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71.032766273653039</v>
      </c>
      <c r="N3" s="23"/>
      <c r="O3" s="27"/>
      <c r="P3" s="47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11.670620279599211</v>
      </c>
      <c r="K4" s="4">
        <f>(J4/D15-1)</f>
        <v>0.17423917861451255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1.3415199999999999E-3</v>
      </c>
      <c r="C6" s="29">
        <v>0</v>
      </c>
      <c r="D6" s="30">
        <f>(B6*C6)</f>
        <v>0</v>
      </c>
      <c r="E6" s="26">
        <f>(B6*J3)</f>
        <v>9.5291876611431015E-2</v>
      </c>
      <c r="M6" t="s">
        <v>10</v>
      </c>
      <c r="N6" s="51">
        <f>(SUM(R$5:R$8)/5)</f>
        <v>3.2859822000000004E-2</v>
      </c>
      <c r="O6" s="26">
        <f>($C$7*[1]Params!K8)</f>
        <v>89.451451451451447</v>
      </c>
      <c r="P6" s="26">
        <f>(O6*N6)</f>
        <v>2.9393587723363366</v>
      </c>
      <c r="R6" s="2">
        <f>(B6)</f>
        <v>1.3415199999999999E-3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1">
        <f>(SUM(R$5:R$8)/5)</f>
        <v>3.2859822000000004E-2</v>
      </c>
      <c r="O7" s="26">
        <f>($C$7*[1]Params!K9)</f>
        <v>110.09409409409409</v>
      </c>
      <c r="P7" s="26">
        <f>(O7*N7)</f>
        <v>3.6176723351831837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1">
        <f>(SUM(R$5:R$8)/5)</f>
        <v>3.2859822000000004E-2</v>
      </c>
      <c r="O8" s="26">
        <f>($C$7*[1]Params!K10)</f>
        <v>151.37937937937937</v>
      </c>
      <c r="P8" s="26">
        <f>(O8*N8)</f>
        <v>4.9742994608768774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1.2739759421869612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1">
        <f>(SUM(R$5:R$8)/5)</f>
        <v>3.2859822000000004E-2</v>
      </c>
      <c r="O9" s="26">
        <f>($C$7*[1]Params!K11)</f>
        <v>344.04404404404403</v>
      </c>
      <c r="P9" s="26">
        <f>(O9*N9)</f>
        <v>11.305226047447448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22.836556615843847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60.492587513103388</v>
      </c>
    </row>
    <row r="15" spans="2:21">
      <c r="B15" s="1">
        <f>(SUM(B5:B14))</f>
        <v>0.16429911</v>
      </c>
      <c r="D15" s="26">
        <f>(SUM(D5:D14))</f>
        <v>9.9388782899999999</v>
      </c>
    </row>
    <row r="21" spans="18:20">
      <c r="R21">
        <f>(SUM(R5:R20))</f>
        <v>0.16429911000000003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33" priority="21" operator="lessThan">
      <formula>$J$3</formula>
    </cfRule>
    <cfRule type="cellIs" dxfId="132" priority="22" operator="greaterThan">
      <formula>$J$3</formula>
    </cfRule>
  </conditionalFormatting>
  <conditionalFormatting sqref="C9">
    <cfRule type="cellIs" dxfId="131" priority="9" operator="lessThan">
      <formula>$J$3</formula>
    </cfRule>
    <cfRule type="cellIs" dxfId="130" priority="10" operator="greaterThan">
      <formula>$J$3</formula>
    </cfRule>
  </conditionalFormatting>
  <conditionalFormatting sqref="C12:C13">
    <cfRule type="cellIs" dxfId="129" priority="5" operator="lessThan">
      <formula>$J$3</formula>
    </cfRule>
    <cfRule type="cellIs" dxfId="128" priority="6" operator="greaterThan">
      <formula>$J$3</formula>
    </cfRule>
  </conditionalFormatting>
  <conditionalFormatting sqref="O6:O7">
    <cfRule type="cellIs" dxfId="127" priority="3" operator="lessThan">
      <formula>$J$3</formula>
    </cfRule>
    <cfRule type="cellIs" dxfId="126" priority="4" operator="greaterThan">
      <formula>$J$3</formula>
    </cfRule>
  </conditionalFormatting>
  <conditionalFormatting sqref="G14">
    <cfRule type="cellIs" dxfId="125" priority="1" operator="lessThan">
      <formula>$J$3</formula>
    </cfRule>
    <cfRule type="cellIs" dxfId="12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0.71831725531616875</v>
      </c>
      <c r="M3" t="s">
        <v>4</v>
      </c>
      <c r="N3" s="38">
        <f>-B7</f>
        <v>3.2590001599999998</v>
      </c>
      <c r="O3" s="35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5.3264896077778774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30</v>
      </c>
      <c r="O5" t="s">
        <v>1</v>
      </c>
      <c r="P5" t="s">
        <v>2</v>
      </c>
    </row>
    <row r="6" spans="2:16">
      <c r="B6" s="52">
        <v>5.8450589999999997E-2</v>
      </c>
      <c r="C6" s="29">
        <v>0</v>
      </c>
      <c r="D6" s="30">
        <f>(B6*C6)</f>
        <v>0</v>
      </c>
      <c r="E6" s="26">
        <f>(B6*J3)</f>
        <v>4.1986067380410698E-2</v>
      </c>
      <c r="M6" t="s">
        <v>4</v>
      </c>
      <c r="N6" s="51">
        <f>B21</f>
        <v>3.25</v>
      </c>
      <c r="O6" s="35">
        <f>(C21*2)</f>
        <v>1.4265794584615383</v>
      </c>
      <c r="P6" s="26">
        <f>(N6*O6)</f>
        <v>4.6363832399999998</v>
      </c>
    </row>
    <row r="7" spans="2:16">
      <c r="B7" s="51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0"/>
      <c r="O9" s="35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5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1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7.4152327100000015</v>
      </c>
      <c r="D23" s="26">
        <f>(SUM(D5:D22))</f>
        <v>-3.07924029</v>
      </c>
    </row>
  </sheetData>
  <conditionalFormatting sqref="C21 O6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O3">
    <cfRule type="cellIs" dxfId="121" priority="3" operator="greaterThan">
      <formula>$J$3</formula>
    </cfRule>
    <cfRule type="cellIs" dxfId="120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0"/>
  <sheetViews>
    <sheetView workbookViewId="0">
      <selection activeCell="L18" sqref="L18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1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1.3105358358467319E-4</v>
      </c>
      <c r="M3" t="s">
        <v>4</v>
      </c>
      <c r="N3" s="38">
        <f>400000*1.01-B40</f>
        <v>-185.30602770042606</v>
      </c>
      <c r="O3" s="35">
        <v>0</v>
      </c>
      <c r="P3" s="26">
        <f>(N3*O3)</f>
        <v>0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(B40*J3)</f>
        <v>52.969932787197948</v>
      </c>
      <c r="R4" t="s">
        <v>5</v>
      </c>
      <c r="S4" t="s">
        <v>6</v>
      </c>
      <c r="T4" t="s">
        <v>7</v>
      </c>
    </row>
    <row r="5" spans="2:20">
      <c r="B5" s="37">
        <v>0.2363634506</v>
      </c>
      <c r="C5" s="35">
        <v>115.55</v>
      </c>
      <c r="D5" s="26">
        <f>(B5*C5)</f>
        <v>27.311796716829999</v>
      </c>
      <c r="N5" t="s">
        <v>30</v>
      </c>
      <c r="O5" t="s">
        <v>1</v>
      </c>
      <c r="P5" t="s">
        <v>2</v>
      </c>
      <c r="R5" s="37">
        <f t="shared" ref="R5:R12" si="0">(B5)</f>
        <v>0.2363634506</v>
      </c>
      <c r="S5" s="35">
        <v>115.55</v>
      </c>
      <c r="T5" s="26">
        <f>(R5*S5)</f>
        <v>27.311796716829999</v>
      </c>
    </row>
    <row r="6" spans="2:20">
      <c r="B6" s="37">
        <v>0.3</v>
      </c>
      <c r="C6" s="35">
        <v>91.3</v>
      </c>
      <c r="D6" s="26">
        <f>(B6*C6)</f>
        <v>27.389999999999997</v>
      </c>
      <c r="M6" t="s">
        <v>4</v>
      </c>
      <c r="N6">
        <f>B38/1.5</f>
        <v>184000</v>
      </c>
      <c r="O6" s="35">
        <f>C38*2</f>
        <v>1.819935254347826E-4</v>
      </c>
      <c r="P6" s="27">
        <f>O6*N6</f>
        <v>33.486808679999996</v>
      </c>
      <c r="R6" s="37">
        <f t="shared" si="0"/>
        <v>0.3</v>
      </c>
      <c r="S6" s="35">
        <v>91.3</v>
      </c>
      <c r="T6" s="26">
        <f>(R6*S6)</f>
        <v>27.389999999999997</v>
      </c>
    </row>
    <row r="7" spans="2:20">
      <c r="B7" s="37">
        <v>2.7904138700000001</v>
      </c>
      <c r="C7" s="35">
        <v>6.5</v>
      </c>
      <c r="D7" s="26">
        <f>(B7*C7)</f>
        <v>18.137690155000001</v>
      </c>
      <c r="N7">
        <f>(INDEX(B5:B17,MATCH(O7/2,C5:C17,0)))</f>
        <v>40000</v>
      </c>
      <c r="O7" s="35">
        <f>(MIN(C5:C8,C14:C16)*2)</f>
        <v>5.0000000000000001E-4</v>
      </c>
      <c r="P7" s="26">
        <f>(N7*O7)</f>
        <v>20</v>
      </c>
      <c r="R7" s="37">
        <f t="shared" si="0"/>
        <v>2.7904138700000001</v>
      </c>
      <c r="S7" s="35">
        <v>6.5</v>
      </c>
      <c r="T7" s="26">
        <f>(R7*S7)</f>
        <v>18.137690155000001</v>
      </c>
    </row>
    <row r="8" spans="2:20">
      <c r="B8" s="37">
        <v>722</v>
      </c>
      <c r="C8" s="35">
        <f t="shared" ref="C8:C16" si="1">(D8/B8)</f>
        <v>2.077562326869806E-2</v>
      </c>
      <c r="D8" s="26">
        <v>15</v>
      </c>
      <c r="N8" s="21">
        <f>B40/4</f>
        <v>101046.32650692511</v>
      </c>
      <c r="O8" s="35">
        <v>5.0000000000000001E-4</v>
      </c>
      <c r="P8" s="26">
        <f>(N8*O8)</f>
        <v>50.523163253462556</v>
      </c>
      <c r="R8" s="37">
        <f t="shared" si="0"/>
        <v>722</v>
      </c>
      <c r="S8" s="35">
        <f t="shared" ref="S8:S13" si="2">(T8/R8)</f>
        <v>2.077562326869806E-2</v>
      </c>
      <c r="T8" s="26">
        <v>15</v>
      </c>
    </row>
    <row r="9" spans="2:20">
      <c r="B9" s="37">
        <f>(891400)</f>
        <v>891400</v>
      </c>
      <c r="C9" s="35">
        <f t="shared" si="1"/>
        <v>1.1218308279111509E-5</v>
      </c>
      <c r="D9" s="26">
        <v>10</v>
      </c>
      <c r="R9" s="37">
        <f t="shared" si="0"/>
        <v>891400</v>
      </c>
      <c r="S9" s="35">
        <f t="shared" si="2"/>
        <v>1.1218308279111509E-5</v>
      </c>
      <c r="T9" s="26">
        <v>10</v>
      </c>
    </row>
    <row r="10" spans="2:20">
      <c r="B10" s="37">
        <v>-200000</v>
      </c>
      <c r="C10" s="35">
        <f t="shared" si="1"/>
        <v>6.0000000000000002E-5</v>
      </c>
      <c r="D10" s="26">
        <v>-12</v>
      </c>
      <c r="O10" s="35"/>
      <c r="R10" s="37">
        <f t="shared" si="0"/>
        <v>-200000</v>
      </c>
      <c r="S10" s="35">
        <f t="shared" si="2"/>
        <v>6.0000000000000002E-5</v>
      </c>
      <c r="T10" s="26">
        <v>-12</v>
      </c>
    </row>
    <row r="11" spans="2:20">
      <c r="B11" s="37">
        <v>-43873</v>
      </c>
      <c r="C11" s="35">
        <f t="shared" si="1"/>
        <v>2.2793061791990518E-4</v>
      </c>
      <c r="D11" s="26">
        <v>-10</v>
      </c>
      <c r="R11" s="37">
        <f t="shared" si="0"/>
        <v>-43873</v>
      </c>
      <c r="S11" s="35">
        <f t="shared" si="2"/>
        <v>2.2793061791990518E-4</v>
      </c>
      <c r="T11" s="26">
        <v>-10</v>
      </c>
    </row>
    <row r="12" spans="2:20">
      <c r="B12" s="37">
        <v>-20000</v>
      </c>
      <c r="C12" s="35">
        <f t="shared" si="1"/>
        <v>5.0000000000000001E-4</v>
      </c>
      <c r="D12" s="26">
        <v>-10</v>
      </c>
      <c r="R12" s="37">
        <f t="shared" si="0"/>
        <v>-20000</v>
      </c>
      <c r="S12" s="35">
        <f t="shared" si="2"/>
        <v>5.0000000000000001E-4</v>
      </c>
      <c r="T12" s="26">
        <v>-10</v>
      </c>
    </row>
    <row r="13" spans="2:20">
      <c r="B13" s="37">
        <v>-66800</v>
      </c>
      <c r="C13" s="35">
        <f t="shared" si="1"/>
        <v>5.0000000000000001E-4</v>
      </c>
      <c r="D13" s="26">
        <v>-33.4</v>
      </c>
      <c r="R13" s="37">
        <f>(B13+B14+B15+B16)</f>
        <v>43423</v>
      </c>
      <c r="S13" s="35">
        <f t="shared" si="2"/>
        <v>1.0594270317573637E-4</v>
      </c>
      <c r="T13" s="26">
        <f>(D13+D15+D14+D16)</f>
        <v>4.6003500000000006</v>
      </c>
    </row>
    <row r="14" spans="2:20">
      <c r="B14" s="37">
        <v>22223</v>
      </c>
      <c r="C14" s="35">
        <f t="shared" si="1"/>
        <v>4.4999999999999999E-4</v>
      </c>
      <c r="D14" s="26">
        <v>10.000349999999999</v>
      </c>
      <c r="R14" s="37">
        <f t="shared" ref="R14:R20" si="3">(B17)</f>
        <v>-150000</v>
      </c>
      <c r="S14" s="35">
        <v>1E-4</v>
      </c>
      <c r="T14" s="26">
        <f>(S14*R14)</f>
        <v>-15</v>
      </c>
    </row>
    <row r="15" spans="2:20">
      <c r="B15" s="37">
        <v>48000</v>
      </c>
      <c r="C15" s="35">
        <f t="shared" si="1"/>
        <v>3.7500000000000001E-4</v>
      </c>
      <c r="D15" s="26">
        <v>18</v>
      </c>
      <c r="R15" s="49">
        <f t="shared" si="3"/>
        <v>5030.5632937700002</v>
      </c>
      <c r="S15" s="29">
        <v>0</v>
      </c>
      <c r="T15" s="30">
        <f>(R15*S15)</f>
        <v>0</v>
      </c>
    </row>
    <row r="16" spans="2:20">
      <c r="B16" s="37">
        <v>40000</v>
      </c>
      <c r="C16" s="35">
        <f t="shared" si="1"/>
        <v>2.5000000000000001E-4</v>
      </c>
      <c r="D16" s="26">
        <v>10</v>
      </c>
      <c r="R16" s="37">
        <f t="shared" si="3"/>
        <v>-60293.19</v>
      </c>
      <c r="S16" s="35">
        <v>1.829E-4</v>
      </c>
      <c r="T16" s="26">
        <f>(S16*R16)</f>
        <v>-11.027624451000001</v>
      </c>
    </row>
    <row r="17" spans="2:20">
      <c r="B17" s="37">
        <v>-150000</v>
      </c>
      <c r="C17" s="35">
        <v>1E-4</v>
      </c>
      <c r="D17" s="26">
        <f>(C17*B17)</f>
        <v>-15</v>
      </c>
      <c r="R17" s="37">
        <f t="shared" si="3"/>
        <v>-41141.35</v>
      </c>
      <c r="S17" s="35">
        <v>1.828E-4</v>
      </c>
      <c r="T17" s="26">
        <f>(S17*R17)</f>
        <v>-7.5206387799999996</v>
      </c>
    </row>
    <row r="18" spans="2:20">
      <c r="B18" s="49">
        <v>5030.5632937700002</v>
      </c>
      <c r="C18" s="29">
        <v>0</v>
      </c>
      <c r="D18" s="30">
        <f>(B18*C18)</f>
        <v>0</v>
      </c>
      <c r="E18" s="26">
        <f>(B18*J3)</f>
        <v>0.65927334709807561</v>
      </c>
      <c r="R18" s="37">
        <f t="shared" si="3"/>
        <v>-26969.34</v>
      </c>
      <c r="S18" s="35">
        <f>(T18/R18)</f>
        <v>4.0323567428791359E-4</v>
      </c>
      <c r="T18" s="26">
        <v>-10.875</v>
      </c>
    </row>
    <row r="19" spans="2:20">
      <c r="B19" s="37">
        <v>-60293.19</v>
      </c>
      <c r="C19" s="35">
        <v>1.829E-4</v>
      </c>
      <c r="D19" s="26">
        <f>(C19*B19)</f>
        <v>-11.027624451000001</v>
      </c>
      <c r="R19" s="37">
        <f t="shared" si="3"/>
        <v>-39131.89</v>
      </c>
      <c r="S19" s="35">
        <f>(T19/R19)</f>
        <v>4.0317500636948532E-4</v>
      </c>
      <c r="T19" s="26">
        <v>-15.776999999999999</v>
      </c>
    </row>
    <row r="20" spans="2:20">
      <c r="B20" s="37">
        <v>-41141.35</v>
      </c>
      <c r="C20" s="35">
        <v>1.828E-4</v>
      </c>
      <c r="D20" s="26">
        <f>(C20*B20)</f>
        <v>-7.5206387799999996</v>
      </c>
      <c r="N20" s="37"/>
      <c r="R20" s="37">
        <f t="shared" si="3"/>
        <v>-31019.52</v>
      </c>
      <c r="S20" s="35">
        <f>(T20/R20)</f>
        <v>4.0941961706693071E-4</v>
      </c>
      <c r="T20" s="26">
        <v>-12.7</v>
      </c>
    </row>
    <row r="21" spans="2:20">
      <c r="B21" s="37">
        <v>-26969.34</v>
      </c>
      <c r="C21" s="35">
        <f>(D21/B21)</f>
        <v>4.0323567428791359E-4</v>
      </c>
      <c r="D21" s="26">
        <v>-10.875</v>
      </c>
      <c r="R21" s="37">
        <f>(B24+B25+B26)</f>
        <v>-55.650000000002365</v>
      </c>
      <c r="S21" s="35">
        <f>(T21/R21)</f>
        <v>1.4062807235038053E-2</v>
      </c>
      <c r="T21" s="26">
        <f>(D24+D25+D26)</f>
        <v>-0.78259522262990089</v>
      </c>
    </row>
    <row r="22" spans="2:20">
      <c r="B22" s="37">
        <v>-39131.89</v>
      </c>
      <c r="C22" s="35">
        <f>(D22/B22)</f>
        <v>4.0317500636948532E-4</v>
      </c>
      <c r="D22" s="26">
        <v>-15.776999999999999</v>
      </c>
      <c r="R22" s="37">
        <f>(B27+B28)</f>
        <v>0</v>
      </c>
      <c r="S22" s="35">
        <v>0</v>
      </c>
      <c r="T22" s="26">
        <f>(D27+D28)</f>
        <v>-2.4399999999999995</v>
      </c>
    </row>
    <row r="23" spans="2:20">
      <c r="B23" s="37">
        <v>-31019.52</v>
      </c>
      <c r="C23" s="35">
        <f>(D23/B23)</f>
        <v>4.0941961706693071E-4</v>
      </c>
      <c r="D23" s="26">
        <v>-12.7</v>
      </c>
      <c r="R23" s="37">
        <f>(B29+B30)</f>
        <v>4000</v>
      </c>
      <c r="S23" s="35">
        <v>0</v>
      </c>
      <c r="T23" s="26">
        <f>(D29+D30)</f>
        <v>-1.9700000000000006</v>
      </c>
    </row>
    <row r="24" spans="2:20">
      <c r="B24" s="37">
        <v>-20035.650000000001</v>
      </c>
      <c r="C24" s="35">
        <f>(D24/B24)</f>
        <v>5.5501069343894503E-4</v>
      </c>
      <c r="D24" s="26">
        <v>-11.12</v>
      </c>
      <c r="R24" s="37">
        <f>(B31+B32)</f>
        <v>-1.8097233900334686</v>
      </c>
      <c r="S24" s="35">
        <v>0</v>
      </c>
      <c r="T24" s="26">
        <f>(D31+D32)</f>
        <v>-13.982335980000002</v>
      </c>
    </row>
    <row r="25" spans="2:20">
      <c r="B25" s="37">
        <f>(15252.99-15.25299)</f>
        <v>15237.737009999999</v>
      </c>
      <c r="C25" s="35">
        <v>5.1738999999999995E-4</v>
      </c>
      <c r="D25" s="26">
        <f>(B25*C25)</f>
        <v>7.8838527516038983</v>
      </c>
      <c r="N25" s="37"/>
      <c r="R25" s="37">
        <f>(B33+B34+B35)</f>
        <v>8092.1656799999982</v>
      </c>
      <c r="S25" s="35">
        <v>0</v>
      </c>
      <c r="T25" s="26">
        <f>(D33+D34+D35)</f>
        <v>-0.14500000000000135</v>
      </c>
    </row>
    <row r="26" spans="2:20">
      <c r="B26" s="37">
        <f>(4747.01-4.74701)</f>
        <v>4742.2629900000002</v>
      </c>
      <c r="C26" s="35">
        <v>5.1738000000000001E-4</v>
      </c>
      <c r="D26" s="26">
        <f>(B26*C26)</f>
        <v>2.4535520257662</v>
      </c>
      <c r="R26" s="37">
        <f>B38+B37+B36</f>
        <v>64000</v>
      </c>
      <c r="S26" s="35">
        <v>0</v>
      </c>
      <c r="T26" s="27">
        <f>D38+D37+D36</f>
        <v>-29.411918220000004</v>
      </c>
    </row>
    <row r="27" spans="2:20">
      <c r="B27" s="37">
        <v>-40000</v>
      </c>
      <c r="C27" s="35">
        <f t="shared" ref="C27:C38" si="4">(D27/B27)</f>
        <v>3.1099999999999997E-4</v>
      </c>
      <c r="D27" s="26">
        <v>-12.44</v>
      </c>
      <c r="R27" s="37"/>
      <c r="S27" s="35"/>
      <c r="T27" s="27"/>
    </row>
    <row r="28" spans="2:20">
      <c r="B28" s="37">
        <v>40000</v>
      </c>
      <c r="C28" s="35">
        <f t="shared" si="4"/>
        <v>2.5000000000000001E-4</v>
      </c>
      <c r="D28" s="26">
        <v>10</v>
      </c>
    </row>
    <row r="29" spans="2:20">
      <c r="B29" s="37">
        <v>-40000</v>
      </c>
      <c r="C29" s="35">
        <f t="shared" si="4"/>
        <v>3.0975000000000002E-4</v>
      </c>
      <c r="D29" s="26">
        <v>-12.39</v>
      </c>
    </row>
    <row r="30" spans="2:20">
      <c r="B30" s="37">
        <v>44000</v>
      </c>
      <c r="C30" s="35">
        <f t="shared" si="4"/>
        <v>2.3681818181818182E-4</v>
      </c>
      <c r="D30" s="26">
        <v>10.42</v>
      </c>
    </row>
    <row r="31" spans="2:20">
      <c r="B31" s="37">
        <v>-270017.67672339</v>
      </c>
      <c r="C31" s="35">
        <f t="shared" si="4"/>
        <v>1.7847844839198777E-4</v>
      </c>
      <c r="D31" s="26">
        <v>-48.192335980000003</v>
      </c>
    </row>
    <row r="32" spans="2:20">
      <c r="B32" s="37">
        <f>(272743.3*0.99)</f>
        <v>270015.86699999997</v>
      </c>
      <c r="C32" s="35">
        <f t="shared" si="4"/>
        <v>1.2669625818693094E-4</v>
      </c>
      <c r="D32" s="26">
        <v>34.21</v>
      </c>
      <c r="E32" s="27"/>
    </row>
    <row r="33" spans="2:20">
      <c r="B33" s="37">
        <v>-33998.230000000003</v>
      </c>
      <c r="C33" s="35">
        <f t="shared" si="4"/>
        <v>1.8971575873214574E-4</v>
      </c>
      <c r="D33" s="26">
        <v>-6.45</v>
      </c>
    </row>
    <row r="34" spans="2:20">
      <c r="B34" s="37">
        <v>-20001.77</v>
      </c>
      <c r="C34" s="35">
        <f t="shared" si="4"/>
        <v>1.897332086110379E-4</v>
      </c>
      <c r="D34" s="26">
        <v>-3.7949999999999999</v>
      </c>
    </row>
    <row r="35" spans="2:20">
      <c r="B35" s="37">
        <f>(62154.32-62.15432)</f>
        <v>62092.165679999998</v>
      </c>
      <c r="C35" s="35">
        <f t="shared" si="4"/>
        <v>1.6266142257062921E-4</v>
      </c>
      <c r="D35" s="26">
        <v>10.1</v>
      </c>
      <c r="E35" s="26"/>
    </row>
    <row r="36" spans="2:20">
      <c r="B36" s="37">
        <v>-62000</v>
      </c>
      <c r="C36" s="35">
        <f t="shared" si="4"/>
        <v>2.5846530951612908E-4</v>
      </c>
      <c r="D36" s="26">
        <v>-16.024849190000001</v>
      </c>
      <c r="E36" s="26"/>
    </row>
    <row r="37" spans="2:20">
      <c r="B37" s="37">
        <v>-150000</v>
      </c>
      <c r="C37" s="35">
        <f t="shared" si="4"/>
        <v>2.5668117026666668E-4</v>
      </c>
      <c r="D37" s="26">
        <v>-38.502175540000003</v>
      </c>
      <c r="E37" s="26"/>
    </row>
    <row r="38" spans="2:20">
      <c r="B38" s="37">
        <v>276000</v>
      </c>
      <c r="C38" s="35">
        <f t="shared" si="4"/>
        <v>9.0996762717391301E-5</v>
      </c>
      <c r="D38" s="26">
        <f>25.11510651</f>
        <v>25.11510651</v>
      </c>
      <c r="E38" s="26">
        <f>B38*$J$3</f>
        <v>36.170789069369803</v>
      </c>
    </row>
    <row r="40" spans="2:20">
      <c r="B40">
        <f>(SUM(B5:B39))</f>
        <v>404185.30602770043</v>
      </c>
      <c r="D40" s="26">
        <f>(SUM(D5:D39))</f>
        <v>-51.192275781799907</v>
      </c>
      <c r="F40" t="s">
        <v>12</v>
      </c>
      <c r="G40" s="35">
        <f>(D40/B40)</f>
        <v>-1.2665545980608086E-4</v>
      </c>
      <c r="R40">
        <f>(SUM(R5:R39))</f>
        <v>404185.30602770043</v>
      </c>
      <c r="T40" s="26">
        <f>(SUM(T5:T39))</f>
        <v>-51.192275781799914</v>
      </c>
    </row>
  </sheetData>
  <conditionalFormatting sqref="C5:C9 C14:C16 C25:C26 C28 C30 C32 C35 C38 G40 O6:O8 S5:S9 S13">
    <cfRule type="cellIs" dxfId="119" priority="21" operator="lessThan">
      <formula>$J$3</formula>
    </cfRule>
    <cfRule type="cellIs" dxfId="118" priority="22" operator="greaterThan">
      <formula>$J$3</formula>
    </cfRule>
  </conditionalFormatting>
  <conditionalFormatting sqref="O3">
    <cfRule type="cellIs" dxfId="117" priority="7" operator="greaterThan">
      <formula>$J$3</formula>
    </cfRule>
    <cfRule type="cellIs" dxfId="116" priority="8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I12" sqref="I12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1.007498315324048</v>
      </c>
      <c r="N3" s="18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63.76796015016248</v>
      </c>
      <c r="K4" s="4">
        <f>(J4/D18-1)</f>
        <v>0.16436420941332885</v>
      </c>
      <c r="O4" s="26"/>
      <c r="P4" s="26"/>
      <c r="R4" t="s">
        <v>5</v>
      </c>
      <c r="S4" t="s">
        <v>6</v>
      </c>
      <c r="T4" t="s">
        <v>7</v>
      </c>
    </row>
    <row r="5" spans="2:21">
      <c r="B5" s="18">
        <v>12.2</v>
      </c>
      <c r="C5" s="26">
        <f>(D5/B5)</f>
        <v>0.8606557377049181</v>
      </c>
      <c r="D5" s="26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6">
        <f>(T5/R5)</f>
        <v>0.8606557377049181</v>
      </c>
      <c r="T5" s="26">
        <f>D5</f>
        <v>10.5</v>
      </c>
    </row>
    <row r="6" spans="2:21">
      <c r="B6" s="19">
        <v>0.32926852000000001</v>
      </c>
      <c r="C6" s="29">
        <v>0</v>
      </c>
      <c r="D6" s="30">
        <f>(B6*C6)</f>
        <v>0</v>
      </c>
      <c r="E6" s="26">
        <f>(B6*J3)</f>
        <v>0.33173747918924262</v>
      </c>
      <c r="M6" t="s">
        <v>10</v>
      </c>
      <c r="N6" s="18">
        <f>($B$7+$R$9+$R$6)/5</f>
        <v>9.9839775217777778</v>
      </c>
      <c r="O6" s="26">
        <f>($S$7*[1]Params!K8)</f>
        <v>1.181583697438622</v>
      </c>
      <c r="P6" s="26">
        <f>(O6*N6)</f>
        <v>11.796905075326277</v>
      </c>
      <c r="R6" s="49">
        <f>(B6)</f>
        <v>0.32926852000000001</v>
      </c>
      <c r="S6" s="29">
        <v>0</v>
      </c>
      <c r="T6" s="30">
        <f>(D6)</f>
        <v>0</v>
      </c>
      <c r="U6" s="26">
        <f>(R6*J3)</f>
        <v>0.33173747918924262</v>
      </c>
    </row>
    <row r="7" spans="2:21">
      <c r="B7" s="18">
        <v>48.959714089999999</v>
      </c>
      <c r="C7" s="26">
        <f t="shared" ref="C7:C14" si="0">(D7/B7)</f>
        <v>0.90891053649124776</v>
      </c>
      <c r="D7" s="26">
        <v>44.5</v>
      </c>
      <c r="E7" t="s">
        <v>15</v>
      </c>
      <c r="N7" s="18">
        <f>($B$7+$R$9+$R$6)/5</f>
        <v>9.9839775217777778</v>
      </c>
      <c r="O7" s="26">
        <f>($S$7*[1]Params!K9)</f>
        <v>1.4542568583859965</v>
      </c>
      <c r="P7" s="26">
        <f>(O7*N7)</f>
        <v>14.519267785016957</v>
      </c>
      <c r="R7" s="18">
        <f>B7</f>
        <v>48.959714089999999</v>
      </c>
      <c r="S7" s="26">
        <f>(T7/R7)</f>
        <v>0.90891053649124776</v>
      </c>
      <c r="T7" s="26">
        <f>D7</f>
        <v>44.5</v>
      </c>
      <c r="U7" t="s">
        <v>15</v>
      </c>
    </row>
    <row r="8" spans="2:21">
      <c r="B8" s="18">
        <v>0.63003905000000004</v>
      </c>
      <c r="C8" s="26">
        <f t="shared" si="0"/>
        <v>0.79360160294826165</v>
      </c>
      <c r="D8" s="26">
        <v>0.5</v>
      </c>
      <c r="N8" s="18">
        <f>($B$7+$R$9+$R$6)/5</f>
        <v>9.9839775217777778</v>
      </c>
      <c r="O8" s="26">
        <f>($S$7*[1]Params!K10)</f>
        <v>1.9996031802807452</v>
      </c>
      <c r="P8" s="26">
        <f>(O8*N8)</f>
        <v>19.963993204398317</v>
      </c>
      <c r="R8" s="18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8">
        <v>-1.08</v>
      </c>
      <c r="C9" s="26">
        <f t="shared" si="0"/>
        <v>1.0499999999999998</v>
      </c>
      <c r="D9" s="26">
        <v>-1.1339999999999999</v>
      </c>
      <c r="N9" s="18">
        <f>($B$7+$R$9+$R$6)/5</f>
        <v>9.9839775217777778</v>
      </c>
      <c r="O9" s="26">
        <f>($C$7*[1]Params!K11)</f>
        <v>4.5445526824562386</v>
      </c>
      <c r="P9" s="26">
        <f>(O9*N9)</f>
        <v>45.372711828177991</v>
      </c>
      <c r="R9" s="18">
        <f>SUM(B9,B12,B13,B16)</f>
        <v>0.63090499888888907</v>
      </c>
      <c r="S9" s="26">
        <v>0</v>
      </c>
      <c r="T9" s="26">
        <f>SUM(D9,D12,D13,D16)</f>
        <v>-0.16714507569935888</v>
      </c>
      <c r="U9" t="s">
        <v>82</v>
      </c>
    </row>
    <row r="10" spans="2:21">
      <c r="B10" s="18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8">
        <f>SUM(B10,B11,B14,B15)</f>
        <v>0.54343987111111103</v>
      </c>
      <c r="S10" s="26">
        <v>0</v>
      </c>
      <c r="T10" s="26">
        <f>SUM(D10,D11,D14,D15)</f>
        <v>-0.56652009999999953</v>
      </c>
      <c r="U10" t="s">
        <v>83</v>
      </c>
    </row>
    <row r="11" spans="2:21">
      <c r="B11" s="18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91.652877892919548</v>
      </c>
      <c r="R11" s="18"/>
      <c r="S11" s="26"/>
      <c r="T11" s="26"/>
    </row>
    <row r="12" spans="2:21">
      <c r="B12" s="18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8">
        <v>3.0223285400000002</v>
      </c>
      <c r="C13" s="26">
        <f t="shared" si="0"/>
        <v>1.2540000035866385</v>
      </c>
      <c r="D13" s="26">
        <v>3.79</v>
      </c>
      <c r="N13" t="s">
        <v>30</v>
      </c>
      <c r="O13" t="s">
        <v>1</v>
      </c>
      <c r="P13" t="s">
        <v>2</v>
      </c>
      <c r="S13" s="26"/>
      <c r="T13" s="26"/>
    </row>
    <row r="14" spans="2:21">
      <c r="B14" s="18">
        <v>2.7123287600000001</v>
      </c>
      <c r="C14" s="26">
        <f t="shared" si="0"/>
        <v>1.0950000028757576</v>
      </c>
      <c r="D14" s="26">
        <v>2.97</v>
      </c>
      <c r="M14" t="s">
        <v>10</v>
      </c>
      <c r="N14" s="18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8">
        <f>2.44/0.9</f>
        <v>2.7111111111111108</v>
      </c>
      <c r="C15" s="26">
        <v>0.84715200000000002</v>
      </c>
      <c r="D15" s="26">
        <f>B15*C15</f>
        <v>2.2967231999999997</v>
      </c>
      <c r="N15" s="18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8">
        <f>4.11968757-B15</f>
        <v>1.4085764588888892</v>
      </c>
      <c r="C16" s="26">
        <v>0.84715200000000002</v>
      </c>
      <c r="D16" s="26">
        <f>B16*C16</f>
        <v>1.1932783643006402</v>
      </c>
      <c r="N16" s="18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8"/>
      <c r="F17" t="s">
        <v>12</v>
      </c>
      <c r="G17" s="26">
        <f>(D18/B18)</f>
        <v>0.8652776400879596</v>
      </c>
      <c r="N17" s="18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63.293366529999993</v>
      </c>
      <c r="S17" s="26"/>
      <c r="T17" s="26">
        <f>(SUM(T5:T12))</f>
        <v>54.766334824300642</v>
      </c>
    </row>
    <row r="18" spans="2:20">
      <c r="B18" s="18">
        <f>(SUM(B5:B17))</f>
        <v>63.293366529999993</v>
      </c>
      <c r="D18" s="26">
        <f>(SUM(D5:D17))</f>
        <v>54.766334824300642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15" priority="25" operator="lessThan">
      <formula>$J$3</formula>
    </cfRule>
    <cfRule type="cellIs" dxfId="114" priority="26" operator="greaterThan">
      <formula>$J$3</formula>
    </cfRule>
  </conditionalFormatting>
  <conditionalFormatting sqref="S8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7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65" width="9.140625" style="25" customWidth="1"/>
    <col min="366" max="16384" width="9.140625" style="25"/>
  </cols>
  <sheetData>
    <row r="3" spans="2:16">
      <c r="I3" t="s">
        <v>3</v>
      </c>
      <c r="J3" s="47">
        <v>2.7260892568281479E-2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1.7669623346107062</v>
      </c>
      <c r="K4" s="4">
        <f>(J4/D10-1)</f>
        <v>-0.11651883269464691</v>
      </c>
    </row>
    <row r="5" spans="2:16">
      <c r="B5" s="37">
        <v>64.74873341</v>
      </c>
      <c r="C5" s="47">
        <f>(D5/B5)</f>
        <v>3.0888635107897165E-2</v>
      </c>
      <c r="D5" s="26">
        <v>2</v>
      </c>
      <c r="M5" t="s">
        <v>79</v>
      </c>
      <c r="N5" t="s">
        <v>30</v>
      </c>
      <c r="O5" t="s">
        <v>1</v>
      </c>
      <c r="P5" t="s">
        <v>2</v>
      </c>
    </row>
    <row r="6" spans="2:16">
      <c r="B6" s="49">
        <v>6.8012050000000004E-2</v>
      </c>
      <c r="C6" s="29">
        <v>0</v>
      </c>
      <c r="D6" s="30">
        <f>(B6*C6)</f>
        <v>0</v>
      </c>
      <c r="E6" s="26">
        <f>(B6*J3)</f>
        <v>1.8540691883985885E-3</v>
      </c>
      <c r="M6" t="s">
        <v>10</v>
      </c>
      <c r="N6" s="37">
        <f>($B$10/5)</f>
        <v>12.963349091999998</v>
      </c>
      <c r="O6" s="47">
        <f>($C$5*[1]Params!K8)</f>
        <v>4.0155225640266315E-2</v>
      </c>
      <c r="P6" s="26">
        <f>(O6*N6)</f>
        <v>0.52054620784280137</v>
      </c>
    </row>
    <row r="7" spans="2:16">
      <c r="B7" s="37"/>
      <c r="C7" s="26"/>
      <c r="D7" s="28"/>
      <c r="E7" s="26"/>
      <c r="N7" s="37">
        <f>($B$10/5)</f>
        <v>12.963349091999998</v>
      </c>
      <c r="O7" s="47">
        <f>($C$5*[1]Params!K9)</f>
        <v>4.9421816172635469E-2</v>
      </c>
      <c r="P7" s="26">
        <f>(O7*N7)</f>
        <v>0.64067225580652476</v>
      </c>
    </row>
    <row r="8" spans="2:16">
      <c r="N8" s="37">
        <f>($B$10/5)</f>
        <v>12.963349091999998</v>
      </c>
      <c r="O8" s="47">
        <f>($C$5*[1]Params!K10)</f>
        <v>6.7954997237373763E-2</v>
      </c>
      <c r="P8" s="26">
        <f>(O8*N8)</f>
        <v>0.88092435173397154</v>
      </c>
    </row>
    <row r="9" spans="2:16">
      <c r="F9" t="s">
        <v>12</v>
      </c>
      <c r="G9" s="26">
        <f>(D10/B10)</f>
        <v>3.0856223739808862E-2</v>
      </c>
      <c r="N9" s="37">
        <f>($B$10/5)</f>
        <v>12.963349091999998</v>
      </c>
      <c r="O9" s="47">
        <f>($C$5*[1]Params!K11)</f>
        <v>0.15444317553948583</v>
      </c>
      <c r="P9" s="26">
        <f>(O9*N9)</f>
        <v>2.0021007993953899</v>
      </c>
    </row>
    <row r="10" spans="2:16">
      <c r="B10" s="37">
        <f>(SUM(B5:B9))</f>
        <v>64.816745459999993</v>
      </c>
      <c r="D10" s="26">
        <f>(SUM(D5:D9))</f>
        <v>2</v>
      </c>
    </row>
    <row r="11" spans="2:16">
      <c r="P11" s="26">
        <f>(SUM(P6:P9))</f>
        <v>4.0442436147786882</v>
      </c>
    </row>
    <row r="22" spans="10:10">
      <c r="J22" s="23"/>
    </row>
  </sheetData>
  <conditionalFormatting sqref="C5">
    <cfRule type="cellIs" dxfId="109" priority="11" operator="lessThan">
      <formula>$J$3</formula>
    </cfRule>
    <cfRule type="cellIs" dxfId="108" priority="12" operator="greaterThan">
      <formula>$J$3</formula>
    </cfRule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6:O9">
    <cfRule type="cellIs" dxfId="105" priority="9" operator="lessThan">
      <formula>$J$3</formula>
    </cfRule>
    <cfRule type="cellIs" dxfId="104" priority="10" operator="greaterThan">
      <formula>$J$3</formula>
    </cfRule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9">
    <cfRule type="cellIs" dxfId="101" priority="7" operator="lessThan">
      <formula>$J$3</formula>
    </cfRule>
    <cfRule type="cellIs" dxfId="100" priority="8" operator="greaterThan">
      <formula>$J$3</formula>
    </cfRule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28" sqref="O28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7">
        <v>1.405658741841872</v>
      </c>
      <c r="M3" t="s">
        <v>4</v>
      </c>
      <c r="N3" s="23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49.196538260665371</v>
      </c>
      <c r="K4" s="4">
        <f>(J4/D13-1)</f>
        <v>3.3693926576608773</v>
      </c>
      <c r="R4" t="s">
        <v>5</v>
      </c>
      <c r="S4" t="s">
        <v>6</v>
      </c>
      <c r="T4" t="s">
        <v>7</v>
      </c>
    </row>
    <row r="5" spans="2:22">
      <c r="B5" s="37">
        <v>52.247700000000002</v>
      </c>
      <c r="C5" s="26">
        <f>(D5/B5)</f>
        <v>0.7577367041994193</v>
      </c>
      <c r="D5" s="26">
        <v>39.590000000000003</v>
      </c>
      <c r="N5" t="s">
        <v>30</v>
      </c>
      <c r="O5" t="s">
        <v>1</v>
      </c>
      <c r="P5" t="s">
        <v>2</v>
      </c>
      <c r="R5" s="37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9">
        <v>0.35022028999999999</v>
      </c>
      <c r="C6" s="29">
        <v>0</v>
      </c>
      <c r="D6" s="30">
        <f>(B6*C6)</f>
        <v>0</v>
      </c>
      <c r="E6" s="26">
        <f>(B6*J3)</f>
        <v>0.49229021220889552</v>
      </c>
      <c r="M6" t="s">
        <v>10</v>
      </c>
      <c r="N6" s="37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9">
        <v>0.33622554999999998</v>
      </c>
      <c r="S6" s="29">
        <v>0</v>
      </c>
      <c r="T6" s="30">
        <f>(R6*S6)</f>
        <v>0</v>
      </c>
      <c r="U6" s="26">
        <f>(E6)</f>
        <v>0.49229021220889552</v>
      </c>
    </row>
    <row r="7" spans="2:22">
      <c r="B7" s="37">
        <v>2.3809999999999998</v>
      </c>
      <c r="C7" s="26">
        <v>0</v>
      </c>
      <c r="D7" s="28">
        <f>(B7*C7)</f>
        <v>0</v>
      </c>
      <c r="E7" s="26">
        <f>(B7*J3)</f>
        <v>3.3468734643254971</v>
      </c>
      <c r="N7" s="37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7">
        <f>(B7)</f>
        <v>2.3809999999999998</v>
      </c>
      <c r="S7" s="26">
        <v>0</v>
      </c>
      <c r="T7" s="28">
        <f>(D7)</f>
        <v>0</v>
      </c>
    </row>
    <row r="8" spans="2:22">
      <c r="B8" s="37">
        <v>-10.99</v>
      </c>
      <c r="C8" s="27">
        <f>D8/B8</f>
        <v>1.1297558853503185</v>
      </c>
      <c r="D8" s="26">
        <f>-12.41601718</f>
        <v>-12.416017180000001</v>
      </c>
      <c r="N8" s="37">
        <f>3*($B$13+$N$7+$N$6)/5-N7-N6</f>
        <v>12.207352173999995</v>
      </c>
      <c r="O8" s="26">
        <f>($C$5*[1]Params!K10)</f>
        <v>1.6670207492387226</v>
      </c>
      <c r="P8" s="26">
        <f>N8*O8</f>
        <v>20.349909367322422</v>
      </c>
      <c r="R8" s="37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7">
        <v>-10.99</v>
      </c>
      <c r="C9" s="27">
        <f>D9/B9</f>
        <v>1.233496991810737</v>
      </c>
      <c r="D9" s="26">
        <v>-13.55613194</v>
      </c>
      <c r="N9" s="37">
        <f>($B$13+$N$7+$N$6)/5</f>
        <v>11.395784058</v>
      </c>
      <c r="O9" s="26">
        <f>($C$5*[1]Params!K11)</f>
        <v>3.7886835209970964</v>
      </c>
      <c r="P9" s="26">
        <f>(O9*N9)</f>
        <v>43.17501926938602</v>
      </c>
      <c r="R9" s="37">
        <f>B9</f>
        <v>-10.99</v>
      </c>
      <c r="S9" s="26">
        <f>T9/R9</f>
        <v>1.233496991810737</v>
      </c>
      <c r="T9" s="26">
        <f>D9</f>
        <v>-13.55613194</v>
      </c>
      <c r="U9" s="26"/>
      <c r="V9" s="27"/>
    </row>
    <row r="10" spans="2:22">
      <c r="B10" s="37">
        <v>-11</v>
      </c>
      <c r="C10" s="27">
        <f>D10/B10</f>
        <v>1.6782878045454546</v>
      </c>
      <c r="D10" s="26">
        <f>-18.46116585</f>
        <v>-18.46116585</v>
      </c>
      <c r="R10" s="37">
        <f>B10+B11</f>
        <v>2</v>
      </c>
      <c r="S10" s="26">
        <v>0</v>
      </c>
      <c r="T10" s="26">
        <f>D10+D11</f>
        <v>-2.3584969800000017</v>
      </c>
      <c r="U10" s="26">
        <f>-T10+R10*J3</f>
        <v>5.1698144636837462</v>
      </c>
      <c r="V10" s="27"/>
    </row>
    <row r="11" spans="2:22">
      <c r="B11" s="37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0.32170574996900858</v>
      </c>
      <c r="P11" s="26">
        <f>(SUM(P6:P9))</f>
        <v>89.49707775670845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7">
        <f>(SUM(B5:B11))</f>
        <v>34.998920290000001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3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97" priority="11" operator="lessThan">
      <formula>$J$3</formula>
    </cfRule>
    <cfRule type="cellIs" dxfId="96" priority="12" operator="greaterThan">
      <formula>$J$3</formula>
    </cfRule>
  </conditionalFormatting>
  <conditionalFormatting sqref="O3">
    <cfRule type="cellIs" dxfId="95" priority="5" operator="greaterThan">
      <formula>$J$3</formula>
    </cfRule>
    <cfRule type="cellIs" dxfId="94" priority="6" operator="lessThan">
      <formula>$J$3</formula>
    </cfRule>
  </conditionalFormatting>
  <conditionalFormatting sqref="C11">
    <cfRule type="cellIs" dxfId="93" priority="1" operator="lessThan">
      <formula>$J$3</formula>
    </cfRule>
    <cfRule type="cellIs" dxfId="9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4"/>
  <sheetViews>
    <sheetView workbookViewId="0">
      <selection activeCell="O7" sqref="O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3.5402025735331071</v>
      </c>
      <c r="M3" t="s">
        <v>4</v>
      </c>
      <c r="N3" s="23">
        <f>(INDEX(N5:N33,MATCH(MAX(O6:O7,O14:O15),O5:O33,0))/0.85)</f>
        <v>5.329411764705883</v>
      </c>
      <c r="O3" s="27">
        <f>(MAX(O6:O7,O14:O15)*0.75)</f>
        <v>2.152735678807947</v>
      </c>
      <c r="P3" s="26">
        <f>(O3*N3)</f>
        <v>11.472814852941179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(B27*J3)</f>
        <v>62.044826606961593</v>
      </c>
      <c r="K4" s="4">
        <f>(J4/D27-1)</f>
        <v>2.179018000719632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24.018443900000001</v>
      </c>
      <c r="C6" s="26">
        <f>(D6/B6)</f>
        <v>1.8527428415127258</v>
      </c>
      <c r="D6" s="26">
        <v>44.5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</f>
        <v>15.188443899999999</v>
      </c>
      <c r="S6" s="26">
        <f>(T6/R6)</f>
        <v>1.908802915616655</v>
      </c>
      <c r="T6" s="26">
        <f>D6+B19*1.74+B21*1.7718</f>
        <v>28.991745999999999</v>
      </c>
      <c r="U6" s="26" t="str">
        <f>(E6)</f>
        <v>DCA2</v>
      </c>
    </row>
    <row r="7" spans="2:22">
      <c r="B7" s="2">
        <v>0.1030442</v>
      </c>
      <c r="C7" s="29">
        <v>0</v>
      </c>
      <c r="D7" s="30">
        <v>0</v>
      </c>
      <c r="E7" s="27">
        <f>B7*J3</f>
        <v>0.36479734202766018</v>
      </c>
      <c r="N7" s="1">
        <f>-B20</f>
        <v>0.37687523000000001</v>
      </c>
      <c r="O7" s="26">
        <f>($C$5*[1]Params!K9)</f>
        <v>2.6815642458100561</v>
      </c>
      <c r="P7" s="26">
        <f>(O7*N7)</f>
        <v>1.0106151418994416</v>
      </c>
      <c r="Q7" t="s">
        <v>11</v>
      </c>
      <c r="R7" s="2">
        <f>(B7)</f>
        <v>0.1030442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(($B$5+$R$9)/5)</f>
        <v>0.39575079610350461</v>
      </c>
      <c r="O8" s="26">
        <f>($C$5*[1]Params!K10)</f>
        <v>3.6871508379888271</v>
      </c>
      <c r="P8" s="26">
        <f>(O8*N8)</f>
        <v>1.4591928794877824</v>
      </c>
      <c r="R8" s="1">
        <f>B10+B13+B8+B17+B23+B24</f>
        <v>1.01011527</v>
      </c>
      <c r="S8" s="26">
        <v>0</v>
      </c>
      <c r="T8" s="26">
        <f>(D10+D13+D8+D17+D23+D24)</f>
        <v>-2.6644444199999988</v>
      </c>
      <c r="U8" t="s">
        <v>82</v>
      </c>
      <c r="V8" s="27">
        <f>-T8+R8*$J$3</f>
        <v>6.2404570984190881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0.39575079610350461</v>
      </c>
      <c r="O9" s="26">
        <f>($C$5*[1]Params!K11)</f>
        <v>8.3798882681564244</v>
      </c>
      <c r="P9" s="26">
        <f>(O9*N9)</f>
        <v>3.3163474533813235</v>
      </c>
      <c r="R9" s="1">
        <f>(B12+B11+B9+B14+B15+B16+B22+B25)</f>
        <v>0.18875398051752301</v>
      </c>
      <c r="S9" s="26">
        <v>0</v>
      </c>
      <c r="T9" s="26">
        <f>(D12+D11+D9+D14)+D15+D16+D22+D25</f>
        <v>-0.32716100000000004</v>
      </c>
      <c r="U9" t="s">
        <v>84</v>
      </c>
      <c r="V9" s="27">
        <f>-T9+R9*$J$3</f>
        <v>0.99538832759275298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85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6.6082454747685482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/>
      <c r="S14" s="26"/>
      <c r="T14" s="26"/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/>
      <c r="S15" s="26"/>
      <c r="T15" s="26"/>
      <c r="U15" s="27"/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3*(($B$6+$R$8+$R$7)/5)-$N$15-$N$14</f>
        <v>6.248962021999998</v>
      </c>
      <c r="O16" s="26">
        <f>($S$6*[1]Params!K10)</f>
        <v>4.1993664143566418</v>
      </c>
      <c r="P16" s="26">
        <f>(O16*N16)</f>
        <v>26.241681239776963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3*(($B$6+$R$8+$R$7)/5)-$N$15-$N$14</f>
        <v>6.248962021999998</v>
      </c>
      <c r="O17" s="26">
        <f>($S$6*[1]Params!K11)</f>
        <v>9.5440145780832744</v>
      </c>
      <c r="P17" s="26">
        <f>(O17*N17)</f>
        <v>59.640184635856713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109.04253075563368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B24" s="1">
        <f>5.7*0.999</f>
        <v>5.6943000000000001</v>
      </c>
      <c r="C24" s="26">
        <f>(D24/B24)</f>
        <v>2.8818818818818817</v>
      </c>
      <c r="D24" s="26">
        <v>16.410299999999999</v>
      </c>
      <c r="O24" s="26"/>
      <c r="P24" s="26"/>
      <c r="S24" s="26"/>
      <c r="T24" s="26"/>
    </row>
    <row r="25" spans="2:20">
      <c r="B25" s="1">
        <v>0.446786248131539</v>
      </c>
      <c r="C25" s="26">
        <f>(D25/B25)</f>
        <v>2.7306122448979631</v>
      </c>
      <c r="D25" s="26">
        <v>1.22</v>
      </c>
      <c r="O25" s="26"/>
      <c r="P25" s="26"/>
      <c r="S25" s="26"/>
      <c r="T25" s="26"/>
    </row>
    <row r="26" spans="2:20">
      <c r="C26" s="26"/>
      <c r="D26" s="26"/>
      <c r="F26" t="s">
        <v>12</v>
      </c>
      <c r="G26" s="26">
        <f>(D27/B27)</f>
        <v>1.1136151392447964</v>
      </c>
      <c r="S26" s="26"/>
      <c r="T26" s="26"/>
    </row>
    <row r="27" spans="2:20">
      <c r="B27" s="1">
        <f>(SUM(B5:B26))</f>
        <v>17.525784278790894</v>
      </c>
      <c r="C27" s="26"/>
      <c r="D27" s="26">
        <f>(SUM(D5:D26))</f>
        <v>19.516978699999985</v>
      </c>
      <c r="S27" s="26"/>
      <c r="T27" s="26"/>
    </row>
    <row r="28" spans="2:20">
      <c r="S28" s="26"/>
      <c r="T28" s="26"/>
    </row>
    <row r="29" spans="2:20">
      <c r="S29" s="26"/>
      <c r="T29" s="26"/>
    </row>
    <row r="30" spans="2:20">
      <c r="R30" s="1">
        <f>(SUM(R5:R29))</f>
        <v>17.525784278790901</v>
      </c>
      <c r="S30" s="26"/>
      <c r="T30" s="26">
        <f>(SUM(T5:T29))</f>
        <v>19.516978699999999</v>
      </c>
    </row>
    <row r="34" spans="11:11">
      <c r="K34" s="27"/>
    </row>
  </sheetData>
  <conditionalFormatting sqref="C5:C6 C12:C14 C16:C17 O8:O9 O16:O17 S5:S6">
    <cfRule type="cellIs" dxfId="91" priority="23" operator="lessThan">
      <formula>$J$3</formula>
    </cfRule>
    <cfRule type="cellIs" dxfId="90" priority="24" operator="greaterThan">
      <formula>$J$3</formula>
    </cfRule>
  </conditionalFormatting>
  <conditionalFormatting sqref="O3">
    <cfRule type="cellIs" dxfId="89" priority="5" operator="greaterThan">
      <formula>$J$3</formula>
    </cfRule>
    <cfRule type="cellIs" dxfId="88" priority="6" operator="lessThan">
      <formula>$J$3</formula>
    </cfRule>
  </conditionalFormatting>
  <conditionalFormatting sqref="G26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C24:C25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4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4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4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4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4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4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4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4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4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4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4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4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4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4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4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4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4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4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4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4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4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4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4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4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4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4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4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4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4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4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4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4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4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4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4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4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4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4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4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4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4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4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4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4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4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4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4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4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4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4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4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4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4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4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4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4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4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4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4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4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4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4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4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4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4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4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4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4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4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4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4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4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4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4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4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4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4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4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4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4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4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4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4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4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4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4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4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4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4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4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4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4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4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4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4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4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4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4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4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4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4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4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4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4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4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4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4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4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4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4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4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4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4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4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4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4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4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4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4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4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4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4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4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4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4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4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4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4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4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4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4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4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4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4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4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4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4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4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4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4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4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4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4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4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4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4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4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4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4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4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4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4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4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4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4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4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4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4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4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4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4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4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4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4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4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4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4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4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4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4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4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4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4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4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4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4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4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4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4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4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4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4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4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4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4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4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4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4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4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4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4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4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4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4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4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4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4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4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4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4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4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4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4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4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86" width="9.140625" style="25" customWidth="1"/>
    <col min="387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0.96528234998375195</v>
      </c>
      <c r="M3" t="s">
        <v>4</v>
      </c>
      <c r="N3" s="37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3.6710131220593674</v>
      </c>
      <c r="K4" s="4">
        <f>(J4/D14-1)</f>
        <v>-27.394069760904621</v>
      </c>
      <c r="R4" t="s">
        <v>5</v>
      </c>
      <c r="S4" t="s">
        <v>6</v>
      </c>
      <c r="T4" t="s">
        <v>7</v>
      </c>
    </row>
    <row r="5" spans="2:21">
      <c r="B5" s="37">
        <v>9.4096547000000008</v>
      </c>
      <c r="C5" s="26">
        <f>(D5/B5)</f>
        <v>0.23380241572520191</v>
      </c>
      <c r="D5" s="26">
        <v>2.2000000000000002</v>
      </c>
      <c r="N5" t="s">
        <v>30</v>
      </c>
      <c r="O5" t="s">
        <v>1</v>
      </c>
      <c r="P5" t="s">
        <v>2</v>
      </c>
      <c r="R5" s="37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9">
        <v>7.6391239999999999E-2</v>
      </c>
      <c r="C6" s="29">
        <v>0</v>
      </c>
      <c r="D6" s="29">
        <f>(B6*C6)</f>
        <v>0</v>
      </c>
      <c r="E6" s="26">
        <f>(B6*J3)</f>
        <v>7.3739115665372792E-2</v>
      </c>
      <c r="M6" t="s">
        <v>10</v>
      </c>
      <c r="N6" s="37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9">
        <f>(B6)</f>
        <v>7.6391239999999999E-2</v>
      </c>
      <c r="S6" s="29">
        <v>0</v>
      </c>
      <c r="T6" s="29">
        <f>(D6)</f>
        <v>0</v>
      </c>
      <c r="U6" s="26">
        <f>(E6)</f>
        <v>7.3739115665372792E-2</v>
      </c>
    </row>
    <row r="7" spans="2:21">
      <c r="B7" s="37">
        <v>-3.7930000000000001</v>
      </c>
      <c r="C7" s="26">
        <f>D7/B7</f>
        <v>0.3413179752175059</v>
      </c>
      <c r="D7" s="26">
        <f>-1.29461908</f>
        <v>-1.2946190799999999</v>
      </c>
      <c r="N7" s="37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7"/>
      <c r="S7" s="26"/>
      <c r="T7" s="26"/>
      <c r="U7" s="27"/>
    </row>
    <row r="8" spans="2:21">
      <c r="B8" s="37">
        <v>-1.89</v>
      </c>
      <c r="C8" s="26">
        <f>D8/B8</f>
        <v>0.55262734920634926</v>
      </c>
      <c r="D8" s="26">
        <v>-1.04446569</v>
      </c>
      <c r="N8" s="37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7"/>
      <c r="S8" s="26"/>
      <c r="T8" s="26"/>
    </row>
    <row r="9" spans="2:21">
      <c r="B9" s="37"/>
      <c r="C9" s="26"/>
      <c r="D9" s="26"/>
      <c r="N9" s="37">
        <f>4*($B$14-B7-B8)/5+B7+B8</f>
        <v>1.9058367520000006</v>
      </c>
      <c r="O9" s="26">
        <f>($C$5*[1]Params!K11)</f>
        <v>1.1690120786260096</v>
      </c>
      <c r="P9" s="26">
        <f>(O9*N9)</f>
        <v>2.2279461829773637</v>
      </c>
      <c r="Q9" s="27"/>
    </row>
    <row r="10" spans="2:21">
      <c r="B10" s="37"/>
      <c r="C10" s="26"/>
      <c r="D10" s="26"/>
    </row>
    <row r="12" spans="2:21">
      <c r="P12" s="26">
        <f>(SUM(P6:P9))</f>
        <v>4.5430668729773638</v>
      </c>
    </row>
    <row r="13" spans="2:21">
      <c r="F13" t="s">
        <v>12</v>
      </c>
      <c r="G13" s="26">
        <f>(D14/B14)</f>
        <v>-3.6571940543005832E-2</v>
      </c>
    </row>
    <row r="14" spans="2:21">
      <c r="B14" s="37">
        <f>(SUM(B5:B13))</f>
        <v>3.8030459400000005</v>
      </c>
      <c r="D14" s="26">
        <f>(SUM(D5:D13))</f>
        <v>-0.13908476999999975</v>
      </c>
    </row>
    <row r="17" spans="11:20">
      <c r="N17" s="37"/>
      <c r="R17" s="37">
        <f>(SUM(R5:R16))</f>
        <v>9.4860459400000003</v>
      </c>
      <c r="T17" s="26">
        <f>(SUM(T5:T16))</f>
        <v>2.2000000000000002</v>
      </c>
    </row>
    <row r="20" spans="11:20">
      <c r="K20" s="27"/>
    </row>
    <row r="26" spans="11:20">
      <c r="O26" s="55"/>
    </row>
  </sheetData>
  <conditionalFormatting sqref="C5">
    <cfRule type="cellIs" dxfId="83" priority="13" operator="lessThan">
      <formula>$J$3</formula>
    </cfRule>
    <cfRule type="cellIs" dxfId="82" priority="14" operator="greaterThan">
      <formula>$J$3</formula>
    </cfRule>
  </conditionalFormatting>
  <conditionalFormatting sqref="O9">
    <cfRule type="cellIs" dxfId="81" priority="9" operator="lessThan">
      <formula>$J$3</formula>
    </cfRule>
    <cfRule type="cellIs" dxfId="80" priority="10" operator="greaterThan">
      <formula>$J$3</formula>
    </cfRule>
  </conditionalFormatting>
  <conditionalFormatting sqref="S5">
    <cfRule type="cellIs" dxfId="79" priority="7" operator="lessThan">
      <formula>$J$3</formula>
    </cfRule>
    <cfRule type="cellIs" dxfId="78" priority="8" operator="greaterThan">
      <formula>$J$3</formula>
    </cfRule>
  </conditionalFormatting>
  <conditionalFormatting sqref="G1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3">
    <cfRule type="cellIs" dxfId="75" priority="1" operator="greaterThan">
      <formula>$J$3</formula>
    </cfRule>
    <cfRule type="cellIs" dxfId="74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29" sqref="X29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</cols>
  <sheetData>
    <row r="3" spans="2:16">
      <c r="I3" t="s">
        <v>3</v>
      </c>
      <c r="J3" s="56">
        <v>9.7853696625566978E-6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14.919250547914327</v>
      </c>
      <c r="K4" s="4">
        <f>(J4/D13-1)</f>
        <v>-8.1868220553683591E-3</v>
      </c>
    </row>
    <row r="5" spans="2:16">
      <c r="B5" s="21">
        <v>439531.68</v>
      </c>
      <c r="C5" s="56">
        <f>(D5/B5)</f>
        <v>1.1443998757950737E-5</v>
      </c>
      <c r="D5" s="26">
        <v>5.03</v>
      </c>
      <c r="E5" s="26"/>
      <c r="F5" s="26"/>
      <c r="G5" s="26"/>
      <c r="N5" t="s">
        <v>30</v>
      </c>
      <c r="O5" t="s">
        <v>1</v>
      </c>
      <c r="P5" t="s">
        <v>2</v>
      </c>
    </row>
    <row r="6" spans="2:16">
      <c r="B6" s="22">
        <v>276.54000000000002</v>
      </c>
      <c r="C6" s="29">
        <v>0</v>
      </c>
      <c r="D6" s="30">
        <f>(B6*C6)</f>
        <v>0</v>
      </c>
      <c r="E6" s="26">
        <f>(B6*J3)</f>
        <v>2.7060461264834293E-3</v>
      </c>
      <c r="F6" s="26"/>
      <c r="G6" s="26"/>
      <c r="M6" t="s">
        <v>10</v>
      </c>
      <c r="N6" s="21">
        <f>($B$13/5)</f>
        <v>304929.728</v>
      </c>
      <c r="O6" s="56">
        <f>($C$5*[1]Params!K8)</f>
        <v>1.4877198385335959E-5</v>
      </c>
      <c r="P6" s="26">
        <f>(O6*N6)</f>
        <v>4.5365000570425327</v>
      </c>
    </row>
    <row r="7" spans="2:16">
      <c r="B7" s="21">
        <v>1084840.42</v>
      </c>
      <c r="C7" s="56">
        <f>(D7/B7)</f>
        <v>9.2293758744719342E-6</v>
      </c>
      <c r="D7" s="26">
        <v>10.0124</v>
      </c>
      <c r="E7" s="26" t="s">
        <v>86</v>
      </c>
      <c r="F7" s="26"/>
      <c r="G7" s="26"/>
      <c r="N7" s="21">
        <f>($B$13/5)</f>
        <v>304929.728</v>
      </c>
      <c r="O7" s="56">
        <f>($C$5*[1]Params!K9)</f>
        <v>1.8310398012721179E-5</v>
      </c>
      <c r="P7" s="26">
        <f>(O7*N7)</f>
        <v>5.5833846855908096</v>
      </c>
    </row>
    <row r="8" spans="2:16">
      <c r="C8" s="26"/>
      <c r="D8" s="26"/>
      <c r="E8" s="26"/>
      <c r="F8" s="26"/>
      <c r="G8" s="26"/>
      <c r="N8" s="21">
        <f>($B$13/5)</f>
        <v>304929.728</v>
      </c>
      <c r="O8" s="56">
        <f>($C$5*[1]Params!K10)</f>
        <v>2.5176797267491623E-5</v>
      </c>
      <c r="P8" s="26">
        <f>(O8*N8)</f>
        <v>7.6771539426873643</v>
      </c>
    </row>
    <row r="9" spans="2:16">
      <c r="C9" s="26"/>
      <c r="D9" s="26"/>
      <c r="E9" s="26"/>
      <c r="F9" s="26"/>
      <c r="G9" s="26"/>
      <c r="N9" s="21">
        <f>($B$13/5)</f>
        <v>304929.728</v>
      </c>
      <c r="O9" s="56">
        <f>($C$5*[1]Params!K11)</f>
        <v>5.7219993789753684E-5</v>
      </c>
      <c r="P9" s="26">
        <f>(O9*N9)</f>
        <v>17.448077142471281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35.245115827791992</v>
      </c>
    </row>
    <row r="12" spans="2:16">
      <c r="C12" s="26"/>
      <c r="D12" s="26"/>
      <c r="E12" s="26"/>
      <c r="F12" s="26" t="s">
        <v>12</v>
      </c>
      <c r="G12" s="57">
        <f>(D13/B13)</f>
        <v>9.8661420115784849E-6</v>
      </c>
    </row>
    <row r="13" spans="2:16">
      <c r="B13">
        <f>(SUM(B5:B12))</f>
        <v>1524648.64</v>
      </c>
      <c r="C13" s="26"/>
      <c r="D13" s="26">
        <f>(SUM(D5:D12))</f>
        <v>15.042400000000001</v>
      </c>
      <c r="E13" s="26"/>
      <c r="F13" s="26"/>
      <c r="G13" s="26"/>
    </row>
  </sheetData>
  <conditionalFormatting sqref="C5">
    <cfRule type="cellIs" dxfId="73" priority="15" operator="lessThan">
      <formula>$J$3</formula>
    </cfRule>
    <cfRule type="cellIs" dxfId="72" priority="16" operator="greaterThan">
      <formula>$J$3</formula>
    </cfRule>
  </conditionalFormatting>
  <conditionalFormatting sqref="J3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6:O9">
    <cfRule type="cellIs" dxfId="69" priority="11" operator="lessThan">
      <formula>$J$3</formula>
    </cfRule>
    <cfRule type="cellIs" dxfId="68" priority="12" operator="greaterThan">
      <formula>$J$3</formula>
    </cfRule>
    <cfRule type="cellIs" dxfId="67" priority="9" operator="lessThan">
      <formula>$J$3</formula>
    </cfRule>
    <cfRule type="cellIs" dxfId="66" priority="10" operator="greaterThan">
      <formula>$J$3</formula>
    </cfRule>
    <cfRule type="cellIs" dxfId="65" priority="7" operator="lessThan">
      <formula>$J$3</formula>
    </cfRule>
    <cfRule type="cellIs" dxfId="64" priority="8" operator="greaterThan">
      <formula>$J$3</formula>
    </cfRule>
  </conditionalFormatting>
  <conditionalFormatting sqref="C7">
    <cfRule type="cellIs" dxfId="63" priority="5" operator="lessThan">
      <formula>$J$3</formula>
    </cfRule>
    <cfRule type="cellIs" dxfId="62" priority="6" operator="greaterThan">
      <formula>$J$3</formula>
    </cfRule>
    <cfRule type="cellIs" dxfId="61" priority="1" operator="lessThan">
      <formula>$J$3</formula>
    </cfRule>
    <cfRule type="cellIs" dxfId="60" priority="2" operator="greaterThan">
      <formula>$J$3</formula>
    </cfRule>
  </conditionalFormatting>
  <conditionalFormatting sqref="G12">
    <cfRule type="cellIs" dxfId="59" priority="3" operator="lessThan">
      <formula>$J$3</formula>
    </cfRule>
    <cfRule type="cellIs" dxfId="58" priority="4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Q15" sqref="Q1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0">
        <v>5.3863932531369573E-3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3.2286041159302923</v>
      </c>
      <c r="K4" s="4">
        <f>(J4/D10-1)</f>
        <v>7.6201371976764021E-2</v>
      </c>
    </row>
    <row r="5" spans="2:16">
      <c r="B5">
        <v>599.4</v>
      </c>
      <c r="C5" s="47">
        <f>(D5/B5)</f>
        <v>5.005005005005005E-3</v>
      </c>
      <c r="D5" s="26">
        <v>3</v>
      </c>
      <c r="E5" t="s">
        <v>80</v>
      </c>
      <c r="N5" t="s">
        <v>30</v>
      </c>
      <c r="O5" t="s">
        <v>1</v>
      </c>
      <c r="P5" t="s">
        <v>2</v>
      </c>
    </row>
    <row r="6" spans="2:16">
      <c r="C6" s="26"/>
      <c r="D6" s="26"/>
      <c r="M6" t="s">
        <v>10</v>
      </c>
      <c r="N6">
        <f>($B$5/5)</f>
        <v>119.88</v>
      </c>
      <c r="O6" s="53">
        <f>($C$5*[1]Params!K8)</f>
        <v>6.5065065065065065E-3</v>
      </c>
      <c r="P6" s="26">
        <f>(O6*N6)</f>
        <v>0.77999999999999992</v>
      </c>
    </row>
    <row r="7" spans="2:16">
      <c r="C7" s="26"/>
      <c r="D7" s="26"/>
      <c r="N7">
        <f>($B$5/5)</f>
        <v>119.88</v>
      </c>
      <c r="O7" s="53">
        <f>($C$5*[1]Params!K9)</f>
        <v>8.0080080080080079E-3</v>
      </c>
      <c r="P7" s="26">
        <f>(O7*N7)</f>
        <v>0.96</v>
      </c>
    </row>
    <row r="8" spans="2:16">
      <c r="C8" s="26"/>
      <c r="D8" s="26"/>
      <c r="N8">
        <f>($B$5/5)</f>
        <v>119.88</v>
      </c>
      <c r="O8" s="53">
        <f>($C$5*[1]Params!K10)</f>
        <v>1.1011011011011013E-2</v>
      </c>
      <c r="P8" s="26">
        <f>(O8*N8)</f>
        <v>1.32</v>
      </c>
    </row>
    <row r="9" spans="2:16">
      <c r="C9" s="26"/>
      <c r="D9" s="26"/>
      <c r="F9" t="s">
        <v>12</v>
      </c>
      <c r="G9" s="26">
        <f>(D10/B10)</f>
        <v>5.005005005005005E-3</v>
      </c>
      <c r="N9">
        <f>($B$5/5)</f>
        <v>119.88</v>
      </c>
      <c r="O9" s="53">
        <f>($C$5*[1]Params!K11)</f>
        <v>2.5025025025025023E-2</v>
      </c>
      <c r="P9" s="26">
        <f>(O9*N9)</f>
        <v>2.9999999999999996</v>
      </c>
    </row>
    <row r="10" spans="2:16">
      <c r="B10">
        <f>(SUM(B5:B9))</f>
        <v>599.4</v>
      </c>
      <c r="C10" s="26"/>
      <c r="D10" s="26">
        <f>(SUM(D5:D9))</f>
        <v>3</v>
      </c>
      <c r="O10" s="26"/>
      <c r="P10" s="26"/>
    </row>
    <row r="11" spans="2:16">
      <c r="O11" s="26"/>
      <c r="P11" s="26">
        <f>(SUM(P6:P9))</f>
        <v>6.0599999999999987</v>
      </c>
    </row>
  </sheetData>
  <conditionalFormatting sqref="C5 G9 O6:O9">
    <cfRule type="cellIs" dxfId="57" priority="5" operator="lessThan">
      <formula>$J$3</formula>
    </cfRule>
    <cfRule type="cellIs" dxfId="56" priority="6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N25" sqref="N25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112.00201482877711</v>
      </c>
      <c r="M3" t="s">
        <v>4</v>
      </c>
      <c r="N3" s="23">
        <f>(INDEX(N5:N26,MATCH(MAX(O6:O9,O23:O25,O14:O16),O5:O26,0))/0.85)</f>
        <v>0.12470439294117648</v>
      </c>
      <c r="O3" s="27">
        <f>(MAX(O14:O16,O23:O25,O6:O9)*0.75)</f>
        <v>48.162191914867591</v>
      </c>
      <c r="P3" s="26">
        <f>(O3*N3)</f>
        <v>6.0060369054600011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6">
        <f>(B48*J3)</f>
        <v>474.82608730248796</v>
      </c>
      <c r="K4" s="4">
        <f>(J4/D48-1)</f>
        <v>11.72319206272385</v>
      </c>
      <c r="O4" s="26"/>
      <c r="P4" s="26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87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6">
        <f>(C5)</f>
        <v>196</v>
      </c>
      <c r="T5" s="26">
        <f>(R5*S5)</f>
        <v>57.961394400000003</v>
      </c>
    </row>
    <row r="6" spans="2:22">
      <c r="B6" s="23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3">
        <f>($B$15/5)</f>
        <v>9.8105999999999999E-2</v>
      </c>
      <c r="O6" s="26">
        <f>(C22)</f>
        <v>16.233513403322799</v>
      </c>
      <c r="P6" s="26">
        <f>(O6*N6)</f>
        <v>1.5926050659463866</v>
      </c>
      <c r="Q6" t="s">
        <v>11</v>
      </c>
      <c r="R6" s="23">
        <f>(B6+B7+B8+B9+B10+B11)</f>
        <v>3.1006299999999931E-3</v>
      </c>
      <c r="S6" s="26">
        <v>0</v>
      </c>
      <c r="T6" s="26">
        <f>(D6+D7+D8+D9)+D10+D11</f>
        <v>-0.2519849999999999</v>
      </c>
    </row>
    <row r="7" spans="2:22">
      <c r="B7" s="23">
        <v>-7.3249999999999999E-3</v>
      </c>
      <c r="C7" s="26">
        <f t="shared" si="0"/>
        <v>40.955631399317404</v>
      </c>
      <c r="D7" s="26">
        <v>-0.3</v>
      </c>
      <c r="E7" s="26"/>
      <c r="N7" s="23">
        <f>-B35</f>
        <v>0.10885</v>
      </c>
      <c r="O7" s="26">
        <f>P7/N7</f>
        <v>23.941203491042717</v>
      </c>
      <c r="P7" s="26">
        <f>-D35</f>
        <v>2.6059999999999999</v>
      </c>
      <c r="Q7" t="s">
        <v>11</v>
      </c>
      <c r="R7" s="23">
        <f>B12+B13+B14</f>
        <v>8.7887910000000544E-3</v>
      </c>
      <c r="S7" s="26">
        <v>0</v>
      </c>
      <c r="T7" s="26">
        <f>(R7*S7)</f>
        <v>0</v>
      </c>
    </row>
    <row r="8" spans="2:22">
      <c r="B8" s="23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3">
        <f>(($B$15+$R$16)/5)</f>
        <v>0.10599873400000001</v>
      </c>
      <c r="O8" s="26">
        <f>C37</f>
        <v>31.194569999999995</v>
      </c>
      <c r="P8" s="26">
        <f>-D37</f>
        <v>3.1194569999999997</v>
      </c>
      <c r="Q8" t="s">
        <v>11</v>
      </c>
      <c r="R8" s="23">
        <f>(B15+B22)</f>
        <v>0.39241999999999999</v>
      </c>
      <c r="S8" s="26">
        <f>(T8/R8)</f>
        <v>11.995642423933541</v>
      </c>
      <c r="T8" s="26">
        <f>(D15+D22)</f>
        <v>4.7073299999999998</v>
      </c>
    </row>
    <row r="9" spans="2:22">
      <c r="B9" s="23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3">
        <f>(($B$15+$R$16)/5)</f>
        <v>0.10599873400000001</v>
      </c>
      <c r="O9" s="26">
        <f>($C$15*[1]Params!K11)</f>
        <v>64.216255886490117</v>
      </c>
      <c r="P9" s="26">
        <f>(O9*N9)</f>
        <v>6.806841826188001</v>
      </c>
      <c r="Q9" t="s">
        <v>11</v>
      </c>
      <c r="R9" s="23">
        <f>(B16+B20+B36-N16)</f>
        <v>2.5213456599999997</v>
      </c>
      <c r="S9" s="26">
        <f>(T9/R9)</f>
        <v>24.52677076256176</v>
      </c>
      <c r="T9" s="26">
        <f>(D16+11.97*B20+B36*19.42078-N16*19.42078)</f>
        <v>61.840467015999977</v>
      </c>
      <c r="U9" t="s">
        <v>9</v>
      </c>
    </row>
    <row r="10" spans="2:22">
      <c r="B10" s="23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(B17)</f>
        <v>6.4776520000000004E-2</v>
      </c>
      <c r="S10" s="29">
        <f>(C17)</f>
        <v>0</v>
      </c>
      <c r="T10" s="30">
        <f>(D17)</f>
        <v>0</v>
      </c>
    </row>
    <row r="11" spans="2:22">
      <c r="B11" s="23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14.124903892134387</v>
      </c>
      <c r="R11" s="23">
        <f>B18+B21+B38-N25</f>
        <v>0.81546129000000012</v>
      </c>
      <c r="S11" s="26">
        <f>(T11/R11)</f>
        <v>27.85282229644524</v>
      </c>
      <c r="T11" s="26">
        <f>(D18+12.6*B21+20.2393*B38-20.2393*N25)</f>
        <v>22.7128984</v>
      </c>
      <c r="U11" t="s">
        <v>15</v>
      </c>
    </row>
    <row r="12" spans="2:22">
      <c r="B12" s="23">
        <v>2.0999999999999999E-3</v>
      </c>
      <c r="C12" s="26">
        <v>0</v>
      </c>
      <c r="D12" s="26">
        <v>0</v>
      </c>
      <c r="E12" s="26">
        <f>(B12*$J$3)</f>
        <v>0.2352042311404319</v>
      </c>
      <c r="O12" s="26"/>
      <c r="P12" s="26"/>
      <c r="R12" s="23">
        <f>(B19)</f>
        <v>4.1474400000000002E-2</v>
      </c>
      <c r="S12" s="26">
        <f>(T12/R12)</f>
        <v>12.055629496749802</v>
      </c>
      <c r="T12" s="26">
        <f>(D19)</f>
        <v>0.5</v>
      </c>
    </row>
    <row r="13" spans="2:22">
      <c r="B13" s="23">
        <f>(0.60148-0.595318987)</f>
        <v>6.1610130000000485E-3</v>
      </c>
      <c r="C13" s="26">
        <v>0</v>
      </c>
      <c r="D13" s="26">
        <v>0</v>
      </c>
      <c r="E13" s="26">
        <f>(B13*$J$3)</f>
        <v>0.69004586938629398</v>
      </c>
      <c r="F13" s="27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6">
        <v>0</v>
      </c>
      <c r="T13" s="26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6">
        <v>0</v>
      </c>
      <c r="D14" s="26">
        <v>0</v>
      </c>
      <c r="E14" s="26">
        <f>(B14*$J$3)</f>
        <v>5.9112199382303054E-2</v>
      </c>
      <c r="I14" s="23"/>
      <c r="M14" t="s">
        <v>10</v>
      </c>
      <c r="N14" s="23">
        <f>(-B20)</f>
        <v>0.28089999999999998</v>
      </c>
      <c r="O14" s="26">
        <f>(C20)</f>
        <v>14.959772160911358</v>
      </c>
      <c r="P14" s="26">
        <f>(O14*N14)</f>
        <v>4.2022000000000004</v>
      </c>
      <c r="Q14" t="s">
        <v>11</v>
      </c>
      <c r="R14" s="23">
        <f>(B21-B21)</f>
        <v>0</v>
      </c>
      <c r="S14" s="26">
        <v>0</v>
      </c>
      <c r="T14" s="26">
        <f>(12.6*-B21+D21)</f>
        <v>-0.26295951999999989</v>
      </c>
      <c r="U14" t="s">
        <v>17</v>
      </c>
    </row>
    <row r="15" spans="2:22">
      <c r="B15" s="23">
        <v>0.49053000000000002</v>
      </c>
      <c r="C15" s="26">
        <f>(D15/B15)</f>
        <v>12.843251177298024</v>
      </c>
      <c r="D15" s="26">
        <v>6.3</v>
      </c>
      <c r="E15" s="26"/>
      <c r="N15" s="23">
        <f>-B36</f>
        <v>2.08</v>
      </c>
      <c r="O15" s="26">
        <f>C36</f>
        <v>31.395271514423076</v>
      </c>
      <c r="P15" s="26">
        <f>(O15*N15)</f>
        <v>65.302164750000003</v>
      </c>
      <c r="Q15" t="s">
        <v>11</v>
      </c>
      <c r="R15" s="23">
        <f>(B25+B26)+B42+B43</f>
        <v>5.9467390000000009E-2</v>
      </c>
      <c r="S15" s="26">
        <v>0</v>
      </c>
      <c r="T15" s="26">
        <f>(D25+D26)+D42+D43</f>
        <v>-2.6994419700000023</v>
      </c>
      <c r="U15" t="s">
        <v>82</v>
      </c>
    </row>
    <row r="16" spans="2:22">
      <c r="B16" s="23">
        <v>6.1150456599999998</v>
      </c>
      <c r="C16" s="26">
        <f>(D16/B16)</f>
        <v>21.183815657723152</v>
      </c>
      <c r="D16" s="26">
        <v>129.54</v>
      </c>
      <c r="E16" t="s">
        <v>9</v>
      </c>
      <c r="N16" s="23">
        <f>-B39-N25</f>
        <v>1.2328000000000001</v>
      </c>
      <c r="O16" s="26">
        <f>C39</f>
        <v>46.861096439187513</v>
      </c>
      <c r="P16" s="26">
        <f>(O16*N16)</f>
        <v>57.770359690230372</v>
      </c>
      <c r="Q16" t="s">
        <v>11</v>
      </c>
      <c r="R16" s="23">
        <f>(B27+B24+B32+B33+B28+B34)</f>
        <v>3.9463670000000006E-2</v>
      </c>
      <c r="S16" s="26">
        <v>0</v>
      </c>
      <c r="T16" s="26">
        <f>(D27+D24+D32+D33+D28+D34)</f>
        <v>-0.41275400000000007</v>
      </c>
      <c r="U16" t="s">
        <v>88</v>
      </c>
      <c r="V16" s="27">
        <f>-T15+R15*$J$3</f>
        <v>9.3599094666086735</v>
      </c>
    </row>
    <row r="17" spans="2:22">
      <c r="B17" s="24">
        <v>6.4776520000000004E-2</v>
      </c>
      <c r="C17" s="29">
        <v>0</v>
      </c>
      <c r="D17" s="30">
        <v>0</v>
      </c>
      <c r="E17" s="27">
        <f>B17*J3</f>
        <v>7.2551007535965777</v>
      </c>
      <c r="N17" s="23">
        <f>($R$9+$R$17)/2</f>
        <v>1.4182091399999999</v>
      </c>
      <c r="O17" s="26">
        <f>($S$9*[1]Params!K11)</f>
        <v>122.63385381280881</v>
      </c>
      <c r="P17" s="26">
        <f>O17*N17</f>
        <v>173.92045235074929</v>
      </c>
      <c r="R17" s="23">
        <f>B30+B23+B29+B31+B41+B44</f>
        <v>0.31507262000000003</v>
      </c>
      <c r="S17" s="26">
        <v>0</v>
      </c>
      <c r="T17" s="26">
        <f>D30+D23+D29+D31+D41+D44</f>
        <v>-16.701520119999998</v>
      </c>
      <c r="U17" t="s">
        <v>89</v>
      </c>
      <c r="V17" s="27">
        <f>-T16+R16*$J$3</f>
        <v>4.8327645525379666</v>
      </c>
    </row>
    <row r="18" spans="2:22">
      <c r="B18" s="23">
        <v>1.91890129</v>
      </c>
      <c r="C18" s="26">
        <f t="shared" ref="C18:C31" si="1">(D18/B18)</f>
        <v>23.190353892565263</v>
      </c>
      <c r="D18" s="26">
        <v>44.5</v>
      </c>
      <c r="E18" t="s">
        <v>15</v>
      </c>
      <c r="N18" s="23"/>
      <c r="O18" s="26"/>
      <c r="P18" s="26"/>
      <c r="R18" s="23">
        <f>B35</f>
        <v>-0.10885</v>
      </c>
      <c r="S18" s="27">
        <f>T18/R18</f>
        <v>23.941203491042717</v>
      </c>
      <c r="T18" s="27">
        <f>D35</f>
        <v>-2.6059999999999999</v>
      </c>
      <c r="U18" t="s">
        <v>90</v>
      </c>
      <c r="V18" s="27">
        <f>-T17+R17*$J$3</f>
        <v>51.990288377381653</v>
      </c>
    </row>
    <row r="19" spans="2:22">
      <c r="B19" s="23">
        <v>4.1474400000000002E-2</v>
      </c>
      <c r="C19" s="26">
        <f t="shared" si="1"/>
        <v>12.055629496749802</v>
      </c>
      <c r="D19" s="26">
        <v>0.5</v>
      </c>
      <c r="E19" s="26"/>
      <c r="O19" s="26"/>
      <c r="P19" s="26">
        <f>(SUM(P14:P17))</f>
        <v>301.19517679097964</v>
      </c>
      <c r="R19" s="23">
        <f>B36-B36</f>
        <v>0</v>
      </c>
      <c r="S19" s="27">
        <v>0</v>
      </c>
      <c r="T19" s="26">
        <f>D36-B36*19.42078</f>
        <v>-24.906942350000001</v>
      </c>
      <c r="U19" t="s">
        <v>91</v>
      </c>
    </row>
    <row r="20" spans="2:22">
      <c r="B20" s="23">
        <v>-0.28089999999999998</v>
      </c>
      <c r="C20" s="26">
        <f t="shared" si="1"/>
        <v>14.959772160911358</v>
      </c>
      <c r="D20" s="26">
        <v>-4.2022000000000004</v>
      </c>
      <c r="E20" s="26"/>
      <c r="N20" s="23"/>
      <c r="O20" s="26"/>
      <c r="P20" s="26"/>
      <c r="R20" s="23">
        <f>B37</f>
        <v>-0.1</v>
      </c>
      <c r="S20" s="26">
        <f>T20/R20</f>
        <v>31.194569999999995</v>
      </c>
      <c r="T20" s="26">
        <f>D37</f>
        <v>-3.1194569999999997</v>
      </c>
      <c r="U20" t="s">
        <v>92</v>
      </c>
    </row>
    <row r="21" spans="2:22">
      <c r="B21" s="23">
        <v>-7.1440000000000003E-2</v>
      </c>
      <c r="C21" s="26">
        <f t="shared" si="1"/>
        <v>16.280844344904814</v>
      </c>
      <c r="D21" s="26">
        <v>-1.1631035199999999</v>
      </c>
      <c r="E21" s="26"/>
      <c r="G21" s="27"/>
      <c r="I21" s="27"/>
      <c r="O21" s="26"/>
      <c r="P21" s="26"/>
      <c r="R21" s="23">
        <f>B38-B38</f>
        <v>0</v>
      </c>
      <c r="S21" s="26">
        <v>0</v>
      </c>
      <c r="T21" s="26">
        <f>D38-B38*20.2393</f>
        <v>-8.2515799200000011</v>
      </c>
      <c r="U21" t="s">
        <v>93</v>
      </c>
    </row>
    <row r="22" spans="2:22">
      <c r="B22" s="23">
        <v>-9.8110000000000003E-2</v>
      </c>
      <c r="C22" s="26">
        <f t="shared" si="1"/>
        <v>16.233513403322799</v>
      </c>
      <c r="D22" s="26">
        <v>-1.59267</v>
      </c>
      <c r="E22" s="26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6">
        <v>0</v>
      </c>
      <c r="T22" s="26">
        <f>-57.77+(N16)*19.42078</f>
        <v>-33.828062416000002</v>
      </c>
      <c r="U22" t="s">
        <v>94</v>
      </c>
    </row>
    <row r="23" spans="2:22">
      <c r="B23" s="23">
        <v>-0.31</v>
      </c>
      <c r="C23" s="26">
        <f t="shared" si="1"/>
        <v>18.399999999999999</v>
      </c>
      <c r="D23" s="26">
        <v>-5.7039999999999997</v>
      </c>
      <c r="E23" s="26"/>
      <c r="M23" t="s">
        <v>10</v>
      </c>
      <c r="N23" s="23">
        <f>(-B21)</f>
        <v>7.1440000000000003E-2</v>
      </c>
      <c r="O23" s="26">
        <f>(C21)</f>
        <v>16.280844344904814</v>
      </c>
      <c r="P23" s="26">
        <f>(O23*N23)</f>
        <v>1.1631035199999999</v>
      </c>
      <c r="Q23" t="s">
        <v>11</v>
      </c>
      <c r="R23" s="23">
        <f>N25-N25</f>
        <v>0</v>
      </c>
      <c r="S23" s="27">
        <v>0</v>
      </c>
      <c r="T23" s="27">
        <f>-P25+N25*20.2393</f>
        <v>-10.169526239769629</v>
      </c>
      <c r="U23" t="s">
        <v>95</v>
      </c>
    </row>
    <row r="24" spans="2:22">
      <c r="B24" s="23">
        <v>-9.8095000000000002E-2</v>
      </c>
      <c r="C24" s="26">
        <f t="shared" si="1"/>
        <v>22.019470921045926</v>
      </c>
      <c r="D24" s="26">
        <v>-2.16</v>
      </c>
      <c r="E24" s="26"/>
      <c r="N24" s="23">
        <f>-B38</f>
        <v>0.65</v>
      </c>
      <c r="O24" s="26">
        <f>($S$11*[1]Params!K9)</f>
        <v>44.564515674312389</v>
      </c>
      <c r="P24" s="26">
        <f>(O24*N24)</f>
        <v>28.966935188303054</v>
      </c>
      <c r="Q24" t="s">
        <v>11</v>
      </c>
      <c r="R24" s="23">
        <f>B40</f>
        <v>-0.10879999999999999</v>
      </c>
      <c r="S24" s="26">
        <f>C40</f>
        <v>58.381847426470586</v>
      </c>
      <c r="T24" s="26">
        <f>D40</f>
        <v>-6.3519449999999997</v>
      </c>
      <c r="U24" t="s">
        <v>96</v>
      </c>
    </row>
    <row r="25" spans="2:22">
      <c r="B25" s="23">
        <f>(-0.05715)</f>
        <v>-5.7149999999999999E-2</v>
      </c>
      <c r="C25" s="26">
        <f t="shared" si="1"/>
        <v>22.045157130358703</v>
      </c>
      <c r="D25" s="26">
        <v>-1.2598807299999999</v>
      </c>
      <c r="E25" s="26"/>
      <c r="N25" s="23">
        <f>0.382</f>
        <v>0.38200000000000001</v>
      </c>
      <c r="O25" s="26">
        <f>C39</f>
        <v>46.861096439187513</v>
      </c>
      <c r="P25" s="26">
        <f>(O25*N25)</f>
        <v>17.90093883976963</v>
      </c>
      <c r="Q25" t="s">
        <v>11</v>
      </c>
    </row>
    <row r="26" spans="2:22">
      <c r="B26" s="23">
        <v>6.3534430000000003E-2</v>
      </c>
      <c r="C26" s="26">
        <f t="shared" si="1"/>
        <v>18.730001984750629</v>
      </c>
      <c r="D26" s="26">
        <v>1.19</v>
      </c>
      <c r="E26" s="26"/>
      <c r="N26" s="23">
        <f>4*($B$18+$R$15)/5-$N$25-$N$24-$N$23</f>
        <v>0.47925494399999985</v>
      </c>
      <c r="O26" s="26">
        <f>($S$11*[1]Params!K11)</f>
        <v>139.26411148222621</v>
      </c>
      <c r="P26" s="26">
        <f>O26*N26</f>
        <v>66.743013949624057</v>
      </c>
    </row>
    <row r="27" spans="2:22">
      <c r="B27" s="23">
        <f>(0.02767109+0.08304053-0.00094104)</f>
        <v>0.10977057999999999</v>
      </c>
      <c r="C27" s="26">
        <f t="shared" si="1"/>
        <v>18.584214458919686</v>
      </c>
      <c r="D27" s="26">
        <v>2.04</v>
      </c>
      <c r="E27" s="26"/>
      <c r="O27" s="26"/>
      <c r="P27" s="26"/>
    </row>
    <row r="28" spans="2:22">
      <c r="B28" s="23">
        <v>-0.10199999999999999</v>
      </c>
      <c r="C28" s="26">
        <f t="shared" si="1"/>
        <v>22.114333333333335</v>
      </c>
      <c r="D28" s="26">
        <f>(-2.275+0.019338)</f>
        <v>-2.2556620000000001</v>
      </c>
      <c r="E28" s="26"/>
      <c r="O28" s="26"/>
      <c r="P28" s="26">
        <f>(SUM(P23:P26))</f>
        <v>114.77399149769674</v>
      </c>
    </row>
    <row r="29" spans="2:22">
      <c r="B29" s="23">
        <v>0.11322</v>
      </c>
      <c r="C29" s="26">
        <f t="shared" si="1"/>
        <v>18.812930577636457</v>
      </c>
      <c r="D29" s="26">
        <v>2.13</v>
      </c>
      <c r="E29" s="26"/>
      <c r="N29" s="23"/>
      <c r="R29" s="23"/>
      <c r="S29" s="26"/>
      <c r="T29" s="26"/>
    </row>
    <row r="30" spans="2:22">
      <c r="B30" s="23">
        <v>0.34735262</v>
      </c>
      <c r="C30" s="26">
        <f t="shared" si="1"/>
        <v>15.48858333067993</v>
      </c>
      <c r="D30" s="26">
        <v>5.38</v>
      </c>
      <c r="E30" s="26"/>
      <c r="N30" s="23"/>
      <c r="P30" s="23"/>
      <c r="R30" s="23"/>
      <c r="S30" s="26"/>
      <c r="T30" s="26"/>
    </row>
    <row r="31" spans="2:22">
      <c r="B31" s="23">
        <v>-0.1055</v>
      </c>
      <c r="C31" s="26">
        <f t="shared" si="1"/>
        <v>21.432719620853081</v>
      </c>
      <c r="D31" s="26">
        <v>-2.2611519200000001</v>
      </c>
      <c r="E31" s="26"/>
      <c r="S31" s="26"/>
      <c r="T31" s="26"/>
    </row>
    <row r="32" spans="2:22">
      <c r="B32" s="23">
        <v>-0.1</v>
      </c>
      <c r="C32" s="26">
        <f t="shared" ref="C32:C44" si="2">D32/B32</f>
        <v>28.47092</v>
      </c>
      <c r="D32" s="26">
        <f>-2.8715+0.024408</f>
        <v>-2.847092</v>
      </c>
      <c r="E32" s="26"/>
      <c r="S32" s="26"/>
      <c r="T32" s="26"/>
    </row>
    <row r="33" spans="2:23">
      <c r="B33" s="23">
        <f>0.11560694-0.00098265-0.0000162</f>
        <v>0.11460809000000001</v>
      </c>
      <c r="C33" s="26">
        <f t="shared" si="2"/>
        <v>23.38403859622824</v>
      </c>
      <c r="D33" s="26">
        <v>2.68</v>
      </c>
      <c r="E33" s="26"/>
      <c r="S33" s="26"/>
      <c r="T33" s="26"/>
      <c r="U33" s="27"/>
    </row>
    <row r="34" spans="2:23">
      <c r="B34" s="23">
        <v>0.11518</v>
      </c>
      <c r="C34" s="26">
        <f t="shared" si="2"/>
        <v>18.492793887827744</v>
      </c>
      <c r="D34" s="26">
        <v>2.13</v>
      </c>
      <c r="E34" s="26"/>
      <c r="S34" s="26"/>
      <c r="T34" s="26"/>
    </row>
    <row r="35" spans="2:23">
      <c r="B35" s="23">
        <v>-0.10885</v>
      </c>
      <c r="C35" s="26">
        <f t="shared" si="2"/>
        <v>23.941203491042717</v>
      </c>
      <c r="D35" s="26">
        <v>-2.6059999999999999</v>
      </c>
      <c r="E35" s="26"/>
      <c r="F35" s="23"/>
      <c r="H35" s="27"/>
      <c r="J35" s="27"/>
      <c r="S35" s="26"/>
      <c r="T35" s="26"/>
    </row>
    <row r="36" spans="2:23">
      <c r="B36" s="23">
        <v>-2.08</v>
      </c>
      <c r="C36" s="26">
        <f t="shared" si="2"/>
        <v>31.395271514423076</v>
      </c>
      <c r="D36" s="26">
        <v>-65.302164750000003</v>
      </c>
      <c r="E36" s="26"/>
      <c r="S36" s="26"/>
      <c r="T36" s="26"/>
    </row>
    <row r="37" spans="2:23">
      <c r="B37" s="23">
        <v>-0.1</v>
      </c>
      <c r="C37" s="26">
        <f t="shared" si="2"/>
        <v>31.194569999999995</v>
      </c>
      <c r="D37" s="26">
        <f>-3.1462+0.026743</f>
        <v>-3.1194569999999997</v>
      </c>
      <c r="E37" s="26"/>
      <c r="S37" s="26"/>
      <c r="T37" s="26"/>
    </row>
    <row r="38" spans="2:23">
      <c r="B38" s="23">
        <v>-0.65</v>
      </c>
      <c r="C38" s="26">
        <f t="shared" si="2"/>
        <v>32.934038338461541</v>
      </c>
      <c r="D38" s="26">
        <f>-21.40712492</f>
        <v>-21.407124920000001</v>
      </c>
      <c r="E38" s="26"/>
      <c r="N38" s="23"/>
      <c r="P38" s="27"/>
      <c r="Q38" s="27"/>
      <c r="S38" s="26"/>
      <c r="T38" s="26"/>
    </row>
    <row r="39" spans="2:23">
      <c r="B39" s="23">
        <v>-1.6148</v>
      </c>
      <c r="C39" s="26">
        <f t="shared" si="2"/>
        <v>46.861096439187513</v>
      </c>
      <c r="D39" s="26">
        <v>-75.671298530000001</v>
      </c>
      <c r="E39" s="26"/>
      <c r="N39" s="23">
        <f>N16+N25</f>
        <v>1.6148000000000002</v>
      </c>
      <c r="S39" s="26"/>
      <c r="T39" s="26"/>
    </row>
    <row r="40" spans="2:23">
      <c r="B40" s="23">
        <v>-0.10879999999999999</v>
      </c>
      <c r="C40" s="26">
        <f t="shared" si="2"/>
        <v>58.381847426470586</v>
      </c>
      <c r="D40" s="26">
        <f>-6.4064+0.054455</f>
        <v>-6.3519449999999997</v>
      </c>
      <c r="E40" s="26"/>
      <c r="S40" s="26"/>
      <c r="T40" s="26"/>
    </row>
    <row r="41" spans="2:23">
      <c r="B41" s="23">
        <v>-1.23</v>
      </c>
      <c r="C41" s="26">
        <f t="shared" si="2"/>
        <v>111.1711694390244</v>
      </c>
      <c r="D41" s="26">
        <v>-136.74053841</v>
      </c>
      <c r="E41" s="26"/>
      <c r="S41" s="26"/>
      <c r="T41" s="26"/>
    </row>
    <row r="42" spans="2:23">
      <c r="B42" s="23">
        <v>-0.375</v>
      </c>
      <c r="C42" s="26">
        <f t="shared" si="2"/>
        <v>123.01216330666666</v>
      </c>
      <c r="D42" s="26">
        <v>-46.129561240000001</v>
      </c>
      <c r="E42" s="26"/>
      <c r="S42" s="26"/>
      <c r="T42" s="26"/>
    </row>
    <row r="43" spans="2:23">
      <c r="B43" s="23">
        <v>0.42808296000000001</v>
      </c>
      <c r="C43" s="26">
        <f t="shared" si="2"/>
        <v>101.61581764431828</v>
      </c>
      <c r="D43" s="26">
        <v>43.5</v>
      </c>
      <c r="E43" s="26"/>
      <c r="S43" s="26"/>
      <c r="T43" s="26"/>
    </row>
    <row r="44" spans="2:23">
      <c r="B44" s="23">
        <v>1.5</v>
      </c>
      <c r="C44" s="26">
        <f t="shared" si="2"/>
        <v>80.329446806666667</v>
      </c>
      <c r="D44" s="26">
        <f>120.49417021</f>
        <v>120.49417020999999</v>
      </c>
      <c r="E44" s="26"/>
      <c r="S44" s="26"/>
      <c r="T44" s="26"/>
    </row>
    <row r="45" spans="2:23">
      <c r="S45" s="26"/>
      <c r="T45" s="26"/>
    </row>
    <row r="46" spans="2:23">
      <c r="B46" s="23"/>
      <c r="C46" s="26"/>
      <c r="D46" s="26"/>
      <c r="E46" s="26"/>
      <c r="S46" s="26"/>
      <c r="T46" s="26"/>
    </row>
    <row r="47" spans="2:23">
      <c r="C47" s="26"/>
      <c r="D47" s="26"/>
      <c r="E47" s="26"/>
      <c r="S47" s="26"/>
      <c r="T47" s="26"/>
    </row>
    <row r="48" spans="2:23">
      <c r="B48" s="23">
        <f>(SUM(B5:B47))</f>
        <v>4.239442371</v>
      </c>
      <c r="C48" s="26"/>
      <c r="D48" s="26">
        <f>(SUM(D5:D47))</f>
        <v>37.319729589999966</v>
      </c>
      <c r="E48" s="26"/>
      <c r="F48" t="s">
        <v>12</v>
      </c>
      <c r="G48" s="26">
        <f>(D48/B48)</f>
        <v>8.8029807517343333</v>
      </c>
      <c r="R48" s="23">
        <f>(SUM(R5:R36))</f>
        <v>4.2394423710000018</v>
      </c>
      <c r="S48" s="26"/>
      <c r="T48" s="26">
        <f>(SUM(T5:T36))</f>
        <v>37.317729720230332</v>
      </c>
      <c r="V48" t="s">
        <v>12</v>
      </c>
      <c r="W48" s="26">
        <f>(T48/R48)</f>
        <v>8.8025090222957338</v>
      </c>
    </row>
    <row r="49" spans="13:20">
      <c r="M49" s="23"/>
      <c r="S49" s="26"/>
      <c r="T49" s="26"/>
    </row>
    <row r="52" spans="13:20">
      <c r="N52" s="23"/>
    </row>
  </sheetData>
  <conditionalFormatting sqref="C5 C8:C10 S5">
    <cfRule type="cellIs" dxfId="55" priority="117" operator="lessThan">
      <formula>$J$3</formula>
    </cfRule>
    <cfRule type="cellIs" dxfId="54" priority="118" operator="greaterThan">
      <formula>$J$3</formula>
    </cfRule>
  </conditionalFormatting>
  <conditionalFormatting sqref="C15:C16">
    <cfRule type="cellIs" dxfId="53" priority="101" operator="lessThan">
      <formula>$J$3</formula>
    </cfRule>
    <cfRule type="cellIs" dxfId="52" priority="102" operator="greaterThan">
      <formula>$J$3</formula>
    </cfRule>
    <cfRule type="cellIs" dxfId="51" priority="103" operator="lessThan">
      <formula>$J$3</formula>
    </cfRule>
    <cfRule type="cellIs" dxfId="50" priority="104" operator="greaterThan">
      <formula>$J$3</formula>
    </cfRule>
    <cfRule type="cellIs" dxfId="49" priority="111" operator="lessThan">
      <formula>$J$3</formula>
    </cfRule>
    <cfRule type="cellIs" dxfId="48" priority="112" operator="greaterThan">
      <formula>$J$3</formula>
    </cfRule>
  </conditionalFormatting>
  <conditionalFormatting sqref="C18:C19 G48 O17 W48">
    <cfRule type="cellIs" dxfId="47" priority="95" operator="lessThan">
      <formula>$J$3</formula>
    </cfRule>
    <cfRule type="cellIs" dxfId="46" priority="96" operator="greaterThan">
      <formula>$J$3</formula>
    </cfRule>
    <cfRule type="cellIs" dxfId="45" priority="97" operator="lessThan">
      <formula>$J$3</formula>
    </cfRule>
    <cfRule type="cellIs" dxfId="44" priority="98" operator="greaterThan">
      <formula>$J$3</formula>
    </cfRule>
    <cfRule type="cellIs" dxfId="43" priority="99" operator="lessThan">
      <formula>$J$3</formula>
    </cfRule>
    <cfRule type="cellIs" dxfId="42" priority="100" operator="greaterThan">
      <formula>$J$3</formula>
    </cfRule>
    <cfRule type="cellIs" dxfId="41" priority="109" operator="lessThan">
      <formula>$J$3</formula>
    </cfRule>
    <cfRule type="cellIs" dxfId="40" priority="110" operator="greaterThan">
      <formula>$J$3</formula>
    </cfRule>
  </conditionalFormatting>
  <conditionalFormatting sqref="C26:C27 C29:C30 C33:C34 C43:C44">
    <cfRule type="cellIs" dxfId="39" priority="87" operator="lessThan">
      <formula>$J$3</formula>
    </cfRule>
    <cfRule type="cellIs" dxfId="38" priority="88" operator="greaterThan">
      <formula>$J$3</formula>
    </cfRule>
    <cfRule type="cellIs" dxfId="37" priority="89" operator="lessThan">
      <formula>$J$3</formula>
    </cfRule>
    <cfRule type="cellIs" dxfId="36" priority="90" operator="greaterThan">
      <formula>$J$3</formula>
    </cfRule>
    <cfRule type="cellIs" dxfId="35" priority="91" operator="lessThan">
      <formula>$J$3</formula>
    </cfRule>
    <cfRule type="cellIs" dxfId="34" priority="92" operator="greaterThan">
      <formula>$J$3</formula>
    </cfRule>
    <cfRule type="cellIs" dxfId="33" priority="93" operator="lessThan">
      <formula>$J$3</formula>
    </cfRule>
    <cfRule type="cellIs" dxfId="32" priority="94" operator="greaterThan">
      <formula>$J$3</formula>
    </cfRule>
    <cfRule type="cellIs" dxfId="31" priority="107" operator="lessThan">
      <formula>$J$3</formula>
    </cfRule>
    <cfRule type="cellIs" dxfId="30" priority="108" operator="greaterThan">
      <formula>$J$3</formula>
    </cfRule>
  </conditionalFormatting>
  <conditionalFormatting sqref="O26 S8:S9 S11:S12">
    <cfRule type="cellIs" dxfId="29" priority="81" operator="lessThan">
      <formula>$J$3</formula>
    </cfRule>
    <cfRule type="cellIs" dxfId="28" priority="82" operator="greaterThan">
      <formula>$J$3</formula>
    </cfRule>
    <cfRule type="cellIs" dxfId="27" priority="83" operator="lessThan">
      <formula>$J$3</formula>
    </cfRule>
    <cfRule type="cellIs" dxfId="26" priority="84" operator="greaterThan">
      <formula>$J$3</formula>
    </cfRule>
  </conditionalFormatting>
  <conditionalFormatting sqref="O3">
    <cfRule type="cellIs" dxfId="25" priority="63" operator="greaterThan">
      <formula>$J$3</formula>
    </cfRule>
    <cfRule type="cellIs" dxfId="24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7">
        <v>0.13540235516790081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1.2683090134534118</v>
      </c>
      <c r="K4" s="4">
        <f>(J4/D13-1)</f>
        <v>1.5366180269068237</v>
      </c>
    </row>
    <row r="5" spans="2:17">
      <c r="B5" s="18">
        <v>9.10125837</v>
      </c>
      <c r="C5" s="47">
        <f>(D5/B5)</f>
        <v>5.4937458060538499E-2</v>
      </c>
      <c r="D5" s="26">
        <v>0.5</v>
      </c>
      <c r="E5" s="26"/>
      <c r="G5" s="26"/>
      <c r="N5" t="s">
        <v>30</v>
      </c>
      <c r="O5" t="s">
        <v>1</v>
      </c>
      <c r="P5" t="s">
        <v>2</v>
      </c>
    </row>
    <row r="6" spans="2:17">
      <c r="B6" s="19">
        <v>0.26570582999999998</v>
      </c>
      <c r="C6" s="29">
        <v>0</v>
      </c>
      <c r="D6" s="30">
        <f>(B6*C6)</f>
        <v>0</v>
      </c>
      <c r="E6" s="26">
        <f>(B6*J3)</f>
        <v>3.5977195163841867E-2</v>
      </c>
      <c r="G6" s="26"/>
      <c r="M6" t="s">
        <v>10</v>
      </c>
      <c r="N6" s="18">
        <f>($B$13/5)</f>
        <v>1.8733928399999999</v>
      </c>
      <c r="O6" s="47">
        <f>($C$5*[1]Params!K8)</f>
        <v>7.1418695478700056E-2</v>
      </c>
      <c r="P6" s="26">
        <f>(O6*N6)</f>
        <v>0.13379527275193706</v>
      </c>
      <c r="Q6" s="26">
        <f>N6*$J$3</f>
        <v>0.25366180269068234</v>
      </c>
    </row>
    <row r="7" spans="2:17">
      <c r="C7" s="26"/>
      <c r="D7" s="26"/>
      <c r="E7" s="26"/>
      <c r="G7" s="26"/>
      <c r="N7" s="18">
        <f>($B$13/5)</f>
        <v>1.8733928399999999</v>
      </c>
      <c r="O7" s="47">
        <f>($C$5*[1]Params!K9)</f>
        <v>8.7899932896861599E-2</v>
      </c>
      <c r="P7" s="26">
        <f>(O7*N7)</f>
        <v>0.16467110492546097</v>
      </c>
      <c r="Q7" s="26">
        <f>Q6*2</f>
        <v>0.50732360538136467</v>
      </c>
    </row>
    <row r="8" spans="2:17">
      <c r="C8" s="26"/>
      <c r="D8" s="26"/>
      <c r="E8" s="26"/>
      <c r="G8" s="26"/>
      <c r="N8" s="18">
        <f>($B$13/5)</f>
        <v>1.8733928399999999</v>
      </c>
      <c r="O8" s="47">
        <f>($C$5*[1]Params!K10)</f>
        <v>0.12086240773318471</v>
      </c>
      <c r="P8" s="26">
        <f>(O8*N8)</f>
        <v>0.22642276927250887</v>
      </c>
      <c r="Q8" s="26">
        <f>Q6*3</f>
        <v>0.76098540807204706</v>
      </c>
    </row>
    <row r="9" spans="2:17">
      <c r="C9" s="26"/>
      <c r="D9" s="26"/>
      <c r="E9" s="26"/>
      <c r="G9" s="26"/>
      <c r="N9" s="18">
        <f>($B$13/5)</f>
        <v>1.8733928399999999</v>
      </c>
      <c r="O9" s="47">
        <f>($C$5*[1]Params!K11)</f>
        <v>0.27468729030269251</v>
      </c>
      <c r="P9" s="26">
        <f>(O9*N9)</f>
        <v>0.51459720289206556</v>
      </c>
      <c r="Q9" s="26">
        <f>Q6*4</f>
        <v>1.0146472107627293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1.0394863498419724</v>
      </c>
    </row>
    <row r="12" spans="2:17">
      <c r="C12" s="26"/>
      <c r="D12" s="26"/>
      <c r="E12" s="26"/>
      <c r="F12" t="s">
        <v>12</v>
      </c>
      <c r="G12" s="26">
        <f>(D13/B13)</f>
        <v>5.3379087324791956E-2</v>
      </c>
    </row>
    <row r="13" spans="2:17">
      <c r="B13">
        <f>(SUM(B5:B12))</f>
        <v>9.3669642</v>
      </c>
      <c r="C13" s="26"/>
      <c r="D13" s="26">
        <f>(SUM(D5:D12))</f>
        <v>0.5</v>
      </c>
      <c r="E13" s="26"/>
      <c r="G13" s="26"/>
    </row>
  </sheetData>
  <conditionalFormatting sqref="C5">
    <cfRule type="cellIs" dxfId="23" priority="7" operator="lessThan">
      <formula>$J$3</formula>
    </cfRule>
    <cfRule type="cellIs" dxfId="22" priority="8" operator="greaterThan">
      <formula>$J$3</formula>
    </cfRule>
  </conditionalFormatting>
  <conditionalFormatting sqref="O6:O9">
    <cfRule type="cellIs" dxfId="21" priority="5" operator="lessThan">
      <formula>$J$3</formula>
    </cfRule>
    <cfRule type="cellIs" dxfId="20" priority="6" operator="greaterThan">
      <formula>$J$3</formula>
    </cfRule>
    <cfRule type="cellIs" dxfId="19" priority="1" operator="lessThan">
      <formula>$J$3</formula>
    </cfRule>
    <cfRule type="cellIs" dxfId="18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19"/>
  <sheetViews>
    <sheetView workbookViewId="0">
      <selection activeCell="O7" sqref="O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6"/>
      <c r="D3" s="26"/>
      <c r="E3" s="26"/>
      <c r="G3" s="26"/>
      <c r="H3" s="26"/>
      <c r="I3" t="s">
        <v>3</v>
      </c>
      <c r="J3" s="26">
        <v>7.6284540583956604</v>
      </c>
      <c r="M3" t="s">
        <v>4</v>
      </c>
      <c r="N3" s="1">
        <f>(INDEX(N5:N15,MATCH(MAX(O6),O5:O15,0))/0.85)</f>
        <v>0.63282352941176478</v>
      </c>
      <c r="O3" s="54">
        <f>(MAX(O6)*0.75)</f>
        <v>5.6878566229782486</v>
      </c>
      <c r="P3" s="26">
        <f>(O3*N3)</f>
        <v>3.5994095029411768</v>
      </c>
    </row>
    <row r="4" spans="2:22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(B11*J3)</f>
        <v>16.416022646554577</v>
      </c>
      <c r="K4" s="4">
        <f>(J4/D11-1)</f>
        <v>0.5818663485562412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2.6140952999999998</v>
      </c>
      <c r="C5" s="26">
        <f>(D5/B5)</f>
        <v>5.6807416317224551</v>
      </c>
      <c r="D5" s="26">
        <v>14.85</v>
      </c>
      <c r="E5" t="s">
        <v>79</v>
      </c>
      <c r="G5" s="26"/>
      <c r="H5" s="26"/>
      <c r="J5" s="26"/>
      <c r="M5" t="s">
        <v>79</v>
      </c>
      <c r="N5" t="s">
        <v>30</v>
      </c>
      <c r="O5" t="s">
        <v>1</v>
      </c>
      <c r="P5" t="s">
        <v>2</v>
      </c>
      <c r="R5" s="1">
        <f>SUM(B$5)+B9</f>
        <v>2.0761952999999997</v>
      </c>
      <c r="S5" s="26">
        <f>(T5/R5)</f>
        <v>5.6807524176555066</v>
      </c>
      <c r="T5" s="26">
        <f>D5+5.6807*B9</f>
        <v>11.794351469999999</v>
      </c>
    </row>
    <row r="6" spans="2:22">
      <c r="B6" s="2">
        <v>2.7508900000000002E-3</v>
      </c>
      <c r="C6" s="29">
        <v>0</v>
      </c>
      <c r="D6" s="29">
        <f>(B6*C6)</f>
        <v>0</v>
      </c>
      <c r="E6" s="26">
        <f>(B6*J3)</f>
        <v>2.0985037984700038E-2</v>
      </c>
      <c r="G6" s="26"/>
      <c r="H6" s="26"/>
      <c r="J6" s="26"/>
      <c r="M6" t="s">
        <v>10</v>
      </c>
      <c r="N6" s="1">
        <f>-B9</f>
        <v>0.53790000000000004</v>
      </c>
      <c r="O6" s="47">
        <f>P6/N6</f>
        <v>7.5838088306376648</v>
      </c>
      <c r="P6" s="26">
        <f>-D9</f>
        <v>4.0793307700000003</v>
      </c>
      <c r="Q6" t="s">
        <v>11</v>
      </c>
      <c r="R6" s="2">
        <f>(B6)</f>
        <v>2.7508900000000002E-3</v>
      </c>
      <c r="S6" s="29">
        <f>0</f>
        <v>0</v>
      </c>
      <c r="T6" s="29">
        <f>(D6)</f>
        <v>0</v>
      </c>
    </row>
    <row r="7" spans="2:22">
      <c r="B7" s="1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$B$11/4</f>
        <v>0.53798654749999997</v>
      </c>
      <c r="O7" s="47">
        <f>($C$5*[1]Params!K9)</f>
        <v>9.0891866107559292</v>
      </c>
      <c r="P7" s="26">
        <f>(O7*N7)</f>
        <v>4.8898601243038087</v>
      </c>
      <c r="R7" s="1">
        <f>B7+B8</f>
        <v>7.3000000000000009E-2</v>
      </c>
      <c r="S7" s="26">
        <v>0</v>
      </c>
      <c r="T7" s="26">
        <f>D7+D8</f>
        <v>-0.3930398799999999</v>
      </c>
      <c r="U7" t="s">
        <v>81</v>
      </c>
      <c r="V7" s="27">
        <f>R7*J3-T7</f>
        <v>0.94991702626288321</v>
      </c>
    </row>
    <row r="8" spans="2:22">
      <c r="B8" s="1">
        <v>0.48199999999999998</v>
      </c>
      <c r="C8" s="26">
        <f>(D8/B8)</f>
        <v>5.608092987551867</v>
      </c>
      <c r="D8" s="26">
        <v>2.70310082</v>
      </c>
      <c r="E8" s="26"/>
      <c r="G8" s="26"/>
      <c r="H8" s="26"/>
      <c r="J8" s="26"/>
      <c r="N8" s="1">
        <f>$B$11/4</f>
        <v>0.53798654749999997</v>
      </c>
      <c r="O8" s="47">
        <f>($C$5*[1]Params!K10)</f>
        <v>12.497631589789401</v>
      </c>
      <c r="P8" s="26">
        <f>(O8*N8)</f>
        <v>6.723557670917736</v>
      </c>
      <c r="R8" s="1">
        <f>B9-B9</f>
        <v>0</v>
      </c>
      <c r="S8" s="26">
        <v>0</v>
      </c>
      <c r="T8" s="27">
        <f>-P6+N6*5.6808</f>
        <v>-1.0236284500000004</v>
      </c>
    </row>
    <row r="9" spans="2:22">
      <c r="B9" s="1">
        <v>-0.53790000000000004</v>
      </c>
      <c r="C9" s="26">
        <f>D9/B9</f>
        <v>7.5838088306376648</v>
      </c>
      <c r="D9" s="26">
        <f>-4.07933077</f>
        <v>-4.0793307700000003</v>
      </c>
      <c r="E9" s="26"/>
      <c r="G9" s="26"/>
      <c r="H9" s="26"/>
      <c r="J9" s="26"/>
      <c r="N9" s="1">
        <f>$B$11/4</f>
        <v>0.53798654749999997</v>
      </c>
      <c r="O9" s="47">
        <f>($C$5*[1]Params!K11)</f>
        <v>28.403708158612275</v>
      </c>
      <c r="P9" s="26">
        <f>(O9*N9)</f>
        <v>15.280812888449399</v>
      </c>
      <c r="R9" s="18"/>
      <c r="S9" s="27"/>
      <c r="T9" s="27"/>
    </row>
    <row r="10" spans="2:22">
      <c r="C10" s="26"/>
      <c r="D10" s="26"/>
      <c r="E10" s="26"/>
      <c r="F10" t="s">
        <v>12</v>
      </c>
      <c r="G10" s="26">
        <f>(D11/B11)</f>
        <v>4.8224390545750593</v>
      </c>
      <c r="H10" s="26"/>
      <c r="J10" s="26"/>
      <c r="O10" s="26"/>
      <c r="P10" s="26"/>
    </row>
    <row r="11" spans="2:22">
      <c r="B11" s="1">
        <f>(SUM(B5:B10))</f>
        <v>2.1519461899999999</v>
      </c>
      <c r="C11" s="26"/>
      <c r="D11" s="26">
        <f>(SUM(D5:D10))</f>
        <v>10.377629349999999</v>
      </c>
      <c r="E11" s="26"/>
      <c r="G11" s="26"/>
      <c r="H11" s="26"/>
      <c r="J11" s="26"/>
      <c r="O11" s="26"/>
      <c r="P11" s="26">
        <f>(SUM(P6:P9))</f>
        <v>30.973561453670946</v>
      </c>
    </row>
    <row r="13" spans="2:22">
      <c r="O13" s="26"/>
      <c r="P13" s="26"/>
    </row>
    <row r="14" spans="2:22">
      <c r="O14" s="26"/>
      <c r="P14" s="26"/>
    </row>
    <row r="19" spans="18:20">
      <c r="R19">
        <f>(SUM(R5:R18))</f>
        <v>2.1519461899999999</v>
      </c>
      <c r="T19" s="26">
        <f>(SUM(T5:T18))</f>
        <v>10.377683139999998</v>
      </c>
    </row>
  </sheetData>
  <conditionalFormatting sqref="C5 C8 G10 O7:O8 S5">
    <cfRule type="cellIs" dxfId="17" priority="11" operator="lessThan">
      <formula>$J$3</formula>
    </cfRule>
    <cfRule type="cellIs" dxfId="16" priority="12" operator="greaterThan">
      <formula>$J$3</formula>
    </cfRule>
  </conditionalFormatting>
  <conditionalFormatting sqref="O9">
    <cfRule type="cellIs" dxfId="15" priority="9" operator="lessThan">
      <formula>$J$3</formula>
    </cfRule>
    <cfRule type="cellIs" dxfId="14" priority="10" operator="greaterThan">
      <formula>$J$3</formula>
    </cfRule>
  </conditionalFormatting>
  <conditionalFormatting sqref="O3">
    <cfRule type="cellIs" dxfId="13" priority="5" operator="greaterThan">
      <formula>$J$3</formula>
    </cfRule>
    <cfRule type="cellIs" dxfId="12" priority="6" operator="less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0.56061857245716673</v>
      </c>
      <c r="M3" t="s">
        <v>4</v>
      </c>
      <c r="N3" s="18">
        <f>(INDEX(N5:N14,MATCH(MAX(O6:O7),O5:O14,0))/0.85)</f>
        <v>18.164705882352941</v>
      </c>
      <c r="O3" s="54">
        <f>(MAX(O6:O7)*0.75)</f>
        <v>0.42676158079663212</v>
      </c>
      <c r="P3" s="26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17.39861101295757</v>
      </c>
      <c r="K4" s="4">
        <f>(J4/D14-1)</f>
        <v>6.4410835384324825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6">
        <f>(D5/B5)</f>
        <v>0.35691793305370928</v>
      </c>
      <c r="D5" s="26">
        <v>18.600000000000001</v>
      </c>
      <c r="N5" t="s">
        <v>30</v>
      </c>
      <c r="O5" t="s">
        <v>1</v>
      </c>
      <c r="P5" t="s">
        <v>2</v>
      </c>
      <c r="R5" s="18">
        <f>(SUM(B$5:B$7))</f>
        <v>54.44194194</v>
      </c>
      <c r="S5" s="26">
        <f>(T5/R5)</f>
        <v>0.35083245232232807</v>
      </c>
      <c r="T5" s="26">
        <f>(SUM(D5:D7))</f>
        <v>19.100000000000001</v>
      </c>
    </row>
    <row r="6" spans="2:21">
      <c r="B6" s="19">
        <v>0.86693047000000001</v>
      </c>
      <c r="C6" s="29">
        <v>0</v>
      </c>
      <c r="D6" s="29">
        <f>(B6*C6)</f>
        <v>0</v>
      </c>
      <c r="E6" s="26">
        <f>(B6*J3)</f>
        <v>0.48601732251102059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8">
        <v>1.46219147</v>
      </c>
      <c r="C7" s="26">
        <f>(D7/B7)</f>
        <v>0.34195248040942272</v>
      </c>
      <c r="D7" s="26">
        <v>0.5</v>
      </c>
      <c r="N7" s="18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8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8">
        <f>(B$14/3)</f>
        <v>10.344889180000001</v>
      </c>
      <c r="O8" s="26">
        <f>($C$5*[1]Params!K10)</f>
        <v>0.78521945271816052</v>
      </c>
      <c r="P8" s="26">
        <f>(O8*N8)</f>
        <v>8.1230082203496217</v>
      </c>
      <c r="R8" s="18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8">
        <f>(B$14/3)</f>
        <v>10.344889180000001</v>
      </c>
      <c r="O9" s="26">
        <f>($C$5*[1]Params!K11)</f>
        <v>1.7845896652685465</v>
      </c>
      <c r="P9" s="26">
        <f>(O9*N9)</f>
        <v>18.461382318976408</v>
      </c>
    </row>
    <row r="10" spans="2:21">
      <c r="B10" s="18">
        <v>12.15260941</v>
      </c>
      <c r="C10" s="26">
        <f>D10/B10</f>
        <v>0.66076344010467125</v>
      </c>
      <c r="D10" s="26">
        <v>8.0299999999999994</v>
      </c>
    </row>
    <row r="11" spans="2:21">
      <c r="B11" s="18">
        <v>12.360116189999999</v>
      </c>
      <c r="C11" s="26">
        <f>D11/B11</f>
        <v>0.47491462942307505</v>
      </c>
      <c r="D11" s="26">
        <v>5.87</v>
      </c>
      <c r="P11" s="26">
        <f>(SUM(P6:P9))</f>
        <v>40.422686309326025</v>
      </c>
    </row>
    <row r="12" spans="2:21">
      <c r="B12" s="18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7.5340986236967444E-2</v>
      </c>
    </row>
    <row r="14" spans="2:21">
      <c r="B14" s="18">
        <f>(SUM(B5:B13))</f>
        <v>31.034667540000001</v>
      </c>
      <c r="D14" s="26">
        <f>(SUM(D5:D13))</f>
        <v>2.3381824600000005</v>
      </c>
    </row>
    <row r="18" spans="12:20">
      <c r="R18">
        <f>(SUM(R5:R17))</f>
        <v>31.034667540000001</v>
      </c>
      <c r="T18" s="26">
        <f>(SUM(T5:T17))</f>
        <v>2.3381824600000005</v>
      </c>
    </row>
    <row r="22" spans="12:20">
      <c r="L22" s="27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49" width="9.140625" style="25" customWidth="1"/>
    <col min="350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18.695623765835791</v>
      </c>
      <c r="M3" t="s">
        <v>4</v>
      </c>
      <c r="N3" s="18">
        <f>(INDEX(N5:N14,MATCH(MAX(O6),O5:O14,0))/0.85)</f>
        <v>0.3411764705882353</v>
      </c>
      <c r="O3" s="54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23.497449091181576</v>
      </c>
      <c r="K4" s="4">
        <f>(J4/D14-1)</f>
        <v>0.55601324484929937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4.1504699999999999E-3</v>
      </c>
      <c r="C6" s="29">
        <v>0</v>
      </c>
      <c r="D6" s="29">
        <f>(B6*C6)</f>
        <v>0</v>
      </c>
      <c r="E6" s="26">
        <f>(B6*J3)</f>
        <v>7.7595625571388466E-2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4.1504699999999999E-3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2*(B$14+$N$6)/5-$N$6</f>
        <v>0.32873688399999995</v>
      </c>
      <c r="O7" s="26">
        <f>($S$5*[1]Params!K9)</f>
        <v>20.798136978216206</v>
      </c>
      <c r="P7" s="26">
        <f>(O7*N7)</f>
        <v>6.8371147432239701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0.30936844199999997</v>
      </c>
      <c r="O8" s="26">
        <f>($S$5*[1]Params!K10)</f>
        <v>28.597438345047287</v>
      </c>
      <c r="P8" s="26">
        <f>(O8*N8)</f>
        <v>8.8471449459983358</v>
      </c>
      <c r="R8" s="18"/>
      <c r="S8" s="27"/>
      <c r="T8" s="27"/>
    </row>
    <row r="9" spans="2:21">
      <c r="C9" s="27"/>
      <c r="D9" s="26"/>
      <c r="N9" s="1">
        <f>(B$14-$B$7)/5</f>
        <v>0.30936844199999997</v>
      </c>
      <c r="O9" s="26">
        <f>($S$5*[1]Params!K11)</f>
        <v>64.994178056925648</v>
      </c>
      <c r="P9" s="26">
        <f>(O9*N9)</f>
        <v>20.107147604541673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40.690347473763978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12.015080095058234</v>
      </c>
    </row>
    <row r="14" spans="2:21">
      <c r="B14" s="18">
        <f>(SUM(B5:B13))</f>
        <v>1.2568422099999998</v>
      </c>
      <c r="D14" s="26">
        <f>(SUM(D5:D13))</f>
        <v>15.10105982</v>
      </c>
    </row>
    <row r="18" spans="12:20">
      <c r="R18">
        <f>(SUM(R5:R17))</f>
        <v>1.2568422099999998</v>
      </c>
      <c r="T18" s="26">
        <f>(SUM(T5:T17))</f>
        <v>15.10105982</v>
      </c>
    </row>
    <row r="22" spans="12:20">
      <c r="L22" s="27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S30" sqref="S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49" width="9.140625" style="25" customWidth="1"/>
    <col min="350" max="16384" width="9.140625" style="25"/>
  </cols>
  <sheetData>
    <row r="3" spans="2:21">
      <c r="I3" t="s">
        <v>3</v>
      </c>
      <c r="J3" s="47">
        <v>3.184984402338479</v>
      </c>
      <c r="N3" s="18"/>
      <c r="O3" s="54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21.248589233468682</v>
      </c>
      <c r="K4" s="4">
        <f>(J4/D14-1)</f>
        <v>6.2429461673433995E-2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8.3480000000000002E-4</v>
      </c>
      <c r="C6" s="29">
        <v>0</v>
      </c>
      <c r="D6" s="29">
        <f>(B6*C6)</f>
        <v>0</v>
      </c>
      <c r="E6" s="26">
        <f>(B6*J3)</f>
        <v>2.6588249790721625E-3</v>
      </c>
      <c r="M6" t="s">
        <v>10</v>
      </c>
      <c r="N6" s="18">
        <f>(B$14/5)</f>
        <v>1.334297852</v>
      </c>
      <c r="O6" s="26">
        <f>($C$5*[1]Params!K8)</f>
        <v>3.8976685355097827</v>
      </c>
      <c r="P6" s="26">
        <f>(O6*N6)</f>
        <v>5.2006507547386889</v>
      </c>
      <c r="R6" s="18">
        <f>(B6)</f>
        <v>8.3480000000000002E-4</v>
      </c>
      <c r="S6" s="26">
        <f>(C6)</f>
        <v>0</v>
      </c>
      <c r="T6" s="26">
        <f>(D6)</f>
        <v>0</v>
      </c>
    </row>
    <row r="7" spans="2:21">
      <c r="B7" s="18"/>
      <c r="C7" s="26"/>
      <c r="D7" s="26"/>
      <c r="N7" s="18">
        <f>(B$14/5)</f>
        <v>1.334297852</v>
      </c>
      <c r="O7" s="26">
        <f>($C$5*[1]Params!K9)</f>
        <v>4.7971305052428095</v>
      </c>
      <c r="P7" s="26">
        <f>(O7*N7)</f>
        <v>6.4008009289091552</v>
      </c>
      <c r="R7" s="18"/>
      <c r="S7" s="26"/>
      <c r="T7" s="27"/>
      <c r="U7" s="27"/>
    </row>
    <row r="8" spans="2:21">
      <c r="C8" s="26"/>
      <c r="D8" s="26"/>
      <c r="N8" s="18">
        <f>(B$14/5)</f>
        <v>1.334297852</v>
      </c>
      <c r="O8" s="26">
        <f>($C$5*[1]Params!K10)</f>
        <v>6.5960544447088632</v>
      </c>
      <c r="P8" s="26">
        <f>(O8*N8)</f>
        <v>8.8011012772500887</v>
      </c>
      <c r="R8" s="18"/>
      <c r="S8" s="27"/>
      <c r="T8" s="27"/>
    </row>
    <row r="9" spans="2:21">
      <c r="C9" s="27"/>
      <c r="D9" s="26"/>
      <c r="N9" s="18">
        <f>(B$14/5)</f>
        <v>1.334297852</v>
      </c>
      <c r="O9" s="26">
        <f>($C$5*[1]Params!K11)</f>
        <v>14.991032828883778</v>
      </c>
      <c r="P9" s="26">
        <f>(O9*N9)</f>
        <v>20.002502902841108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40.405055863739044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2.9978314017401266</v>
      </c>
    </row>
    <row r="14" spans="2:21">
      <c r="B14" s="18">
        <f>(SUM(B5:B13))</f>
        <v>6.6714892599999995</v>
      </c>
      <c r="D14" s="26">
        <f>(SUM(D5:D13))</f>
        <v>20</v>
      </c>
    </row>
    <row r="18" spans="12:20">
      <c r="R18">
        <f>(SUM(R5:R17))</f>
        <v>6.6714892599999995</v>
      </c>
      <c r="T18" s="26">
        <f>(SUM(T5:T17))</f>
        <v>20</v>
      </c>
    </row>
    <row r="22" spans="12:20">
      <c r="L22" s="27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A34" sqref="A34:XFD34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6">
        <v>0.42083158473318999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2.5602551951997814</v>
      </c>
      <c r="K4" s="4">
        <f>(J4/D9-1)</f>
        <v>-0.91131020556218234</v>
      </c>
    </row>
    <row r="5" spans="2:16">
      <c r="B5" s="18">
        <v>1.5469999999999999</v>
      </c>
      <c r="C5" s="26">
        <v>10</v>
      </c>
      <c r="D5" s="26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8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8">
        <f>(SUM(B5:B8))</f>
        <v>6.0838000000000001</v>
      </c>
      <c r="D9" s="26">
        <f>(SUM(D5:D8))</f>
        <v>28.867528799999995</v>
      </c>
    </row>
    <row r="10" spans="2:16">
      <c r="D10" s="26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79" priority="9" operator="lessThan">
      <formula>$J$3</formula>
    </cfRule>
    <cfRule type="cellIs" dxfId="278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5">
        <v>4.8734026707855579E-3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29">
        <v>135</v>
      </c>
      <c r="D5" s="26">
        <v>3.5</v>
      </c>
      <c r="E5" s="27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29">
        <v>18</v>
      </c>
      <c r="D6" s="26">
        <v>3.5</v>
      </c>
      <c r="E6" s="27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6">
        <v>18</v>
      </c>
      <c r="D7" s="26">
        <v>3.5</v>
      </c>
      <c r="E7" s="27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6">
        <v>55</v>
      </c>
      <c r="D8" s="26">
        <v>3.5</v>
      </c>
      <c r="E8" s="27">
        <f t="shared" si="0"/>
        <v>58.5</v>
      </c>
      <c r="F8" s="9" t="s">
        <v>41</v>
      </c>
    </row>
    <row r="9" spans="2:14">
      <c r="B9" s="8" t="s">
        <v>47</v>
      </c>
      <c r="C9" s="26">
        <v>-134.99</v>
      </c>
      <c r="D9" s="26">
        <v>0.01</v>
      </c>
      <c r="E9" s="27">
        <f t="shared" si="0"/>
        <v>-134.98000000000002</v>
      </c>
      <c r="F9" s="9" t="s">
        <v>48</v>
      </c>
    </row>
    <row r="10" spans="2:14">
      <c r="B10" s="8" t="s">
        <v>47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41</v>
      </c>
    </row>
    <row r="11" spans="2:14">
      <c r="B11" s="8" t="s">
        <v>47</v>
      </c>
      <c r="C11" s="26">
        <v>-144.96</v>
      </c>
      <c r="D11" s="26">
        <v>0.01</v>
      </c>
      <c r="E11" s="27">
        <f t="shared" si="0"/>
        <v>-144.95000000000002</v>
      </c>
      <c r="F11" s="9" t="s">
        <v>48</v>
      </c>
    </row>
    <row r="12" spans="2:14">
      <c r="B12" s="8" t="s">
        <v>47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41</v>
      </c>
      <c r="I12" t="s">
        <v>49</v>
      </c>
      <c r="J12" s="26">
        <f>(SUM(D5:E8))</f>
        <v>254</v>
      </c>
    </row>
    <row r="13" spans="2:14">
      <c r="B13" s="8" t="s">
        <v>47</v>
      </c>
      <c r="C13" s="26">
        <v>-144.94999999999999</v>
      </c>
      <c r="D13" s="26">
        <v>0.01</v>
      </c>
      <c r="E13" s="27">
        <f t="shared" si="0"/>
        <v>-144.94</v>
      </c>
      <c r="F13" s="9" t="s">
        <v>48</v>
      </c>
      <c r="I13" t="s">
        <v>50</v>
      </c>
      <c r="J13" s="26">
        <f>(SUM(K35:K43)-C77*J3+D77)</f>
        <v>8.5067033029052226</v>
      </c>
    </row>
    <row r="14" spans="2:14">
      <c r="B14" s="8" t="s">
        <v>47</v>
      </c>
      <c r="C14" s="26">
        <v>130</v>
      </c>
      <c r="D14" s="26">
        <f>0.01</f>
        <v>0.01</v>
      </c>
      <c r="E14" s="27">
        <f t="shared" si="0"/>
        <v>130.01</v>
      </c>
      <c r="F14" s="9" t="s">
        <v>41</v>
      </c>
      <c r="I14" t="s">
        <v>51</v>
      </c>
      <c r="J14" s="26">
        <f>(-SUM(E9:E31))</f>
        <v>-7.0166399999999376</v>
      </c>
      <c r="K14" s="27">
        <f>(J14-M38-M39-M40-M42-L43)</f>
        <v>-63.516639999999938</v>
      </c>
    </row>
    <row r="15" spans="2:14">
      <c r="B15" s="8" t="s">
        <v>47</v>
      </c>
      <c r="C15" s="26">
        <v>-144.97999999999999</v>
      </c>
      <c r="D15" s="26">
        <v>0.01</v>
      </c>
      <c r="E15" s="27">
        <f t="shared" si="0"/>
        <v>-144.97</v>
      </c>
      <c r="F15" s="9" t="s">
        <v>48</v>
      </c>
      <c r="I15" t="s">
        <v>35</v>
      </c>
      <c r="J15" s="26">
        <f>(J13-J12+J14)</f>
        <v>-252.5099366970947</v>
      </c>
    </row>
    <row r="16" spans="2:14">
      <c r="B16" s="8" t="s">
        <v>47</v>
      </c>
      <c r="C16" s="26">
        <v>130</v>
      </c>
      <c r="D16" s="26">
        <f>0.01</f>
        <v>0.01</v>
      </c>
      <c r="E16" s="27">
        <f t="shared" si="0"/>
        <v>130.01</v>
      </c>
      <c r="F16" s="9" t="s">
        <v>41</v>
      </c>
      <c r="I16" t="s">
        <v>52</v>
      </c>
      <c r="J16" s="26">
        <f>(J15+M47)</f>
        <v>-124.2599366970947</v>
      </c>
    </row>
    <row r="17" spans="2:18">
      <c r="B17" s="8" t="s">
        <v>45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41</v>
      </c>
    </row>
    <row r="18" spans="2:18">
      <c r="B18" s="8" t="s">
        <v>45</v>
      </c>
      <c r="C18" s="26">
        <v>38</v>
      </c>
      <c r="D18" s="26">
        <v>0.01</v>
      </c>
      <c r="E18" s="27">
        <f t="shared" si="0"/>
        <v>38.01</v>
      </c>
      <c r="F18" s="9" t="s">
        <v>53</v>
      </c>
      <c r="R18" s="27"/>
    </row>
    <row r="19" spans="2:18">
      <c r="B19" s="8" t="s">
        <v>45</v>
      </c>
      <c r="C19" s="26">
        <v>11.25</v>
      </c>
      <c r="D19" s="26">
        <v>0.01</v>
      </c>
      <c r="E19" s="27">
        <f t="shared" si="0"/>
        <v>11.26</v>
      </c>
      <c r="F19" s="9" t="s">
        <v>41</v>
      </c>
    </row>
    <row r="20" spans="2:18">
      <c r="B20" s="8" t="s">
        <v>45</v>
      </c>
      <c r="C20" s="29">
        <v>8.02</v>
      </c>
      <c r="D20" s="26">
        <v>0.01</v>
      </c>
      <c r="E20" s="27">
        <f t="shared" si="0"/>
        <v>8.0299999999999994</v>
      </c>
      <c r="F20" s="9" t="s">
        <v>41</v>
      </c>
    </row>
    <row r="21" spans="2:18">
      <c r="B21" s="8" t="s">
        <v>43</v>
      </c>
      <c r="C21" s="26">
        <v>6.01</v>
      </c>
      <c r="D21" s="26">
        <v>0</v>
      </c>
      <c r="E21" s="27">
        <f t="shared" si="0"/>
        <v>6.01</v>
      </c>
      <c r="F21" s="9" t="s">
        <v>41</v>
      </c>
    </row>
    <row r="22" spans="2:18">
      <c r="B22" s="8" t="s">
        <v>47</v>
      </c>
      <c r="C22" s="26">
        <v>-30.99</v>
      </c>
      <c r="D22" s="26">
        <v>0</v>
      </c>
      <c r="E22" s="27">
        <f t="shared" si="0"/>
        <v>-30.99</v>
      </c>
      <c r="F22" s="9" t="s">
        <v>48</v>
      </c>
    </row>
    <row r="23" spans="2:18">
      <c r="B23" s="8" t="s">
        <v>47</v>
      </c>
      <c r="C23" s="26">
        <v>27.01</v>
      </c>
      <c r="D23" s="26">
        <v>0</v>
      </c>
      <c r="E23" s="27">
        <f t="shared" si="0"/>
        <v>27.01</v>
      </c>
      <c r="F23" s="9" t="s">
        <v>41</v>
      </c>
    </row>
    <row r="24" spans="2:18">
      <c r="B24" s="8" t="s">
        <v>47</v>
      </c>
      <c r="C24" s="26">
        <v>-47.22</v>
      </c>
      <c r="D24" s="26">
        <v>0</v>
      </c>
      <c r="E24" s="27">
        <f t="shared" si="0"/>
        <v>-47.22</v>
      </c>
      <c r="F24" s="9" t="s">
        <v>48</v>
      </c>
    </row>
    <row r="25" spans="2:18">
      <c r="B25" s="8" t="s">
        <v>47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41</v>
      </c>
    </row>
    <row r="26" spans="2:18">
      <c r="B26" s="8" t="s">
        <v>47</v>
      </c>
      <c r="C26" s="26">
        <v>-59.99</v>
      </c>
      <c r="D26" s="26">
        <v>0</v>
      </c>
      <c r="E26" s="27">
        <f t="shared" si="0"/>
        <v>-59.99</v>
      </c>
      <c r="F26" s="9" t="s">
        <v>48</v>
      </c>
    </row>
    <row r="27" spans="2:18">
      <c r="B27" s="8" t="s">
        <v>47</v>
      </c>
      <c r="C27" s="29">
        <v>30.05</v>
      </c>
      <c r="D27" s="26">
        <v>0</v>
      </c>
      <c r="E27" s="27">
        <f t="shared" si="0"/>
        <v>30.05</v>
      </c>
      <c r="F27" s="9" t="s">
        <v>41</v>
      </c>
    </row>
    <row r="28" spans="2:18">
      <c r="B28" s="8" t="s">
        <v>47</v>
      </c>
      <c r="C28" s="29">
        <v>36.01</v>
      </c>
      <c r="D28" s="26">
        <v>0</v>
      </c>
      <c r="E28" s="27">
        <f t="shared" si="0"/>
        <v>36.01</v>
      </c>
      <c r="F28" s="9" t="s">
        <v>41</v>
      </c>
    </row>
    <row r="29" spans="2:18">
      <c r="B29" s="8" t="s">
        <v>43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48</v>
      </c>
    </row>
    <row r="30" spans="2:18">
      <c r="B30" s="8" t="s">
        <v>45</v>
      </c>
      <c r="C30" s="26">
        <v>4</v>
      </c>
      <c r="D30" s="26">
        <v>0.01</v>
      </c>
      <c r="E30" s="26">
        <f>(C30+D30)</f>
        <v>4.01</v>
      </c>
      <c r="F30" s="9" t="s">
        <v>41</v>
      </c>
    </row>
    <row r="31" spans="2:18">
      <c r="B31" s="10" t="s">
        <v>45</v>
      </c>
      <c r="C31" s="36">
        <v>-8.4440000000000008</v>
      </c>
      <c r="D31" s="36">
        <f>-C31*6%</f>
        <v>0.50663999999999998</v>
      </c>
      <c r="E31" s="36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7">
        <f t="shared" ref="F35:F41" si="2">E35*$N$5</f>
        <v>3595.9937139999997</v>
      </c>
      <c r="G35" s="26">
        <v>3.5</v>
      </c>
      <c r="H35" s="38">
        <f>G51</f>
        <v>1.5615590400000001</v>
      </c>
      <c r="I35" s="27">
        <f t="shared" ref="I35:I42" si="3">((F35-H35*D35)*$J$3-G35)</f>
        <v>8.3551964028223029</v>
      </c>
      <c r="J35">
        <v>1</v>
      </c>
      <c r="K35" s="39">
        <f t="shared" ref="K35:K41" si="4">I35*J35</f>
        <v>8.3551964028223029</v>
      </c>
      <c r="L35" s="40">
        <v>40</v>
      </c>
      <c r="M35" s="40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7">
        <f t="shared" si="2"/>
        <v>555.44130600000005</v>
      </c>
      <c r="G36" s="26">
        <v>3.5</v>
      </c>
      <c r="H36" s="38">
        <f>G52</f>
        <v>0.21337130135885166</v>
      </c>
      <c r="I36" s="27">
        <f t="shared" si="3"/>
        <v>-1.5677948369588384</v>
      </c>
      <c r="J36">
        <v>1</v>
      </c>
      <c r="K36" s="39">
        <f t="shared" si="4"/>
        <v>-1.5677948369588384</v>
      </c>
      <c r="L36" s="40">
        <v>11</v>
      </c>
      <c r="M36" s="40">
        <f t="shared" si="5"/>
        <v>11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7">
        <f t="shared" si="2"/>
        <v>489.31734100000006</v>
      </c>
      <c r="G37" s="26">
        <v>3.5</v>
      </c>
      <c r="H37" s="38">
        <f>G53</f>
        <v>0.18479602162162162</v>
      </c>
      <c r="I37" s="27">
        <f t="shared" si="3"/>
        <v>-1.7862957053733228</v>
      </c>
      <c r="J37">
        <v>1</v>
      </c>
      <c r="K37" s="39">
        <f t="shared" si="4"/>
        <v>-1.7862957053733228</v>
      </c>
      <c r="L37" s="40">
        <v>9.5</v>
      </c>
      <c r="M37" s="40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7">
        <f t="shared" si="2"/>
        <v>466.98607980000003</v>
      </c>
      <c r="G38" s="26">
        <v>0</v>
      </c>
      <c r="H38" s="38">
        <f>G53</f>
        <v>0.18479602162162162</v>
      </c>
      <c r="I38" s="27">
        <f t="shared" si="3"/>
        <v>1.6354949711135134</v>
      </c>
      <c r="J38">
        <v>3</v>
      </c>
      <c r="K38" s="39">
        <f t="shared" si="4"/>
        <v>4.9064849133405399</v>
      </c>
      <c r="L38" s="40">
        <f>L37</f>
        <v>9.5</v>
      </c>
      <c r="M38" s="40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7">
        <f t="shared" si="2"/>
        <v>428.89157540000002</v>
      </c>
      <c r="G39" s="26">
        <v>0</v>
      </c>
      <c r="H39" s="38">
        <f>H38</f>
        <v>0.18479602162162162</v>
      </c>
      <c r="I39" s="27">
        <f t="shared" si="3"/>
        <v>1.5020790662969397</v>
      </c>
      <c r="J39">
        <v>1</v>
      </c>
      <c r="K39" s="39">
        <f t="shared" si="4"/>
        <v>1.5020790662969397</v>
      </c>
      <c r="L39" s="40">
        <f>L38</f>
        <v>9.5</v>
      </c>
      <c r="M39" s="40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7">
        <f t="shared" si="2"/>
        <v>397.36508900000001</v>
      </c>
      <c r="G40" s="26">
        <v>0</v>
      </c>
      <c r="H40" s="38">
        <f>H39</f>
        <v>0.18479602162162162</v>
      </c>
      <c r="I40" s="27">
        <f t="shared" si="3"/>
        <v>1.3916659036901202</v>
      </c>
      <c r="J40">
        <v>1</v>
      </c>
      <c r="K40" s="39">
        <f t="shared" si="4"/>
        <v>1.3916659036901202</v>
      </c>
      <c r="L40" s="40">
        <f>L39</f>
        <v>9.5</v>
      </c>
      <c r="M40" s="40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1">
        <v>0</v>
      </c>
      <c r="H41" s="42">
        <f>H36</f>
        <v>0.21337130135885166</v>
      </c>
      <c r="I41" s="41">
        <f t="shared" si="3"/>
        <v>0.18154947840655206</v>
      </c>
      <c r="J41" s="15">
        <v>1</v>
      </c>
      <c r="K41" s="43">
        <f t="shared" si="4"/>
        <v>0.18154947840655206</v>
      </c>
      <c r="L41" s="44">
        <v>0</v>
      </c>
      <c r="M41" s="44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1">
        <v>0</v>
      </c>
      <c r="H42" s="42">
        <f>(H38)</f>
        <v>0.18479602162162162</v>
      </c>
      <c r="I42" s="41">
        <f t="shared" si="3"/>
        <v>1.0121206572291785</v>
      </c>
      <c r="J42" s="15">
        <v>1</v>
      </c>
      <c r="K42" s="43">
        <f>(I42*J42)</f>
        <v>1.0121206572291785</v>
      </c>
      <c r="L42" s="44">
        <v>0</v>
      </c>
      <c r="M42" s="44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39"/>
      <c r="L43" s="40">
        <v>9</v>
      </c>
      <c r="M43" s="40">
        <f>L43*J43</f>
        <v>18</v>
      </c>
    </row>
    <row r="44" spans="2:22">
      <c r="B44" s="8" t="s">
        <v>66</v>
      </c>
      <c r="J44">
        <v>1</v>
      </c>
      <c r="K44" s="9"/>
      <c r="L44" s="40">
        <v>0.4</v>
      </c>
      <c r="M44" s="40">
        <f>(L44*J44)</f>
        <v>0.4</v>
      </c>
    </row>
    <row r="45" spans="2:22">
      <c r="B45" s="8" t="s">
        <v>67</v>
      </c>
      <c r="J45">
        <v>1</v>
      </c>
      <c r="K45" s="9"/>
      <c r="L45" s="40">
        <v>0.35</v>
      </c>
      <c r="M45" s="40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0">
        <v>1.5</v>
      </c>
      <c r="M46" s="40">
        <f>(L46*J46)</f>
        <v>1.5</v>
      </c>
      <c r="V46" s="27"/>
    </row>
    <row r="47" spans="2:22">
      <c r="L47" t="s">
        <v>35</v>
      </c>
      <c r="M47" s="40">
        <f>(SUM(M34:M46))</f>
        <v>128.25</v>
      </c>
      <c r="O47" s="40">
        <f>(J13+SUM(G35:G41)-D77)</f>
        <v>0.52695130290522485</v>
      </c>
      <c r="P47">
        <f>(O47/J3)</f>
        <v>108.12800388199484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5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5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5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6">
        <v>1.1399999999999999</v>
      </c>
      <c r="E60" s="33">
        <f t="shared" ref="E60:E67" si="6">D60/C60</f>
        <v>1.0039857823396298E-2</v>
      </c>
    </row>
    <row r="61" spans="2:7">
      <c r="B61" s="8"/>
      <c r="C61" s="18">
        <v>130.53974622000001</v>
      </c>
      <c r="D61" s="46">
        <v>1.1793119999999999</v>
      </c>
      <c r="E61" s="33">
        <f t="shared" si="6"/>
        <v>9.0341220520874389E-3</v>
      </c>
    </row>
    <row r="62" spans="2:7">
      <c r="B62" s="8"/>
      <c r="C62" s="18">
        <v>167.40487411999999</v>
      </c>
      <c r="D62" s="46">
        <v>1.05481</v>
      </c>
      <c r="E62" s="33">
        <f t="shared" si="6"/>
        <v>6.3009515436443378E-3</v>
      </c>
    </row>
    <row r="63" spans="2:7">
      <c r="B63" s="8"/>
      <c r="C63" s="18">
        <v>167.96827999999999</v>
      </c>
      <c r="D63" s="46">
        <f>1.0512-0.00017</f>
        <v>1.0510299999999999</v>
      </c>
      <c r="E63" s="33">
        <f t="shared" si="6"/>
        <v>6.2573123925541178E-3</v>
      </c>
    </row>
    <row r="64" spans="2:7">
      <c r="B64" s="8"/>
      <c r="C64" s="18">
        <v>123.66</v>
      </c>
      <c r="D64" s="46">
        <v>1.0489999999999999</v>
      </c>
      <c r="E64" s="33">
        <f t="shared" si="6"/>
        <v>8.4829370855571719E-3</v>
      </c>
    </row>
    <row r="65" spans="2:5">
      <c r="B65" s="8"/>
      <c r="C65" s="18">
        <v>149.5</v>
      </c>
      <c r="D65" s="46">
        <v>1.17</v>
      </c>
      <c r="E65" s="33">
        <f t="shared" si="6"/>
        <v>7.826086956521738E-3</v>
      </c>
    </row>
    <row r="66" spans="2:5">
      <c r="B66" s="8"/>
      <c r="C66" s="18">
        <v>170.62</v>
      </c>
      <c r="D66" s="46">
        <v>1.1579999999999999</v>
      </c>
      <c r="E66" s="33">
        <f t="shared" si="6"/>
        <v>6.7870120736138783E-3</v>
      </c>
    </row>
    <row r="67" spans="2:5">
      <c r="B67" s="8"/>
      <c r="C67" s="18">
        <v>192.66</v>
      </c>
      <c r="D67" s="46">
        <v>1.0900000000000001</v>
      </c>
      <c r="E67" s="33">
        <f t="shared" si="6"/>
        <v>5.6576352122910834E-3</v>
      </c>
    </row>
    <row r="68" spans="2:5">
      <c r="B68" s="8"/>
      <c r="C68" s="18">
        <v>257.33999999999997</v>
      </c>
      <c r="D68" s="46">
        <v>1.1299999999999999</v>
      </c>
      <c r="E68" s="33">
        <f t="shared" ref="E68:E74" si="7">(D68/C68)</f>
        <v>4.3910779513484108E-3</v>
      </c>
    </row>
    <row r="69" spans="2:5">
      <c r="B69" s="8"/>
      <c r="C69" s="18">
        <v>312.13</v>
      </c>
      <c r="D69" s="46">
        <v>0.82</v>
      </c>
      <c r="E69" s="33">
        <f t="shared" si="7"/>
        <v>2.6271104988306155E-3</v>
      </c>
    </row>
    <row r="70" spans="2:5">
      <c r="B70" s="8"/>
      <c r="C70" s="18">
        <v>352.46100000000001</v>
      </c>
      <c r="D70" s="46">
        <v>1.2074</v>
      </c>
      <c r="E70" s="33">
        <f t="shared" si="7"/>
        <v>3.4256272325165053E-3</v>
      </c>
    </row>
    <row r="71" spans="2:5">
      <c r="B71" s="8"/>
      <c r="C71" s="18">
        <v>263.04000000000002</v>
      </c>
      <c r="D71" s="46">
        <v>1.0588</v>
      </c>
      <c r="E71" s="33">
        <f t="shared" si="7"/>
        <v>4.0252433090024325E-3</v>
      </c>
    </row>
    <row r="72" spans="2:5">
      <c r="B72" s="8"/>
      <c r="C72" s="18">
        <v>359.00495999999998</v>
      </c>
      <c r="D72" s="46">
        <v>1.1194999999999999</v>
      </c>
      <c r="E72" s="33">
        <f t="shared" si="7"/>
        <v>3.1183413176241355E-3</v>
      </c>
    </row>
    <row r="73" spans="2:5">
      <c r="B73" s="8"/>
      <c r="C73" s="18">
        <v>327.91</v>
      </c>
      <c r="D73" s="46">
        <v>1.0785</v>
      </c>
      <c r="E73" s="33">
        <f t="shared" si="7"/>
        <v>3.2890122289652647E-3</v>
      </c>
    </row>
    <row r="74" spans="2:5">
      <c r="B74" s="8"/>
      <c r="C74" s="18">
        <v>925.39</v>
      </c>
      <c r="D74" s="46">
        <v>3.1734</v>
      </c>
      <c r="E74" s="33">
        <f t="shared" si="7"/>
        <v>3.4292568538670182E-3</v>
      </c>
    </row>
    <row r="75" spans="2:5">
      <c r="B75" s="8"/>
      <c r="C75" s="18">
        <v>109.44</v>
      </c>
      <c r="D75" s="46"/>
      <c r="E75" s="33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6">
        <f>(SUM(D57:D76))</f>
        <v>18.479751999999998</v>
      </c>
    </row>
  </sheetData>
  <conditionalFormatting sqref="L35">
    <cfRule type="cellIs" dxfId="277" priority="17" operator="lessThan">
      <formula>$C$5</formula>
    </cfRule>
    <cfRule type="cellIs" dxfId="276" priority="18" operator="greaterThan">
      <formula>$C$5</formula>
    </cfRule>
  </conditionalFormatting>
  <conditionalFormatting sqref="L36">
    <cfRule type="cellIs" dxfId="275" priority="15" operator="lessThan">
      <formula>$C$6</formula>
    </cfRule>
    <cfRule type="cellIs" dxfId="274" priority="16" operator="greaterThan">
      <formula>$C$6</formula>
    </cfRule>
  </conditionalFormatting>
  <conditionalFormatting sqref="L40">
    <cfRule type="cellIs" dxfId="273" priority="13" operator="lessThan">
      <formula>$C$20</formula>
    </cfRule>
    <cfRule type="cellIs" dxfId="272" priority="14" operator="greaterThan">
      <formula>$C$20</formula>
    </cfRule>
  </conditionalFormatting>
  <conditionalFormatting sqref="L39">
    <cfRule type="cellIs" dxfId="271" priority="11" operator="lessThan">
      <formula>$C$19</formula>
    </cfRule>
    <cfRule type="cellIs" dxfId="270" priority="12" operator="greaterThan">
      <formula>$C$19</formula>
    </cfRule>
  </conditionalFormatting>
  <conditionalFormatting sqref="L38">
    <cfRule type="cellIs" dxfId="269" priority="9" operator="lessThan">
      <formula>$C$17</formula>
    </cfRule>
    <cfRule type="cellIs" dxfId="268" priority="10" operator="greaterThan">
      <formula>$C$17</formula>
    </cfRule>
  </conditionalFormatting>
  <conditionalFormatting sqref="L37">
    <cfRule type="cellIs" dxfId="267" priority="7" operator="lessThan">
      <formula>$C$7</formula>
    </cfRule>
    <cfRule type="cellIs" dxfId="266" priority="8" operator="greaterThan">
      <formula>$C$7</formula>
    </cfRule>
  </conditionalFormatting>
  <conditionalFormatting sqref="L43">
    <cfRule type="cellIs" dxfId="265" priority="3" operator="lessThan">
      <formula>$C$27</formula>
    </cfRule>
    <cfRule type="cellIs" dxfId="264" priority="4" operator="greaterThan">
      <formula>$C$27</formula>
    </cfRule>
  </conditionalFormatting>
  <conditionalFormatting sqref="L44:L46">
    <cfRule type="cellIs" dxfId="263" priority="1" operator="lessThan">
      <formula>$C$7</formula>
    </cfRule>
    <cfRule type="cellIs" dxfId="26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6">
        <f>(-209/3)</f>
        <v>-69.666666666666671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56" width="9.140625" style="25" customWidth="1"/>
    <col min="357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10.934027993289471</v>
      </c>
      <c r="M3" t="s">
        <v>4</v>
      </c>
      <c r="N3" s="23">
        <f>(INDEX(N5:N21,MATCH(MAX(O6:O8),O5:O21,0))/0.85)</f>
        <v>0.13985732941176471</v>
      </c>
      <c r="O3" s="27">
        <f>(MAX(O6:O8)*0.75)</f>
        <v>6.6000000000000005</v>
      </c>
      <c r="P3" s="47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3.4318103362179984</v>
      </c>
      <c r="K4" s="4">
        <f>(J4/D13-1)</f>
        <v>-3.1152345964369137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2.5360000000000001E-5</v>
      </c>
      <c r="C6" s="29">
        <v>0</v>
      </c>
      <c r="D6" s="29">
        <f>(B6*C6)</f>
        <v>0</v>
      </c>
      <c r="E6" s="26">
        <f>(B6*J3)</f>
        <v>2.7728694990982101E-4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2.5360000000000001E-5</v>
      </c>
      <c r="S6" s="29">
        <v>0</v>
      </c>
      <c r="T6" s="29">
        <f>(D6)</f>
        <v>0</v>
      </c>
      <c r="U6" s="26">
        <f>(R6*J3)</f>
        <v>2.7728694990982101E-4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7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0.118883802</v>
      </c>
      <c r="O9" s="26">
        <f>($C$5*[1]Params!K11)</f>
        <v>20</v>
      </c>
      <c r="P9" s="26">
        <f>(O9*N9)</f>
        <v>2.3776760399999999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4.8028021320000001</v>
      </c>
    </row>
    <row r="12" spans="2:21">
      <c r="F12" t="s">
        <v>12</v>
      </c>
      <c r="G12" s="47">
        <f>(D13/B13)</f>
        <v>-5.1691798213340991</v>
      </c>
    </row>
    <row r="13" spans="2:21">
      <c r="B13" s="1">
        <f>(SUM(B5:B12))</f>
        <v>0.31386514999999998</v>
      </c>
      <c r="D13" s="26">
        <f>(SUM(D5:D12))</f>
        <v>-1.6224254</v>
      </c>
      <c r="R13" s="1">
        <f>(SUM(R5:R12))</f>
        <v>0.59441900999999997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8"/>
    </row>
  </sheetData>
  <conditionalFormatting sqref="C5 G12 S5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O9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0.63108240056501197</v>
      </c>
      <c r="M3" t="s">
        <v>4</v>
      </c>
      <c r="N3" s="23">
        <f>(INDEX(N5:N21,MATCH(MAX(O6:O7),O5:O21,0))/0.85)</f>
        <v>26.47058823529412</v>
      </c>
      <c r="O3" s="27">
        <f>(MAX(O6:O7)*0.75)</f>
        <v>0.43971537084525897</v>
      </c>
      <c r="P3" s="26">
        <f>(O3*N3)</f>
        <v>11.639524522374503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51.430918259988275</v>
      </c>
      <c r="K4" s="4">
        <f>(J4/D13-1)</f>
        <v>1.2755424801940825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0.78295428</v>
      </c>
      <c r="C6" s="29">
        <v>0</v>
      </c>
      <c r="D6" s="29">
        <f>(B6*C6)</f>
        <v>0</v>
      </c>
      <c r="E6" s="26">
        <f>(B6*J3)</f>
        <v>0.49410866655505054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0.78295428</v>
      </c>
      <c r="S6" s="29">
        <v>0</v>
      </c>
      <c r="T6" s="29">
        <f>(D6)</f>
        <v>0</v>
      </c>
      <c r="U6" s="26">
        <f>(R6*J3)</f>
        <v>0.49410866655505054</v>
      </c>
    </row>
    <row r="7" spans="2:21">
      <c r="B7" s="1">
        <v>123.14401613</v>
      </c>
      <c r="C7" s="26">
        <f>(D7/B7)</f>
        <v>0.36136550843869253</v>
      </c>
      <c r="D7" s="26">
        <v>44.5</v>
      </c>
      <c r="E7" t="s">
        <v>15</v>
      </c>
      <c r="N7" s="1">
        <f>-B11</f>
        <v>22.5</v>
      </c>
      <c r="O7" s="26">
        <f>($S$7*[1]Params!K9)</f>
        <v>0.58628716112701196</v>
      </c>
      <c r="P7" s="26">
        <f>-D11</f>
        <v>12.305999999999999</v>
      </c>
      <c r="Q7" t="s">
        <v>11</v>
      </c>
      <c r="R7" s="37">
        <f>B7+B10</f>
        <v>100.57401612999999</v>
      </c>
      <c r="S7" s="26">
        <f>(T7/R7)</f>
        <v>0.36642947570438245</v>
      </c>
      <c r="T7" s="26">
        <f>D7+B10*0.3388</f>
        <v>36.853284000000002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30.869815765999995</v>
      </c>
      <c r="O8" s="26">
        <f>($C$7*[1]Params!K10)</f>
        <v>0.79500411856512365</v>
      </c>
      <c r="P8" s="26">
        <f>(O8*N8)</f>
        <v>24.541630673316583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16.299271921999996</v>
      </c>
      <c r="O9" s="26">
        <f>($C$7*[1]Params!K11)</f>
        <v>1.8068275421934628</v>
      </c>
      <c r="P9" s="26">
        <f>(O9*N9)</f>
        <v>29.449973426370171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76.38003306968676</v>
      </c>
    </row>
    <row r="12" spans="2:21">
      <c r="F12" t="s">
        <v>12</v>
      </c>
      <c r="G12" s="47">
        <f>(D13/B13)</f>
        <v>0.27733272661698966</v>
      </c>
    </row>
    <row r="13" spans="2:21">
      <c r="B13" s="1">
        <f>(SUM(B5:B12))</f>
        <v>81.496359609999985</v>
      </c>
      <c r="D13" s="26">
        <f>(SUM(D5:D12))</f>
        <v>22.601607620000003</v>
      </c>
      <c r="R13" s="1">
        <f>(SUM(R5:R12))</f>
        <v>103.99635960999998</v>
      </c>
      <c r="T13" s="26">
        <f>(SUM(T5:T12))</f>
        <v>34.907607620000007</v>
      </c>
    </row>
  </sheetData>
  <conditionalFormatting sqref="C5 C7 G12 S5 S7">
    <cfRule type="cellIs" dxfId="255" priority="19" operator="lessThan">
      <formula>$J$3</formula>
    </cfRule>
    <cfRule type="cellIs" dxfId="254" priority="20" operator="greaterThan">
      <formula>$J$3</formula>
    </cfRule>
  </conditionalFormatting>
  <conditionalFormatting sqref="O8:O9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C9">
    <cfRule type="cellIs" dxfId="251" priority="3" operator="lessThan">
      <formula>$J$3</formula>
    </cfRule>
    <cfRule type="cellIs" dxfId="250" priority="4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L17" sqref="L1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0.19980964439579271</v>
      </c>
      <c r="M3" t="s">
        <v>4</v>
      </c>
      <c r="N3" s="23" t="e">
        <f>(INDEX(N5:N23,MATCH(MAX(0),O5:O23,0))/0.85)</f>
        <v>#N/A</v>
      </c>
      <c r="O3" s="27">
        <f>(MAX(0)*0.75)</f>
        <v>0</v>
      </c>
      <c r="P3" s="47" t="e">
        <f>(O3*N3)</f>
        <v>#N/A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13.131027414227665</v>
      </c>
      <c r="K4" s="4">
        <f>(J4/D14-1)</f>
        <v>0.3838707151986025</v>
      </c>
      <c r="R4" t="s">
        <v>5</v>
      </c>
      <c r="S4" t="s">
        <v>6</v>
      </c>
      <c r="T4" t="s">
        <v>7</v>
      </c>
    </row>
    <row r="5" spans="2:21">
      <c r="B5" s="37">
        <v>60.14</v>
      </c>
      <c r="C5" s="26">
        <f>(D5/B5)</f>
        <v>0.16877286331892252</v>
      </c>
      <c r="D5" s="26">
        <v>10.15</v>
      </c>
      <c r="N5" t="s">
        <v>30</v>
      </c>
      <c r="O5" t="s">
        <v>1</v>
      </c>
      <c r="P5" t="s">
        <v>2</v>
      </c>
      <c r="R5" s="37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0.58468571999999996</v>
      </c>
      <c r="C6" s="29">
        <v>0</v>
      </c>
      <c r="D6" s="29">
        <f>(B6*C6)</f>
        <v>0</v>
      </c>
      <c r="E6" s="26">
        <f>(B6*J3)</f>
        <v>0.11682584579649802</v>
      </c>
      <c r="M6" t="s">
        <v>10</v>
      </c>
      <c r="N6" s="37">
        <f>($B$14)/5</f>
        <v>13.143537144000002</v>
      </c>
      <c r="O6" s="26">
        <f>($C$5*[1]Params!K8)</f>
        <v>0.21940472231459929</v>
      </c>
      <c r="P6" s="26">
        <f>-D11</f>
        <v>2.8172410600000002</v>
      </c>
      <c r="R6" s="49">
        <f>(B6)</f>
        <v>0.58468571999999996</v>
      </c>
      <c r="S6" s="29">
        <v>0</v>
      </c>
      <c r="T6" s="29">
        <f>(D6)</f>
        <v>0</v>
      </c>
      <c r="U6" s="26">
        <f>(E6)</f>
        <v>0.11682584579649802</v>
      </c>
    </row>
    <row r="7" spans="2:21">
      <c r="B7" s="37">
        <v>-12.028</v>
      </c>
      <c r="C7" s="26">
        <f t="shared" ref="C7:C12" si="0">(D7/B7)</f>
        <v>0.21200000000000002</v>
      </c>
      <c r="D7" s="26">
        <v>-2.5499360000000002</v>
      </c>
      <c r="N7" s="37">
        <f>$B$14/5</f>
        <v>13.143537144000002</v>
      </c>
      <c r="O7" s="26">
        <f>($C$5*[1]Params!K9)</f>
        <v>0.27003658131027602</v>
      </c>
      <c r="P7" s="26">
        <f>(O7*N7)</f>
        <v>3.5492358366903893</v>
      </c>
      <c r="R7" s="37">
        <f>SUM(B7:B12)</f>
        <v>4.9930000000000021</v>
      </c>
      <c r="S7" s="26">
        <v>0</v>
      </c>
      <c r="T7" s="26">
        <f>SUM(D7:D12)</f>
        <v>-0.66137706000000041</v>
      </c>
      <c r="U7" s="27"/>
    </row>
    <row r="8" spans="2:21">
      <c r="B8" s="37">
        <v>-12</v>
      </c>
      <c r="C8" s="26">
        <f t="shared" si="0"/>
        <v>0.255</v>
      </c>
      <c r="D8" s="26">
        <v>-3.06</v>
      </c>
      <c r="N8" s="37">
        <f>($B$14)/5</f>
        <v>13.143537144000002</v>
      </c>
      <c r="O8" s="26">
        <f>($C$5*[1]Params!K10)</f>
        <v>0.37130029930162955</v>
      </c>
      <c r="P8" s="26">
        <f>(O8*N8)</f>
        <v>4.8801992754492858</v>
      </c>
      <c r="R8" s="37"/>
      <c r="S8" s="26"/>
      <c r="T8" s="26"/>
    </row>
    <row r="9" spans="2:21">
      <c r="B9" s="37">
        <v>13.39371616</v>
      </c>
      <c r="C9" s="26">
        <f t="shared" si="0"/>
        <v>0.21471262834346938</v>
      </c>
      <c r="D9" s="26">
        <v>2.8757999999999999</v>
      </c>
      <c r="N9" s="37">
        <f>($B$14)/5</f>
        <v>13.143537144000002</v>
      </c>
      <c r="O9" s="26">
        <f>($C$5*[1]Params!K11)</f>
        <v>0.84386431659461258</v>
      </c>
      <c r="P9" s="26">
        <f>(O9*N9)</f>
        <v>11.091361989657468</v>
      </c>
    </row>
    <row r="10" spans="2:21">
      <c r="B10" s="37">
        <v>13.23709339</v>
      </c>
      <c r="C10" s="26">
        <f t="shared" si="0"/>
        <v>0.18206413817557876</v>
      </c>
      <c r="D10" s="26">
        <v>2.41</v>
      </c>
    </row>
    <row r="11" spans="2:21">
      <c r="B11" s="37">
        <v>-12.66</v>
      </c>
      <c r="C11" s="26">
        <f t="shared" si="0"/>
        <v>0.22253088941548185</v>
      </c>
      <c r="D11" s="26">
        <v>-2.8172410600000002</v>
      </c>
    </row>
    <row r="12" spans="2:21">
      <c r="B12" s="37">
        <v>15.050190450000001</v>
      </c>
      <c r="C12" s="26">
        <f t="shared" si="0"/>
        <v>0.16478196792519659</v>
      </c>
      <c r="D12" s="26">
        <v>2.48</v>
      </c>
      <c r="P12" s="26">
        <f>(SUM(P6:P9))</f>
        <v>22.338038161797144</v>
      </c>
    </row>
    <row r="13" spans="2:21">
      <c r="F13" t="s">
        <v>12</v>
      </c>
      <c r="G13" s="26">
        <f>(D14/B14)</f>
        <v>0.14438461787025933</v>
      </c>
    </row>
    <row r="14" spans="2:21">
      <c r="B14" s="37">
        <f>(SUM(B5:B13))</f>
        <v>65.717685720000006</v>
      </c>
      <c r="D14" s="26">
        <f>(SUM(D5:D13))</f>
        <v>9.4886229399999991</v>
      </c>
    </row>
    <row r="17" spans="11:20">
      <c r="N17" s="37"/>
      <c r="R17" s="37">
        <f>(SUM(R5:R16))</f>
        <v>65.717685720000006</v>
      </c>
      <c r="T17" s="26">
        <f>(SUM(T5:T16))</f>
        <v>9.4886229399999991</v>
      </c>
    </row>
    <row r="20" spans="11:20">
      <c r="K20" s="27"/>
    </row>
  </sheetData>
  <conditionalFormatting sqref="C5">
    <cfRule type="cellIs" dxfId="247" priority="17" operator="lessThan">
      <formula>$J$3</formula>
    </cfRule>
    <cfRule type="cellIs" dxfId="246" priority="18" operator="greaterThan">
      <formula>$J$3</formula>
    </cfRule>
  </conditionalFormatting>
  <conditionalFormatting sqref="C9:C10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O6:O9">
    <cfRule type="cellIs" dxfId="243" priority="13" operator="lessThan">
      <formula>$J$3</formula>
    </cfRule>
    <cfRule type="cellIs" dxfId="242" priority="14" operator="greaterThan">
      <formula>$J$3</formula>
    </cfRule>
  </conditionalFormatting>
  <conditionalFormatting sqref="S5 S7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G1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3">
    <cfRule type="cellIs" dxfId="237" priority="3" operator="greaterThan">
      <formula>$J$3</formula>
    </cfRule>
    <cfRule type="cellIs" dxfId="236" priority="4" operator="lessThan">
      <formula>$J$3</formula>
    </cfRule>
  </conditionalFormatting>
  <conditionalFormatting sqref="C12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2024-02-19T10:16:19Z</dcterms:modified>
</cp:coreProperties>
</file>