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4" i="32"/>
  <c r="C12"/>
  <c r="D11"/>
  <c r="D14" s="1"/>
  <c r="G13" s="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J4" s="1"/>
  <c r="N9"/>
  <c r="N8"/>
  <c r="N7"/>
  <c r="N6"/>
  <c r="Q6" s="1"/>
  <c r="E6"/>
  <c r="D6"/>
  <c r="D13" s="1"/>
  <c r="G12" s="1"/>
  <c r="C5"/>
  <c r="O9" s="1"/>
  <c r="P9" s="1"/>
  <c r="D41" i="28"/>
  <c r="C41" s="1"/>
  <c r="S27" s="1"/>
  <c r="C40"/>
  <c r="S26" s="1"/>
  <c r="D39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T27"/>
  <c r="R27"/>
  <c r="C27"/>
  <c r="T26"/>
  <c r="R26"/>
  <c r="C26"/>
  <c r="B26"/>
  <c r="T25"/>
  <c r="R25"/>
  <c r="O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R13"/>
  <c r="N16" s="1"/>
  <c r="P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N6"/>
  <c r="B6"/>
  <c r="R6" s="1"/>
  <c r="S5"/>
  <c r="D5"/>
  <c r="D43" s="1"/>
  <c r="B5"/>
  <c r="B43" s="1"/>
  <c r="J4" s="1"/>
  <c r="K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D5"/>
  <c r="B20" i="22"/>
  <c r="J4" s="1"/>
  <c r="D18"/>
  <c r="D17"/>
  <c r="D16"/>
  <c r="D15"/>
  <c r="D14"/>
  <c r="D13"/>
  <c r="D12"/>
  <c r="D11"/>
  <c r="D10"/>
  <c r="D9"/>
  <c r="D8"/>
  <c r="C7"/>
  <c r="B7"/>
  <c r="E6"/>
  <c r="D6"/>
  <c r="D5"/>
  <c r="D20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0"/>
  <c r="R9"/>
  <c r="D9"/>
  <c r="T9" s="1"/>
  <c r="S9" s="1"/>
  <c r="C9"/>
  <c r="T8"/>
  <c r="S8"/>
  <c r="R8"/>
  <c r="N8"/>
  <c r="C8"/>
  <c r="R7"/>
  <c r="O7"/>
  <c r="D7"/>
  <c r="T6"/>
  <c r="R6"/>
  <c r="O6"/>
  <c r="N6"/>
  <c r="N7" s="1"/>
  <c r="N3" s="1"/>
  <c r="E6"/>
  <c r="D6"/>
  <c r="T5"/>
  <c r="R5"/>
  <c r="R22" s="1"/>
  <c r="C5"/>
  <c r="O9" s="1"/>
  <c r="J4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N16"/>
  <c r="C15"/>
  <c r="D14"/>
  <c r="C14" s="1"/>
  <c r="C13"/>
  <c r="C12"/>
  <c r="C11"/>
  <c r="R10"/>
  <c r="E10"/>
  <c r="S9"/>
  <c r="R9"/>
  <c r="N17" s="1"/>
  <c r="D9"/>
  <c r="S8"/>
  <c r="O9" s="1"/>
  <c r="R8"/>
  <c r="N8" s="1"/>
  <c r="O8"/>
  <c r="E8"/>
  <c r="S7"/>
  <c r="R7"/>
  <c r="T7" s="1"/>
  <c r="O7"/>
  <c r="N7"/>
  <c r="P7" s="1"/>
  <c r="E7"/>
  <c r="S6"/>
  <c r="R6"/>
  <c r="T6" s="1"/>
  <c r="O6"/>
  <c r="P6" s="1"/>
  <c r="N6"/>
  <c r="D6"/>
  <c r="R5"/>
  <c r="N22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9" i="12"/>
  <c r="N18"/>
  <c r="N17"/>
  <c r="P16"/>
  <c r="O16"/>
  <c r="N16"/>
  <c r="B15"/>
  <c r="C13"/>
  <c r="C12"/>
  <c r="C11"/>
  <c r="C10"/>
  <c r="O19" s="1"/>
  <c r="P19" s="1"/>
  <c r="C9"/>
  <c r="U8"/>
  <c r="T8"/>
  <c r="S8"/>
  <c r="R8"/>
  <c r="C8"/>
  <c r="T7"/>
  <c r="R7"/>
  <c r="N7" s="1"/>
  <c r="C7"/>
  <c r="T6"/>
  <c r="S6"/>
  <c r="R6"/>
  <c r="N6"/>
  <c r="E6"/>
  <c r="D6"/>
  <c r="D15" s="1"/>
  <c r="G14" s="1"/>
  <c r="T5"/>
  <c r="T15" s="1"/>
  <c r="R5"/>
  <c r="R15" s="1"/>
  <c r="C5"/>
  <c r="O9" s="1"/>
  <c r="J4"/>
  <c r="K4" s="1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5" i="5"/>
  <c r="E73"/>
  <c r="E72"/>
  <c r="E71"/>
  <c r="E70"/>
  <c r="E69"/>
  <c r="E68"/>
  <c r="E67"/>
  <c r="E66"/>
  <c r="E65"/>
  <c r="E64"/>
  <c r="E63"/>
  <c r="D62"/>
  <c r="E62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N29"/>
  <c r="P29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P13" s="1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D22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76" i="2" l="1"/>
  <c r="N74"/>
  <c r="N75"/>
  <c r="O75" s="1"/>
  <c r="N73"/>
  <c r="O20" i="1"/>
  <c r="P20" s="1"/>
  <c r="O21"/>
  <c r="P21" s="1"/>
  <c r="O19"/>
  <c r="P19" s="1"/>
  <c r="P23" s="1"/>
  <c r="R22"/>
  <c r="B42"/>
  <c r="D39"/>
  <c r="T22"/>
  <c r="T32" s="1"/>
  <c r="T18"/>
  <c r="R18"/>
  <c r="N11" s="1"/>
  <c r="N10"/>
  <c r="P10" s="1"/>
  <c r="D42"/>
  <c r="R32"/>
  <c r="P29"/>
  <c r="O38" i="2"/>
  <c r="N51"/>
  <c r="O51" s="1"/>
  <c r="N52"/>
  <c r="O52" s="1"/>
  <c r="O54" s="1"/>
  <c r="N50"/>
  <c r="O50" s="1"/>
  <c r="O9"/>
  <c r="O14" s="1"/>
  <c r="N4"/>
  <c r="R21"/>
  <c r="B31"/>
  <c r="D30"/>
  <c r="T21" s="1"/>
  <c r="H36" i="5"/>
  <c r="H37"/>
  <c r="G12" i="8"/>
  <c r="K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L39" i="5"/>
  <c r="M38"/>
  <c r="G13" i="10"/>
  <c r="K4"/>
  <c r="P6" i="1"/>
  <c r="O26"/>
  <c r="O27"/>
  <c r="P27" s="1"/>
  <c r="O28"/>
  <c r="N26" i="2"/>
  <c r="O26" s="1"/>
  <c r="O30" s="1"/>
  <c r="N27"/>
  <c r="O27" s="1"/>
  <c r="N43"/>
  <c r="O43" s="1"/>
  <c r="O65"/>
  <c r="O70" s="1"/>
  <c r="M74"/>
  <c r="M76"/>
  <c r="I36" i="5"/>
  <c r="K36" s="1"/>
  <c r="I37"/>
  <c r="K37" s="1"/>
  <c r="T17" i="9"/>
  <c r="P9" i="12"/>
  <c r="P9" i="21"/>
  <c r="N3" i="1"/>
  <c r="P3" s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35"/>
  <c r="J14" i="5"/>
  <c r="P6" i="10"/>
  <c r="P8" i="14"/>
  <c r="O17"/>
  <c r="P17" s="1"/>
  <c r="O16"/>
  <c r="P16" s="1"/>
  <c r="N9" i="18"/>
  <c r="N8"/>
  <c r="N6"/>
  <c r="C7" i="20"/>
  <c r="P6"/>
  <c r="B37" i="23"/>
  <c r="J4" s="1"/>
  <c r="R9"/>
  <c r="S9" s="1"/>
  <c r="C9"/>
  <c r="C32"/>
  <c r="R24"/>
  <c r="R37" s="1"/>
  <c r="O7" i="24"/>
  <c r="O8"/>
  <c r="P8" s="1"/>
  <c r="O6"/>
  <c r="P6" s="1"/>
  <c r="O26" i="28"/>
  <c r="P26" s="1"/>
  <c r="O24"/>
  <c r="P24" s="1"/>
  <c r="P6" i="4"/>
  <c r="G8"/>
  <c r="M37" i="5"/>
  <c r="D75"/>
  <c r="O8" i="8"/>
  <c r="P8" s="1"/>
  <c r="P11" s="1"/>
  <c r="T6" i="9"/>
  <c r="O7"/>
  <c r="P7" s="1"/>
  <c r="P12" s="1"/>
  <c r="O8"/>
  <c r="P8" s="1"/>
  <c r="O9"/>
  <c r="P9" s="1"/>
  <c r="U5" i="10"/>
  <c r="N7"/>
  <c r="P7" s="1"/>
  <c r="O8"/>
  <c r="O9"/>
  <c r="P9" s="1"/>
  <c r="R14"/>
  <c r="O6" i="11"/>
  <c r="P6" s="1"/>
  <c r="O8"/>
  <c r="P8" s="1"/>
  <c r="O7" i="12"/>
  <c r="P7" s="1"/>
  <c r="V7"/>
  <c r="N8"/>
  <c r="N9"/>
  <c r="O18"/>
  <c r="P18" s="1"/>
  <c r="O7" i="13"/>
  <c r="O8"/>
  <c r="P8" s="1"/>
  <c r="T8" i="14"/>
  <c r="N9"/>
  <c r="P9" s="1"/>
  <c r="P11" s="1"/>
  <c r="B14" i="16"/>
  <c r="P6" i="18"/>
  <c r="N9" i="20"/>
  <c r="P9" s="1"/>
  <c r="D11"/>
  <c r="K4" i="24"/>
  <c r="T5" i="32"/>
  <c r="T33" s="1"/>
  <c r="W33" s="1"/>
  <c r="R37" i="14"/>
  <c r="N25"/>
  <c r="N23"/>
  <c r="N15"/>
  <c r="N14"/>
  <c r="T9"/>
  <c r="N9" i="15"/>
  <c r="N7"/>
  <c r="P7" s="1"/>
  <c r="J4"/>
  <c r="K4" s="1"/>
  <c r="O9" i="16"/>
  <c r="O8"/>
  <c r="N9" i="17"/>
  <c r="P9" s="1"/>
  <c r="N7"/>
  <c r="T22" i="20"/>
  <c r="S5"/>
  <c r="R21" i="21"/>
  <c r="N8"/>
  <c r="N6"/>
  <c r="N3" s="1"/>
  <c r="O3"/>
  <c r="T5" i="23"/>
  <c r="T37" s="1"/>
  <c r="C35"/>
  <c r="N9" s="1"/>
  <c r="R25"/>
  <c r="O9"/>
  <c r="P9" s="1"/>
  <c r="P6" i="28"/>
  <c r="Q9" i="29"/>
  <c r="Q8"/>
  <c r="Q7"/>
  <c r="S5" i="8"/>
  <c r="T6"/>
  <c r="T13" s="1"/>
  <c r="N6" i="10"/>
  <c r="N8"/>
  <c r="K4" i="11"/>
  <c r="O7"/>
  <c r="P7" s="1"/>
  <c r="U5" i="12"/>
  <c r="O6"/>
  <c r="O8"/>
  <c r="O17"/>
  <c r="P17" s="1"/>
  <c r="P21" s="1"/>
  <c r="N6" i="13"/>
  <c r="P6" s="1"/>
  <c r="N7"/>
  <c r="N8"/>
  <c r="T5" i="14"/>
  <c r="T10"/>
  <c r="O14"/>
  <c r="P14" s="1"/>
  <c r="O15"/>
  <c r="D17"/>
  <c r="K4" s="1"/>
  <c r="N24"/>
  <c r="P9" i="15"/>
  <c r="T5" i="16"/>
  <c r="T13" s="1"/>
  <c r="R8"/>
  <c r="R13" s="1"/>
  <c r="K4" i="17"/>
  <c r="P7"/>
  <c r="P11" s="1"/>
  <c r="N7" i="18"/>
  <c r="P7" s="1"/>
  <c r="O8"/>
  <c r="O9"/>
  <c r="P9" s="1"/>
  <c r="K4" i="19"/>
  <c r="O3" i="20"/>
  <c r="P3" s="1"/>
  <c r="S6"/>
  <c r="P7"/>
  <c r="T7"/>
  <c r="S7" s="1"/>
  <c r="S6" i="21"/>
  <c r="N7"/>
  <c r="P8"/>
  <c r="T21"/>
  <c r="N6" i="23"/>
  <c r="O6" s="1"/>
  <c r="P6" s="1"/>
  <c r="T21"/>
  <c r="S21" s="1"/>
  <c r="K4" i="26"/>
  <c r="K4" i="27"/>
  <c r="G43" i="28"/>
  <c r="P25"/>
  <c r="P28" s="1"/>
  <c r="K4" i="29"/>
  <c r="O6" i="15"/>
  <c r="P6" s="1"/>
  <c r="O6" i="19"/>
  <c r="P6" s="1"/>
  <c r="O8"/>
  <c r="P8" s="1"/>
  <c r="O8" i="20"/>
  <c r="P8" s="1"/>
  <c r="O7" i="21"/>
  <c r="P7" s="1"/>
  <c r="N7" i="24"/>
  <c r="O14"/>
  <c r="P14" s="1"/>
  <c r="O16"/>
  <c r="P16" s="1"/>
  <c r="O17"/>
  <c r="P17" s="1"/>
  <c r="N6" i="25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O3" i="28"/>
  <c r="R5"/>
  <c r="C6"/>
  <c r="N9"/>
  <c r="P9" s="1"/>
  <c r="N17"/>
  <c r="P17" s="1"/>
  <c r="P19" s="1"/>
  <c r="N25"/>
  <c r="O6" i="29"/>
  <c r="P6" s="1"/>
  <c r="O7"/>
  <c r="P7" s="1"/>
  <c r="O8"/>
  <c r="P8" s="1"/>
  <c r="O7" i="30"/>
  <c r="P7" s="1"/>
  <c r="T5" i="31"/>
  <c r="O6"/>
  <c r="O9"/>
  <c r="P9" s="1"/>
  <c r="P11" s="1"/>
  <c r="S5" i="32"/>
  <c r="O6"/>
  <c r="O8"/>
  <c r="P8" s="1"/>
  <c r="N9"/>
  <c r="P9" s="1"/>
  <c r="R33"/>
  <c r="O7" i="33"/>
  <c r="P7" s="1"/>
  <c r="O6" i="34"/>
  <c r="P6" s="1"/>
  <c r="O8"/>
  <c r="P8" s="1"/>
  <c r="O9"/>
  <c r="P9" s="1"/>
  <c r="T6" i="24"/>
  <c r="T17" s="1"/>
  <c r="O6" i="25"/>
  <c r="P6" s="1"/>
  <c r="O8"/>
  <c r="P8" s="1"/>
  <c r="O6" i="30"/>
  <c r="P6" s="1"/>
  <c r="O8"/>
  <c r="P8" s="1"/>
  <c r="O7" i="31"/>
  <c r="P7" s="1"/>
  <c r="O7" i="32"/>
  <c r="O6" i="33"/>
  <c r="P6" s="1"/>
  <c r="O8"/>
  <c r="P8" s="1"/>
  <c r="N3" i="12" l="1"/>
  <c r="P6"/>
  <c r="O3"/>
  <c r="P3" s="1"/>
  <c r="N7" i="16"/>
  <c r="P7" s="1"/>
  <c r="N9"/>
  <c r="N8"/>
  <c r="N6"/>
  <c r="P6" s="1"/>
  <c r="J4"/>
  <c r="K4" s="1"/>
  <c r="L41" i="5"/>
  <c r="M41" s="1"/>
  <c r="M39"/>
  <c r="M46" s="1"/>
  <c r="M57" i="2"/>
  <c r="O57" s="1"/>
  <c r="D31"/>
  <c r="D37" s="1"/>
  <c r="T22"/>
  <c r="T20"/>
  <c r="R20"/>
  <c r="R22"/>
  <c r="G41" i="1"/>
  <c r="G7"/>
  <c r="J12"/>
  <c r="J13" s="1"/>
  <c r="J4"/>
  <c r="K4" s="1"/>
  <c r="P11" i="29"/>
  <c r="P19" i="26"/>
  <c r="P20" i="24"/>
  <c r="P3" i="21"/>
  <c r="P12" i="11"/>
  <c r="G37" i="23"/>
  <c r="S8" i="16"/>
  <c r="O76" i="2"/>
  <c r="P6" i="32"/>
  <c r="P13" s="1"/>
  <c r="N3"/>
  <c r="O3"/>
  <c r="S5" i="31"/>
  <c r="T18"/>
  <c r="T37" i="14"/>
  <c r="S5"/>
  <c r="O3" i="31"/>
  <c r="N3"/>
  <c r="R43" i="28"/>
  <c r="T5"/>
  <c r="T43" s="1"/>
  <c r="W43" s="1"/>
  <c r="G10" i="20"/>
  <c r="K4"/>
  <c r="H41" i="5"/>
  <c r="I41" s="1"/>
  <c r="K41" s="1"/>
  <c r="H38"/>
  <c r="M4" i="2"/>
  <c r="O4" s="1"/>
  <c r="P11" i="15"/>
  <c r="P11" i="28"/>
  <c r="P9" i="16"/>
  <c r="G13"/>
  <c r="P11" i="33"/>
  <c r="P11" i="30"/>
  <c r="P11" i="25"/>
  <c r="P11" i="34"/>
  <c r="P11" i="26"/>
  <c r="P11" i="19"/>
  <c r="P8" i="18"/>
  <c r="P15" i="14"/>
  <c r="P19" s="1"/>
  <c r="P8" i="12"/>
  <c r="N3" i="28"/>
  <c r="P3" s="1"/>
  <c r="P6" i="21"/>
  <c r="P11" s="1"/>
  <c r="P8" i="16"/>
  <c r="P11" i="18"/>
  <c r="P7" i="13"/>
  <c r="P12" s="1"/>
  <c r="P8" i="10"/>
  <c r="P11" s="1"/>
  <c r="P7" i="24"/>
  <c r="P11" s="1"/>
  <c r="P11" i="20"/>
  <c r="K14" i="5"/>
  <c r="P39" i="1"/>
  <c r="P28"/>
  <c r="P26"/>
  <c r="S21" i="2"/>
  <c r="B37"/>
  <c r="S18" i="1"/>
  <c r="O73" i="2"/>
  <c r="O78" s="1"/>
  <c r="O74"/>
  <c r="O13" i="1" l="1"/>
  <c r="P13" s="1"/>
  <c r="O12"/>
  <c r="P12" s="1"/>
  <c r="O11"/>
  <c r="P11" s="1"/>
  <c r="P15" s="1"/>
  <c r="J7" i="2"/>
  <c r="J8" s="1"/>
  <c r="J4"/>
  <c r="K4" s="1"/>
  <c r="M58"/>
  <c r="R36"/>
  <c r="P31" i="1"/>
  <c r="P3" i="31"/>
  <c r="P12" i="16"/>
  <c r="H39" i="5"/>
  <c r="I39" s="1"/>
  <c r="K39" s="1"/>
  <c r="I38"/>
  <c r="K38" s="1"/>
  <c r="J13" s="1"/>
  <c r="O24" i="14"/>
  <c r="P24" s="1"/>
  <c r="O22"/>
  <c r="P22" s="1"/>
  <c r="O25"/>
  <c r="P25" s="1"/>
  <c r="O23"/>
  <c r="P23" s="1"/>
  <c r="S20" i="2"/>
  <c r="T36"/>
  <c r="P3" i="32"/>
  <c r="G36" i="2"/>
  <c r="P11" i="12"/>
  <c r="O46" i="5" l="1"/>
  <c r="P46" s="1"/>
  <c r="J15"/>
  <c r="J16" s="1"/>
  <c r="N60" i="2"/>
  <c r="O60" s="1"/>
  <c r="N58"/>
  <c r="O58" s="1"/>
  <c r="N59"/>
  <c r="O59" s="1"/>
  <c r="P27" i="14"/>
  <c r="O62" i="2" l="1"/>
</calcChain>
</file>

<file path=xl/sharedStrings.xml><?xml version="1.0" encoding="utf-8"?>
<sst xmlns="http://schemas.openxmlformats.org/spreadsheetml/2006/main" count="724" uniqueCount="93">
  <si>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</si>
  <si>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</si>
  <si>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</si>
  <si>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</si>
  <si>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</si>
  <si>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</si>
  <si>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</si>
  <si>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</si>
  <si>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</si>
  <si>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</si>
  <si>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</si>
  <si>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</si>
  <si>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</si>
  <si>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</si>
  <si>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</si>
  <si>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</si>
  <si>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</si>
  <si>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</si>
  <si>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</si>
  <si>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</si>
  <si>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</si>
  <si>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</si>
  <si>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</si>
  <si>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</si>
  <si>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</si>
  <si>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</si>
  <si>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</si>
  <si>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</si>
  <si>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</si>
  <si>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</si>
  <si>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</si>
  <si>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</si>
  <si>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</si>
  <si>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</si>
  <si>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</si>
  <si>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</si>
  <si>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</si>
  <si>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</si>
  <si>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</si>
  <si>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</si>
  <si>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</si>
  <si>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</si>
  <si>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</si>
  <si>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</si>
  <si>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</si>
  <si>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</si>
  <si>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</si>
  <si>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</si>
  <si>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</si>
  <si>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</si>
  <si>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</si>
  <si>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</si>
  <si>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</si>
  <si>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</si>
  <si>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</si>
  <si>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</si>
  <si>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</si>
  <si>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</si>
  <si>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</si>
  <si>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</si>
  <si>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</si>
  <si>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</si>
  <si>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</si>
  <si>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</si>
  <si>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</si>
  <si>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</si>
  <si>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</si>
  <si>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</si>
  <si>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</si>
  <si>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</si>
  <si>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</si>
  <si>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</si>
  <si>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</si>
  <si>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</si>
  <si>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</si>
  <si>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</si>
  <si>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</si>
  <si>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</si>
  <si>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</si>
  <si>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</si>
  <si>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</si>
  <si>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</si>
  <si>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</si>
  <si>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</si>
  <si>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</si>
  <si>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</si>
  <si>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</si>
  <si>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</si>
  <si>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</si>
  <si>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</si>
  <si>
    <t>DCA2 2/5</t>
  </si>
  <si>
    <t>DCA1&amp;2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</si>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</sst>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48608768"/>
        <c:axId val="48610688"/>
      </c:lineChart>
      <c:dateAx>
        <c:axId val="48608768"/>
        <c:scaling>
          <c:orientation val="minMax"/>
        </c:scaling>
        <c:axPos val="b"/>
        <c:numFmt formatCode="dd/mm/yy;@" sourceLinked="1"/>
        <c:majorTickMark val="none"/>
        <c:tickLblPos val="nextTo"/>
        <c:crossAx val="48610688"/>
        <c:crosses val="autoZero"/>
        <c:lblOffset val="100"/>
      </c:dateAx>
      <c:valAx>
        <c:axId val="4861068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8608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4" workbookViewId="0">
      <selection activeCell="C11" sqref="C1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1994.388413035042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1063.9896050987143</v>
      </c>
      <c r="K4" s="4">
        <f>(J4/D42-1)</f>
        <v>-0.26835296014583554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2725.8887201027605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6.2391800000000004E-3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6.2391800000000004E-3</v>
      </c>
      <c r="C12" s="40">
        <v>0</v>
      </c>
      <c r="D12" s="26">
        <f t="shared" si="0"/>
        <v>0</v>
      </c>
      <c r="E12" s="38">
        <f>(B12*J3)</f>
        <v>12.443348298839975</v>
      </c>
      <c r="I12" t="s">
        <v>13</v>
      </c>
      <c r="J12">
        <f>(J11-B42)</f>
        <v>6.6508330000000004E-2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132.64344272231088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0.53349167000000008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1" spans="2:16">
      <c r="F41" t="s">
        <v>9</v>
      </c>
      <c r="G41" s="39">
        <f>D42/B42</f>
        <v>2725.8887201027605</v>
      </c>
    </row>
    <row r="42" spans="2:16">
      <c r="B42">
        <f>(SUM(B5:B41))</f>
        <v>0.53349166999999997</v>
      </c>
      <c r="D42" s="23">
        <f>(SUM(D5:D41))</f>
        <v>1454.2389255217843</v>
      </c>
    </row>
  </sheetData>
  <conditionalFormatting sqref="C5:C7 C11 C18:C25 C27 C29 C31 C33 C35:C37 C40 N6 O11:O13 O19:O21 O26:O29 O34:O37 S5:S7 S10:S15 S18:S20 S23">
    <cfRule type="cellIs" dxfId="259" priority="37" operator="lessThan">
      <formula>$J$3</formula>
    </cfRule>
    <cfRule type="cellIs" dxfId="258" priority="38" operator="greaterThan">
      <formula>$J$3</formula>
    </cfRule>
  </conditionalFormatting>
  <conditionalFormatting sqref="G41">
    <cfRule type="cellIs" dxfId="257" priority="21" operator="lessThan">
      <formula>$J$3</formula>
    </cfRule>
    <cfRule type="cellIs" dxfId="256" priority="22" operator="greaterThan">
      <formula>$J$3</formula>
    </cfRule>
  </conditionalFormatting>
  <conditionalFormatting sqref="O3">
    <cfRule type="cellIs" dxfId="255" priority="9" operator="greaterThan">
      <formula>$J$3</formula>
    </cfRule>
    <cfRule type="cellIs" dxfId="254" priority="10" operator="less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1.5917177192688801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19.421822142419767</v>
      </c>
      <c r="K4" s="4">
        <f>(J4/D14-1)</f>
        <v>-0.47381192142872364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0.57043093</v>
      </c>
      <c r="S5" s="40">
        <v>0</v>
      </c>
      <c r="T5" s="26">
        <f>(D6)</f>
        <v>0</v>
      </c>
      <c r="U5" s="38">
        <f>(R5*J3)</f>
        <v>0.90796501890002612</v>
      </c>
    </row>
    <row r="6" spans="2:21">
      <c r="B6" s="36">
        <v>0.57043093</v>
      </c>
      <c r="C6" s="40">
        <v>0</v>
      </c>
      <c r="D6" s="26">
        <f>(B6*C6)</f>
        <v>0</v>
      </c>
      <c r="E6" s="38">
        <f>(B6*J3)</f>
        <v>0.90796501890002612</v>
      </c>
      <c r="M6" t="s">
        <v>11</v>
      </c>
      <c r="N6" s="29">
        <f>(SUM(R5:R7)/5)</f>
        <v>2.4403601099999999</v>
      </c>
      <c r="O6" s="38">
        <f>($C$5*Params!K8)</f>
        <v>4.170187259859512</v>
      </c>
      <c r="P6" s="38">
        <f>(O6*N6)</f>
        <v>10.176758640191357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2.4403601099999999</v>
      </c>
      <c r="O7" s="38">
        <f>($C$5*Params!K9)</f>
        <v>5.1325381659809377</v>
      </c>
      <c r="P7" s="38">
        <f>(O7*N7)</f>
        <v>12.525241403312439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0.29454222599742141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2.4403601099999999</v>
      </c>
      <c r="O8" s="38">
        <f>($C$5*Params!K10)</f>
        <v>7.0572399782237891</v>
      </c>
      <c r="P8" s="38">
        <f>(O8*N8)</f>
        <v>17.222206929554602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2.4403601099999999</v>
      </c>
      <c r="O9" s="38">
        <f>($C$5*Params!K11)</f>
        <v>12.831345414952343</v>
      </c>
      <c r="P9" s="38">
        <f>(O9*N9)</f>
        <v>31.313103508281095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71.237310481339492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3.0249976844605939</v>
      </c>
    </row>
    <row r="14" spans="2:21">
      <c r="B14" s="29">
        <f>(SUM(B5:B13))</f>
        <v>12.201800550000002</v>
      </c>
      <c r="D14" s="38">
        <f>(SUM(D5:D13))</f>
        <v>36.910418410000005</v>
      </c>
      <c r="R14" s="29">
        <f>(SUM(R5:R13))</f>
        <v>12.20180055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9.0220882999041763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11.026115242697127</v>
      </c>
      <c r="K4" s="4">
        <f>(J4/D14-1)</f>
        <v>8.7937093044032633E-3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0.79336698828655472</v>
      </c>
      <c r="M6" t="s">
        <v>11</v>
      </c>
      <c r="N6" s="1">
        <f>(SUM($B$5:$B$7)/5)</f>
        <v>0.24442490200000005</v>
      </c>
      <c r="O6" s="38">
        <f>($C$5*Params!K8)</f>
        <v>12.800900900900901</v>
      </c>
      <c r="P6" s="38">
        <f>(O6*N6)</f>
        <v>3.1288589482144151</v>
      </c>
    </row>
    <row r="7" spans="2:16">
      <c r="B7" s="36">
        <v>2.4188439999999999E-2</v>
      </c>
      <c r="C7" s="40">
        <v>0</v>
      </c>
      <c r="D7" s="26">
        <f>(C7*B7)</f>
        <v>0</v>
      </c>
      <c r="E7" s="38">
        <f>(B7*J4)</f>
        <v>0.26670452698106489</v>
      </c>
      <c r="N7" s="1">
        <f>(SUM($B$5:$B$7)/5)</f>
        <v>0.24442490200000005</v>
      </c>
      <c r="O7" s="38">
        <f>($C$5*Params!K9)</f>
        <v>15.754954954954954</v>
      </c>
      <c r="P7" s="38">
        <f>(O7*N7)</f>
        <v>3.8509033208792798</v>
      </c>
    </row>
    <row r="8" spans="2:16">
      <c r="N8" s="1">
        <f>(SUM($B$5:$B$7)/5)</f>
        <v>0.24442490200000005</v>
      </c>
      <c r="O8" s="38">
        <f>($C$5*Params!K10)</f>
        <v>21.663063063063063</v>
      </c>
      <c r="P8" s="38">
        <f>(O8*N8)</f>
        <v>5.2949920662090104</v>
      </c>
    </row>
    <row r="9" spans="2:16">
      <c r="N9" s="1">
        <f>(SUM($B$5:$B$7)/5)</f>
        <v>0.24442490200000005</v>
      </c>
      <c r="O9" s="38">
        <f>($C$5*Params!K11)</f>
        <v>39.387387387387385</v>
      </c>
      <c r="P9" s="38">
        <f>(O9*N9)</f>
        <v>9.6272583021982001</v>
      </c>
    </row>
    <row r="12" spans="2:16">
      <c r="P12" s="38">
        <f>(SUM(P6:P9))</f>
        <v>21.902012637500906</v>
      </c>
    </row>
    <row r="13" spans="2:16">
      <c r="F13" t="s">
        <v>9</v>
      </c>
      <c r="G13" s="38">
        <f>(D14/B14)</f>
        <v>8.9434422684150228</v>
      </c>
    </row>
    <row r="14" spans="2:16">
      <c r="B14" s="19">
        <f>(SUM(B5:B13))</f>
        <v>1.2221245100000002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1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19.927871851854789</v>
      </c>
      <c r="M3" t="s">
        <v>4</v>
      </c>
      <c r="N3" s="24">
        <f>(INDEX(N5:N19,MATCH(MAX(O16,O6),O5:O19,0))/0.9)</f>
        <v>0.55192021111111123</v>
      </c>
      <c r="O3" s="39">
        <f>(MAX(O16,O6)*0.85)</f>
        <v>16.723683895070991</v>
      </c>
      <c r="P3" s="35">
        <f>(O3*N3)</f>
        <v>9.2301391459230722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(B15*J3)</f>
        <v>50.860758286397996</v>
      </c>
      <c r="K4" s="4">
        <f>(J4/D15-1)</f>
        <v>0.52542251158927877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1.523913E-2</v>
      </c>
      <c r="S5" s="40">
        <v>0</v>
      </c>
      <c r="T5" s="26">
        <f>(D6)</f>
        <v>0</v>
      </c>
      <c r="U5" s="38">
        <f>(R5*J3)</f>
        <v>0.3036834297737559</v>
      </c>
    </row>
    <row r="6" spans="2:22">
      <c r="B6" s="25">
        <v>1.523913E-2</v>
      </c>
      <c r="C6" s="40">
        <v>0</v>
      </c>
      <c r="D6" s="26">
        <f>(B6*C6)</f>
        <v>0</v>
      </c>
      <c r="E6" s="38">
        <f>(B6*J3)</f>
        <v>0.3036834297737559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Q6" t="s">
        <v>12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 t="shared" ref="C7:C13" si="0"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0.84726696142910185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68.411619552135718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</row>
    <row r="14" spans="2:22">
      <c r="F14" t="s">
        <v>9</v>
      </c>
      <c r="G14" s="38">
        <f>(D15/B15)</f>
        <v>13.063837527278071</v>
      </c>
    </row>
    <row r="15" spans="2:22">
      <c r="B15" s="24">
        <f>(SUM(B5:B14))</f>
        <v>2.5522423399999998</v>
      </c>
      <c r="D15" s="38">
        <f>(SUM(D5:D14))</f>
        <v>33.342079259999998</v>
      </c>
      <c r="M15" t="s">
        <v>81</v>
      </c>
      <c r="N15" t="s">
        <v>29</v>
      </c>
      <c r="O15" t="s">
        <v>1</v>
      </c>
      <c r="P15" t="s">
        <v>2</v>
      </c>
      <c r="R15" s="24">
        <f>(SUM(R5:R14))</f>
        <v>3.1864423400000002</v>
      </c>
      <c r="T15" s="38">
        <f>(SUM(T5:T14))</f>
        <v>46.736345110000002</v>
      </c>
    </row>
    <row r="16" spans="2:22">
      <c r="M16" t="s">
        <v>11</v>
      </c>
      <c r="N16" s="24">
        <f>-B12</f>
        <v>0.13750000000000001</v>
      </c>
      <c r="O16" s="38">
        <f>18.6</f>
        <v>18.600000000000001</v>
      </c>
      <c r="P16" s="38">
        <f>-D12</f>
        <v>2.5491881799999998</v>
      </c>
      <c r="Q16" t="s">
        <v>12</v>
      </c>
    </row>
    <row r="17" spans="14:16">
      <c r="N17" s="24">
        <f>($B$10)/5</f>
        <v>0.13751245200000001</v>
      </c>
      <c r="O17" s="38">
        <f>($C$10*Params!K9)</f>
        <v>22.898289967224205</v>
      </c>
      <c r="P17" s="38">
        <f>(O17*N17)</f>
        <v>3.1488</v>
      </c>
    </row>
    <row r="18" spans="14:16">
      <c r="N18" s="24">
        <f>($B$10)/5</f>
        <v>0.13751245200000001</v>
      </c>
      <c r="O18" s="38">
        <f>($C$10*Params!K10)</f>
        <v>31.485148704933284</v>
      </c>
      <c r="P18" s="38">
        <f>(O18*N18)</f>
        <v>4.329600000000001</v>
      </c>
    </row>
    <row r="19" spans="14:16">
      <c r="N19" s="24">
        <f>($B$10)/5</f>
        <v>0.13751245200000001</v>
      </c>
      <c r="O19" s="38">
        <f>($C$10*Params!K11)</f>
        <v>57.24572491806051</v>
      </c>
      <c r="P19" s="38">
        <f>(O19*N19)</f>
        <v>7.8719999999999999</v>
      </c>
    </row>
    <row r="21" spans="14:16">
      <c r="P21" s="38">
        <f>(SUM(P16:P19))</f>
        <v>17.899588180000002</v>
      </c>
    </row>
  </sheetData>
  <conditionalFormatting sqref="C5 C9:C11 G14 O7:O9 O17:O19 S6">
    <cfRule type="cellIs" dxfId="177" priority="19" operator="lessThan">
      <formula>$J$3</formula>
    </cfRule>
    <cfRule type="cellIs" dxfId="176" priority="20" operator="greaterThan">
      <formula>$J$3</formula>
    </cfRule>
  </conditionalFormatting>
  <conditionalFormatting sqref="S8"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3">
    <cfRule type="cellIs" dxfId="173" priority="1" operator="greaterThan">
      <formula>$J$3</formula>
    </cfRule>
    <cfRule type="cellIs" dxfId="1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2.3714068574943918E-3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2.2653723373232046</v>
      </c>
      <c r="K4" s="4">
        <f>(J4/D13-1)</f>
        <v>-0.20012586243394903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26" sqref="I26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224.15735196310209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153.54176746982472</v>
      </c>
      <c r="K4" s="4">
        <f>(J4/D17-1)</f>
        <v>-0.20093494054150018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5.2676977711328989E-2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2.4239299999999999E-3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2.1290465289455437E-2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2.0939499999999998E-3</v>
      </c>
      <c r="C10" s="40">
        <v>0</v>
      </c>
      <c r="D10" s="26">
        <v>0</v>
      </c>
      <c r="E10" s="38">
        <f>(B10*J3)</f>
        <v>0.46937428714313756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0.68497315000000003</v>
      </c>
      <c r="D17" s="38">
        <f>(SUM(D5:D16))</f>
        <v>192.15177244</v>
      </c>
      <c r="F17" t="s">
        <v>9</v>
      </c>
      <c r="G17" s="38">
        <f>(SUM(D5:D16)/SUM(B5:B16))</f>
        <v>280.52453215136973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9.48334E-4</v>
      </c>
      <c r="O22" s="38">
        <f>($S$5*Params!K8)</f>
        <v>323.96134165178148</v>
      </c>
      <c r="P22" s="38">
        <f>(O22*N22)</f>
        <v>0.30722355497400056</v>
      </c>
    </row>
    <row r="23" spans="2:16">
      <c r="N23" s="24">
        <f>(($R$5+$R$7)/5)</f>
        <v>9.48334E-4</v>
      </c>
      <c r="O23" s="38">
        <f>($S$5*Params!K9)</f>
        <v>398.72165126373102</v>
      </c>
      <c r="P23" s="38">
        <f>(O23*N23)</f>
        <v>0.37812129842953912</v>
      </c>
    </row>
    <row r="24" spans="2:16">
      <c r="N24" s="24">
        <f>(($R$5+$R$7)/5)</f>
        <v>9.48334E-4</v>
      </c>
      <c r="O24" s="38">
        <f>($S$5*Params!K10)</f>
        <v>548.24227048763021</v>
      </c>
      <c r="P24" s="38">
        <f>(O24*N24)</f>
        <v>0.51991678534061636</v>
      </c>
    </row>
    <row r="25" spans="2:16">
      <c r="N25" s="24">
        <f>(($R$5+$R$7)/5)</f>
        <v>9.48334E-4</v>
      </c>
      <c r="O25" s="38">
        <f>($S$5*Params!K11)</f>
        <v>996.80412815932755</v>
      </c>
      <c r="P25" s="38">
        <f>(O25*N25)</f>
        <v>0.94530324607384775</v>
      </c>
    </row>
    <row r="26" spans="2:16">
      <c r="P26" s="38"/>
    </row>
    <row r="27" spans="2:16">
      <c r="P27" s="38">
        <f>(SUM(P22:P25))</f>
        <v>2.1505648848180039</v>
      </c>
    </row>
    <row r="37" spans="18:20">
      <c r="R37" s="51">
        <f>(SUM(R5:R27))</f>
        <v>0.68497315000000003</v>
      </c>
      <c r="T37" s="38">
        <f>(SUM(T5:T27))</f>
        <v>192.15177244</v>
      </c>
    </row>
  </sheetData>
  <conditionalFormatting sqref="C5:C6 C9 C11:C14 O6:O9 O14 S5:S6 S8:S9">
    <cfRule type="cellIs" dxfId="153" priority="11" operator="lessThan">
      <formula>$J$3</formula>
    </cfRule>
    <cfRule type="cellIs" dxfId="152" priority="12" operator="greaterThan">
      <formula>$J$3</formula>
    </cfRule>
  </conditionalFormatting>
  <conditionalFormatting sqref="O15:O17">
    <cfRule type="cellIs" dxfId="151" priority="7" operator="lessThan">
      <formula>$J$3</formula>
    </cfRule>
    <cfRule type="cellIs" dxfId="150" priority="8" operator="greaterThan">
      <formula>$J$3</formula>
    </cfRule>
  </conditionalFormatting>
  <conditionalFormatting sqref="O22:O25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G17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7.7165838753783203E-2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4.7370556737112093</v>
      </c>
      <c r="K4" s="4">
        <f>(J4/D13-1)</f>
        <v>-5.2588865257758188E-2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0.26887077999999998</v>
      </c>
      <c r="C6" s="40">
        <v>0</v>
      </c>
      <c r="D6" s="26">
        <f>(B6*C6)</f>
        <v>0</v>
      </c>
      <c r="E6" s="38">
        <f>(B6*J3)</f>
        <v>2.0747639255083918E-2</v>
      </c>
      <c r="M6" t="s">
        <v>11</v>
      </c>
      <c r="N6" s="29">
        <f>($B$13/5)</f>
        <v>12.277597834</v>
      </c>
      <c r="O6" s="38">
        <f>($C$5*Params!K8)</f>
        <v>0.10634970155367125</v>
      </c>
      <c r="P6" s="38">
        <f>(O6*N6)</f>
        <v>1.3057188654419005</v>
      </c>
    </row>
    <row r="7" spans="2:16">
      <c r="N7" s="29">
        <f>($B$13/5)</f>
        <v>12.277597834</v>
      </c>
      <c r="O7" s="38">
        <f>($C$5*Params!K9)</f>
        <v>0.13089194037374924</v>
      </c>
      <c r="P7" s="38">
        <f>(O7*N7)</f>
        <v>1.6070386036208009</v>
      </c>
    </row>
    <row r="8" spans="2:16">
      <c r="N8" s="29">
        <f>($B$13/5)</f>
        <v>12.277597834</v>
      </c>
      <c r="O8" s="38">
        <f>($C$5*Params!K10)</f>
        <v>0.17997641801390521</v>
      </c>
      <c r="P8" s="38">
        <f>(O8*N8)</f>
        <v>2.2096780799786013</v>
      </c>
    </row>
    <row r="9" spans="2:16">
      <c r="N9" s="29">
        <f>($B$13/5)</f>
        <v>12.277597834</v>
      </c>
      <c r="O9" s="38">
        <f>($C$5*Params!K11)</f>
        <v>0.32722985093437307</v>
      </c>
      <c r="P9" s="38">
        <f>(O9*N9)</f>
        <v>4.0175965090520016</v>
      </c>
    </row>
    <row r="11" spans="2:16">
      <c r="P11" s="38">
        <f>(SUM(P6:P9))</f>
        <v>9.1400320580933041</v>
      </c>
    </row>
    <row r="12" spans="2:16">
      <c r="F12" t="s">
        <v>9</v>
      </c>
      <c r="G12" s="38">
        <f>(D13/B13)</f>
        <v>8.1449157524180235E-2</v>
      </c>
    </row>
    <row r="13" spans="2:16">
      <c r="B13" s="29">
        <f>(SUM(B5:B12))</f>
        <v>61.387989169999997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5.0540111574316366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34.686847667314261</v>
      </c>
      <c r="K4" s="4">
        <f>(J4/D14-1)</f>
        <v>-7.2403885074278307E-2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6.8323819999999993E-2</v>
      </c>
      <c r="S5" s="40">
        <v>0</v>
      </c>
      <c r="T5" s="26">
        <f>(D6)</f>
        <v>0</v>
      </c>
      <c r="U5">
        <f>(R5*J3)</f>
        <v>0.34530934859835077</v>
      </c>
    </row>
    <row r="6" spans="2:21">
      <c r="B6" s="25">
        <v>6.8323819999999993E-2</v>
      </c>
      <c r="C6" s="40">
        <v>0</v>
      </c>
      <c r="D6" s="26">
        <f>(B6*C6)</f>
        <v>0</v>
      </c>
      <c r="E6" s="38">
        <f>(B6*J3)</f>
        <v>0.34530934859835077</v>
      </c>
      <c r="M6" t="s">
        <v>11</v>
      </c>
      <c r="N6" s="24">
        <f>($B$14/5)</f>
        <v>1.3726462640000001</v>
      </c>
      <c r="O6" s="38">
        <f>($S$6*Params!K8)</f>
        <v>7.1908593398211149</v>
      </c>
      <c r="P6" s="38">
        <f>(O6*N6)</f>
        <v>9.8705062077549606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1.3726462640000001</v>
      </c>
      <c r="O7" s="38">
        <f>($S$6*Params!K9)</f>
        <v>8.850288418241373</v>
      </c>
      <c r="P7" s="38">
        <f>(O7*N7)</f>
        <v>12.148315332621491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1.3726462640000001</v>
      </c>
      <c r="O8" s="38">
        <f>($C$5*Params!K10)</f>
        <v>12.169146575081887</v>
      </c>
      <c r="P8" s="38">
        <f>(O8*N8)</f>
        <v>16.703933582354551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1.3726462640000001</v>
      </c>
      <c r="O9" s="38">
        <f>($C$5*Params!K11)</f>
        <v>22.125721045603431</v>
      </c>
      <c r="P9" s="38">
        <f>(O9*N9)</f>
        <v>30.370788331553726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69.093543454284728</v>
      </c>
    </row>
    <row r="13" spans="2:21">
      <c r="F13" t="s">
        <v>9</v>
      </c>
      <c r="G13" s="38">
        <f>(D14/B14)</f>
        <v>5.4485040160354083</v>
      </c>
      <c r="N13" s="24"/>
      <c r="P13" s="38"/>
      <c r="R13" s="24">
        <f>(SUM(R5:R12))</f>
        <v>6.8632313199999997</v>
      </c>
      <c r="T13" s="38">
        <f>(SUM(T5:T12))</f>
        <v>37.394343410000005</v>
      </c>
    </row>
    <row r="14" spans="2:21">
      <c r="B14">
        <f>(SUM(B5:B13))</f>
        <v>6.8632313200000006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43.313594417650712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5.3612237442819435</v>
      </c>
      <c r="K4" s="4">
        <f>(J4/D13-1)</f>
        <v>3.100456620806602E-2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2.9292599999999999E-3</v>
      </c>
      <c r="C6" s="40">
        <v>0</v>
      </c>
      <c r="D6" s="26">
        <f>(B6*C6)</f>
        <v>0</v>
      </c>
      <c r="E6" s="38">
        <f>(B6*J3)</f>
        <v>0.12687677958384752</v>
      </c>
      <c r="M6" t="s">
        <v>11</v>
      </c>
      <c r="N6" s="24">
        <f>($B$13/5)</f>
        <v>2.4755386000000001E-2</v>
      </c>
      <c r="O6" s="38">
        <f>($C$5*Params!K8)</f>
        <v>55.939</v>
      </c>
      <c r="P6" s="38">
        <f>(O6*N6)</f>
        <v>1.3847915374540001</v>
      </c>
    </row>
    <row r="7" spans="2:16">
      <c r="N7" s="24">
        <f>($B$13/5)</f>
        <v>2.4755386000000001E-2</v>
      </c>
      <c r="O7" s="38">
        <f>($C$5*Params!K9)</f>
        <v>68.847999999999999</v>
      </c>
      <c r="P7" s="38">
        <f>(O7*N7)</f>
        <v>1.704358815328</v>
      </c>
    </row>
    <row r="8" spans="2:16">
      <c r="N8" s="24">
        <f>($B$13/5)</f>
        <v>2.4755386000000001E-2</v>
      </c>
      <c r="O8" s="38">
        <f>($C$5*Params!K10)</f>
        <v>94.666000000000011</v>
      </c>
      <c r="P8" s="38">
        <f>(O8*N8)</f>
        <v>2.3434933710760002</v>
      </c>
    </row>
    <row r="9" spans="2:16">
      <c r="N9" s="24">
        <f>($B$13/5)</f>
        <v>2.4755386000000001E-2</v>
      </c>
      <c r="O9" s="38">
        <f>($C$5*Params!K11)</f>
        <v>172.12</v>
      </c>
      <c r="P9" s="38">
        <f>(O9*N9)</f>
        <v>4.2608970383200004</v>
      </c>
    </row>
    <row r="11" spans="2:16">
      <c r="P11" s="38">
        <f>(SUM(P6:P9))</f>
        <v>9.6935407621779994</v>
      </c>
    </row>
    <row r="12" spans="2:16">
      <c r="F12" t="s">
        <v>9</v>
      </c>
      <c r="G12" s="38">
        <f>(D13/B13)</f>
        <v>42.011059734637143</v>
      </c>
    </row>
    <row r="13" spans="2:16">
      <c r="B13">
        <f>(SUM(B5:B12))</f>
        <v>0.12377693000000001</v>
      </c>
      <c r="D13" s="38">
        <f>(SUM(D5:D12))</f>
        <v>5.2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2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4.3709398678551574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9.6701354049681392</v>
      </c>
      <c r="K4" s="4">
        <f>(J4/D10-1)</f>
        <v>-5.1947509316848994E-2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2.18776E-3</v>
      </c>
      <c r="C6" s="40">
        <v>0</v>
      </c>
      <c r="D6" s="26">
        <f>(B6*C6)</f>
        <v>0</v>
      </c>
      <c r="E6" s="38">
        <f>(B6*J3)</f>
        <v>9.562567405298799E-3</v>
      </c>
      <c r="M6" t="s">
        <v>11</v>
      </c>
      <c r="N6" s="24">
        <f>($B$10/5)</f>
        <v>0.44247396199999994</v>
      </c>
      <c r="O6" s="38">
        <f>($C$5*Params!K8)</f>
        <v>5.9995057873173847</v>
      </c>
      <c r="P6" s="38">
        <f>(O6*N6)</f>
        <v>2.6546250957562521</v>
      </c>
    </row>
    <row r="7" spans="2:16">
      <c r="N7" s="24">
        <f>($B$10/5)</f>
        <v>0.44247396199999994</v>
      </c>
      <c r="O7" s="38">
        <f>($C$5*Params!K9)</f>
        <v>7.3840071228521653</v>
      </c>
      <c r="P7" s="38">
        <f>(O7*N7)</f>
        <v>3.2672308870846178</v>
      </c>
    </row>
    <row r="8" spans="2:16">
      <c r="N8" s="24">
        <f>($B$10/5)</f>
        <v>0.44247396199999994</v>
      </c>
      <c r="O8" s="38">
        <f>($C$5*Params!K10)</f>
        <v>10.153009793921727</v>
      </c>
      <c r="P8" s="38">
        <f>(O8*N8)</f>
        <v>4.4924424697413494</v>
      </c>
    </row>
    <row r="9" spans="2:16">
      <c r="F9" t="s">
        <v>9</v>
      </c>
      <c r="G9" s="38">
        <f>(D10/B10)</f>
        <v>4.6104407834059176</v>
      </c>
      <c r="N9" s="24">
        <f>($B$10/5)</f>
        <v>0.44247396199999994</v>
      </c>
      <c r="O9" s="38">
        <f>($C$5*Params!K11)</f>
        <v>18.460017807130413</v>
      </c>
      <c r="P9" s="38">
        <f>(O9*N9)</f>
        <v>8.168077217711545</v>
      </c>
    </row>
    <row r="10" spans="2:16">
      <c r="B10">
        <f>(SUM(B5:B9))</f>
        <v>2.2123698099999998</v>
      </c>
      <c r="D10" s="38">
        <f>(SUM(D5:D9))</f>
        <v>10.199999999999999</v>
      </c>
    </row>
    <row r="11" spans="2:16">
      <c r="P11" s="38">
        <f>(SUM(P6:P9))</f>
        <v>18.582375670293764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2.3127872382489691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12.19470522192632</v>
      </c>
      <c r="K4" s="4">
        <f>(J4/D10-1)</f>
        <v>7.2533440802666771E-2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1.717983E-2</v>
      </c>
      <c r="C6" s="40">
        <v>0</v>
      </c>
      <c r="D6" s="26">
        <f>(B6*C6)</f>
        <v>0</v>
      </c>
      <c r="E6" s="38">
        <f>(B6*J3)</f>
        <v>3.9733291579286789E-2</v>
      </c>
      <c r="M6" t="s">
        <v>11</v>
      </c>
      <c r="N6" s="1">
        <f>($B$10/5)</f>
        <v>1.0545462219999999</v>
      </c>
      <c r="O6" s="38">
        <f>($C$5*Params!K8)</f>
        <v>2.8124547193077718</v>
      </c>
      <c r="P6" s="38">
        <f>(O6*N6)</f>
        <v>2.9658634987920811</v>
      </c>
    </row>
    <row r="7" spans="2:16">
      <c r="N7" s="1">
        <f>($B$10/5)</f>
        <v>1.0545462219999999</v>
      </c>
      <c r="O7" s="38">
        <f>($C$5*Params!K9)</f>
        <v>3.4614827314557193</v>
      </c>
      <c r="P7" s="38">
        <f>(O7*N7)</f>
        <v>3.650293536974869</v>
      </c>
    </row>
    <row r="8" spans="2:16">
      <c r="N8" s="1">
        <f>($B$10/5)</f>
        <v>1.0545462219999999</v>
      </c>
      <c r="O8" s="38">
        <f>($C$5*Params!K10)</f>
        <v>4.7595387557516142</v>
      </c>
      <c r="P8" s="38">
        <f>(O8*N8)</f>
        <v>5.0191536133404453</v>
      </c>
    </row>
    <row r="9" spans="2:16">
      <c r="F9" t="s">
        <v>9</v>
      </c>
      <c r="G9" s="38">
        <f>(D10/B10)</f>
        <v>2.1563777410223373</v>
      </c>
      <c r="N9" s="1">
        <f>($B$10/5)</f>
        <v>1.0545462219999999</v>
      </c>
      <c r="O9" s="38">
        <f>($C$5*Params!K11)</f>
        <v>8.6537068286392973</v>
      </c>
      <c r="P9" s="38">
        <f>(O9*N9)</f>
        <v>9.125733842437171</v>
      </c>
    </row>
    <row r="10" spans="2:16">
      <c r="B10" s="1">
        <f>(SUM(B5:B9))</f>
        <v>5.2727311099999996</v>
      </c>
      <c r="D10" s="38">
        <f>(SUM(D5:D9))</f>
        <v>11.37</v>
      </c>
    </row>
    <row r="11" spans="2:16">
      <c r="P11" s="38">
        <f>(SUM(P6:P9))</f>
        <v>20.761044491544567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R19" sqref="R19:U2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36920.523969367758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1095.8620702753847</v>
      </c>
      <c r="K4" s="4">
        <f>(J4/D37-1)</f>
        <v>0.54785321495578954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3.4728999999999999E-4</v>
      </c>
      <c r="C6" s="40">
        <v>0</v>
      </c>
      <c r="D6" s="26">
        <f>(B6*C6)</f>
        <v>0</v>
      </c>
      <c r="E6" s="38">
        <f>(B6*J3)</f>
        <v>12.822128769321727</v>
      </c>
      <c r="I6" t="s">
        <v>11</v>
      </c>
      <c r="J6">
        <v>0.03</v>
      </c>
      <c r="R6" s="24">
        <f t="shared" si="0"/>
        <v>3.4728999999999999E-4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3.1834999999999156E-4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11.753648805647915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23852.729453045904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2.895238E-2</v>
      </c>
      <c r="T36" s="38">
        <f>(SUM(T5:T25))</f>
        <v>523.90980017000004</v>
      </c>
    </row>
    <row r="37" spans="2:20">
      <c r="B37">
        <f>(SUM(B5:B36))</f>
        <v>2.9681650000000007E-2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1" sqref="M1:P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13.96289340860362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7.3866061671631176</v>
      </c>
      <c r="K4" s="4">
        <f>(J4/D11-1)</f>
        <v>-12.884091140189653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2.2513400000000001E-3</v>
      </c>
      <c r="C6" s="40">
        <v>0</v>
      </c>
      <c r="D6" s="26">
        <f>(B6*C6)</f>
        <v>0</v>
      </c>
      <c r="E6" s="38">
        <f>(B6*J3)</f>
        <v>3.1435220446525677E-2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2.2513400000000001E-3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0.26354728399999994</v>
      </c>
      <c r="O9" s="38">
        <f>($C$5*Params!K11)</f>
        <v>27.606963934612367</v>
      </c>
      <c r="P9" s="38">
        <f>(O9*N9)</f>
        <v>7.275740364453041</v>
      </c>
      <c r="R9" s="1">
        <f>B9</f>
        <v>-0.2616</v>
      </c>
      <c r="S9" s="38">
        <f>(T9/R9)</f>
        <v>15.329814220183486</v>
      </c>
      <c r="T9" s="38">
        <f>D9</f>
        <v>-4.0102793999999999</v>
      </c>
      <c r="U9" s="39"/>
    </row>
    <row r="10" spans="2:21">
      <c r="C10" s="38"/>
      <c r="D10" s="38"/>
      <c r="F10" t="s">
        <v>9</v>
      </c>
      <c r="G10" s="38">
        <f>(D11/B11)</f>
        <v>-1.1749231172911379</v>
      </c>
      <c r="O10" s="38"/>
      <c r="P10" s="38"/>
      <c r="R10" s="1"/>
      <c r="S10" s="38"/>
      <c r="T10" s="38"/>
      <c r="U10" s="39"/>
    </row>
    <row r="11" spans="2:21">
      <c r="B11">
        <f>(SUM(B5:B10))</f>
        <v>0.52901686999999997</v>
      </c>
      <c r="C11" s="38"/>
      <c r="D11" s="38">
        <f>(SUM(D5:D10))</f>
        <v>-0.62155415000000058</v>
      </c>
      <c r="O11" s="38"/>
      <c r="P11" s="38">
        <f>(SUM(P6:P9))</f>
        <v>16.9274200490702</v>
      </c>
      <c r="R11" s="1"/>
      <c r="S11" s="38"/>
      <c r="T11" s="39"/>
    </row>
    <row r="22" spans="18:20">
      <c r="R22">
        <f>(SUM(R5:R21))</f>
        <v>0.52901686999999997</v>
      </c>
      <c r="T22" s="38">
        <f>(SUM(T5:T21))</f>
        <v>-0.62155415000000058</v>
      </c>
    </row>
  </sheetData>
  <conditionalFormatting sqref="C5 G10 O9 S5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3" operator="greaterThan">
      <formula>$J$3</formula>
    </cfRule>
    <cfRule type="cellIs" dxfId="11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68.352328119220502</v>
      </c>
      <c r="M3" t="s">
        <v>4</v>
      </c>
      <c r="N3" s="24">
        <f>(INDEX(N5:N15,MATCH(MAX(O6),O5:O15,0))/0.9)</f>
        <v>3.6446246666666675E-2</v>
      </c>
      <c r="O3" s="39">
        <f>(MAX(O6)*0.85)</f>
        <v>76.033733733733726</v>
      </c>
      <c r="P3" s="35">
        <f>(O3*N3)</f>
        <v>2.7711442146473142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11.210336148933211</v>
      </c>
      <c r="K4" s="4">
        <f>(J4/D15-1)</f>
        <v>0.12792770188286617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1.0505200000000001E-3</v>
      </c>
      <c r="C6" s="40">
        <v>0</v>
      </c>
      <c r="D6" s="26">
        <f>(B6*C6)</f>
        <v>0</v>
      </c>
      <c r="E6" s="38">
        <f>(B6*J3)</f>
        <v>7.180548773580353E-2</v>
      </c>
      <c r="M6" t="s">
        <v>11</v>
      </c>
      <c r="N6" s="51">
        <f>(SUM(R$5:R$8)/5)</f>
        <v>3.2801622000000009E-2</v>
      </c>
      <c r="O6" s="38">
        <f>($C$7*Params!K8)</f>
        <v>89.451451451451447</v>
      </c>
      <c r="P6" s="38">
        <f>(O6*N6)</f>
        <v>2.9341526978618626</v>
      </c>
      <c r="R6" s="2">
        <f>(B6)</f>
        <v>1.0505200000000001E-3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3.2801622000000009E-2</v>
      </c>
      <c r="O7" s="38">
        <f>($C$7*Params!K9)</f>
        <v>110.09409409409409</v>
      </c>
      <c r="P7" s="38">
        <f>(O7*N7)</f>
        <v>3.6112648589069076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3.2801622000000009E-2</v>
      </c>
      <c r="O8" s="38">
        <f>($C$7*Params!K10)</f>
        <v>151.37937937937937</v>
      </c>
      <c r="P8" s="38">
        <f>(O8*N8)</f>
        <v>4.9654891809969985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1.2458422777530895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3.2801622000000009E-2</v>
      </c>
      <c r="O9" s="38">
        <f>($C$7*Params!K11)</f>
        <v>275.23523523523522</v>
      </c>
      <c r="P9" s="38">
        <f>(O9*N9)</f>
        <v>9.0281621472672686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20.539068885033039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60.599919662509365</v>
      </c>
    </row>
    <row r="15" spans="2:21">
      <c r="B15" s="1">
        <f>(SUM(B5:B14))</f>
        <v>0.16400811000000001</v>
      </c>
      <c r="D15" s="38">
        <f>(SUM(D5:D14))</f>
        <v>9.9388782899999999</v>
      </c>
    </row>
    <row r="21" spans="18:20">
      <c r="R21">
        <f>(SUM(R5:R20))</f>
        <v>0.16400811000000004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0.71891025584684398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2.5369943358514933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5.4943480000000003E-2</v>
      </c>
      <c r="C6" s="40">
        <v>0</v>
      </c>
      <c r="D6" s="26">
        <f>(B6*C6)</f>
        <v>0</v>
      </c>
      <c r="E6" s="38">
        <f>(B6*J3)</f>
        <v>3.949943126391596E-2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8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20" spans="2:4">
      <c r="B20">
        <f>(SUM(B5:B19))</f>
        <v>3.5289444200000011</v>
      </c>
      <c r="D20" s="38">
        <f>(SUM(D5:D19))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9.6825941911283787E-5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32.914977898462475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4784.91856697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4784.91856697</v>
      </c>
      <c r="C18" s="40">
        <v>0</v>
      </c>
      <c r="D18" s="26">
        <f>(B18*C18)</f>
        <v>0</v>
      </c>
      <c r="E18" s="38">
        <f>(B18*J3)</f>
        <v>0.46330424721566049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6.0121324272774883</v>
      </c>
    </row>
    <row r="37" spans="2:20">
      <c r="B37">
        <f>(SUM(B5:B36))</f>
        <v>339939.66130090051</v>
      </c>
      <c r="D37" s="38">
        <f>(SUM(D5:D36))</f>
        <v>-21.780357561799917</v>
      </c>
      <c r="F37" t="s">
        <v>9</v>
      </c>
      <c r="G37" s="28">
        <f>(D37/B37)</f>
        <v>-6.4071245698279515E-5</v>
      </c>
      <c r="R37">
        <f>(SUM(R5:R36))</f>
        <v>339939.66130090051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O6" sqref="O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0.7318345229064418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39.800754143557263</v>
      </c>
      <c r="K4" s="4">
        <f>(J4/D18-1)</f>
        <v>-0.15972484906858286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0.31428974999999998</v>
      </c>
      <c r="C6" s="40">
        <v>0</v>
      </c>
      <c r="D6" s="26">
        <f>(B6*C6)</f>
        <v>0</v>
      </c>
      <c r="E6" s="38">
        <f>(B6*J3)</f>
        <v>0.23000808924563484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0.31428974999999998</v>
      </c>
      <c r="S6" s="40">
        <v>0</v>
      </c>
      <c r="T6" s="26">
        <f>(D6)</f>
        <v>0</v>
      </c>
      <c r="U6" s="38">
        <f>(R6*J3)</f>
        <v>0.23000808924563484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0.87094628717180012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54.384909290000003</v>
      </c>
      <c r="S17" s="38"/>
      <c r="T17" s="38">
        <f>(SUM(T5:T12))</f>
        <v>47.366334824300644</v>
      </c>
    </row>
    <row r="18" spans="2:20">
      <c r="B18" s="19">
        <f>(SUM(B5:B17))</f>
        <v>54.384909290000003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0.68183421650641429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35.990411513408837</v>
      </c>
      <c r="K4" s="4">
        <f>(J4/D10-1)</f>
        <v>-9.0921659171284808E-2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0.32165398000000001</v>
      </c>
      <c r="C6" s="40">
        <v>0</v>
      </c>
      <c r="D6" s="26">
        <f>(B6*C6)</f>
        <v>0</v>
      </c>
      <c r="E6" s="38">
        <f>(B6*J3)</f>
        <v>0.21931468943946986</v>
      </c>
      <c r="M6" t="s">
        <v>11</v>
      </c>
      <c r="N6" s="29">
        <f>($B$10/5)</f>
        <v>10.556939104</v>
      </c>
      <c r="O6" s="38">
        <f>($C$5*Params!K8)</f>
        <v>0.98505771545924514</v>
      </c>
      <c r="P6" s="38">
        <f>(O6*N6)</f>
        <v>10.399194316028609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0.14682723020718466</v>
      </c>
      <c r="N7" s="29">
        <f>($B$10/5)</f>
        <v>10.556939104</v>
      </c>
      <c r="O7" s="38">
        <f>($C$5*Params!K9)</f>
        <v>1.2123787267190709</v>
      </c>
      <c r="P7" s="38">
        <f>(O7*N7)</f>
        <v>12.799008388958288</v>
      </c>
    </row>
    <row r="8" spans="2:16">
      <c r="N8" s="29">
        <f>($B$10/5)</f>
        <v>10.556939104</v>
      </c>
      <c r="O8" s="38">
        <f>($C$5*Params!K10)</f>
        <v>1.6670207492387226</v>
      </c>
      <c r="P8" s="38">
        <f>(O8*N8)</f>
        <v>17.598636534817647</v>
      </c>
    </row>
    <row r="9" spans="2:16">
      <c r="F9" t="s">
        <v>9</v>
      </c>
      <c r="G9" s="38">
        <f>(D10/B10)</f>
        <v>0.75002800736056996</v>
      </c>
      <c r="N9" s="29">
        <f>($B$10/5)</f>
        <v>10.556939104</v>
      </c>
      <c r="O9" s="38">
        <f>($C$5*Params!K11)</f>
        <v>3.0309468167976772</v>
      </c>
      <c r="P9" s="38">
        <f>(O9*N9)</f>
        <v>31.997520972395723</v>
      </c>
    </row>
    <row r="10" spans="2:16">
      <c r="B10" s="29">
        <f>(SUM(B5:B9))</f>
        <v>52.78469552</v>
      </c>
      <c r="D10" s="38">
        <f>(SUM(D5:D9))</f>
        <v>39.590000000000003</v>
      </c>
    </row>
    <row r="11" spans="2:16">
      <c r="P11" s="38">
        <f>(SUM(P6:P9))</f>
        <v>72.79436021220026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1.7471350292300261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41.009443825605295</v>
      </c>
      <c r="K4" s="4">
        <f>(J4/D19-1)</f>
        <v>3.0412006361045796E-2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9.9017240000000006E-2</v>
      </c>
      <c r="C7" s="40">
        <v>0</v>
      </c>
      <c r="D7" s="26">
        <v>0</v>
      </c>
      <c r="E7" s="39">
        <f>B7*J3</f>
        <v>0.17299648850167651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9.9017240000000006E-2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0.37210848572133393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0.37804280878226115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1.6955693629775581</v>
      </c>
      <c r="O18" s="38"/>
      <c r="P18" s="38"/>
      <c r="S18" s="38"/>
      <c r="T18" s="38"/>
    </row>
    <row r="19" spans="2:20">
      <c r="B19" s="1">
        <f>(SUM(B5:B18))</f>
        <v>23.472395172385976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23.47239517238598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8.052877554071377E-6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3.541551102458715</v>
      </c>
      <c r="K4" s="4">
        <f>(J4/D13-1)</f>
        <v>-0.29591429374578238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255.35</v>
      </c>
      <c r="C6" s="40">
        <v>0</v>
      </c>
      <c r="D6" s="26">
        <f>(B6*C6)</f>
        <v>0</v>
      </c>
      <c r="E6" s="38">
        <f>(B6*J3)</f>
        <v>2.0563022834321262E-3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1.1437354121152687E-5</v>
      </c>
    </row>
    <row r="13" spans="2:16">
      <c r="B13">
        <f>(SUM(B5:B12))</f>
        <v>439787.02999999997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Q31" sqref="Q3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53.951918175856797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198.00496840613968</v>
      </c>
      <c r="K4" s="4">
        <f>(J4/D43-1)</f>
        <v>4.7069089892465383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0.11329902816929927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0.3323984692563926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6.0898050000000002E-2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2.8474635471017699E-2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43.54</f>
        <v>43.54</v>
      </c>
      <c r="P16" s="38">
        <f>(O16*N16)</f>
        <v>53.668851095440012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6.0898050000000002E-2</v>
      </c>
      <c r="C18" s="40">
        <v>0</v>
      </c>
      <c r="D18" s="26">
        <v>0</v>
      </c>
      <c r="E18" s="39">
        <f>B18*J3</f>
        <v>3.2855666106692363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217.99620440316832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0.41433297495948557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2.5418946947590149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2.8869062262114862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 t="shared" ref="R22:R27" si="2">B36</f>
        <v>-0.10885</v>
      </c>
      <c r="S22" s="39">
        <f>T22/R22</f>
        <v>23.941203491042717</v>
      </c>
      <c r="T22" s="39">
        <f t="shared" ref="T22:T27" si="3"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 t="shared" si="2"/>
        <v>-2.08</v>
      </c>
      <c r="S23" s="39">
        <f>T23/R23</f>
        <v>31.395271514423076</v>
      </c>
      <c r="T23" s="38">
        <f t="shared" si="3"/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 t="shared" si="2"/>
        <v>-0.1</v>
      </c>
      <c r="S24" s="38">
        <f>T24/R24</f>
        <v>31.194569999999995</v>
      </c>
      <c r="T24" s="38">
        <f t="shared" si="3"/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45.21</f>
        <v>45.21</v>
      </c>
      <c r="P25" s="38">
        <f>(O25*N25)</f>
        <v>17.280739824480005</v>
      </c>
      <c r="Q25" t="s">
        <v>12</v>
      </c>
      <c r="R25" s="24">
        <f t="shared" si="2"/>
        <v>-0.65</v>
      </c>
      <c r="S25" s="38">
        <f>C39</f>
        <v>32.934038338461541</v>
      </c>
      <c r="T25" s="38">
        <f t="shared" si="3"/>
        <v>-21.407124920000001</v>
      </c>
      <c r="U25" t="s">
        <v>90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R26" s="24">
        <f t="shared" si="2"/>
        <v>-1.6148</v>
      </c>
      <c r="S26" s="38">
        <f>C40</f>
        <v>46.861096439187513</v>
      </c>
      <c r="T26" s="38">
        <f t="shared" si="3"/>
        <v>-75.671298530000001</v>
      </c>
      <c r="U26" t="s">
        <v>91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 t="shared" si="2"/>
        <v>-0.10879999999999999</v>
      </c>
      <c r="S27" s="38">
        <f>C41</f>
        <v>58.381847426470586</v>
      </c>
      <c r="T27" s="38">
        <f t="shared" si="3"/>
        <v>-6.3519449999999997</v>
      </c>
      <c r="U27" t="s">
        <v>92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70.05413466282117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4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4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4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4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4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4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4"/>
        <v>32.934038338461541</v>
      </c>
      <c r="D39" s="38">
        <f>-21.40712492</f>
        <v>-21.407124920000001</v>
      </c>
      <c r="E39" s="38"/>
      <c r="S39" s="38"/>
      <c r="T39" s="38"/>
    </row>
    <row r="40" spans="2:23">
      <c r="B40" s="24">
        <v>-1.6148</v>
      </c>
      <c r="C40" s="38">
        <f t="shared" si="4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4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3.6700264810000003</v>
      </c>
      <c r="C43" s="38"/>
      <c r="D43" s="38">
        <f>(SUM(D5:D42))</f>
        <v>34.695659029999973</v>
      </c>
      <c r="E43" s="38"/>
      <c r="F43" t="s">
        <v>9</v>
      </c>
      <c r="G43" s="38">
        <f>(D43/B43)</f>
        <v>9.4537898322047482</v>
      </c>
      <c r="R43" s="24">
        <f>(SUM(R5:R36))</f>
        <v>3.6700264809999985</v>
      </c>
      <c r="S43" s="38"/>
      <c r="T43" s="38">
        <f>(SUM(T5:T36))</f>
        <v>34.693299469999999</v>
      </c>
      <c r="V43" t="s">
        <v>9</v>
      </c>
      <c r="W43" s="38">
        <f>(T43/R43)</f>
        <v>9.4531469049637113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3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17 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3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0.10302397992779461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0.96177234832004832</v>
      </c>
      <c r="K4" s="4">
        <f>(J4/D13-1)</f>
        <v>0.92354469664009664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0.23416381999999999</v>
      </c>
      <c r="C6" s="40">
        <v>0</v>
      </c>
      <c r="D6" s="26">
        <f>(B6*C6)</f>
        <v>0</v>
      </c>
      <c r="E6" s="38">
        <f>(B6*J3)</f>
        <v>2.4124488691495707E-2</v>
      </c>
      <c r="G6" s="38"/>
      <c r="M6" t="s">
        <v>11</v>
      </c>
      <c r="N6" s="19">
        <f>($B$13/5)</f>
        <v>1.8670844379999998</v>
      </c>
      <c r="O6" s="35">
        <f>($C$5*Params!K8)</f>
        <v>7.1418695478700056E-2</v>
      </c>
      <c r="P6" s="38">
        <f>(O6*N6)</f>
        <v>0.13334473491054183</v>
      </c>
      <c r="Q6" s="38">
        <f>N6*$J$3</f>
        <v>0.19235446966400965</v>
      </c>
    </row>
    <row r="7" spans="2:17">
      <c r="C7" s="38"/>
      <c r="D7" s="38"/>
      <c r="E7" s="38"/>
      <c r="G7" s="38"/>
      <c r="N7" s="19">
        <f>($B$13/5)</f>
        <v>1.8670844379999998</v>
      </c>
      <c r="O7" s="35">
        <f>($C$5*Params!K9)</f>
        <v>8.7899932896861599E-2</v>
      </c>
      <c r="P7" s="38">
        <f>(O7*N7)</f>
        <v>0.16411659681297452</v>
      </c>
      <c r="Q7" s="38">
        <f>Q6*2</f>
        <v>0.38470893932801931</v>
      </c>
    </row>
    <row r="8" spans="2:17">
      <c r="C8" s="38"/>
      <c r="D8" s="38"/>
      <c r="E8" s="38"/>
      <c r="G8" s="38"/>
      <c r="N8" s="19">
        <f>($B$13/5)</f>
        <v>1.8670844379999998</v>
      </c>
      <c r="O8" s="35">
        <f>($C$5*Params!K10)</f>
        <v>0.12086240773318471</v>
      </c>
      <c r="P8" s="38">
        <f>(O8*N8)</f>
        <v>0.22566032061784</v>
      </c>
      <c r="Q8" s="38">
        <f>Q6*3</f>
        <v>0.57706340899202901</v>
      </c>
    </row>
    <row r="9" spans="2:17">
      <c r="C9" s="38"/>
      <c r="D9" s="38"/>
      <c r="E9" s="38"/>
      <c r="G9" s="38"/>
      <c r="N9" s="19">
        <f>($B$13/5)</f>
        <v>1.8670844379999998</v>
      </c>
      <c r="O9" s="35">
        <f>($C$5*Params!K11)</f>
        <v>0.219749832242154</v>
      </c>
      <c r="P9" s="38">
        <f>(O9*N9)</f>
        <v>0.41029149203243631</v>
      </c>
      <c r="Q9" s="38">
        <f>Q6*4</f>
        <v>0.76941787865603861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0.93341314437379264</v>
      </c>
    </row>
    <row r="12" spans="2:17">
      <c r="C12" s="38"/>
      <c r="D12" s="38"/>
      <c r="E12" s="38"/>
      <c r="F12" t="s">
        <v>9</v>
      </c>
      <c r="G12" s="38">
        <f>(D13/B13)</f>
        <v>5.3559441643206501E-2</v>
      </c>
    </row>
    <row r="13" spans="2:17">
      <c r="B13">
        <f>(SUM(B5:B12))</f>
        <v>9.3354221899999992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6.041187144985452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11.708406802958613</v>
      </c>
      <c r="K4" s="4">
        <f>(J4/D10-1)</f>
        <v>0.1087506442195656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2.4929599999999998E-3</v>
      </c>
      <c r="C6" s="40">
        <v>0</v>
      </c>
      <c r="D6" s="40">
        <f>(B6*C6)</f>
        <v>0</v>
      </c>
      <c r="E6" s="38">
        <f>(B6*J3)</f>
        <v>1.506043790496293E-2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5.4486436391094601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1.9380970200000001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0.5974446026588357</v>
      </c>
      <c r="M3" t="s">
        <v>4</v>
      </c>
      <c r="N3" s="19">
        <f>(INDEX(N5:N14,MATCH(MAX(O6:O7),O5:O14,0))/0.9)</f>
        <v>11.457210407407409</v>
      </c>
      <c r="O3" s="37">
        <f>(MAX(O6:O7)*0.85)</f>
        <v>0.48540838895304461</v>
      </c>
      <c r="P3" s="38">
        <f>(O3*N3)</f>
        <v>5.5614260457556863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18.48163100246693</v>
      </c>
      <c r="K4" s="4">
        <f>(J4/D14-1)</f>
        <v>6.9042723648123365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54.341742500000002</v>
      </c>
      <c r="S5" s="38">
        <f>(T5/R5)</f>
        <v>0.3514793438947969</v>
      </c>
      <c r="T5" s="38">
        <f>(SUM(D5:D7))</f>
        <v>19.100000000000001</v>
      </c>
    </row>
    <row r="6" spans="2:21">
      <c r="B6" s="20">
        <v>0.76673102999999998</v>
      </c>
      <c r="C6" s="40">
        <v>0</v>
      </c>
      <c r="D6" s="40">
        <f>(B6*C6)</f>
        <v>0</v>
      </c>
      <c r="E6" s="38">
        <f>(B6*J3)</f>
        <v>0.45807931556454984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10.311489366666668</v>
      </c>
      <c r="O7" s="38">
        <f>($C$5*Params!K9)</f>
        <v>0.57106869288593487</v>
      </c>
      <c r="P7" s="38">
        <f>(O7*N7)</f>
        <v>5.8885687543295511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10.311489366666668</v>
      </c>
      <c r="O8" s="38">
        <f>($C$5*Params!K10)</f>
        <v>0.78521945271816052</v>
      </c>
      <c r="P8" s="38">
        <f>(O8*N8)</f>
        <v>8.0967820372031323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10.311489366666668</v>
      </c>
      <c r="O9" s="38">
        <f>($C$5*Params!K11)</f>
        <v>1.4276717322148371</v>
      </c>
      <c r="P9" s="38">
        <f>(O9*N9)</f>
        <v>14.721421885823876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33.759470037356564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7.5585022261947354E-2</v>
      </c>
    </row>
    <row r="14" spans="2:21">
      <c r="B14" s="19">
        <f>(SUM(B5:B13))</f>
        <v>30.934468100000004</v>
      </c>
      <c r="D14" s="38">
        <f>(SUM(D5:D13))</f>
        <v>2.3381824600000005</v>
      </c>
    </row>
    <row r="18" spans="14:20">
      <c r="R18">
        <f>(SUM(R5:R17))</f>
        <v>30.934468100000004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27" sqref="P2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0.14468231352299241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3.8973548367837094</v>
      </c>
      <c r="K4" s="4">
        <f>(J4/D14-1)</f>
        <v>-6.9654333871357812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0.75426359343547822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2.2057073572916441</v>
      </c>
      <c r="K4" s="4">
        <f>(J4/D10-1)</f>
        <v>-0.26476421423611862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4.0263754515263523E-3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2.4134094456448953</v>
      </c>
      <c r="K4" s="4">
        <f>(J4/D10-1)</f>
        <v>-0.19553018478503492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0.38943144006858099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2.369222995089233</v>
      </c>
      <c r="K4" s="4">
        <f>(J4/D9-1)</f>
        <v>-0.91792775157500728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710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4.7371848252701866E-3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(SUM(K34:K42)-C75*J3+D75)</f>
        <v>10.484242154349577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-63.553999999999938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-258.46975784565035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-154.39975784565036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22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22">
      <c r="B34" s="8" t="s">
        <v>39</v>
      </c>
      <c r="C34">
        <v>6.2539999999999996</v>
      </c>
      <c r="D34">
        <f>$H$2</f>
        <v>710</v>
      </c>
      <c r="E34">
        <f t="shared" ref="E34:E40" si="1">C34*D34</f>
        <v>4440.3399999999992</v>
      </c>
      <c r="F34" s="29">
        <f t="shared" ref="F34:F40" si="2">E34*$N$5</f>
        <v>3698.8032199999993</v>
      </c>
      <c r="G34" s="38">
        <v>3.5</v>
      </c>
      <c r="H34" s="30">
        <f>G50</f>
        <v>1.5615590400000001</v>
      </c>
      <c r="I34" s="39">
        <f t="shared" ref="I34:I41" si="3">((F34-H34*D34)*$J$3-G34)</f>
        <v>8.7697648959279491</v>
      </c>
      <c r="J34">
        <v>1</v>
      </c>
      <c r="K34" s="44">
        <f t="shared" ref="K34:K40" si="4">I34*J34</f>
        <v>8.7697648959279491</v>
      </c>
      <c r="L34" s="31">
        <v>27</v>
      </c>
      <c r="M34" s="31">
        <f t="shared" ref="M34:M40" si="5">L34*J34</f>
        <v>27</v>
      </c>
    </row>
    <row r="35" spans="2:22">
      <c r="B35" s="8" t="s">
        <v>42</v>
      </c>
      <c r="C35">
        <v>0.96599999999999997</v>
      </c>
      <c r="D35">
        <f>$H$2</f>
        <v>710</v>
      </c>
      <c r="E35">
        <f t="shared" si="1"/>
        <v>685.86</v>
      </c>
      <c r="F35" s="29">
        <f t="shared" si="2"/>
        <v>571.32137999999998</v>
      </c>
      <c r="G35" s="38">
        <v>3.5</v>
      </c>
      <c r="H35" s="30">
        <f>G51</f>
        <v>0.21337130135885166</v>
      </c>
      <c r="I35" s="39">
        <f t="shared" si="3"/>
        <v>-1.5111983248827441</v>
      </c>
      <c r="J35">
        <v>1</v>
      </c>
      <c r="K35" s="44">
        <f t="shared" si="4"/>
        <v>-1.5111983248827441</v>
      </c>
      <c r="L35" s="31">
        <v>7.5</v>
      </c>
      <c r="M35" s="31">
        <f t="shared" si="5"/>
        <v>7.5</v>
      </c>
    </row>
    <row r="36" spans="2:22">
      <c r="B36" s="8" t="s">
        <v>44</v>
      </c>
      <c r="C36">
        <v>0.85099999999999998</v>
      </c>
      <c r="D36">
        <f>$H$2</f>
        <v>710</v>
      </c>
      <c r="E36">
        <f t="shared" si="1"/>
        <v>604.21</v>
      </c>
      <c r="F36" s="29">
        <f t="shared" si="2"/>
        <v>503.30693000000002</v>
      </c>
      <c r="G36" s="38">
        <v>3.5</v>
      </c>
      <c r="H36" s="30">
        <f>G52</f>
        <v>0.18479602162162162</v>
      </c>
      <c r="I36" s="39">
        <f t="shared" si="3"/>
        <v>-1.7372852144220112</v>
      </c>
      <c r="J36">
        <v>1</v>
      </c>
      <c r="K36" s="44">
        <f t="shared" si="4"/>
        <v>-1.7372852144220112</v>
      </c>
      <c r="L36" s="31">
        <v>5.85</v>
      </c>
      <c r="M36" s="31">
        <f t="shared" si="5"/>
        <v>5.85</v>
      </c>
    </row>
    <row r="37" spans="2:22">
      <c r="B37" s="8" t="s">
        <v>44</v>
      </c>
      <c r="C37">
        <v>0.85099999999999998</v>
      </c>
      <c r="D37">
        <f>$H$2-34</f>
        <v>676</v>
      </c>
      <c r="E37">
        <f t="shared" si="1"/>
        <v>575.27599999999995</v>
      </c>
      <c r="F37" s="29">
        <f t="shared" si="2"/>
        <v>479.20490799999993</v>
      </c>
      <c r="G37" s="38">
        <v>0</v>
      </c>
      <c r="H37" s="30">
        <f>G52</f>
        <v>0.18479602162162162</v>
      </c>
      <c r="I37" s="39">
        <f t="shared" si="3"/>
        <v>1.6783030916207322</v>
      </c>
      <c r="J37">
        <v>3</v>
      </c>
      <c r="K37" s="44">
        <f t="shared" si="4"/>
        <v>5.0349092748621969</v>
      </c>
      <c r="L37" s="31">
        <f>L36</f>
        <v>5.85</v>
      </c>
      <c r="M37" s="31">
        <f t="shared" si="5"/>
        <v>17.549999999999997</v>
      </c>
    </row>
    <row r="38" spans="2:22">
      <c r="B38" s="8" t="s">
        <v>44</v>
      </c>
      <c r="C38">
        <v>0.85099999999999998</v>
      </c>
      <c r="D38">
        <f>$H$2-34-58</f>
        <v>618</v>
      </c>
      <c r="E38">
        <f t="shared" si="1"/>
        <v>525.91800000000001</v>
      </c>
      <c r="F38" s="29">
        <f t="shared" si="2"/>
        <v>438.08969400000001</v>
      </c>
      <c r="G38" s="38">
        <v>0</v>
      </c>
      <c r="H38" s="30">
        <f>H37</f>
        <v>0.18479602162162162</v>
      </c>
      <c r="I38" s="39">
        <f t="shared" si="3"/>
        <v>1.5343066725171788</v>
      </c>
      <c r="J38">
        <v>1</v>
      </c>
      <c r="K38" s="44">
        <f t="shared" si="4"/>
        <v>1.5343066725171788</v>
      </c>
      <c r="L38" s="31">
        <f>L37</f>
        <v>5.85</v>
      </c>
      <c r="M38" s="31">
        <f t="shared" si="5"/>
        <v>5.85</v>
      </c>
    </row>
    <row r="39" spans="2:22">
      <c r="B39" s="8" t="s">
        <v>44</v>
      </c>
      <c r="C39">
        <v>0.85099999999999998</v>
      </c>
      <c r="D39">
        <f>$H$2-140</f>
        <v>570</v>
      </c>
      <c r="E39">
        <f t="shared" si="1"/>
        <v>485.07</v>
      </c>
      <c r="F39" s="29">
        <f t="shared" si="2"/>
        <v>404.06331</v>
      </c>
      <c r="G39" s="38">
        <v>0</v>
      </c>
      <c r="H39" s="30">
        <f>H38</f>
        <v>0.18479602162162162</v>
      </c>
      <c r="I39" s="39">
        <f t="shared" si="3"/>
        <v>1.4151372222245824</v>
      </c>
      <c r="J39">
        <v>1</v>
      </c>
      <c r="K39" s="44">
        <f t="shared" si="4"/>
        <v>1.4151372222245824</v>
      </c>
      <c r="L39" s="31">
        <f>L38</f>
        <v>5.85</v>
      </c>
      <c r="M39" s="31">
        <f t="shared" si="5"/>
        <v>5.85</v>
      </c>
    </row>
    <row r="40" spans="2:22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0.19607903839184215</v>
      </c>
      <c r="J40" s="16">
        <v>1</v>
      </c>
      <c r="K40" s="46">
        <f t="shared" si="4"/>
        <v>0.19607903839184215</v>
      </c>
      <c r="L40" s="33">
        <v>0</v>
      </c>
      <c r="M40" s="33">
        <f t="shared" si="5"/>
        <v>0</v>
      </c>
      <c r="N40" t="s">
        <v>64</v>
      </c>
    </row>
    <row r="41" spans="2:22">
      <c r="B41" s="8" t="s">
        <v>44</v>
      </c>
      <c r="C41">
        <v>0.85099999999999998</v>
      </c>
      <c r="D41">
        <f>($H$2-274)</f>
        <v>436</v>
      </c>
      <c r="E41">
        <f>(C41*D41)</f>
        <v>371.036</v>
      </c>
      <c r="F41" s="29">
        <f>(E41*$N$5)</f>
        <v>309.07298800000001</v>
      </c>
      <c r="G41" s="38">
        <v>0</v>
      </c>
      <c r="H41" s="29">
        <f>(H37)</f>
        <v>0.18479602162162162</v>
      </c>
      <c r="I41" s="39">
        <f t="shared" si="3"/>
        <v>1.0824558401577509</v>
      </c>
      <c r="J41">
        <v>1</v>
      </c>
      <c r="K41" s="44">
        <f>(I41*J41)</f>
        <v>1.0824558401577509</v>
      </c>
      <c r="L41" s="31">
        <f>(L39)</f>
        <v>5.85</v>
      </c>
      <c r="M41" s="31">
        <f>(L41*J41)</f>
        <v>5.85</v>
      </c>
    </row>
    <row r="42" spans="2:22">
      <c r="B42" s="8" t="s">
        <v>46</v>
      </c>
      <c r="H42" s="21"/>
      <c r="J42">
        <v>2</v>
      </c>
      <c r="K42" s="44"/>
      <c r="L42" s="31">
        <v>13.5</v>
      </c>
      <c r="M42" s="31">
        <f>L42*J42</f>
        <v>27</v>
      </c>
    </row>
    <row r="43" spans="2:22">
      <c r="B43" s="8" t="s">
        <v>65</v>
      </c>
      <c r="J43">
        <v>1</v>
      </c>
      <c r="K43" s="9"/>
      <c r="L43" s="31">
        <v>0.38</v>
      </c>
      <c r="M43" s="31">
        <f>(L43*J43)</f>
        <v>0.38</v>
      </c>
    </row>
    <row r="44" spans="2:22">
      <c r="B44" s="8" t="s">
        <v>66</v>
      </c>
      <c r="J44">
        <v>1</v>
      </c>
      <c r="K44" s="9"/>
      <c r="L44" s="31">
        <v>0.24</v>
      </c>
      <c r="M44" s="31">
        <f>(L44*J44)</f>
        <v>0.24</v>
      </c>
    </row>
    <row r="45" spans="2:22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</v>
      </c>
      <c r="M45" s="31">
        <f>(L45*J45)</f>
        <v>1</v>
      </c>
      <c r="V45" s="39"/>
    </row>
    <row r="46" spans="2:22">
      <c r="L46" t="s">
        <v>34</v>
      </c>
      <c r="M46" s="31">
        <f>(SUM(M33:M45))</f>
        <v>104.06999999999998</v>
      </c>
      <c r="O46" s="31">
        <f>(J13+SUM(G34:G40)-D75)</f>
        <v>2.504490154349579</v>
      </c>
      <c r="P46">
        <f>(O46/J3)</f>
        <v>528.6874476565805</v>
      </c>
    </row>
    <row r="48" spans="2:22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3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8"/>
      <c r="C73" s="19">
        <v>925.39</v>
      </c>
      <c r="D73" s="47">
        <v>3.1734</v>
      </c>
      <c r="E73" s="48">
        <f t="shared" si="7"/>
        <v>3.4292568538670182E-3</v>
      </c>
    </row>
    <row r="74" spans="2:5">
      <c r="B74" s="10"/>
      <c r="C74" s="11"/>
      <c r="D74" s="12"/>
    </row>
    <row r="75" spans="2:5">
      <c r="B75" t="s">
        <v>34</v>
      </c>
      <c r="C75" s="19">
        <f>(SUM(C56:C74))</f>
        <v>4808.6954785700009</v>
      </c>
      <c r="D75" s="38">
        <f>(SUM(D56:D74))</f>
        <v>18.479751999999998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(-120/3)</f>
        <v>-40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0.37321755971123738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42.11189178409235</v>
      </c>
      <c r="K4" s="4">
        <f>(J4/D13-1)</f>
        <v>0.12029398224356314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0.69195653999999995</v>
      </c>
      <c r="C6" s="40">
        <v>0</v>
      </c>
      <c r="D6" s="40">
        <f>(B6*C6)</f>
        <v>0</v>
      </c>
      <c r="E6" s="38">
        <f>(B6*J3)</f>
        <v>0.25825033128503122</v>
      </c>
      <c r="M6" t="s">
        <v>11</v>
      </c>
      <c r="N6" s="1">
        <f>($B$13/5)</f>
        <v>22.566940214000002</v>
      </c>
      <c r="O6" s="38">
        <f>($S$7*Params!K8)</f>
        <v>0.44044312482164377</v>
      </c>
      <c r="P6" s="38">
        <f>(O6*N6)</f>
        <v>9.9394536655173749</v>
      </c>
      <c r="R6" s="2">
        <f>(B6)</f>
        <v>0.69195653999999995</v>
      </c>
      <c r="S6" s="40">
        <v>0</v>
      </c>
      <c r="T6" s="40">
        <f>(D6)</f>
        <v>0</v>
      </c>
      <c r="U6" s="38">
        <f>(R6*J3)</f>
        <v>0.25825033128503122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22.566940214000002</v>
      </c>
      <c r="O7" s="38">
        <f>($S$7*Params!K9)</f>
        <v>0.54208384593433079</v>
      </c>
      <c r="P7" s="38">
        <f>(O7*N7)</f>
        <v>12.23317374217523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22.566940214000002</v>
      </c>
      <c r="O8" s="38">
        <f>($C$7*Params!K10)</f>
        <v>0.74536528815970493</v>
      </c>
      <c r="P8" s="38">
        <f>(O8*N8)</f>
        <v>16.820613895490943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22.566940214000002</v>
      </c>
      <c r="O9" s="38">
        <f>($C$7*Params!K11)</f>
        <v>1.355209614835827</v>
      </c>
      <c r="P9" s="38">
        <f>(O9*N9)</f>
        <v>30.582934355438081</v>
      </c>
    </row>
    <row r="10" spans="2:21">
      <c r="N10" s="1"/>
      <c r="P10" s="38"/>
    </row>
    <row r="11" spans="2:21">
      <c r="P11" s="38">
        <f>(SUM(P6:P9))</f>
        <v>69.576175658621636</v>
      </c>
    </row>
    <row r="12" spans="2:21">
      <c r="F12" t="s">
        <v>9</v>
      </c>
      <c r="G12" s="35">
        <f>(D13/B13)</f>
        <v>0.33314251939817718</v>
      </c>
    </row>
    <row r="13" spans="2:21">
      <c r="B13" s="1">
        <f>(SUM(B5:B12))</f>
        <v>112.83470107000001</v>
      </c>
      <c r="D13" s="38">
        <f>(SUM(D5:D12))</f>
        <v>37.590036590000004</v>
      </c>
      <c r="R13" s="1">
        <f>(SUM(R5:R12))</f>
        <v>112.83470107000001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0.1296190162833068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8.2047744398673608</v>
      </c>
      <c r="K4" s="4">
        <f>(J4/D14-1)</f>
        <v>-0.16498188455820662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0.55634728</v>
      </c>
      <c r="C6" s="40">
        <v>0</v>
      </c>
      <c r="D6" s="40">
        <f>(B6*C6)</f>
        <v>0</v>
      </c>
      <c r="E6" s="38">
        <f>(B6*J3)</f>
        <v>7.2113187145493446E-2</v>
      </c>
      <c r="M6" t="s">
        <v>11</v>
      </c>
      <c r="N6" s="29">
        <f>($B$14/5)</f>
        <v>12.659831366000001</v>
      </c>
      <c r="O6" s="38">
        <f>($C$5*Params!K8)</f>
        <v>0.21940472231459929</v>
      </c>
      <c r="P6" s="38">
        <f>(O6*N6)</f>
        <v>2.7776267854068841</v>
      </c>
      <c r="R6" s="36">
        <f>(B6)</f>
        <v>0.55634728</v>
      </c>
      <c r="S6" s="40">
        <v>0</v>
      </c>
      <c r="T6" s="40">
        <f>(D6)</f>
        <v>0</v>
      </c>
      <c r="U6" s="38">
        <f>(E6)</f>
        <v>7.2113187145493446E-2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12.659831366000001</v>
      </c>
      <c r="O7" s="38">
        <f>($C$5*Params!K9)</f>
        <v>0.27003658131027602</v>
      </c>
      <c r="P7" s="38">
        <f>(O7*N7)</f>
        <v>3.4186175820392419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12.659831366000001</v>
      </c>
      <c r="O8" s="38">
        <f>($C$5*Params!K10)</f>
        <v>0.37130029930162955</v>
      </c>
      <c r="P8" s="38">
        <f>(O8*N8)</f>
        <v>4.7005991753039575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12.659831366000001</v>
      </c>
      <c r="O9" s="38">
        <f>($C$5*Params!K11)</f>
        <v>0.67509145327569009</v>
      </c>
      <c r="P9" s="38">
        <f>(O9*N9)</f>
        <v>8.5465439550981053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19.443387497848189</v>
      </c>
    </row>
    <row r="13" spans="2:21">
      <c r="F13" t="s">
        <v>9</v>
      </c>
      <c r="G13" s="38">
        <f>(D14/B14)</f>
        <v>0.15522898711571984</v>
      </c>
    </row>
    <row r="14" spans="2:21">
      <c r="B14" s="29">
        <f>(SUM(B5:B13))</f>
        <v>63.299156830000001</v>
      </c>
      <c r="D14" s="38">
        <f>(SUM(D5:D13))</f>
        <v>9.8258639999999993</v>
      </c>
    </row>
    <row r="17" spans="11:20">
      <c r="N17" s="29"/>
      <c r="R17" s="29">
        <f>(SUM(R5:R16))</f>
        <v>63.299156830000001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2023-11-27T20:44:20Z</dcterms:modified>
</cp:coreProperties>
</file>