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31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7" s="1"/>
  <c r="O27" s="1"/>
  <c r="P27" s="1"/>
  <c r="N22"/>
  <c r="N19"/>
  <c r="N18"/>
  <c r="N17"/>
  <c r="N16"/>
  <c r="N20" s="1"/>
  <c r="O20" s="1"/>
  <c r="P20" s="1"/>
  <c r="N15"/>
  <c r="N12"/>
  <c r="N11"/>
  <c r="N10"/>
  <c r="N9"/>
  <c r="N13" s="1"/>
  <c r="O13" s="1"/>
  <c r="P13" s="1"/>
  <c r="N8"/>
  <c r="D10" i="34"/>
  <c r="B10"/>
  <c r="N9"/>
  <c r="G9"/>
  <c r="N8"/>
  <c r="N7"/>
  <c r="N6"/>
  <c r="C5"/>
  <c r="O7" s="1"/>
  <c r="P7" s="1"/>
  <c r="J4"/>
  <c r="K4" s="1"/>
  <c r="D10" i="33"/>
  <c r="G9" s="1"/>
  <c r="B10"/>
  <c r="N9"/>
  <c r="N8"/>
  <c r="O7"/>
  <c r="P7" s="1"/>
  <c r="N7"/>
  <c r="N6"/>
  <c r="C5"/>
  <c r="O9" s="1"/>
  <c r="P9" s="1"/>
  <c r="K4"/>
  <c r="J4"/>
  <c r="D11" i="32"/>
  <c r="B11"/>
  <c r="G10"/>
  <c r="O9"/>
  <c r="C9"/>
  <c r="T8"/>
  <c r="S8"/>
  <c r="R8"/>
  <c r="N9" s="1"/>
  <c r="N8"/>
  <c r="C8"/>
  <c r="T7"/>
  <c r="R7"/>
  <c r="N7"/>
  <c r="C7"/>
  <c r="S7" s="1"/>
  <c r="T6"/>
  <c r="S6"/>
  <c r="R6"/>
  <c r="N6"/>
  <c r="C6"/>
  <c r="O6" s="1"/>
  <c r="R5"/>
  <c r="R35" s="1"/>
  <c r="C5"/>
  <c r="O8" s="1"/>
  <c r="P8" s="1"/>
  <c r="K4"/>
  <c r="J4"/>
  <c r="B13" i="31"/>
  <c r="J4" s="1"/>
  <c r="C10"/>
  <c r="N9"/>
  <c r="C9"/>
  <c r="N8"/>
  <c r="C8"/>
  <c r="T7"/>
  <c r="S7" s="1"/>
  <c r="R7"/>
  <c r="O7"/>
  <c r="P7" s="1"/>
  <c r="C7"/>
  <c r="T6"/>
  <c r="S6"/>
  <c r="R6"/>
  <c r="P6"/>
  <c r="O6"/>
  <c r="O3" s="1"/>
  <c r="P3" s="1"/>
  <c r="N6"/>
  <c r="E6"/>
  <c r="D6"/>
  <c r="D13" s="1"/>
  <c r="G12" s="1"/>
  <c r="T5"/>
  <c r="T17" s="1"/>
  <c r="R5"/>
  <c r="R17" s="1"/>
  <c r="C5"/>
  <c r="O9" s="1"/>
  <c r="P9" s="1"/>
  <c r="N3"/>
  <c r="B10" i="30"/>
  <c r="N9"/>
  <c r="N8"/>
  <c r="O7"/>
  <c r="P7" s="1"/>
  <c r="N7"/>
  <c r="N6"/>
  <c r="E6"/>
  <c r="D6"/>
  <c r="D10" s="1"/>
  <c r="C5"/>
  <c r="O9" s="1"/>
  <c r="P9" s="1"/>
  <c r="J4"/>
  <c r="B13" i="29"/>
  <c r="N9"/>
  <c r="O8"/>
  <c r="P8" s="1"/>
  <c r="N8"/>
  <c r="N7"/>
  <c r="N6"/>
  <c r="Q6" s="1"/>
  <c r="E6"/>
  <c r="D6"/>
  <c r="D13" s="1"/>
  <c r="C5"/>
  <c r="O9" s="1"/>
  <c r="P9" s="1"/>
  <c r="J4"/>
  <c r="C34" i="28"/>
  <c r="B34"/>
  <c r="D33"/>
  <c r="C32"/>
  <c r="C31"/>
  <c r="C30"/>
  <c r="D29"/>
  <c r="C29"/>
  <c r="C28"/>
  <c r="B28"/>
  <c r="C27"/>
  <c r="C26"/>
  <c r="B26"/>
  <c r="C25"/>
  <c r="C24"/>
  <c r="N23"/>
  <c r="C23"/>
  <c r="T22"/>
  <c r="S22" s="1"/>
  <c r="R22"/>
  <c r="C22"/>
  <c r="O23" s="1"/>
  <c r="P23" s="1"/>
  <c r="T21"/>
  <c r="R21"/>
  <c r="C21"/>
  <c r="R20"/>
  <c r="C20"/>
  <c r="T19"/>
  <c r="R19"/>
  <c r="C19"/>
  <c r="T18"/>
  <c r="R18"/>
  <c r="E18"/>
  <c r="T17"/>
  <c r="R17"/>
  <c r="C17"/>
  <c r="T16"/>
  <c r="S16"/>
  <c r="R16"/>
  <c r="C16"/>
  <c r="T15"/>
  <c r="R15"/>
  <c r="N26" s="1"/>
  <c r="E15"/>
  <c r="B15"/>
  <c r="T14"/>
  <c r="S14"/>
  <c r="R14"/>
  <c r="O14"/>
  <c r="P14" s="1"/>
  <c r="N14"/>
  <c r="E14"/>
  <c r="B14"/>
  <c r="T13"/>
  <c r="R13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O8"/>
  <c r="N8"/>
  <c r="P8" s="1"/>
  <c r="B8"/>
  <c r="C8" s="1"/>
  <c r="T7"/>
  <c r="R7"/>
  <c r="P7"/>
  <c r="O7"/>
  <c r="N7"/>
  <c r="C7"/>
  <c r="T6"/>
  <c r="R6"/>
  <c r="O6"/>
  <c r="N6"/>
  <c r="C6"/>
  <c r="B6"/>
  <c r="S5"/>
  <c r="B5"/>
  <c r="R5" s="1"/>
  <c r="O3"/>
  <c r="D13" i="27"/>
  <c r="B13"/>
  <c r="G12"/>
  <c r="N9"/>
  <c r="N8"/>
  <c r="N7"/>
  <c r="N6"/>
  <c r="E6"/>
  <c r="D6"/>
  <c r="C5"/>
  <c r="J4"/>
  <c r="K4" s="1"/>
  <c r="B19" i="26"/>
  <c r="C17"/>
  <c r="C16"/>
  <c r="C15"/>
  <c r="C14"/>
  <c r="C13"/>
  <c r="C12"/>
  <c r="C11"/>
  <c r="C10"/>
  <c r="R9"/>
  <c r="D9"/>
  <c r="T8"/>
  <c r="R8"/>
  <c r="C8"/>
  <c r="T7"/>
  <c r="R7"/>
  <c r="E7"/>
  <c r="U6"/>
  <c r="T6"/>
  <c r="S6" s="1"/>
  <c r="R6"/>
  <c r="R22" s="1"/>
  <c r="C6"/>
  <c r="O17" s="1"/>
  <c r="T5"/>
  <c r="S5"/>
  <c r="R5"/>
  <c r="C5"/>
  <c r="O9" s="1"/>
  <c r="J4"/>
  <c r="B10" i="25"/>
  <c r="N9"/>
  <c r="N8"/>
  <c r="O7"/>
  <c r="P7" s="1"/>
  <c r="N7"/>
  <c r="E7"/>
  <c r="D7"/>
  <c r="N6"/>
  <c r="E6"/>
  <c r="D6"/>
  <c r="D10" s="1"/>
  <c r="C5"/>
  <c r="O9" s="1"/>
  <c r="P9" s="1"/>
  <c r="J4"/>
  <c r="O17" i="24"/>
  <c r="O16"/>
  <c r="B15"/>
  <c r="O14"/>
  <c r="C14"/>
  <c r="C13"/>
  <c r="C12"/>
  <c r="C11"/>
  <c r="R10"/>
  <c r="C10"/>
  <c r="C9"/>
  <c r="T8"/>
  <c r="R8"/>
  <c r="O8"/>
  <c r="C8"/>
  <c r="S8" s="1"/>
  <c r="T7"/>
  <c r="S7"/>
  <c r="O7" s="1"/>
  <c r="R7"/>
  <c r="C7"/>
  <c r="O9" s="1"/>
  <c r="U6"/>
  <c r="R6"/>
  <c r="O6"/>
  <c r="E6"/>
  <c r="D6"/>
  <c r="T5"/>
  <c r="R5"/>
  <c r="C5"/>
  <c r="O15" s="1"/>
  <c r="C35" i="23"/>
  <c r="N9" s="1"/>
  <c r="B35"/>
  <c r="E35" s="1"/>
  <c r="C34"/>
  <c r="C33"/>
  <c r="C32"/>
  <c r="B32"/>
  <c r="C31"/>
  <c r="C30"/>
  <c r="C29"/>
  <c r="C28"/>
  <c r="C27"/>
  <c r="B26"/>
  <c r="D26" s="1"/>
  <c r="T25"/>
  <c r="R25"/>
  <c r="B25"/>
  <c r="D25" s="1"/>
  <c r="T24"/>
  <c r="R24"/>
  <c r="C24"/>
  <c r="T23"/>
  <c r="R23"/>
  <c r="C23"/>
  <c r="T22"/>
  <c r="R22"/>
  <c r="C22"/>
  <c r="T21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R14"/>
  <c r="T14" s="1"/>
  <c r="C14"/>
  <c r="T13"/>
  <c r="S13" s="1"/>
  <c r="R13"/>
  <c r="C13"/>
  <c r="S12"/>
  <c r="R12"/>
  <c r="C12"/>
  <c r="R11"/>
  <c r="S11" s="1"/>
  <c r="C11"/>
  <c r="S10"/>
  <c r="R10"/>
  <c r="C10"/>
  <c r="R9"/>
  <c r="S9" s="1"/>
  <c r="O9"/>
  <c r="P9" s="1"/>
  <c r="C9"/>
  <c r="B9"/>
  <c r="S8"/>
  <c r="R8"/>
  <c r="C8"/>
  <c r="R7"/>
  <c r="T7" s="1"/>
  <c r="D7"/>
  <c r="T6"/>
  <c r="R6"/>
  <c r="N6"/>
  <c r="D6"/>
  <c r="T5"/>
  <c r="T37" s="1"/>
  <c r="R5"/>
  <c r="D5"/>
  <c r="D17" i="22"/>
  <c r="D15"/>
  <c r="D14"/>
  <c r="D13"/>
  <c r="D12"/>
  <c r="D11"/>
  <c r="D10"/>
  <c r="D9"/>
  <c r="D8"/>
  <c r="C7"/>
  <c r="B7"/>
  <c r="B17" s="1"/>
  <c r="J4" s="1"/>
  <c r="E6"/>
  <c r="D6"/>
  <c r="D5"/>
  <c r="D14" i="21"/>
  <c r="B14"/>
  <c r="G13"/>
  <c r="C12"/>
  <c r="C11"/>
  <c r="C10"/>
  <c r="T9"/>
  <c r="S9"/>
  <c r="R9"/>
  <c r="C9"/>
  <c r="T8"/>
  <c r="R8"/>
  <c r="U8" s="1"/>
  <c r="O8"/>
  <c r="C8"/>
  <c r="T7"/>
  <c r="S7"/>
  <c r="R7"/>
  <c r="C7"/>
  <c r="O9" s="1"/>
  <c r="P9" s="1"/>
  <c r="T6"/>
  <c r="R6"/>
  <c r="P6"/>
  <c r="O6"/>
  <c r="O3" s="1"/>
  <c r="P3" s="1"/>
  <c r="N6"/>
  <c r="E6"/>
  <c r="D6"/>
  <c r="T5"/>
  <c r="S5" s="1"/>
  <c r="R5"/>
  <c r="N9" s="1"/>
  <c r="C5"/>
  <c r="K4"/>
  <c r="J4"/>
  <c r="N3"/>
  <c r="B10" i="20"/>
  <c r="N9"/>
  <c r="N8"/>
  <c r="O7"/>
  <c r="P7" s="1"/>
  <c r="N7"/>
  <c r="N6"/>
  <c r="E6"/>
  <c r="D6"/>
  <c r="D10" s="1"/>
  <c r="C5"/>
  <c r="O9" s="1"/>
  <c r="P9" s="1"/>
  <c r="J4"/>
  <c r="B10" i="19"/>
  <c r="N7"/>
  <c r="E6"/>
  <c r="D6"/>
  <c r="D10" s="1"/>
  <c r="G9" s="1"/>
  <c r="C5"/>
  <c r="O7" s="1"/>
  <c r="P7" s="1"/>
  <c r="J4"/>
  <c r="K4" s="1"/>
  <c r="D10" i="18"/>
  <c r="G9" s="1"/>
  <c r="B10"/>
  <c r="N9"/>
  <c r="N8"/>
  <c r="O7"/>
  <c r="P7" s="1"/>
  <c r="N7"/>
  <c r="N6"/>
  <c r="E6"/>
  <c r="D6"/>
  <c r="C5"/>
  <c r="O9" s="1"/>
  <c r="P9" s="1"/>
  <c r="J4"/>
  <c r="D13" i="17"/>
  <c r="B13"/>
  <c r="G12"/>
  <c r="O9"/>
  <c r="N9"/>
  <c r="P9" s="1"/>
  <c r="O8"/>
  <c r="P8" s="1"/>
  <c r="N8"/>
  <c r="O7"/>
  <c r="N7"/>
  <c r="P7" s="1"/>
  <c r="O6"/>
  <c r="P6" s="1"/>
  <c r="N6"/>
  <c r="E6"/>
  <c r="D6"/>
  <c r="K4"/>
  <c r="J4"/>
  <c r="C10" i="16"/>
  <c r="O9"/>
  <c r="D9"/>
  <c r="B9"/>
  <c r="R8"/>
  <c r="O8"/>
  <c r="D8"/>
  <c r="C8" s="1"/>
  <c r="B8"/>
  <c r="B14" s="1"/>
  <c r="T7"/>
  <c r="S7"/>
  <c r="R7"/>
  <c r="N7"/>
  <c r="C7"/>
  <c r="T6"/>
  <c r="S6" s="1"/>
  <c r="O7" s="1"/>
  <c r="P7" s="1"/>
  <c r="R6"/>
  <c r="O6"/>
  <c r="E6"/>
  <c r="D6"/>
  <c r="T5"/>
  <c r="R5"/>
  <c r="C5"/>
  <c r="D13" i="15"/>
  <c r="B13"/>
  <c r="G12"/>
  <c r="N9"/>
  <c r="N8"/>
  <c r="N7"/>
  <c r="N6"/>
  <c r="E6"/>
  <c r="D6"/>
  <c r="C5"/>
  <c r="J4"/>
  <c r="K4" s="1"/>
  <c r="B17" i="14"/>
  <c r="J4" s="1"/>
  <c r="C15"/>
  <c r="D14"/>
  <c r="C14"/>
  <c r="C13"/>
  <c r="C12"/>
  <c r="S9" s="1"/>
  <c r="O16" s="1"/>
  <c r="C11"/>
  <c r="T10"/>
  <c r="R10"/>
  <c r="E10"/>
  <c r="T9"/>
  <c r="R9"/>
  <c r="N15" s="1"/>
  <c r="D9"/>
  <c r="G17" s="1"/>
  <c r="S8"/>
  <c r="R8"/>
  <c r="N9" s="1"/>
  <c r="N8"/>
  <c r="E8"/>
  <c r="S7"/>
  <c r="R7"/>
  <c r="T7" s="1"/>
  <c r="O7"/>
  <c r="P7" s="1"/>
  <c r="N7"/>
  <c r="E7"/>
  <c r="S6"/>
  <c r="R6"/>
  <c r="T6" s="1"/>
  <c r="N6"/>
  <c r="D6"/>
  <c r="T5"/>
  <c r="R5"/>
  <c r="N23" s="1"/>
  <c r="D5"/>
  <c r="D17" s="1"/>
  <c r="K4" s="1"/>
  <c r="D13" i="13"/>
  <c r="G12" s="1"/>
  <c r="B13"/>
  <c r="C11"/>
  <c r="C10"/>
  <c r="N9"/>
  <c r="C9"/>
  <c r="N8"/>
  <c r="C8"/>
  <c r="N7"/>
  <c r="C7"/>
  <c r="T6"/>
  <c r="R6"/>
  <c r="N6"/>
  <c r="C6"/>
  <c r="O6" s="1"/>
  <c r="P6" s="1"/>
  <c r="T5"/>
  <c r="S5" s="1"/>
  <c r="R5"/>
  <c r="R15" s="1"/>
  <c r="C5"/>
  <c r="O9" s="1"/>
  <c r="P9" s="1"/>
  <c r="K4"/>
  <c r="J4"/>
  <c r="N17" i="12"/>
  <c r="N16"/>
  <c r="N15"/>
  <c r="N14"/>
  <c r="B13"/>
  <c r="J4" s="1"/>
  <c r="C11"/>
  <c r="C10"/>
  <c r="O9"/>
  <c r="C9"/>
  <c r="U8"/>
  <c r="T8"/>
  <c r="R8"/>
  <c r="O8"/>
  <c r="C8"/>
  <c r="T7"/>
  <c r="V7" s="1"/>
  <c r="R7"/>
  <c r="N9" s="1"/>
  <c r="N7"/>
  <c r="C7"/>
  <c r="T6"/>
  <c r="S6" s="1"/>
  <c r="R6"/>
  <c r="O6"/>
  <c r="P6" s="1"/>
  <c r="N6"/>
  <c r="E6"/>
  <c r="D6"/>
  <c r="D13" s="1"/>
  <c r="G12" s="1"/>
  <c r="T5"/>
  <c r="T13" s="1"/>
  <c r="R5"/>
  <c r="U5" s="1"/>
  <c r="C5"/>
  <c r="O7" s="1"/>
  <c r="P7" s="1"/>
  <c r="K4"/>
  <c r="B14" i="11"/>
  <c r="N9"/>
  <c r="N8"/>
  <c r="N7"/>
  <c r="D7"/>
  <c r="N6"/>
  <c r="E6"/>
  <c r="D6"/>
  <c r="D14" s="1"/>
  <c r="G13" s="1"/>
  <c r="C5"/>
  <c r="O9" s="1"/>
  <c r="P9" s="1"/>
  <c r="J4"/>
  <c r="E7" s="1"/>
  <c r="B14" i="10"/>
  <c r="D12"/>
  <c r="C12" s="1"/>
  <c r="C11"/>
  <c r="C10"/>
  <c r="C9"/>
  <c r="C8"/>
  <c r="T7"/>
  <c r="U7" s="1"/>
  <c r="R7"/>
  <c r="C7"/>
  <c r="T6"/>
  <c r="S6" s="1"/>
  <c r="R6"/>
  <c r="E6"/>
  <c r="D6"/>
  <c r="D14" s="1"/>
  <c r="G13" s="1"/>
  <c r="T5"/>
  <c r="T14" s="1"/>
  <c r="R5"/>
  <c r="N9" s="1"/>
  <c r="C5"/>
  <c r="O7" s="1"/>
  <c r="J4"/>
  <c r="K4" s="1"/>
  <c r="B14" i="9"/>
  <c r="C10"/>
  <c r="N9"/>
  <c r="C9"/>
  <c r="N8"/>
  <c r="C8"/>
  <c r="T7"/>
  <c r="R7"/>
  <c r="N7"/>
  <c r="C7"/>
  <c r="R6"/>
  <c r="N6"/>
  <c r="E6"/>
  <c r="U6" s="1"/>
  <c r="D6"/>
  <c r="D14" s="1"/>
  <c r="G13" s="1"/>
  <c r="T5"/>
  <c r="R5"/>
  <c r="R17" s="1"/>
  <c r="C5"/>
  <c r="O6" s="1"/>
  <c r="P6" s="1"/>
  <c r="J4"/>
  <c r="K4" s="1"/>
  <c r="B13" i="8"/>
  <c r="N9"/>
  <c r="C9"/>
  <c r="T8"/>
  <c r="R8"/>
  <c r="N8"/>
  <c r="C8"/>
  <c r="T7"/>
  <c r="S7" s="1"/>
  <c r="R7"/>
  <c r="N7"/>
  <c r="C7"/>
  <c r="O9" s="1"/>
  <c r="P9" s="1"/>
  <c r="R6"/>
  <c r="U6" s="1"/>
  <c r="N6"/>
  <c r="E6"/>
  <c r="D6"/>
  <c r="D13" s="1"/>
  <c r="G12" s="1"/>
  <c r="T5"/>
  <c r="S5"/>
  <c r="R5"/>
  <c r="R13" s="1"/>
  <c r="C5"/>
  <c r="J4"/>
  <c r="K4" s="1"/>
  <c r="E6" i="7"/>
  <c r="C6"/>
  <c r="E5"/>
  <c r="E9" s="1"/>
  <c r="C5"/>
  <c r="C4" i="6"/>
  <c r="C74" i="5"/>
  <c r="E72"/>
  <c r="E71"/>
  <c r="E70"/>
  <c r="E69"/>
  <c r="E68"/>
  <c r="E67"/>
  <c r="E66"/>
  <c r="E65"/>
  <c r="E64"/>
  <c r="E63"/>
  <c r="D62"/>
  <c r="D74" s="1"/>
  <c r="E61"/>
  <c r="E60"/>
  <c r="E59"/>
  <c r="E52"/>
  <c r="D52"/>
  <c r="G52" s="1"/>
  <c r="C52"/>
  <c r="E51"/>
  <c r="D51"/>
  <c r="G51" s="1"/>
  <c r="H35" s="1"/>
  <c r="H40" s="1"/>
  <c r="C51"/>
  <c r="F50"/>
  <c r="E50"/>
  <c r="D50"/>
  <c r="C50"/>
  <c r="G50" s="1"/>
  <c r="H34" s="1"/>
  <c r="M45"/>
  <c r="M44"/>
  <c r="M43"/>
  <c r="M42"/>
  <c r="E41"/>
  <c r="F41" s="1"/>
  <c r="D41"/>
  <c r="M40"/>
  <c r="F40"/>
  <c r="E40"/>
  <c r="E39"/>
  <c r="F39" s="1"/>
  <c r="D39"/>
  <c r="E38"/>
  <c r="F38" s="1"/>
  <c r="D38"/>
  <c r="M37"/>
  <c r="L37"/>
  <c r="L38" s="1"/>
  <c r="E37"/>
  <c r="F37" s="1"/>
  <c r="D37"/>
  <c r="M36"/>
  <c r="D36"/>
  <c r="E36" s="1"/>
  <c r="F36" s="1"/>
  <c r="M35"/>
  <c r="E35"/>
  <c r="F35" s="1"/>
  <c r="I35" s="1"/>
  <c r="K35" s="1"/>
  <c r="D35"/>
  <c r="M34"/>
  <c r="D34"/>
  <c r="E34" s="1"/>
  <c r="F34" s="1"/>
  <c r="I34" s="1"/>
  <c r="K34" s="1"/>
  <c r="E30"/>
  <c r="E29"/>
  <c r="E28"/>
  <c r="E27"/>
  <c r="E26"/>
  <c r="E25"/>
  <c r="E24"/>
  <c r="E23"/>
  <c r="E22"/>
  <c r="E21"/>
  <c r="E20"/>
  <c r="E19"/>
  <c r="E18"/>
  <c r="E17"/>
  <c r="E16"/>
  <c r="D16"/>
  <c r="E15"/>
  <c r="E14"/>
  <c r="D14"/>
  <c r="E13"/>
  <c r="D12"/>
  <c r="E12" s="1"/>
  <c r="E11"/>
  <c r="E10"/>
  <c r="D10"/>
  <c r="E9"/>
  <c r="J14" s="1"/>
  <c r="E8"/>
  <c r="E7"/>
  <c r="E6"/>
  <c r="E5"/>
  <c r="J12" s="1"/>
  <c r="O32" i="4"/>
  <c r="N32"/>
  <c r="P32" s="1"/>
  <c r="O31"/>
  <c r="P31" s="1"/>
  <c r="N31"/>
  <c r="O30"/>
  <c r="N30"/>
  <c r="P30" s="1"/>
  <c r="O29"/>
  <c r="P29" s="1"/>
  <c r="N29"/>
  <c r="O23"/>
  <c r="P23" s="1"/>
  <c r="N23"/>
  <c r="O22"/>
  <c r="N22"/>
  <c r="P22" s="1"/>
  <c r="O21"/>
  <c r="P21" s="1"/>
  <c r="N21"/>
  <c r="O20"/>
  <c r="N20"/>
  <c r="P20" s="1"/>
  <c r="P26" s="1"/>
  <c r="O14"/>
  <c r="N14"/>
  <c r="P14" s="1"/>
  <c r="O13"/>
  <c r="P13" s="1"/>
  <c r="N13"/>
  <c r="O12"/>
  <c r="N12"/>
  <c r="P12" s="1"/>
  <c r="O11"/>
  <c r="P11" s="1"/>
  <c r="N11"/>
  <c r="B9"/>
  <c r="D7"/>
  <c r="N6"/>
  <c r="O6" s="1"/>
  <c r="D6"/>
  <c r="D5"/>
  <c r="D9" s="1"/>
  <c r="J4"/>
  <c r="D232" i="3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126" s="1"/>
  <c r="Y2"/>
  <c r="M68" i="2"/>
  <c r="M67"/>
  <c r="M66"/>
  <c r="N65"/>
  <c r="O65" s="1"/>
  <c r="M65"/>
  <c r="M60"/>
  <c r="M59"/>
  <c r="N57"/>
  <c r="M52"/>
  <c r="M51"/>
  <c r="M49"/>
  <c r="M44"/>
  <c r="M43"/>
  <c r="M42"/>
  <c r="N41"/>
  <c r="O41" s="1"/>
  <c r="M41"/>
  <c r="M36"/>
  <c r="M35"/>
  <c r="C35"/>
  <c r="B35"/>
  <c r="M34"/>
  <c r="C34"/>
  <c r="N33"/>
  <c r="M33"/>
  <c r="O33" s="1"/>
  <c r="D33"/>
  <c r="B33"/>
  <c r="C33" s="1"/>
  <c r="N19" s="1"/>
  <c r="O19" s="1"/>
  <c r="C32"/>
  <c r="N49" s="1"/>
  <c r="O49" s="1"/>
  <c r="B30"/>
  <c r="D29"/>
  <c r="M28"/>
  <c r="D28"/>
  <c r="M27"/>
  <c r="D27"/>
  <c r="M26"/>
  <c r="D26"/>
  <c r="C26" s="1"/>
  <c r="N9" s="1"/>
  <c r="N25"/>
  <c r="O25" s="1"/>
  <c r="M25"/>
  <c r="C25"/>
  <c r="N67" s="1"/>
  <c r="O67" s="1"/>
  <c r="T24"/>
  <c r="S24" s="1"/>
  <c r="R24"/>
  <c r="M75" s="1"/>
  <c r="C24"/>
  <c r="T23"/>
  <c r="R23"/>
  <c r="C23"/>
  <c r="C22"/>
  <c r="N44" s="1"/>
  <c r="O44" s="1"/>
  <c r="R21"/>
  <c r="C21"/>
  <c r="M20"/>
  <c r="C20"/>
  <c r="N34" s="1"/>
  <c r="O34" s="1"/>
  <c r="T19"/>
  <c r="S19" s="1"/>
  <c r="R19"/>
  <c r="M50" s="1"/>
  <c r="M19"/>
  <c r="C19"/>
  <c r="N28" s="1"/>
  <c r="O28" s="1"/>
  <c r="T18"/>
  <c r="S18"/>
  <c r="R18"/>
  <c r="N18"/>
  <c r="M18"/>
  <c r="O18" s="1"/>
  <c r="D18"/>
  <c r="C18"/>
  <c r="T17"/>
  <c r="R17"/>
  <c r="S17" s="1"/>
  <c r="N17"/>
  <c r="O17" s="1"/>
  <c r="M17"/>
  <c r="C17"/>
  <c r="N20" s="1"/>
  <c r="O20" s="1"/>
  <c r="T16"/>
  <c r="S16" s="1"/>
  <c r="R16"/>
  <c r="D16"/>
  <c r="T15"/>
  <c r="S15" s="1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M9"/>
  <c r="C9"/>
  <c r="R8"/>
  <c r="S8" s="1"/>
  <c r="C8"/>
  <c r="R7"/>
  <c r="S7" s="1"/>
  <c r="C7"/>
  <c r="R6"/>
  <c r="T6" s="1"/>
  <c r="E6"/>
  <c r="D6"/>
  <c r="R5"/>
  <c r="T5" s="1"/>
  <c r="D5"/>
  <c r="C40" i="1"/>
  <c r="B38"/>
  <c r="B39" s="1"/>
  <c r="C37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N6" s="1"/>
  <c r="B23"/>
  <c r="B42" s="1"/>
  <c r="D22"/>
  <c r="R21"/>
  <c r="N21"/>
  <c r="D21"/>
  <c r="T20"/>
  <c r="S20"/>
  <c r="O29" s="1"/>
  <c r="P29" s="1"/>
  <c r="R20"/>
  <c r="N29" s="1"/>
  <c r="N20"/>
  <c r="C20"/>
  <c r="T19"/>
  <c r="S19" s="1"/>
  <c r="R19"/>
  <c r="N19" s="1"/>
  <c r="C19"/>
  <c r="D19" s="1"/>
  <c r="T10" s="1"/>
  <c r="S10" s="1"/>
  <c r="O18"/>
  <c r="P18" s="1"/>
  <c r="N18"/>
  <c r="D18"/>
  <c r="C18"/>
  <c r="S17"/>
  <c r="R17"/>
  <c r="D17"/>
  <c r="T16"/>
  <c r="R16"/>
  <c r="D16"/>
  <c r="R15"/>
  <c r="T15" s="1"/>
  <c r="D15"/>
  <c r="R14"/>
  <c r="T14" s="1"/>
  <c r="D14"/>
  <c r="T13"/>
  <c r="R13"/>
  <c r="S13" s="1"/>
  <c r="N13"/>
  <c r="D13"/>
  <c r="R12"/>
  <c r="T12" s="1"/>
  <c r="N12"/>
  <c r="E12"/>
  <c r="D12"/>
  <c r="R11"/>
  <c r="T11" s="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O3"/>
  <c r="O20" l="1"/>
  <c r="P20" s="1"/>
  <c r="O21"/>
  <c r="P21" s="1"/>
  <c r="O19"/>
  <c r="P19" s="1"/>
  <c r="J12"/>
  <c r="J13" s="1"/>
  <c r="J4"/>
  <c r="R22"/>
  <c r="D39"/>
  <c r="T22" s="1"/>
  <c r="T18"/>
  <c r="S18" s="1"/>
  <c r="R18"/>
  <c r="N10"/>
  <c r="P10" s="1"/>
  <c r="N51" i="2"/>
  <c r="O51" s="1"/>
  <c r="N52"/>
  <c r="O52" s="1"/>
  <c r="N50"/>
  <c r="O50" s="1"/>
  <c r="O6" i="1"/>
  <c r="N3" s="1"/>
  <c r="P3" s="1"/>
  <c r="O37"/>
  <c r="P37" s="1"/>
  <c r="O36"/>
  <c r="O35"/>
  <c r="O34"/>
  <c r="N76" i="2"/>
  <c r="N74"/>
  <c r="N75"/>
  <c r="O75" s="1"/>
  <c r="N73"/>
  <c r="O9"/>
  <c r="O14" s="1"/>
  <c r="N4"/>
  <c r="R32" i="1"/>
  <c r="P23"/>
  <c r="O22" i="2"/>
  <c r="O54"/>
  <c r="M38" i="5"/>
  <c r="L39"/>
  <c r="G9" i="20"/>
  <c r="K4"/>
  <c r="G9" i="25"/>
  <c r="K4"/>
  <c r="R38" i="28"/>
  <c r="T5"/>
  <c r="G12" i="29"/>
  <c r="K4"/>
  <c r="G9" i="30"/>
  <c r="K4"/>
  <c r="T5" i="1"/>
  <c r="O26"/>
  <c r="O27"/>
  <c r="O28"/>
  <c r="N34"/>
  <c r="N35"/>
  <c r="N36"/>
  <c r="D38"/>
  <c r="T21" s="1"/>
  <c r="N26" i="2"/>
  <c r="O26" s="1"/>
  <c r="O30" s="1"/>
  <c r="N27"/>
  <c r="O27" s="1"/>
  <c r="D30"/>
  <c r="T21" s="1"/>
  <c r="S21" s="1"/>
  <c r="B31"/>
  <c r="N35"/>
  <c r="O35" s="1"/>
  <c r="O38" s="1"/>
  <c r="N36"/>
  <c r="O36" s="1"/>
  <c r="N43"/>
  <c r="O43" s="1"/>
  <c r="N66"/>
  <c r="O66" s="1"/>
  <c r="O70" s="1"/>
  <c r="N68"/>
  <c r="O68" s="1"/>
  <c r="M74"/>
  <c r="M76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P35" i="4"/>
  <c r="E232" i="3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H37" i="5"/>
  <c r="H36"/>
  <c r="I36" s="1"/>
  <c r="K36" s="1"/>
  <c r="O7" i="8"/>
  <c r="P7" s="1"/>
  <c r="O6"/>
  <c r="P6" s="1"/>
  <c r="N26" i="1"/>
  <c r="N27"/>
  <c r="N28"/>
  <c r="N42" i="2"/>
  <c r="O42" s="1"/>
  <c r="O46" s="1"/>
  <c r="M73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K4" i="4"/>
  <c r="P6"/>
  <c r="G8"/>
  <c r="P17"/>
  <c r="I37" i="5"/>
  <c r="K37" s="1"/>
  <c r="I40"/>
  <c r="K40" s="1"/>
  <c r="O16" i="12"/>
  <c r="P16" s="1"/>
  <c r="O14"/>
  <c r="P14" s="1"/>
  <c r="S5" i="14"/>
  <c r="O8"/>
  <c r="P8" s="1"/>
  <c r="O6"/>
  <c r="P6" s="1"/>
  <c r="N17" i="24"/>
  <c r="N16"/>
  <c r="N14"/>
  <c r="B16"/>
  <c r="D15"/>
  <c r="T10" s="1"/>
  <c r="T9" i="26"/>
  <c r="V9" s="1"/>
  <c r="C9"/>
  <c r="N9"/>
  <c r="P9" s="1"/>
  <c r="N8"/>
  <c r="N7"/>
  <c r="N6"/>
  <c r="P6" i="28"/>
  <c r="N3"/>
  <c r="N17"/>
  <c r="N15"/>
  <c r="P6" i="32"/>
  <c r="E62" i="5"/>
  <c r="O8" i="8"/>
  <c r="P8" s="1"/>
  <c r="S5" i="9"/>
  <c r="T6"/>
  <c r="T17" s="1"/>
  <c r="O7"/>
  <c r="P7" s="1"/>
  <c r="P12" s="1"/>
  <c r="O8"/>
  <c r="P8" s="1"/>
  <c r="O9"/>
  <c r="P9" s="1"/>
  <c r="U5" i="10"/>
  <c r="O6"/>
  <c r="N7"/>
  <c r="P7" s="1"/>
  <c r="O8"/>
  <c r="O9"/>
  <c r="P9" s="1"/>
  <c r="R14"/>
  <c r="O6" i="11"/>
  <c r="P6" s="1"/>
  <c r="O8"/>
  <c r="P8" s="1"/>
  <c r="S8" i="12"/>
  <c r="R13"/>
  <c r="O15"/>
  <c r="P15" s="1"/>
  <c r="O17"/>
  <c r="P17" s="1"/>
  <c r="T15" i="13"/>
  <c r="O9" i="14"/>
  <c r="P9" s="1"/>
  <c r="D14" i="16"/>
  <c r="G13" s="1"/>
  <c r="P11" i="17"/>
  <c r="O8" i="19"/>
  <c r="O9"/>
  <c r="T20" i="21"/>
  <c r="P16" i="24"/>
  <c r="P17"/>
  <c r="B18"/>
  <c r="J4" s="1"/>
  <c r="O7" i="26"/>
  <c r="P7" s="1"/>
  <c r="O8"/>
  <c r="P8" s="1"/>
  <c r="D19"/>
  <c r="G18" s="1"/>
  <c r="N9" i="28"/>
  <c r="N25"/>
  <c r="N24" i="14"/>
  <c r="N22"/>
  <c r="N17"/>
  <c r="N16"/>
  <c r="P16" s="1"/>
  <c r="O15"/>
  <c r="P15" s="1"/>
  <c r="O14"/>
  <c r="O9" i="15"/>
  <c r="P9" s="1"/>
  <c r="O7"/>
  <c r="P7" s="1"/>
  <c r="N9" i="16"/>
  <c r="P9" s="1"/>
  <c r="N8"/>
  <c r="N6"/>
  <c r="P6" s="1"/>
  <c r="P12" s="1"/>
  <c r="J4"/>
  <c r="K4" s="1"/>
  <c r="N9" i="19"/>
  <c r="N8"/>
  <c r="N6"/>
  <c r="R20" i="21"/>
  <c r="N8"/>
  <c r="S5" i="24"/>
  <c r="N17" i="26"/>
  <c r="P17" s="1"/>
  <c r="N16"/>
  <c r="N15"/>
  <c r="N14"/>
  <c r="O9" i="27"/>
  <c r="P9" s="1"/>
  <c r="O7"/>
  <c r="P7" s="1"/>
  <c r="B36" i="28"/>
  <c r="J4" s="1"/>
  <c r="D5"/>
  <c r="D36" s="1"/>
  <c r="G36" s="1"/>
  <c r="C33"/>
  <c r="T20"/>
  <c r="T6" i="8"/>
  <c r="T13" s="1"/>
  <c r="N6" i="10"/>
  <c r="N8"/>
  <c r="K4" i="11"/>
  <c r="O7"/>
  <c r="P7" s="1"/>
  <c r="P9" i="12"/>
  <c r="N14" i="14"/>
  <c r="O17"/>
  <c r="P17" s="1"/>
  <c r="N25"/>
  <c r="R37"/>
  <c r="O6" i="15"/>
  <c r="P6" s="1"/>
  <c r="O8"/>
  <c r="P8" s="1"/>
  <c r="R13" i="16"/>
  <c r="U5"/>
  <c r="P8"/>
  <c r="T8"/>
  <c r="S8" s="1"/>
  <c r="K4" i="18"/>
  <c r="O6" i="19"/>
  <c r="P6" s="1"/>
  <c r="S6" i="21"/>
  <c r="N7"/>
  <c r="P8"/>
  <c r="D37" i="23"/>
  <c r="O6"/>
  <c r="P6" s="1"/>
  <c r="R21"/>
  <c r="R37" s="1"/>
  <c r="B37"/>
  <c r="J4" s="1"/>
  <c r="P14" i="24"/>
  <c r="N15"/>
  <c r="P15" s="1"/>
  <c r="K4" i="26"/>
  <c r="T22"/>
  <c r="O6"/>
  <c r="P6" s="1"/>
  <c r="V8"/>
  <c r="O14"/>
  <c r="P14" s="1"/>
  <c r="O15"/>
  <c r="P15" s="1"/>
  <c r="O16"/>
  <c r="P16" s="1"/>
  <c r="O6" i="27"/>
  <c r="P6" s="1"/>
  <c r="P11" s="1"/>
  <c r="O8"/>
  <c r="P8" s="1"/>
  <c r="P3" i="28"/>
  <c r="P9"/>
  <c r="S13"/>
  <c r="S15"/>
  <c r="N16"/>
  <c r="N24"/>
  <c r="K4" i="31"/>
  <c r="P9" i="32"/>
  <c r="O7"/>
  <c r="P7" s="1"/>
  <c r="O6" i="34"/>
  <c r="P6" s="1"/>
  <c r="O8"/>
  <c r="P8" s="1"/>
  <c r="O9"/>
  <c r="P9" s="1"/>
  <c r="N8" i="12"/>
  <c r="P8" s="1"/>
  <c r="P11" s="1"/>
  <c r="O7" i="13"/>
  <c r="P7" s="1"/>
  <c r="P12" s="1"/>
  <c r="O8"/>
  <c r="P8" s="1"/>
  <c r="T8" i="14"/>
  <c r="T37" s="1"/>
  <c r="O6" i="18"/>
  <c r="P6" s="1"/>
  <c r="P11" s="1"/>
  <c r="O8"/>
  <c r="P8" s="1"/>
  <c r="O6" i="20"/>
  <c r="P6" s="1"/>
  <c r="P11" s="1"/>
  <c r="O8"/>
  <c r="P8" s="1"/>
  <c r="O7" i="21"/>
  <c r="P7" s="1"/>
  <c r="P11" s="1"/>
  <c r="T6" i="24"/>
  <c r="O6" i="25"/>
  <c r="P6" s="1"/>
  <c r="P11" s="1"/>
  <c r="O8"/>
  <c r="P8" s="1"/>
  <c r="O6" i="29"/>
  <c r="P6" s="1"/>
  <c r="P11" s="1"/>
  <c r="O7"/>
  <c r="P7" s="1"/>
  <c r="O6" i="30"/>
  <c r="P6" s="1"/>
  <c r="P11" s="1"/>
  <c r="O8"/>
  <c r="P8" s="1"/>
  <c r="S5" i="31"/>
  <c r="O8"/>
  <c r="P8" s="1"/>
  <c r="P11" s="1"/>
  <c r="S5" i="32"/>
  <c r="T5" s="1"/>
  <c r="T35" s="1"/>
  <c r="W35" s="1"/>
  <c r="O6" i="33"/>
  <c r="P6" s="1"/>
  <c r="O8"/>
  <c r="P8" s="1"/>
  <c r="O16" i="28" l="1"/>
  <c r="P16" s="1"/>
  <c r="O17"/>
  <c r="P17" s="1"/>
  <c r="O15"/>
  <c r="P15" s="1"/>
  <c r="P19" s="1"/>
  <c r="M57" i="2"/>
  <c r="O57" s="1"/>
  <c r="D31"/>
  <c r="T22" s="1"/>
  <c r="T20"/>
  <c r="R20"/>
  <c r="R22"/>
  <c r="M39" i="5"/>
  <c r="L41"/>
  <c r="M41" s="1"/>
  <c r="O13" i="1"/>
  <c r="P13" s="1"/>
  <c r="O12"/>
  <c r="P12" s="1"/>
  <c r="O11"/>
  <c r="S21" i="23"/>
  <c r="P8" i="19"/>
  <c r="P8" i="10"/>
  <c r="P6"/>
  <c r="P11" s="1"/>
  <c r="P11" i="32"/>
  <c r="P11" i="8"/>
  <c r="P28" i="1"/>
  <c r="P26"/>
  <c r="T38" i="28"/>
  <c r="W38" s="1"/>
  <c r="O76" i="2"/>
  <c r="P35" i="1"/>
  <c r="B37" i="2"/>
  <c r="D37"/>
  <c r="G36" s="1"/>
  <c r="O25" i="28"/>
  <c r="P25" s="1"/>
  <c r="O24"/>
  <c r="P24" s="1"/>
  <c r="O26"/>
  <c r="P26" s="1"/>
  <c r="R9" i="24"/>
  <c r="D16"/>
  <c r="O25" i="14"/>
  <c r="P25" s="1"/>
  <c r="O23"/>
  <c r="P23" s="1"/>
  <c r="O22"/>
  <c r="P22" s="1"/>
  <c r="P27" s="1"/>
  <c r="O24"/>
  <c r="P24" s="1"/>
  <c r="H41" i="5"/>
  <c r="I41" s="1"/>
  <c r="K41" s="1"/>
  <c r="H38"/>
  <c r="M4" i="2"/>
  <c r="O4" s="1"/>
  <c r="P11" i="33"/>
  <c r="P11" i="34"/>
  <c r="P19" i="26"/>
  <c r="P11"/>
  <c r="P20" i="24"/>
  <c r="G37" i="23"/>
  <c r="T13" i="16"/>
  <c r="P11" i="15"/>
  <c r="K4" i="28"/>
  <c r="P14" i="14"/>
  <c r="P19" s="1"/>
  <c r="P9" i="19"/>
  <c r="P11" s="1"/>
  <c r="P12" i="11"/>
  <c r="N3" i="32"/>
  <c r="O3"/>
  <c r="P11" i="28"/>
  <c r="P11" i="14"/>
  <c r="P19" i="12"/>
  <c r="P27" i="1"/>
  <c r="T32"/>
  <c r="D42"/>
  <c r="O73" i="2"/>
  <c r="O78" s="1"/>
  <c r="O74"/>
  <c r="P34" i="1"/>
  <c r="P39" s="1"/>
  <c r="P36"/>
  <c r="P6"/>
  <c r="N11"/>
  <c r="H39" i="5" l="1"/>
  <c r="I39" s="1"/>
  <c r="K39" s="1"/>
  <c r="I38"/>
  <c r="K38" s="1"/>
  <c r="T9" i="24"/>
  <c r="T17" s="1"/>
  <c r="D18"/>
  <c r="K14" i="5"/>
  <c r="M46"/>
  <c r="M58" i="2"/>
  <c r="R36"/>
  <c r="P11" i="1"/>
  <c r="P15" s="1"/>
  <c r="I42"/>
  <c r="G7"/>
  <c r="N8" i="24"/>
  <c r="P8" s="1"/>
  <c r="N6"/>
  <c r="P6" s="1"/>
  <c r="N9"/>
  <c r="P9" s="1"/>
  <c r="N7"/>
  <c r="P7" s="1"/>
  <c r="R17"/>
  <c r="J7" i="2"/>
  <c r="J8" s="1"/>
  <c r="J4"/>
  <c r="K4" s="1"/>
  <c r="S20"/>
  <c r="T36"/>
  <c r="P3" i="32"/>
  <c r="P28" i="28"/>
  <c r="K4" i="1"/>
  <c r="P31"/>
  <c r="N60" i="2" l="1"/>
  <c r="O60" s="1"/>
  <c r="N58"/>
  <c r="O58" s="1"/>
  <c r="N59"/>
  <c r="O59" s="1"/>
  <c r="G17" i="24"/>
  <c r="K4"/>
  <c r="P11"/>
  <c r="J13" i="5"/>
  <c r="O46" l="1"/>
  <c r="P46" s="1"/>
  <c r="J15"/>
  <c r="J16" s="1"/>
  <c r="O62" i="2"/>
</calcChain>
</file>

<file path=xl/sharedStrings.xml><?xml version="1.0" encoding="utf-8"?>
<sst xmlns="http://schemas.openxmlformats.org/spreadsheetml/2006/main" count="697" uniqueCount="88">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</sst>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75826688"/>
        <c:axId val="75828608"/>
      </c:lineChart>
      <c:dateAx>
        <c:axId val="75826688"/>
        <c:scaling>
          <c:orientation val="minMax"/>
        </c:scaling>
        <c:axPos val="b"/>
        <c:numFmt formatCode="dd/mm/yy;@" sourceLinked="1"/>
        <c:majorTickMark val="none"/>
        <c:tickLblPos val="nextTo"/>
        <c:crossAx val="75828608"/>
        <c:crosses val="autoZero"/>
        <c:lblOffset val="100"/>
      </c:dateAx>
      <c:valAx>
        <c:axId val="75828608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582668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topLeftCell="A2" workbookViewId="0">
      <selection activeCell="B12" sqref="B12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1838.990491113005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945.08091797040356</v>
      </c>
      <c r="K4" s="4">
        <f>(J4/D42-1)</f>
        <v>-0.33594601497895971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2769.3388377975584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4.8457300000000003E-3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3.5230127999999999E-2</v>
      </c>
      <c r="O11" s="39">
        <f>($S$18*Params!K16)</f>
        <v>3288.5662778103597</v>
      </c>
      <c r="P11" s="23">
        <f>(O11*N11)</f>
        <v>115.85661090374253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4.8457300000000003E-3</v>
      </c>
      <c r="C12" s="40">
        <v>0</v>
      </c>
      <c r="D12" s="26">
        <f t="shared" si="0"/>
        <v>0</v>
      </c>
      <c r="E12" s="38">
        <f>(B12*J3)</f>
        <v>8.9112513925010219</v>
      </c>
      <c r="I12" t="s">
        <v>13</v>
      </c>
      <c r="J12">
        <f>(J11-B42)</f>
        <v>8.6087110000000022E-2</v>
      </c>
      <c r="N12">
        <f>($B$35/5)</f>
        <v>1.9937563999999998E-2</v>
      </c>
      <c r="O12" s="39">
        <f>($S$18*Params!K17)</f>
        <v>6577.1325556207194</v>
      </c>
      <c r="P12" s="23">
        <f>(O12*N12)</f>
        <v>131.13200126417163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158.31337669739932</v>
      </c>
      <c r="N13">
        <f>($B$35/5)</f>
        <v>1.9937563999999998E-2</v>
      </c>
      <c r="O13" s="39">
        <f>($S$18*Params!K18)</f>
        <v>13154.265111241439</v>
      </c>
      <c r="P13" s="23">
        <f>(O13*N13)</f>
        <v>262.26400252834327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516.70783969625745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9.504282E-2</v>
      </c>
      <c r="S18" s="39">
        <f>(T18/R18)</f>
        <v>1644.2831389051798</v>
      </c>
      <c r="T18" s="23">
        <f>(D35+1283.68*B39)</f>
        <v>156.27730640000001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7.3857359999999995E-3</v>
      </c>
      <c r="O19" s="39">
        <f>($S$19*Params!K16)</f>
        <v>3381.3233025165664</v>
      </c>
      <c r="P19" s="23">
        <f>(O19*N19)</f>
        <v>24.973561243035494</v>
      </c>
      <c r="R19" s="24">
        <f>(B36+B38)</f>
        <v>1.9521839999999999E-2</v>
      </c>
      <c r="S19" s="39">
        <f>(T19/R19)</f>
        <v>1690.6616512582832</v>
      </c>
      <c r="T19" s="23">
        <f>(D36+1269.75*B38)</f>
        <v>33.004826250000001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4.0453679999999997E-3</v>
      </c>
      <c r="O20" s="39">
        <f>($S$19*Params!K17)</f>
        <v>6762.6466050331328</v>
      </c>
      <c r="P20" s="23">
        <f>(O20*N20)</f>
        <v>27.357394171309672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4.0453679999999997E-3</v>
      </c>
      <c r="O21" s="39">
        <f>($S$19*Params!K18)</f>
        <v>13525.293210066266</v>
      </c>
      <c r="P21" s="23">
        <f>(O21*N21)</f>
        <v>54.714788342619343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108.17726875696451</v>
      </c>
      <c r="R23" s="24">
        <f>(B40)</f>
        <v>4.1735929999999997E-2</v>
      </c>
      <c r="S23" s="39">
        <f>(T23/R23)</f>
        <v>1841.3391051786793</v>
      </c>
      <c r="T23" s="23">
        <f>(D40)</f>
        <v>76.849999999999994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0.51391289000000007</v>
      </c>
      <c r="T32" s="23">
        <f>(SUM(T5:T31))</f>
        <v>1423.1989255217841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8.3471859999999995E-3</v>
      </c>
      <c r="O34" s="39">
        <f>($S$23*Params!K15)</f>
        <v>2762.008657768019</v>
      </c>
      <c r="P34" s="23">
        <f>(O34*N34)</f>
        <v>23.055</v>
      </c>
    </row>
    <row r="35" spans="2:16">
      <c r="B35" s="24">
        <v>9.9687819999999996E-2</v>
      </c>
      <c r="C35" s="39">
        <f>(D35/B35)</f>
        <v>1627.4806691529618</v>
      </c>
      <c r="D35" s="23">
        <v>162.24</v>
      </c>
      <c r="E35" t="s">
        <v>10</v>
      </c>
      <c r="N35">
        <f>($R$23/5)</f>
        <v>8.3471859999999995E-3</v>
      </c>
      <c r="O35" s="39">
        <f>($S$23*Params!K16)</f>
        <v>3682.6782103573587</v>
      </c>
      <c r="P35" s="23">
        <f>(O35*N35)</f>
        <v>30.74</v>
      </c>
    </row>
    <row r="36" spans="2:16">
      <c r="B36" s="24">
        <v>2.0226839999999999E-2</v>
      </c>
      <c r="C36" s="39">
        <f>(D36/B36)</f>
        <v>1675.9909110864573</v>
      </c>
      <c r="D36" s="23">
        <v>33.9</v>
      </c>
      <c r="E36" t="s">
        <v>15</v>
      </c>
      <c r="N36">
        <f>($R$23/5)</f>
        <v>8.3471859999999995E-3</v>
      </c>
      <c r="O36" s="39">
        <f>($S$23*Params!K17)</f>
        <v>7365.3564207147174</v>
      </c>
      <c r="P36" s="23">
        <f>(O36*N36)</f>
        <v>61.48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8.3471859999999995E-3</v>
      </c>
      <c r="O37" s="39">
        <f>($S$23*Params!K18)</f>
        <v>14730.712841429435</v>
      </c>
      <c r="P37" s="23">
        <f>(O37*N37)</f>
        <v>122.96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238.23500000000001</v>
      </c>
    </row>
    <row r="40" spans="2:16">
      <c r="B40" s="24">
        <v>4.1735929999999997E-2</v>
      </c>
      <c r="C40" s="39">
        <f>(D40/B40)</f>
        <v>1841.3391051786793</v>
      </c>
      <c r="D40" s="23">
        <v>76.849999999999994</v>
      </c>
      <c r="E40" t="s">
        <v>18</v>
      </c>
    </row>
    <row r="42" spans="2:16">
      <c r="B42">
        <f>(SUM(B5:B41))</f>
        <v>0.51391288999999996</v>
      </c>
      <c r="D42" s="23">
        <f>(SUM(D5:D41))</f>
        <v>1423.1989255217843</v>
      </c>
      <c r="H42" t="s">
        <v>9</v>
      </c>
      <c r="I42" s="39">
        <f>D42/B42</f>
        <v>2769.3388377975584</v>
      </c>
    </row>
  </sheetData>
  <conditionalFormatting sqref="C5:C7 C11 C18:C24">
    <cfRule type="cellIs" dxfId="297" priority="37" operator="lessThan">
      <formula>$J$3</formula>
    </cfRule>
    <cfRule type="cellIs" dxfId="296" priority="38" operator="greaterThan">
      <formula>$J$3</formula>
    </cfRule>
  </conditionalFormatting>
  <conditionalFormatting sqref="C25">
    <cfRule type="cellIs" dxfId="295" priority="35" operator="lessThan">
      <formula>$J$3</formula>
    </cfRule>
    <cfRule type="cellIs" dxfId="294" priority="36" operator="greaterThan">
      <formula>$J$3</formula>
    </cfRule>
  </conditionalFormatting>
  <conditionalFormatting sqref="C27">
    <cfRule type="cellIs" dxfId="293" priority="33" operator="lessThan">
      <formula>$J$3</formula>
    </cfRule>
    <cfRule type="cellIs" dxfId="292" priority="34" operator="greaterThan">
      <formula>$J$3</formula>
    </cfRule>
  </conditionalFormatting>
  <conditionalFormatting sqref="C29">
    <cfRule type="cellIs" dxfId="291" priority="31" operator="lessThan">
      <formula>$J$3</formula>
    </cfRule>
    <cfRule type="cellIs" dxfId="290" priority="32" operator="greaterThan">
      <formula>$J$3</formula>
    </cfRule>
  </conditionalFormatting>
  <conditionalFormatting sqref="C31">
    <cfRule type="cellIs" dxfId="289" priority="29" operator="lessThan">
      <formula>$J$3</formula>
    </cfRule>
    <cfRule type="cellIs" dxfId="288" priority="30" operator="greaterThan">
      <formula>$J$3</formula>
    </cfRule>
  </conditionalFormatting>
  <conditionalFormatting sqref="C33">
    <cfRule type="cellIs" dxfId="287" priority="27" operator="lessThan">
      <formula>$J$3</formula>
    </cfRule>
    <cfRule type="cellIs" dxfId="286" priority="28" operator="greaterThan">
      <formula>$J$3</formula>
    </cfRule>
  </conditionalFormatting>
  <conditionalFormatting sqref="C35:C37">
    <cfRule type="cellIs" dxfId="285" priority="25" operator="lessThan">
      <formula>$J$3</formula>
    </cfRule>
    <cfRule type="cellIs" dxfId="284" priority="26" operator="greaterThan">
      <formula>$J$3</formula>
    </cfRule>
  </conditionalFormatting>
  <conditionalFormatting sqref="C40">
    <cfRule type="cellIs" dxfId="283" priority="23" operator="lessThan">
      <formula>$J$3</formula>
    </cfRule>
    <cfRule type="cellIs" dxfId="282" priority="24" operator="greaterThan">
      <formula>$J$3</formula>
    </cfRule>
  </conditionalFormatting>
  <conditionalFormatting sqref="I42">
    <cfRule type="cellIs" dxfId="281" priority="21" operator="lessThan">
      <formula>$J$3</formula>
    </cfRule>
    <cfRule type="cellIs" dxfId="280" priority="22" operator="greaterThan">
      <formula>$J$3</formula>
    </cfRule>
  </conditionalFormatting>
  <conditionalFormatting sqref="O11:O13">
    <cfRule type="cellIs" dxfId="279" priority="19" operator="lessThan">
      <formula>$J$3</formula>
    </cfRule>
    <cfRule type="cellIs" dxfId="278" priority="20" operator="greaterThan">
      <formula>$J$3</formula>
    </cfRule>
  </conditionalFormatting>
  <conditionalFormatting sqref="O19:O21">
    <cfRule type="cellIs" dxfId="277" priority="17" operator="lessThan">
      <formula>$J$3</formula>
    </cfRule>
    <cfRule type="cellIs" dxfId="276" priority="18" operator="greaterThan">
      <formula>$J$3</formula>
    </cfRule>
  </conditionalFormatting>
  <conditionalFormatting sqref="O26:O29">
    <cfRule type="cellIs" dxfId="275" priority="15" operator="lessThan">
      <formula>$J$3</formula>
    </cfRule>
    <cfRule type="cellIs" dxfId="274" priority="16" operator="greaterThan">
      <formula>$J$3</formula>
    </cfRule>
  </conditionalFormatting>
  <conditionalFormatting sqref="O34:O37">
    <cfRule type="cellIs" dxfId="273" priority="13" operator="lessThan">
      <formula>$J$3</formula>
    </cfRule>
    <cfRule type="cellIs" dxfId="272" priority="14" operator="greaterThan">
      <formula>$J$3</formula>
    </cfRule>
  </conditionalFormatting>
  <conditionalFormatting sqref="N6">
    <cfRule type="cellIs" dxfId="271" priority="11" operator="lessThan">
      <formula>$J$3</formula>
    </cfRule>
    <cfRule type="cellIs" dxfId="270" priority="12" operator="greaterThan">
      <formula>$J$3</formula>
    </cfRule>
  </conditionalFormatting>
  <conditionalFormatting sqref="O3">
    <cfRule type="cellIs" dxfId="269" priority="9" operator="greaterThan">
      <formula>$J$3</formula>
    </cfRule>
    <cfRule type="cellIs" dxfId="268" priority="10" operator="lessThan">
      <formula>$J$3</formula>
    </cfRule>
  </conditionalFormatting>
  <conditionalFormatting sqref="S5:S7">
    <cfRule type="cellIs" dxfId="267" priority="7" operator="lessThan">
      <formula>$J$3</formula>
    </cfRule>
    <cfRule type="cellIs" dxfId="266" priority="8" operator="greaterThan">
      <formula>$J$3</formula>
    </cfRule>
  </conditionalFormatting>
  <conditionalFormatting sqref="S10:S15">
    <cfRule type="cellIs" dxfId="265" priority="5" operator="lessThan">
      <formula>$J$3</formula>
    </cfRule>
    <cfRule type="cellIs" dxfId="264" priority="6" operator="greaterThan">
      <formula>$J$3</formula>
    </cfRule>
  </conditionalFormatting>
  <conditionalFormatting sqref="S18:S20">
    <cfRule type="cellIs" dxfId="263" priority="3" operator="lessThan">
      <formula>$J$3</formula>
    </cfRule>
    <cfRule type="cellIs" dxfId="262" priority="4" operator="greaterThan">
      <formula>$J$3</formula>
    </cfRule>
  </conditionalFormatting>
  <conditionalFormatting sqref="S23">
    <cfRule type="cellIs" dxfId="261" priority="1" operator="lessThan">
      <formula>$J$3</formula>
    </cfRule>
    <cfRule type="cellIs" dxfId="260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O38" sqref="O3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1.984516174035198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18.770072289959241</v>
      </c>
      <c r="K4" s="4">
        <f>(J4/D14-1)</f>
        <v>-0.44319669777841719</v>
      </c>
      <c r="R4" t="s">
        <v>5</v>
      </c>
      <c r="S4" t="s">
        <v>6</v>
      </c>
      <c r="T4" t="s">
        <v>7</v>
      </c>
    </row>
    <row r="5" spans="2:21">
      <c r="B5" s="29">
        <v>8.9386146600000007</v>
      </c>
      <c r="C5" s="38">
        <f>(D5/B5)</f>
        <v>3.7925339987751521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0.45370477999999997</v>
      </c>
      <c r="S5" s="40">
        <v>0</v>
      </c>
      <c r="T5" s="26">
        <f>(D6)</f>
        <v>0</v>
      </c>
      <c r="U5" s="38">
        <f>(R5*J3)</f>
        <v>0.90038447414708112</v>
      </c>
    </row>
    <row r="6" spans="2:21">
      <c r="B6" s="36">
        <v>0.45370477999999997</v>
      </c>
      <c r="C6" s="40">
        <v>0</v>
      </c>
      <c r="D6" s="26">
        <f>(B6*C6)</f>
        <v>0</v>
      </c>
      <c r="E6" s="38">
        <f>(B6*J3)</f>
        <v>0.90038447414708112</v>
      </c>
      <c r="M6" t="s">
        <v>11</v>
      </c>
      <c r="N6" s="29">
        <f>(SUM(R5:R7)/5)</f>
        <v>1.8916522360000001</v>
      </c>
      <c r="O6" s="38">
        <f>($C$5*Params!K8)</f>
        <v>4.9302941984076982</v>
      </c>
      <c r="P6" s="38">
        <f>(O6*N6)</f>
        <v>9.3264020445557509</v>
      </c>
      <c r="R6" s="29">
        <f>(B5)</f>
        <v>8.9386146600000007</v>
      </c>
      <c r="S6" s="38">
        <f>(T6/R6)</f>
        <v>3.7925339987751521</v>
      </c>
      <c r="T6" s="38">
        <f>(D5)</f>
        <v>33.9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1.8916522360000001</v>
      </c>
      <c r="O7" s="38">
        <f>($C$5*Params!K9)</f>
        <v>6.0680543980402435</v>
      </c>
      <c r="P7" s="38">
        <f>(O7*N7)</f>
        <v>11.47864867022246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0.32044403957402368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1.8916522360000001</v>
      </c>
      <c r="O8" s="38">
        <f>($C$5*Params!K10)</f>
        <v>8.3435747973053349</v>
      </c>
      <c r="P8" s="38">
        <f>(O8*N8)</f>
        <v>15.783141921555885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1.8916522360000001</v>
      </c>
      <c r="O9" s="38">
        <f>($C$5*Params!K11)</f>
        <v>15.170135995100608</v>
      </c>
      <c r="P9" s="38">
        <f>(O9*N9)</f>
        <v>28.696621675556152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65.284814311890244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3.5641242897037437</v>
      </c>
    </row>
    <row r="14" spans="2:21">
      <c r="B14" s="29">
        <f>(SUM(B5:B13))</f>
        <v>9.4582611800000027</v>
      </c>
      <c r="D14" s="38">
        <f>(SUM(D5:D13))</f>
        <v>33.710418410000003</v>
      </c>
      <c r="R14" s="29">
        <f>(SUM(R5:R13))</f>
        <v>9.4582611800000009</v>
      </c>
      <c r="T14" s="38">
        <f>(SUM(T5:T13))</f>
        <v>33.710418409999996</v>
      </c>
    </row>
    <row r="22" spans="4:4">
      <c r="D22" s="29"/>
    </row>
  </sheetData>
  <conditionalFormatting sqref="C5 C7:C12">
    <cfRule type="cellIs" dxfId="197" priority="7" operator="lessThan">
      <formula>$J$3</formula>
    </cfRule>
    <cfRule type="cellIs" dxfId="196" priority="8" operator="greaterThan">
      <formula>$J$3</formula>
    </cfRule>
  </conditionalFormatting>
  <conditionalFormatting sqref="O6:O9">
    <cfRule type="cellIs" dxfId="195" priority="5" operator="lessThan">
      <formula>$J$3</formula>
    </cfRule>
    <cfRule type="cellIs" dxfId="194" priority="6" operator="greaterThan">
      <formula>$J$3</formula>
    </cfRule>
  </conditionalFormatting>
  <conditionalFormatting sqref="S6:S7">
    <cfRule type="cellIs" dxfId="193" priority="3" operator="lessThan">
      <formula>$J$3</formula>
    </cfRule>
    <cfRule type="cellIs" dxfId="192" priority="4" operator="greaterThan">
      <formula>$J$3</formula>
    </cfRule>
  </conditionalFormatting>
  <conditionalFormatting sqref="G13">
    <cfRule type="cellIs" dxfId="191" priority="1" operator="lessThan">
      <formula>$J$3</formula>
    </cfRule>
    <cfRule type="cellIs" dxfId="190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8.4306991000934612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10.225354747885998</v>
      </c>
      <c r="K4" s="4">
        <f>(J4/D14-1)</f>
        <v>-6.4468916021409139E-2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0.74136254621475561</v>
      </c>
      <c r="M6" t="s">
        <v>11</v>
      </c>
      <c r="N6" s="1">
        <f>(SUM($B$5:$B$7)/5)</f>
        <v>0.24257430200000002</v>
      </c>
      <c r="O6" s="38">
        <f>($C$5*Params!K8)</f>
        <v>12.800900900900901</v>
      </c>
      <c r="P6" s="38">
        <f>(O6*N6)</f>
        <v>3.1051696010072076</v>
      </c>
    </row>
    <row r="7" spans="2:16">
      <c r="B7" s="36">
        <v>1.4935439999999999E-2</v>
      </c>
      <c r="C7" s="40">
        <v>0</v>
      </c>
      <c r="D7" s="26">
        <f>(C7*B7)</f>
        <v>0</v>
      </c>
      <c r="E7" s="38">
        <f>(B7*J4)</f>
        <v>0.15272017231576646</v>
      </c>
      <c r="N7" s="1">
        <f>(SUM($B$5:$B$7)/5)</f>
        <v>0.24257430200000002</v>
      </c>
      <c r="O7" s="38">
        <f>($C$5*Params!K9)</f>
        <v>15.754954954954954</v>
      </c>
      <c r="P7" s="38">
        <f>(O7*N7)</f>
        <v>3.8217472012396398</v>
      </c>
    </row>
    <row r="8" spans="2:16">
      <c r="N8" s="1">
        <f>(SUM($B$5:$B$7)/5)</f>
        <v>0.24257430200000002</v>
      </c>
      <c r="O8" s="38">
        <f>($C$5*Params!K10)</f>
        <v>21.663063063063063</v>
      </c>
      <c r="P8" s="38">
        <f>(O8*N8)</f>
        <v>5.2549024017045047</v>
      </c>
    </row>
    <row r="9" spans="2:16">
      <c r="N9" s="1">
        <f>(SUM($B$5:$B$7)/5)</f>
        <v>0.24257430200000002</v>
      </c>
      <c r="O9" s="38">
        <f>($C$5*Params!K11)</f>
        <v>39.387387387387385</v>
      </c>
      <c r="P9" s="38">
        <f>(O9*N9)</f>
        <v>9.5543680030990998</v>
      </c>
    </row>
    <row r="12" spans="2:16">
      <c r="P12" s="38">
        <f>(SUM(P6:P9))</f>
        <v>21.736187207050452</v>
      </c>
    </row>
    <row r="13" spans="2:16">
      <c r="F13" t="s">
        <v>9</v>
      </c>
      <c r="G13" s="38">
        <f>(D14/B14)</f>
        <v>9.0116718134470801</v>
      </c>
    </row>
    <row r="14" spans="2:16">
      <c r="B14" s="19">
        <f>(SUM(B5:B13))</f>
        <v>1.21287151</v>
      </c>
      <c r="D14" s="38">
        <f>(SUM(D5:D13))</f>
        <v>10.93</v>
      </c>
    </row>
  </sheetData>
  <conditionalFormatting sqref="C5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O6:O9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12.238597104939119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33.408194180535062</v>
      </c>
      <c r="K4" s="4">
        <f>(J4/D13-1)</f>
        <v>-0.20751682591643295</v>
      </c>
      <c r="R4" t="s">
        <v>5</v>
      </c>
      <c r="S4" t="s">
        <v>6</v>
      </c>
      <c r="T4" t="s">
        <v>7</v>
      </c>
    </row>
    <row r="5" spans="2:22">
      <c r="B5" s="24">
        <v>2.13841035</v>
      </c>
      <c r="C5" s="38">
        <f>(D5/B5)</f>
        <v>15.85289745721629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1.139862E-2</v>
      </c>
      <c r="S5" s="40">
        <v>0</v>
      </c>
      <c r="T5" s="26">
        <f>(D6)</f>
        <v>0</v>
      </c>
      <c r="U5" s="38">
        <f>(R5*J3)</f>
        <v>0.13950311773230115</v>
      </c>
    </row>
    <row r="6" spans="2:22">
      <c r="B6" s="25">
        <v>1.139862E-2</v>
      </c>
      <c r="C6" s="40">
        <v>0</v>
      </c>
      <c r="D6" s="26">
        <f>(B6*C6)</f>
        <v>0</v>
      </c>
      <c r="E6" s="38">
        <f>(B6*J3)</f>
        <v>0.13950311773230115</v>
      </c>
      <c r="M6" t="s">
        <v>11</v>
      </c>
      <c r="N6" s="24">
        <f>($B$5+$R$7)/5</f>
        <v>0.43414148600000002</v>
      </c>
      <c r="O6" s="38">
        <f>($C$5*Params!K8)</f>
        <v>20.608766694381178</v>
      </c>
      <c r="P6" s="38">
        <f>(O6*N6)</f>
        <v>8.9471205973259522</v>
      </c>
      <c r="R6" s="24">
        <f>B5</f>
        <v>2.13841035</v>
      </c>
      <c r="S6" s="38">
        <f>(T6/R6)</f>
        <v>15.85289745721629</v>
      </c>
      <c r="T6" s="38">
        <f>D5</f>
        <v>33.9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0.43414148600000002</v>
      </c>
      <c r="O7" s="38">
        <f>($C$5*Params!K9)</f>
        <v>25.364635931546065</v>
      </c>
      <c r="P7" s="38">
        <f>(O7*N7)</f>
        <v>11.011840735170404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0.59892583978598668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0.43414148600000002</v>
      </c>
      <c r="O8" s="38">
        <f>($C$5*Params!K10)</f>
        <v>34.876374405875843</v>
      </c>
      <c r="P8" s="38">
        <f>(O8*N8)</f>
        <v>15.141281010859306</v>
      </c>
      <c r="R8" s="24">
        <f>(B10)</f>
        <v>0.54763444999999999</v>
      </c>
      <c r="S8" s="38">
        <f>(T8/R8)</f>
        <v>15.448261153037397</v>
      </c>
      <c r="T8" s="38">
        <f>(D10)</f>
        <v>8.4600000000000009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0.43414148600000002</v>
      </c>
      <c r="O9" s="38">
        <f>($C$5*Params!K11)</f>
        <v>63.411589828865161</v>
      </c>
      <c r="P9" s="38">
        <f>(O9*N9)</f>
        <v>27.529601837926009</v>
      </c>
    </row>
    <row r="10" spans="2:22">
      <c r="B10" s="24">
        <v>0.54763444999999999</v>
      </c>
      <c r="C10" s="38">
        <f>(D10/B10)</f>
        <v>15.448261153037397</v>
      </c>
      <c r="D10" s="38">
        <v>8.4600000000000009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62.629844181281669</v>
      </c>
    </row>
    <row r="12" spans="2:22">
      <c r="F12" t="s">
        <v>9</v>
      </c>
      <c r="G12" s="38">
        <f>(D13/B13)</f>
        <v>15.443352622712672</v>
      </c>
    </row>
    <row r="13" spans="2:22">
      <c r="B13" s="24">
        <f>(SUM(B5:B12))</f>
        <v>2.7297405000000001</v>
      </c>
      <c r="D13" s="38">
        <f>(SUM(D5:D12))</f>
        <v>42.156345110000004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2.7297405000000001</v>
      </c>
      <c r="T13" s="38">
        <f>(SUM(T5:T12))</f>
        <v>42.156345109999997</v>
      </c>
    </row>
    <row r="14" spans="2:22">
      <c r="M14" t="s">
        <v>11</v>
      </c>
      <c r="N14" s="24">
        <f>($B$10)/5</f>
        <v>0.10952689</v>
      </c>
      <c r="O14" s="38">
        <f>($C$10*Params!K8)</f>
        <v>20.082739498948616</v>
      </c>
      <c r="P14" s="38">
        <f>(O14*N14)</f>
        <v>2.1996000000000002</v>
      </c>
    </row>
    <row r="15" spans="2:22">
      <c r="N15" s="24">
        <f>($B$10)/5</f>
        <v>0.10952689</v>
      </c>
      <c r="O15" s="38">
        <f>($C$10*Params!K9)</f>
        <v>24.717217844859835</v>
      </c>
      <c r="P15" s="38">
        <f>(O15*N15)</f>
        <v>2.7072000000000003</v>
      </c>
    </row>
    <row r="16" spans="2:22">
      <c r="N16" s="24">
        <f>($B$10)/5</f>
        <v>0.10952689</v>
      </c>
      <c r="O16" s="38">
        <f>($C$10*Params!K10)</f>
        <v>33.986174536682277</v>
      </c>
      <c r="P16" s="38">
        <f>(O16*N16)</f>
        <v>3.7224000000000008</v>
      </c>
    </row>
    <row r="17" spans="14:16">
      <c r="N17" s="24">
        <f>($B$10)/5</f>
        <v>0.10952689</v>
      </c>
      <c r="O17" s="38">
        <f>($C$10*Params!K11)</f>
        <v>61.793044612149586</v>
      </c>
      <c r="P17" s="38">
        <f>(O17*N17)</f>
        <v>6.7680000000000007</v>
      </c>
    </row>
    <row r="19" spans="14:16">
      <c r="P19" s="38">
        <f>(SUM(P14:P17))</f>
        <v>15.397200000000002</v>
      </c>
    </row>
  </sheetData>
  <conditionalFormatting sqref="C5 C9:C11 G12 O6:O9 O14:O17 S6">
    <cfRule type="cellIs" dxfId="183" priority="17" operator="lessThan">
      <formula>$J$3</formula>
    </cfRule>
    <cfRule type="cellIs" dxfId="182" priority="18" operator="greaterThan">
      <formula>$J$3</formula>
    </cfRule>
  </conditionalFormatting>
  <conditionalFormatting sqref="S8">
    <cfRule type="cellIs" dxfId="181" priority="11" operator="lessThan">
      <formula>$J$3</formula>
    </cfRule>
    <cfRule type="cellIs" dxfId="180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2.3770466394810079E-3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2.2707599434442871</v>
      </c>
      <c r="K4" s="4">
        <f>(J4/D13-1)</f>
        <v>-0.19822356728862267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9" priority="17" operator="lessThan">
      <formula>$J$3</formula>
    </cfRule>
    <cfRule type="cellIs" dxfId="178" priority="18" operator="greaterThan">
      <formula>$J$3</formula>
    </cfRule>
  </conditionalFormatting>
  <conditionalFormatting sqref="C9:C11">
    <cfRule type="cellIs" dxfId="177" priority="15" operator="lessThan">
      <formula>$J$3</formula>
    </cfRule>
    <cfRule type="cellIs" dxfId="176" priority="16" operator="greaterThan">
      <formula>$J$3</formula>
    </cfRule>
    <cfRule type="cellIs" dxfId="175" priority="13" operator="lessThan">
      <formula>$J$3</formula>
    </cfRule>
    <cfRule type="cellIs" dxfId="174" priority="14" operator="greaterThan">
      <formula>$J$3</formula>
    </cfRule>
  </conditionalFormatting>
  <conditionalFormatting sqref="O6:O9">
    <cfRule type="cellIs" dxfId="173" priority="11" operator="lessThan">
      <formula>$J$3</formula>
    </cfRule>
    <cfRule type="cellIs" dxfId="172" priority="12" operator="greaterThan">
      <formula>$J$3</formula>
    </cfRule>
    <cfRule type="cellIs" dxfId="171" priority="9" operator="lessThan">
      <formula>$J$3</formula>
    </cfRule>
    <cfRule type="cellIs" dxfId="170" priority="10" operator="greaterThan">
      <formula>$J$3</formula>
    </cfRule>
  </conditionalFormatting>
  <conditionalFormatting sqref="S5">
    <cfRule type="cellIs" dxfId="169" priority="7" operator="lessThan">
      <formula>$J$3</formula>
    </cfRule>
    <cfRule type="cellIs" dxfId="168" priority="8" operator="greaterThan">
      <formula>$J$3</formula>
    </cfRule>
    <cfRule type="cellIs" dxfId="167" priority="5" operator="lessThan">
      <formula>$J$3</formula>
    </cfRule>
    <cfRule type="cellIs" dxfId="166" priority="6" operator="greaterThan">
      <formula>$J$3</formula>
    </cfRule>
  </conditionalFormatting>
  <conditionalFormatting sqref="G12">
    <cfRule type="cellIs" dxfId="165" priority="3" operator="lessThan">
      <formula>$J$3</formula>
    </cfRule>
    <cfRule type="cellIs" dxfId="164" priority="4" operator="greaterThan">
      <formula>$J$3</formula>
    </cfRule>
    <cfRule type="cellIs" dxfId="163" priority="1" operator="lessThan">
      <formula>$J$3</formula>
    </cfRule>
    <cfRule type="cellIs" dxfId="162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1" sqref="B11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238.93804343758319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141.38304516913692</v>
      </c>
      <c r="K4" s="4">
        <f>(J4/D17-1)</f>
        <v>-0.1764339404222619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9.3164712000000011E-2</v>
      </c>
      <c r="O6" s="38">
        <f>($S$8*Params!K8)</f>
        <v>384.53830029550244</v>
      </c>
      <c r="P6" s="38">
        <f>(O6*N6)</f>
        <v>35.825400000000002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5.6150440207832046E-2</v>
      </c>
      <c r="N7" s="24">
        <f>($R$8/5)</f>
        <v>9.3164712000000011E-2</v>
      </c>
      <c r="O7" s="38">
        <f>($S$8*Params!K9)</f>
        <v>473.27790805600301</v>
      </c>
      <c r="P7" s="38">
        <f>(O7*N7)</f>
        <v>44.092800000000004</v>
      </c>
      <c r="R7" s="51">
        <f>(B7+B8+B10)</f>
        <v>1.6517400000000001E-3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2.2694335365701652E-2</v>
      </c>
      <c r="N8" s="24">
        <f>($R$8/5)</f>
        <v>9.3164712000000011E-2</v>
      </c>
      <c r="O8" s="38">
        <f>($S$8*Params!K10)</f>
        <v>650.75712357700411</v>
      </c>
      <c r="P8" s="38">
        <f>(O8*N8)</f>
        <v>60.627600000000001</v>
      </c>
      <c r="R8" s="51">
        <f>(B11)</f>
        <v>0.46582356000000003</v>
      </c>
      <c r="S8" s="38">
        <f>(C11)</f>
        <v>295.79869253500186</v>
      </c>
      <c r="T8" s="38">
        <f>(R8*S8)</f>
        <v>137.79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9.3164712000000011E-2</v>
      </c>
      <c r="O9" s="38">
        <f>($S$8*Params!K11)</f>
        <v>1183.1947701400074</v>
      </c>
      <c r="P9" s="38">
        <f>(O9*N9)</f>
        <v>110.232</v>
      </c>
      <c r="R9" s="51">
        <f>(B12)</f>
        <v>0.11449458999999999</v>
      </c>
      <c r="S9" s="38">
        <f>(C12)</f>
        <v>296.08385863471801</v>
      </c>
      <c r="T9" s="38">
        <f>(R9*S9)</f>
        <v>33.9</v>
      </c>
      <c r="U9" t="s">
        <v>15</v>
      </c>
    </row>
    <row r="10" spans="2:21">
      <c r="B10" s="52">
        <v>1.3217599999999999E-3</v>
      </c>
      <c r="C10" s="40">
        <v>0</v>
      </c>
      <c r="D10" s="26">
        <v>0</v>
      </c>
      <c r="E10" s="38">
        <f>(B10*J3)</f>
        <v>0.31581874829405993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0.46582356000000003</v>
      </c>
      <c r="C11" s="38">
        <f>(D11/B11)</f>
        <v>295.79869253500186</v>
      </c>
      <c r="D11" s="38">
        <v>137.79</v>
      </c>
      <c r="E11" t="s">
        <v>10</v>
      </c>
      <c r="P11" s="38">
        <f>(SUM(P6:P9))</f>
        <v>250.77780000000001</v>
      </c>
    </row>
    <row r="12" spans="2:21">
      <c r="B12" s="51">
        <v>0.11449458999999999</v>
      </c>
      <c r="C12" s="38">
        <f>(D12/B12)</f>
        <v>296.08385863471801</v>
      </c>
      <c r="D12" s="38">
        <v>33.9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2.2898917999999997E-2</v>
      </c>
      <c r="O14" s="38">
        <f>($S$9*Params!K8)</f>
        <v>384.90901622513343</v>
      </c>
      <c r="P14" s="38">
        <f>(O14*N14)</f>
        <v>8.8139999999999983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2.2898917999999997E-2</v>
      </c>
      <c r="O15" s="38">
        <f>($S$9*Params!K9)</f>
        <v>473.73417381554884</v>
      </c>
      <c r="P15" s="38">
        <f>(O15*N15)</f>
        <v>10.847999999999999</v>
      </c>
    </row>
    <row r="16" spans="2:21">
      <c r="N16" s="24">
        <f>($R$9/5)</f>
        <v>2.2898917999999997E-2</v>
      </c>
      <c r="O16" s="38">
        <f>($S$9*Params!K10)</f>
        <v>651.38448899637967</v>
      </c>
      <c r="P16" s="38">
        <f>(O16*N16)</f>
        <v>14.915999999999999</v>
      </c>
    </row>
    <row r="17" spans="2:16">
      <c r="B17" s="51">
        <f>(SUM(B5:B16))</f>
        <v>0.59171424999999989</v>
      </c>
      <c r="D17" s="38">
        <f>(SUM(D5:D16))</f>
        <v>171.67177243999998</v>
      </c>
      <c r="F17" t="s">
        <v>9</v>
      </c>
      <c r="G17" s="38">
        <f>(SUM(D5:D16)/SUM(B5:B16))</f>
        <v>290.12614186661892</v>
      </c>
      <c r="N17" s="24">
        <f>($R$9/5)</f>
        <v>2.2898917999999997E-2</v>
      </c>
      <c r="O17" s="38">
        <f>($S$9*Params!K11)</f>
        <v>1184.3354345388721</v>
      </c>
      <c r="P17" s="38">
        <f>(O17*N17)</f>
        <v>27.119999999999997</v>
      </c>
    </row>
    <row r="18" spans="2:16">
      <c r="P18" s="38"/>
    </row>
    <row r="19" spans="2:16">
      <c r="P19" s="38">
        <f>(SUM(P14:P17))</f>
        <v>61.697999999999993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7.9389599999999999E-4</v>
      </c>
      <c r="O22" s="38">
        <f>($S$5*Params!K8)</f>
        <v>323.96134165178148</v>
      </c>
      <c r="P22" s="38">
        <f>(O22*N22)</f>
        <v>0.2571916132919827</v>
      </c>
    </row>
    <row r="23" spans="2:16">
      <c r="N23" s="24">
        <f>(($R$5+$R$7)/5)</f>
        <v>7.9389599999999999E-4</v>
      </c>
      <c r="O23" s="38">
        <f>($S$5*Params!K9)</f>
        <v>398.72165126373102</v>
      </c>
      <c r="P23" s="38">
        <f>(O23*N23)</f>
        <v>0.31654352405167102</v>
      </c>
    </row>
    <row r="24" spans="2:16">
      <c r="N24" s="24">
        <f>(($R$5+$R$7)/5)</f>
        <v>7.9389599999999999E-4</v>
      </c>
      <c r="O24" s="38">
        <f>($S$5*Params!K10)</f>
        <v>548.24227048763021</v>
      </c>
      <c r="P24" s="38">
        <f>(O24*N24)</f>
        <v>0.43524734557104766</v>
      </c>
    </row>
    <row r="25" spans="2:16">
      <c r="N25" s="24">
        <f>(($R$5+$R$7)/5)</f>
        <v>7.9389599999999999E-4</v>
      </c>
      <c r="O25" s="38">
        <f>($S$5*Params!K11)</f>
        <v>996.80412815932755</v>
      </c>
      <c r="P25" s="38">
        <f>(O25*N25)</f>
        <v>0.79135881012917753</v>
      </c>
    </row>
    <row r="26" spans="2:16">
      <c r="P26" s="38"/>
    </row>
    <row r="27" spans="2:16">
      <c r="P27" s="38">
        <f>(SUM(P22:P25))</f>
        <v>1.8003412930438789</v>
      </c>
    </row>
    <row r="37" spans="18:20">
      <c r="R37" s="51">
        <f>(SUM(R5:R27))</f>
        <v>0.59171425</v>
      </c>
      <c r="T37" s="38">
        <f>(SUM(T5:T27))</f>
        <v>171.67177243999998</v>
      </c>
    </row>
  </sheetData>
  <conditionalFormatting sqref="C5:C6 C9 C11:C14 O6:O9 O14 S5:S6 S8:S9">
    <cfRule type="cellIs" dxfId="161" priority="9" operator="lessThan">
      <formula>$J$3</formula>
    </cfRule>
    <cfRule type="cellIs" dxfId="160" priority="10" operator="greaterThan">
      <formula>$J$3</formula>
    </cfRule>
  </conditionalFormatting>
  <conditionalFormatting sqref="O15:O17">
    <cfRule type="cellIs" dxfId="159" priority="5" operator="lessThan">
      <formula>$J$3</formula>
    </cfRule>
    <cfRule type="cellIs" dxfId="158" priority="6" operator="greaterThan">
      <formula>$J$3</formula>
    </cfRule>
  </conditionalFormatting>
  <conditionalFormatting sqref="O22:O25">
    <cfRule type="cellIs" dxfId="157" priority="3" operator="lessThan">
      <formula>$J$3</formula>
    </cfRule>
    <cfRule type="cellIs" dxfId="156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7.3739952032152403E-2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4.5241076258318493</v>
      </c>
      <c r="K4" s="4">
        <f>(J4/D13-1)</f>
        <v>-9.5178474833630178E-2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0.23307267000000001</v>
      </c>
      <c r="C6" s="40">
        <v>0</v>
      </c>
      <c r="D6" s="26">
        <f>(B6*C6)</f>
        <v>0</v>
      </c>
      <c r="E6" s="38">
        <f>(B6*J3)</f>
        <v>1.7186767505805688E-2</v>
      </c>
      <c r="M6" t="s">
        <v>11</v>
      </c>
      <c r="N6" s="29">
        <f>($B$13/5)</f>
        <v>12.270438211999998</v>
      </c>
      <c r="O6" s="38">
        <f>($C$5*Params!K8)</f>
        <v>0.10634970155367125</v>
      </c>
      <c r="P6" s="38">
        <f>(O6*N6)</f>
        <v>1.3049574417789633</v>
      </c>
    </row>
    <row r="7" spans="2:16">
      <c r="N7" s="29">
        <f>($B$13/5)</f>
        <v>12.270438211999998</v>
      </c>
      <c r="O7" s="38">
        <f>($C$5*Params!K9)</f>
        <v>0.13089194037374924</v>
      </c>
      <c r="P7" s="38">
        <f>(O7*N7)</f>
        <v>1.6061014668048781</v>
      </c>
    </row>
    <row r="8" spans="2:16">
      <c r="N8" s="29">
        <f>($B$13/5)</f>
        <v>12.270438211999998</v>
      </c>
      <c r="O8" s="38">
        <f>($C$5*Params!K10)</f>
        <v>0.17997641801390521</v>
      </c>
      <c r="P8" s="38">
        <f>(O8*N8)</f>
        <v>2.2083895168567071</v>
      </c>
    </row>
    <row r="9" spans="2:16">
      <c r="N9" s="29">
        <f>($B$13/5)</f>
        <v>12.270438211999998</v>
      </c>
      <c r="O9" s="38">
        <f>($C$5*Params!K11)</f>
        <v>0.32722985093437307</v>
      </c>
      <c r="P9" s="38">
        <f>(O9*N9)</f>
        <v>4.0152536670121943</v>
      </c>
    </row>
    <row r="11" spans="2:16">
      <c r="P11" s="38">
        <f>(SUM(P6:P9))</f>
        <v>9.1347020924527431</v>
      </c>
    </row>
    <row r="12" spans="2:16">
      <c r="F12" t="s">
        <v>9</v>
      </c>
      <c r="G12" s="38">
        <f>(D13/B13)</f>
        <v>8.1496681921436179E-2</v>
      </c>
    </row>
    <row r="13" spans="2:16">
      <c r="B13" s="29">
        <f>(SUM(B5:B12))</f>
        <v>61.352191059999996</v>
      </c>
      <c r="D13" s="38">
        <f>(SUM(D5:D12))</f>
        <v>5</v>
      </c>
    </row>
  </sheetData>
  <conditionalFormatting sqref="O6:O9">
    <cfRule type="cellIs" dxfId="155" priority="5" operator="lessThan">
      <formula>$J$3</formula>
    </cfRule>
    <cfRule type="cellIs" dxfId="154" priority="6" operator="greaterThan">
      <formula>$J$3</formula>
    </cfRule>
  </conditionalFormatting>
  <conditionalFormatting sqref="C5">
    <cfRule type="cellIs" dxfId="153" priority="3" operator="lessThan">
      <formula>$J$3</formula>
    </cfRule>
    <cfRule type="cellIs" dxfId="152" priority="4" operator="greaterThan">
      <formula>$J$3</formula>
    </cfRule>
  </conditionalFormatting>
  <conditionalFormatting sqref="G12">
    <cfRule type="cellIs" dxfId="151" priority="1" operator="lessThan">
      <formula>$J$3</formula>
    </cfRule>
    <cfRule type="cellIs" dxfId="15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4.9492877552575454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29.866587674668743</v>
      </c>
      <c r="K4" s="4">
        <f>(J4/D14-1)</f>
        <v>-0.12656349863017458</v>
      </c>
      <c r="R4" t="s">
        <v>5</v>
      </c>
      <c r="S4" t="s">
        <v>6</v>
      </c>
      <c r="T4" t="s">
        <v>7</v>
      </c>
    </row>
    <row r="5" spans="2:21">
      <c r="B5" s="24">
        <v>5.9158040099999996</v>
      </c>
      <c r="C5" s="38">
        <f>(D5/B5)</f>
        <v>5.7304129654558995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3.0936910000000001E-2</v>
      </c>
      <c r="S5" s="40">
        <v>0</v>
      </c>
      <c r="T5" s="26">
        <f>(D6)</f>
        <v>0</v>
      </c>
      <c r="U5">
        <f>(R5*J3)</f>
        <v>0.15311566984850472</v>
      </c>
    </row>
    <row r="6" spans="2:21">
      <c r="B6" s="25">
        <v>3.0936910000000001E-2</v>
      </c>
      <c r="C6" s="40">
        <v>0</v>
      </c>
      <c r="D6" s="26">
        <f>(B6*C6)</f>
        <v>0</v>
      </c>
      <c r="E6" s="38">
        <f>(B6*J3)</f>
        <v>0.15311566984850472</v>
      </c>
      <c r="M6" t="s">
        <v>11</v>
      </c>
      <c r="N6" s="24">
        <f>($B$14/5)</f>
        <v>1.2069044740000001</v>
      </c>
      <c r="O6" s="38">
        <f>($S$6*Params!K8)</f>
        <v>7.4495368550926697</v>
      </c>
      <c r="P6" s="38">
        <f>(O6*N6)</f>
        <v>8.9908793596392336</v>
      </c>
      <c r="R6" s="24">
        <f>B5</f>
        <v>5.9158040099999996</v>
      </c>
      <c r="S6" s="38">
        <f>(T6/R6)</f>
        <v>5.7304129654558995</v>
      </c>
      <c r="T6" s="38">
        <f>D5</f>
        <v>33.9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1.2069044740000001</v>
      </c>
      <c r="O7" s="38">
        <f>($S$6*Params!K9)</f>
        <v>9.1686607447294399</v>
      </c>
      <c r="P7" s="38">
        <f>(O7*N7)</f>
        <v>11.065697673402134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1.2069044740000001</v>
      </c>
      <c r="O8" s="38">
        <f>($C$5*Params!K10)</f>
        <v>12.60690852400298</v>
      </c>
      <c r="P8" s="38">
        <f>(O8*N8)</f>
        <v>15.215334300927935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1.2069044740000001</v>
      </c>
      <c r="O9" s="38">
        <f>($C$5*Params!K11)</f>
        <v>22.921651861823598</v>
      </c>
      <c r="P9" s="38">
        <f>(O9*N9)</f>
        <v>27.664244183505332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62.936155517474631</v>
      </c>
    </row>
    <row r="13" spans="2:21">
      <c r="F13" t="s">
        <v>9</v>
      </c>
      <c r="G13" s="38">
        <f>(D14/B14)</f>
        <v>5.6664539980817059</v>
      </c>
      <c r="N13" s="24"/>
      <c r="P13" s="38"/>
      <c r="R13" s="24">
        <f>(SUM(R5:R12))</f>
        <v>6.0345223699999995</v>
      </c>
      <c r="T13" s="38">
        <f>(SUM(T5:T12))</f>
        <v>34.194343410000002</v>
      </c>
    </row>
    <row r="14" spans="2:21">
      <c r="B14">
        <f>(SUM(B5:B13))</f>
        <v>6.0345223700000004</v>
      </c>
      <c r="D14" s="38">
        <f>(SUM(D5:D13))</f>
        <v>34.194343409999995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9" priority="15" operator="lessThan">
      <formula>$J$3</formula>
    </cfRule>
    <cfRule type="cellIs" dxfId="148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30.47817270700105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3.7629165791274777</v>
      </c>
      <c r="K4" s="4">
        <f>(J4/D13-1)</f>
        <v>-0.27636219632163894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2.6150000000000001E-3</v>
      </c>
      <c r="C6" s="40">
        <v>0</v>
      </c>
      <c r="D6" s="26">
        <f>(B6*C6)</f>
        <v>0</v>
      </c>
      <c r="E6" s="38">
        <f>(B6*J3)</f>
        <v>7.9700421628807749E-2</v>
      </c>
      <c r="M6" t="s">
        <v>11</v>
      </c>
      <c r="N6" s="24">
        <f>($B$13/5)</f>
        <v>2.4692534000000002E-2</v>
      </c>
      <c r="O6" s="38">
        <f>($C$5*Params!K8)</f>
        <v>55.939</v>
      </c>
      <c r="P6" s="38">
        <f>(O6*N6)</f>
        <v>1.3812756594260001</v>
      </c>
    </row>
    <row r="7" spans="2:16">
      <c r="N7" s="24">
        <f>($B$13/5)</f>
        <v>2.4692534000000002E-2</v>
      </c>
      <c r="O7" s="38">
        <f>($C$5*Params!K9)</f>
        <v>68.847999999999999</v>
      </c>
      <c r="P7" s="38">
        <f>(O7*N7)</f>
        <v>1.7000315808320001</v>
      </c>
    </row>
    <row r="8" spans="2:16">
      <c r="N8" s="24">
        <f>($B$13/5)</f>
        <v>2.4692534000000002E-2</v>
      </c>
      <c r="O8" s="38">
        <f>($C$5*Params!K10)</f>
        <v>94.666000000000011</v>
      </c>
      <c r="P8" s="38">
        <f>(O8*N8)</f>
        <v>2.3375434236440005</v>
      </c>
    </row>
    <row r="9" spans="2:16">
      <c r="N9" s="24">
        <f>($B$13/5)</f>
        <v>2.4692534000000002E-2</v>
      </c>
      <c r="O9" s="38">
        <f>($C$5*Params!K11)</f>
        <v>172.12</v>
      </c>
      <c r="P9" s="38">
        <f>(O9*N9)</f>
        <v>4.2500789520800009</v>
      </c>
    </row>
    <row r="11" spans="2:16">
      <c r="P11" s="38">
        <f>(SUM(P6:P9))</f>
        <v>9.6689296159820017</v>
      </c>
    </row>
    <row r="12" spans="2:16">
      <c r="F12" t="s">
        <v>9</v>
      </c>
      <c r="G12" s="38">
        <f>(D13/B13)</f>
        <v>42.117994046297554</v>
      </c>
    </row>
    <row r="13" spans="2:16">
      <c r="B13">
        <f>(SUM(B5:B12))</f>
        <v>0.12346267000000001</v>
      </c>
      <c r="D13" s="38">
        <f>(SUM(D5:D12))</f>
        <v>5.2</v>
      </c>
    </row>
  </sheetData>
  <conditionalFormatting sqref="C5">
    <cfRule type="cellIs" dxfId="147" priority="3" operator="lessThan">
      <formula>$J$3</formula>
    </cfRule>
    <cfRule type="cellIs" dxfId="146" priority="4" operator="greaterThan">
      <formula>$J$3</formula>
    </cfRule>
  </conditionalFormatting>
  <conditionalFormatting sqref="O6:O9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4.027919982052194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6.9032223449626784</v>
      </c>
      <c r="K4" s="4">
        <f>(J4/D10-1)</f>
        <v>-0.18976263556776074</v>
      </c>
    </row>
    <row r="5" spans="2:16">
      <c r="B5" s="1">
        <v>1.7125910200000001</v>
      </c>
      <c r="C5" s="38">
        <f>(D5/B5)</f>
        <v>4.9749180630411098</v>
      </c>
      <c r="D5" s="38">
        <v>8.52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1.2519499999999999E-3</v>
      </c>
      <c r="C6" s="40">
        <v>0</v>
      </c>
      <c r="D6" s="26">
        <f>(B6*C6)</f>
        <v>0</v>
      </c>
      <c r="E6" s="38">
        <f>(B6*J3)</f>
        <v>5.0427544215302439E-3</v>
      </c>
      <c r="M6" t="s">
        <v>11</v>
      </c>
      <c r="N6" s="24">
        <f>($B$10/5)</f>
        <v>0.34276859399999998</v>
      </c>
      <c r="O6" s="38">
        <f>($C$5*Params!K8)</f>
        <v>6.4673934819534429</v>
      </c>
      <c r="P6" s="38">
        <f>(O6*N6)</f>
        <v>2.2168193706539459</v>
      </c>
    </row>
    <row r="7" spans="2:16">
      <c r="N7" s="24">
        <f>($B$10/5)</f>
        <v>0.34276859399999998</v>
      </c>
      <c r="O7" s="38">
        <f>($C$5*Params!K9)</f>
        <v>7.9598689008657759</v>
      </c>
      <c r="P7" s="38">
        <f>(O7*N7)</f>
        <v>2.7283930715740872</v>
      </c>
    </row>
    <row r="8" spans="2:16">
      <c r="N8" s="24">
        <f>($B$10/5)</f>
        <v>0.34276859399999998</v>
      </c>
      <c r="O8" s="38">
        <f>($C$5*Params!K10)</f>
        <v>10.944819738690443</v>
      </c>
      <c r="P8" s="38">
        <f>(O8*N8)</f>
        <v>3.7515404734143702</v>
      </c>
    </row>
    <row r="9" spans="2:16">
      <c r="F9" t="s">
        <v>9</v>
      </c>
      <c r="G9" s="38">
        <f>(D10/B10)</f>
        <v>4.9712839210700848</v>
      </c>
      <c r="N9" s="24">
        <f>($B$10/5)</f>
        <v>0.34276859399999998</v>
      </c>
      <c r="O9" s="38">
        <f>($C$5*Params!K11)</f>
        <v>19.899672252164439</v>
      </c>
      <c r="P9" s="38">
        <f>(O9*N9)</f>
        <v>6.8209826789352181</v>
      </c>
    </row>
    <row r="10" spans="2:16">
      <c r="B10">
        <f>(SUM(B5:B9))</f>
        <v>1.71384297</v>
      </c>
      <c r="D10" s="38">
        <f>(SUM(D5:D9))</f>
        <v>8.52</v>
      </c>
    </row>
    <row r="11" spans="2:16">
      <c r="P11" s="38">
        <f>(SUM(P6:P9))</f>
        <v>15.517735594577621</v>
      </c>
    </row>
    <row r="12" spans="2:16">
      <c r="P12" s="38"/>
    </row>
  </sheetData>
  <conditionalFormatting sqref="C5">
    <cfRule type="cellIs" dxfId="143" priority="5" operator="lessThan">
      <formula>$J$3</formula>
    </cfRule>
    <cfRule type="cellIs" dxfId="142" priority="6" operator="greaterThan">
      <formula>$J$3</formula>
    </cfRule>
  </conditionalFormatting>
  <conditionalFormatting sqref="O6:O9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G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1.8116261887147911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8.2703009468022284</v>
      </c>
      <c r="K4" s="4">
        <f>(J4/D10-1)</f>
        <v>-0.18679440051108864</v>
      </c>
    </row>
    <row r="5" spans="2:16">
      <c r="B5" s="1">
        <v>4.5497915799999999</v>
      </c>
      <c r="C5" s="38">
        <f>(D5/B5)</f>
        <v>2.2352672251417722</v>
      </c>
      <c r="D5" s="38">
        <v>10.17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1.5333940000000001E-2</v>
      </c>
      <c r="C6" s="40">
        <v>0</v>
      </c>
      <c r="D6" s="26">
        <f>(B6*C6)</f>
        <v>0</v>
      </c>
      <c r="E6" s="38">
        <f>(B6*J3)</f>
        <v>2.7779367280181284E-2</v>
      </c>
      <c r="M6" t="s">
        <v>11</v>
      </c>
      <c r="N6" s="1">
        <f>($B$10/5)</f>
        <v>0.91302510399999992</v>
      </c>
      <c r="O6" s="38">
        <f>($C$5*Params!K8)</f>
        <v>2.9058473926843038</v>
      </c>
      <c r="P6" s="38">
        <f>(O6*N6)</f>
        <v>2.6531116179137153</v>
      </c>
    </row>
    <row r="7" spans="2:16">
      <c r="N7" s="1">
        <f>($B$10/5)</f>
        <v>0.91302510399999992</v>
      </c>
      <c r="O7" s="38">
        <f>($C$5*Params!K9)</f>
        <v>3.5764275602268358</v>
      </c>
      <c r="P7" s="38">
        <f>(O7*N7)</f>
        <v>3.2653681451245729</v>
      </c>
    </row>
    <row r="8" spans="2:16">
      <c r="N8" s="1">
        <f>($B$10/5)</f>
        <v>0.91302510399999992</v>
      </c>
      <c r="O8" s="38">
        <f>($C$5*Params!K10)</f>
        <v>4.9175878953118994</v>
      </c>
      <c r="P8" s="38">
        <f>(O8*N8)</f>
        <v>4.4898811995462875</v>
      </c>
    </row>
    <row r="9" spans="2:16">
      <c r="F9" t="s">
        <v>9</v>
      </c>
      <c r="G9" s="38">
        <f>(D10/B10)</f>
        <v>2.2277591175631026</v>
      </c>
      <c r="N9" s="1">
        <f>($B$10/5)</f>
        <v>0.91302510399999992</v>
      </c>
      <c r="O9" s="38">
        <f>($C$5*Params!K11)</f>
        <v>8.9410689005670889</v>
      </c>
      <c r="P9" s="38">
        <f>(O9*N9)</f>
        <v>8.163420362811431</v>
      </c>
    </row>
    <row r="10" spans="2:16">
      <c r="B10" s="1">
        <f>(SUM(B5:B9))</f>
        <v>4.5651255199999996</v>
      </c>
      <c r="D10" s="38">
        <f>(SUM(D5:D9))</f>
        <v>10.17</v>
      </c>
    </row>
    <row r="11" spans="2:16">
      <c r="P11" s="38">
        <f>(SUM(P6:P9))</f>
        <v>18.571781325396007</v>
      </c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9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B7" sqref="B7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29309.67325447085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854.39866452603371</v>
      </c>
      <c r="K4" s="4">
        <f>(J4/D37-1)</f>
        <v>0.23527214063851676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3.3212999999999998E-4</v>
      </c>
      <c r="C6" s="40">
        <v>0</v>
      </c>
      <c r="D6" s="26">
        <f>(B6*C6)</f>
        <v>0</v>
      </c>
      <c r="E6" s="38">
        <f>(B6*J3)</f>
        <v>9.7346217780074031</v>
      </c>
      <c r="I6" t="s">
        <v>11</v>
      </c>
      <c r="J6">
        <v>0.03</v>
      </c>
      <c r="R6" s="24">
        <f t="shared" si="0"/>
        <v>3.3212999999999998E-4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8.4925999999999405E-4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24.891533108091739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5.8598599999999997E-3</v>
      </c>
      <c r="S19" s="38">
        <f t="shared" si="2"/>
        <v>23161.986600362463</v>
      </c>
      <c r="T19" s="38">
        <f>(D23+17438.6*B32)</f>
        <v>135.72599879999999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1.3321299999999999E-3</v>
      </c>
      <c r="S20" s="38">
        <f t="shared" si="2"/>
        <v>24775.328907839328</v>
      </c>
      <c r="T20" s="38">
        <f>(D24+17211.7*B31)</f>
        <v>33.003958898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6.20186E-3</v>
      </c>
      <c r="C23" s="38">
        <f t="shared" si="3"/>
        <v>22846.371894883148</v>
      </c>
      <c r="D23" s="38">
        <v>141.69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1.38419E-3</v>
      </c>
      <c r="C24" s="38">
        <f t="shared" si="3"/>
        <v>24490.857468989085</v>
      </c>
      <c r="D24" s="38">
        <v>33.9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1.5915599999999999E-3</v>
      </c>
      <c r="S24" s="38">
        <f>(T24/R24)</f>
        <v>25855.135841564253</v>
      </c>
      <c r="T24" s="38">
        <f>(D34)</f>
        <v>41.15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1.5915599999999999E-3</v>
      </c>
      <c r="C34" s="38">
        <f>(D34/B34)</f>
        <v>25855.135841564253</v>
      </c>
      <c r="D34" s="38">
        <v>41.15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23727.300479164507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2.8421469999999994E-2</v>
      </c>
      <c r="T36" s="38">
        <f>(SUM(T5:T25))</f>
        <v>507.58980017000005</v>
      </c>
    </row>
    <row r="37" spans="2:20">
      <c r="B37">
        <f>(SUM(B5:B36))</f>
        <v>2.9150740000000005E-2</v>
      </c>
      <c r="D37" s="38">
        <f>(SUM(D5:D36))</f>
        <v>691.66836717000012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2.1387440000000001E-3</v>
      </c>
      <c r="N50" s="38">
        <f>($S$19*Params!K16)</f>
        <v>46323.973200724926</v>
      </c>
      <c r="O50" s="41">
        <f>(N50*M50)</f>
        <v>99.075119739211232</v>
      </c>
    </row>
    <row r="51" spans="12:16">
      <c r="M51">
        <f>($B$23/5)</f>
        <v>1.240372E-3</v>
      </c>
      <c r="N51" s="38">
        <f>($S$19*Params!K17)</f>
        <v>92647.946401449852</v>
      </c>
      <c r="O51" s="41">
        <f>(N51*M51)</f>
        <v>114.91791857385915</v>
      </c>
    </row>
    <row r="52" spans="12:16">
      <c r="M52">
        <f>($B$23/5)</f>
        <v>1.240372E-3</v>
      </c>
      <c r="N52" s="38">
        <f>($S$19*Params!K18)</f>
        <v>185295.8928028997</v>
      </c>
      <c r="O52" s="41">
        <f>(N52*M52)</f>
        <v>229.83583714771831</v>
      </c>
    </row>
    <row r="54" spans="12:16">
      <c r="O54" s="41">
        <f>(SUM(O49:O52))</f>
        <v>451.28447546078871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5.0161599999999998E-4</v>
      </c>
      <c r="N58" s="38">
        <f>($S$20*Params!K16)</f>
        <v>49550.657815678656</v>
      </c>
      <c r="O58" s="41">
        <f>(N58*M58)</f>
        <v>24.855402770869464</v>
      </c>
    </row>
    <row r="59" spans="12:16">
      <c r="M59">
        <f>($B$24/5)</f>
        <v>2.7683800000000001E-4</v>
      </c>
      <c r="N59" s="38">
        <f>($S$20*Params!K17)</f>
        <v>99101.315631357313</v>
      </c>
      <c r="O59" s="41">
        <f>(N59*M59)</f>
        <v>27.435010016753697</v>
      </c>
    </row>
    <row r="60" spans="12:16">
      <c r="M60">
        <f>($B$24/5)</f>
        <v>2.7683800000000001E-4</v>
      </c>
      <c r="N60" s="38">
        <f>($S$20*Params!K18)</f>
        <v>198202.63126271463</v>
      </c>
      <c r="O60" s="41">
        <f>(N60*M60)</f>
        <v>54.870020033507394</v>
      </c>
    </row>
    <row r="62" spans="12:16">
      <c r="O62" s="41">
        <f>(SUM(O57:O60))</f>
        <v>108.28284642113056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3.1831199999999996E-4</v>
      </c>
      <c r="N73" s="38">
        <f>($S$24*Params!K15)</f>
        <v>38782.703762346384</v>
      </c>
      <c r="O73" s="41">
        <f>(N73*M73)</f>
        <v>12.345000000000001</v>
      </c>
    </row>
    <row r="74" spans="12:16">
      <c r="M74">
        <f>($R$24/5)</f>
        <v>3.1831199999999996E-4</v>
      </c>
      <c r="N74" s="38">
        <f>($S$24*Params!K16)</f>
        <v>51710.271683128507</v>
      </c>
      <c r="O74" s="41">
        <f>(N74*M74)</f>
        <v>16.46</v>
      </c>
    </row>
    <row r="75" spans="12:16">
      <c r="M75">
        <f>($R$24/5)</f>
        <v>3.1831199999999996E-4</v>
      </c>
      <c r="N75" s="38">
        <f>($S$24*Params!K17)</f>
        <v>103420.54336625701</v>
      </c>
      <c r="O75" s="41">
        <f>(N75*M75)</f>
        <v>32.92</v>
      </c>
    </row>
    <row r="76" spans="12:16">
      <c r="M76">
        <f>($R$24/5)</f>
        <v>3.1831199999999996E-4</v>
      </c>
      <c r="N76" s="38">
        <f>($S$24*Params!K18)</f>
        <v>206841.08673251403</v>
      </c>
      <c r="O76" s="41">
        <f>(N76*M76)</f>
        <v>65.84</v>
      </c>
    </row>
    <row r="78" spans="12:16">
      <c r="O78" s="41">
        <f>(SUM(O73:O76))</f>
        <v>127.565</v>
      </c>
    </row>
  </sheetData>
  <conditionalFormatting sqref="C5 C7:C17 C19:C20 C22:C25 C34:C35 G36 N10:N12 N20 N26:N28 N34 S5 S7:S21 S24">
    <cfRule type="cellIs" dxfId="259" priority="45" operator="lessThan">
      <formula>$J$3</formula>
    </cfRule>
    <cfRule type="cellIs" dxfId="258" priority="46" operator="greaterThan">
      <formula>$J$3</formula>
    </cfRule>
  </conditionalFormatting>
  <conditionalFormatting sqref="N35:N36">
    <cfRule type="cellIs" dxfId="257" priority="19" operator="lessThan">
      <formula>$J$3</formula>
    </cfRule>
    <cfRule type="cellIs" dxfId="256" priority="20" operator="greaterThan">
      <formula>$J$3</formula>
    </cfRule>
  </conditionalFormatting>
  <conditionalFormatting sqref="N42:N44">
    <cfRule type="cellIs" dxfId="255" priority="17" operator="lessThan">
      <formula>$J$3</formula>
    </cfRule>
    <cfRule type="cellIs" dxfId="254" priority="18" operator="greaterThan">
      <formula>$J$3</formula>
    </cfRule>
  </conditionalFormatting>
  <conditionalFormatting sqref="N50:N52">
    <cfRule type="cellIs" dxfId="253" priority="15" operator="lessThan">
      <formula>$J$3</formula>
    </cfRule>
    <cfRule type="cellIs" dxfId="252" priority="16" operator="greaterThan">
      <formula>$J$3</formula>
    </cfRule>
  </conditionalFormatting>
  <conditionalFormatting sqref="N58:N60">
    <cfRule type="cellIs" dxfId="251" priority="13" operator="lessThan">
      <formula>$J$3</formula>
    </cfRule>
    <cfRule type="cellIs" dxfId="250" priority="14" operator="greaterThan">
      <formula>$J$3</formula>
    </cfRule>
  </conditionalFormatting>
  <conditionalFormatting sqref="N66:N68">
    <cfRule type="cellIs" dxfId="249" priority="11" operator="lessThan">
      <formula>$J$3</formula>
    </cfRule>
    <cfRule type="cellIs" dxfId="248" priority="12" operator="greaterThan">
      <formula>$J$3</formula>
    </cfRule>
  </conditionalFormatting>
  <conditionalFormatting sqref="N73:N76">
    <cfRule type="cellIs" dxfId="247" priority="9" operator="lessThan">
      <formula>$J$3</formula>
    </cfRule>
    <cfRule type="cellIs" dxfId="246" priority="10" operator="greaterThan">
      <formula>$J$3</formula>
    </cfRule>
  </conditionalFormatting>
  <conditionalFormatting sqref="N4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7.2812586011524827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8.9599095937846833</v>
      </c>
      <c r="K4" s="4">
        <f>(J4/D10-1)</f>
        <v>7.8208134029444487E-2</v>
      </c>
    </row>
    <row r="5" spans="2:16">
      <c r="B5" s="1">
        <v>1.22902635</v>
      </c>
      <c r="C5" s="38">
        <f>(D5/B5)</f>
        <v>6.7614498257095956</v>
      </c>
      <c r="D5" s="38">
        <v>8.31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1.51772E-3</v>
      </c>
      <c r="C6" s="40">
        <v>0</v>
      </c>
      <c r="D6" s="26">
        <f>(B6*C6)</f>
        <v>0</v>
      </c>
      <c r="E6" s="38">
        <f>(B6*J3)</f>
        <v>1.1050911804141146E-2</v>
      </c>
      <c r="M6" t="s">
        <v>11</v>
      </c>
      <c r="N6" s="24">
        <f>($B$10/5)</f>
        <v>0.24610881400000001</v>
      </c>
      <c r="O6" s="38">
        <f>($C$5*Params!K8)</f>
        <v>8.7898847734224752</v>
      </c>
      <c r="P6" s="38">
        <f>(O6*N6)</f>
        <v>2.163268116783664</v>
      </c>
    </row>
    <row r="7" spans="2:16">
      <c r="C7" s="38"/>
      <c r="D7" s="38"/>
      <c r="N7" s="24">
        <f>($B$10/5)</f>
        <v>0.24610881400000001</v>
      </c>
      <c r="O7" s="38">
        <f>($C$5*Params!K9)</f>
        <v>10.818319721135353</v>
      </c>
      <c r="P7" s="38">
        <f>(O7*N7)</f>
        <v>2.6624838360414325</v>
      </c>
    </row>
    <row r="8" spans="2:16">
      <c r="C8" s="38"/>
      <c r="D8" s="38"/>
      <c r="N8" s="24">
        <f>($B$10/5)</f>
        <v>0.24610881400000001</v>
      </c>
      <c r="O8" s="38">
        <f>($C$5*Params!K10)</f>
        <v>14.875189616561112</v>
      </c>
      <c r="P8" s="38">
        <f>(O8*N8)</f>
        <v>3.6609152745569702</v>
      </c>
    </row>
    <row r="9" spans="2:16">
      <c r="C9" s="38"/>
      <c r="D9" s="38"/>
      <c r="F9" t="s">
        <v>9</v>
      </c>
      <c r="G9" s="38">
        <f>(D10/B10)</f>
        <v>6.7531104351264721</v>
      </c>
      <c r="N9" s="24">
        <f>($B$10/5)</f>
        <v>0.24610881400000001</v>
      </c>
      <c r="O9" s="38">
        <f>($C$5*Params!K11)</f>
        <v>27.045799302838383</v>
      </c>
      <c r="P9" s="38">
        <f>(O9*N9)</f>
        <v>6.6562095901035816</v>
      </c>
    </row>
    <row r="10" spans="2:16">
      <c r="B10">
        <f>(SUM(B5:B9))</f>
        <v>1.2305440700000001</v>
      </c>
      <c r="C10" s="38"/>
      <c r="D10" s="38">
        <f>(SUM(D5:D9))</f>
        <v>8.31</v>
      </c>
      <c r="O10" s="38"/>
      <c r="P10" s="38"/>
    </row>
    <row r="11" spans="2:16">
      <c r="O11" s="38"/>
      <c r="P11" s="38">
        <f>(SUM(P6:P9))</f>
        <v>15.14287681748565</v>
      </c>
    </row>
  </sheetData>
  <conditionalFormatting sqref="O6:O9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C5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4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81.233696677755177</v>
      </c>
      <c r="M3" t="s">
        <v>4</v>
      </c>
      <c r="N3" s="24">
        <f>(INDEX(N5:N14,MATCH(MAX(O6),O5:O14,0))/0.9)</f>
        <v>3.4726666666666663E-2</v>
      </c>
      <c r="O3" s="39">
        <f>(MAX(O6)*0.85)</f>
        <v>77.56409154028286</v>
      </c>
      <c r="P3" s="38">
        <f>(O3*N3)</f>
        <v>2.6935423522222224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10.447992936417531</v>
      </c>
      <c r="K4" s="4">
        <f>(J4/D14-1)</f>
        <v>0.44192222367808087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6.3292000000000003E-4</v>
      </c>
      <c r="C6" s="40">
        <v>0</v>
      </c>
      <c r="D6" s="26">
        <f>(B6*C6)</f>
        <v>0</v>
      </c>
      <c r="E6" s="38">
        <f>(B6*J3)</f>
        <v>5.1414431301284806E-2</v>
      </c>
      <c r="M6" t="s">
        <v>11</v>
      </c>
      <c r="N6" s="51">
        <f>-B10</f>
        <v>3.1253999999999997E-2</v>
      </c>
      <c r="O6" s="38">
        <f>P6/N6</f>
        <v>91.251872400332772</v>
      </c>
      <c r="P6" s="38">
        <f>-D10</f>
        <v>2.85198602</v>
      </c>
      <c r="R6" s="2">
        <f>(B6)</f>
        <v>6.3292000000000003E-4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2" si="0">(D7/B7)</f>
        <v>68.808808808808806</v>
      </c>
      <c r="D7" s="38">
        <v>9.9672999999999998</v>
      </c>
      <c r="N7" s="51">
        <f>(SUM(R$5:R$8)/5)</f>
        <v>3.1974097999999999E-2</v>
      </c>
      <c r="O7" s="38">
        <f>($C$7*Params!K9)</f>
        <v>110.09409409409409</v>
      </c>
      <c r="P7" s="38">
        <f>(O7*N7)</f>
        <v>3.5201593537857856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3.1974097999999999E-2</v>
      </c>
      <c r="O8" s="38">
        <f>($C$7*Params!K10)</f>
        <v>151.37937937937937</v>
      </c>
      <c r="P8" s="38">
        <f>(O8*N8)</f>
        <v>4.8402191114554549</v>
      </c>
      <c r="R8" s="1">
        <f>(B8+B9)+B11+B12</f>
        <v>6.7759000000000014E-3</v>
      </c>
      <c r="S8" s="38">
        <v>0</v>
      </c>
      <c r="T8" s="38">
        <f>(D8+D9)+D11+D12</f>
        <v>-0.36943569000000043</v>
      </c>
      <c r="U8" s="39">
        <f>R8*J3-T8</f>
        <v>0.91986709531880184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3.1974097999999999E-2</v>
      </c>
      <c r="O9" s="38">
        <f>($C$7*Params!K11)</f>
        <v>275.23523523523522</v>
      </c>
      <c r="P9" s="38">
        <f>(O9*N9)</f>
        <v>8.8003983844644633</v>
      </c>
      <c r="R9" s="1">
        <f>B10</f>
        <v>-3.1253999999999997E-2</v>
      </c>
      <c r="S9" s="38">
        <f>T9/R9</f>
        <v>91.251872400332772</v>
      </c>
      <c r="T9" s="38">
        <f>D10</f>
        <v>-2.85198602</v>
      </c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20.012762869705703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F13" t="s">
        <v>9</v>
      </c>
      <c r="G13" s="38">
        <f>(D14/B14)</f>
        <v>56.337086247649893</v>
      </c>
    </row>
    <row r="14" spans="2:21">
      <c r="B14" s="1">
        <f>(SUM(B5:B13))</f>
        <v>0.12861649</v>
      </c>
      <c r="D14" s="38">
        <f>(SUM(D5:D13))</f>
        <v>7.2458782900000003</v>
      </c>
    </row>
    <row r="20" spans="18:20">
      <c r="R20">
        <f>(SUM(R5:R19))</f>
        <v>0.12861649</v>
      </c>
      <c r="T20" s="38">
        <f>(SUM(T5:T19))</f>
        <v>7.2458782899999985</v>
      </c>
    </row>
    <row r="34" spans="9:9">
      <c r="I34" s="39"/>
    </row>
  </sheetData>
  <conditionalFormatting sqref="C5 C7 O7:O9 S5 S7">
    <cfRule type="cellIs" dxfId="125" priority="21" operator="lessThan">
      <formula>$J$3</formula>
    </cfRule>
    <cfRule type="cellIs" dxfId="124" priority="22" operator="greaterThan">
      <formula>$J$3</formula>
    </cfRule>
  </conditionalFormatting>
  <conditionalFormatting sqref="C9">
    <cfRule type="cellIs" dxfId="123" priority="9" operator="lessThan">
      <formula>$J$3</formula>
    </cfRule>
    <cfRule type="cellIs" dxfId="122" priority="10" operator="greaterThan">
      <formula>$J$3</formula>
    </cfRule>
  </conditionalFormatting>
  <conditionalFormatting sqref="O3">
    <cfRule type="cellIs" dxfId="121" priority="7" operator="greaterThan">
      <formula>$J$3</formula>
    </cfRule>
    <cfRule type="cellIs" dxfId="120" priority="8" operator="lessThan">
      <formula>$J$3</formula>
    </cfRule>
  </conditionalFormatting>
  <conditionalFormatting sqref="C12">
    <cfRule type="cellIs" dxfId="119" priority="5" operator="lessThan">
      <formula>$J$3</formula>
    </cfRule>
    <cfRule type="cellIs" dxfId="118" priority="6" operator="greaterThan">
      <formula>$J$3</formula>
    </cfRule>
  </conditionalFormatting>
  <conditionalFormatting sqref="O7">
    <cfRule type="cellIs" dxfId="117" priority="3" operator="lessThan">
      <formula>$J$3</formula>
    </cfRule>
    <cfRule type="cellIs" dxfId="116" priority="4" operator="greaterThan">
      <formula>$J$3</formula>
    </cfRule>
  </conditionalFormatting>
  <conditionalFormatting sqref="G13">
    <cfRule type="cellIs" dxfId="115" priority="1" operator="lessThan">
      <formula>$J$3</formula>
    </cfRule>
    <cfRule type="cellIs" dxfId="11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0.5468666175121647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1.4053001436354824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4.4901910000000003E-2</v>
      </c>
      <c r="C6" s="40">
        <v>0</v>
      </c>
      <c r="D6" s="26">
        <f>(B6*C6)</f>
        <v>0</v>
      </c>
      <c r="E6" s="38">
        <f>(B6*J3)</f>
        <v>2.4555355641535645E-2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2.5697310800000008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8" sqref="B18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7.7535457581329078E-5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26.342574174097553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4593.99927183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4593.99927183</v>
      </c>
      <c r="C18" s="40">
        <v>0</v>
      </c>
      <c r="D18" s="26">
        <f>(B18*C18)</f>
        <v>0</v>
      </c>
      <c r="E18" s="38">
        <f>(B18*J3)</f>
        <v>0.35619783566963165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4.8143444782144966</v>
      </c>
    </row>
    <row r="37" spans="2:20">
      <c r="B37">
        <f>(SUM(B5:B36))</f>
        <v>339748.74200576043</v>
      </c>
      <c r="D37" s="38">
        <f>(SUM(D5:D36))</f>
        <v>-21.780357561799917</v>
      </c>
      <c r="F37" t="s">
        <v>9</v>
      </c>
      <c r="G37" s="28">
        <f>(D37/B37)</f>
        <v>-6.4107250061372218E-5</v>
      </c>
      <c r="R37">
        <f>(SUM(R5:R36))</f>
        <v>339748.74200576043</v>
      </c>
      <c r="T37">
        <f>(SUM(T5:T36))</f>
        <v>-21.78035756179991</v>
      </c>
    </row>
  </sheetData>
  <conditionalFormatting sqref="C5:C9 C14:C16 C25:C26 C28 C30 C32 C35">
    <cfRule type="cellIs" dxfId="113" priority="13" operator="lessThan">
      <formula>$J$3</formula>
    </cfRule>
    <cfRule type="cellIs" dxfId="112" priority="14" operator="greaterThan">
      <formula>$J$3</formula>
    </cfRule>
  </conditionalFormatting>
  <conditionalFormatting sqref="N6">
    <cfRule type="cellIs" dxfId="111" priority="9" operator="lessThan">
      <formula>$J$3</formula>
    </cfRule>
    <cfRule type="cellIs" dxfId="110" priority="10" operator="greaterThan">
      <formula>$J$3</formula>
    </cfRule>
  </conditionalFormatting>
  <conditionalFormatting sqref="N9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S5:S9 S13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37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0.66354666785147265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32.466280638510142</v>
      </c>
      <c r="K4" s="4">
        <f>(J4/D18-1)</f>
        <v>-0.26490887759500126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0.2784297</v>
      </c>
      <c r="C6" s="40">
        <v>0</v>
      </c>
      <c r="D6" s="26">
        <f>(B6*C6)</f>
        <v>0</v>
      </c>
      <c r="E6" s="38">
        <f>(B6*J3)</f>
        <v>0.18475109966588518</v>
      </c>
      <c r="M6" t="s">
        <v>11</v>
      </c>
      <c r="N6" s="19">
        <f>($B$7+$R$9)/5</f>
        <v>7.0552994377777782</v>
      </c>
      <c r="O6" s="38">
        <f>($S$7*Params!K8)</f>
        <v>1.2720232853378743</v>
      </c>
      <c r="P6" s="38">
        <f>(O6*N6)</f>
        <v>8.9745051698845479</v>
      </c>
      <c r="R6" s="36">
        <f>(B6)</f>
        <v>0.2784297</v>
      </c>
      <c r="S6" s="40">
        <v>0</v>
      </c>
      <c r="T6" s="26">
        <f>(D6)</f>
        <v>0</v>
      </c>
      <c r="U6" s="38">
        <f>(R6*J3)</f>
        <v>0.18475109966588518</v>
      </c>
    </row>
    <row r="7" spans="2:21">
      <c r="B7" s="19">
        <v>34.645592190000002</v>
      </c>
      <c r="C7" s="38">
        <f t="shared" ref="C7:C14" si="0">(D7/B7)</f>
        <v>0.97847945025990324</v>
      </c>
      <c r="D7" s="38">
        <v>33.9</v>
      </c>
      <c r="E7" t="s">
        <v>15</v>
      </c>
      <c r="N7" s="19">
        <f>($B$7+$R$9)/5</f>
        <v>7.0552994377777782</v>
      </c>
      <c r="O7" s="38">
        <f>($S$7*Params!K9)</f>
        <v>1.5655671204158452</v>
      </c>
      <c r="P7" s="38">
        <f>(O7*N7)</f>
        <v>11.045544824473287</v>
      </c>
      <c r="R7" s="19">
        <f>B7</f>
        <v>34.645592190000002</v>
      </c>
      <c r="S7" s="38">
        <f>(T7/R7)</f>
        <v>0.97847945025990324</v>
      </c>
      <c r="T7" s="38">
        <f>D7</f>
        <v>33.9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7.0552994377777782</v>
      </c>
      <c r="O8" s="38">
        <f>($S$7*Params!K10)</f>
        <v>2.1526547905717872</v>
      </c>
      <c r="P8" s="38">
        <f>(O8*N8)</f>
        <v>15.187624133650772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7.0552994377777782</v>
      </c>
      <c r="O9" s="38">
        <f>($C$7*Params!K11)</f>
        <v>3.913917801039613</v>
      </c>
      <c r="P9" s="38">
        <f>(O9*N9)</f>
        <v>27.61386206118322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62.821536189191825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0.9026726723083609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48.928405810000001</v>
      </c>
      <c r="S17" s="38"/>
      <c r="T17" s="38">
        <f>(SUM(T5:T12))</f>
        <v>44.166334824300641</v>
      </c>
    </row>
    <row r="18" spans="2:20">
      <c r="B18" s="19">
        <f>(SUM(B5:B17))</f>
        <v>48.928405810000008</v>
      </c>
      <c r="D18" s="38">
        <f>(SUM(D5:D17))</f>
        <v>44.166334824300641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103" priority="23" operator="lessThan">
      <formula>$J$3</formula>
    </cfRule>
    <cfRule type="cellIs" dxfId="102" priority="24" operator="greaterThan">
      <formula>$J$3</formula>
    </cfRule>
  </conditionalFormatting>
  <conditionalFormatting sqref="S8"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0.46879693878699252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25.617221116856243</v>
      </c>
      <c r="K4" s="4">
        <f>(J4/D10-1)</f>
        <v>-0.35293707711906441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1.1162081833943802</v>
      </c>
      <c r="M6" t="s">
        <v>11</v>
      </c>
      <c r="N6" s="29">
        <f>($B$10/5)</f>
        <v>10.928919964</v>
      </c>
      <c r="O6" s="38">
        <f>($C$5*Params!K8)</f>
        <v>0.98505771545924514</v>
      </c>
      <c r="P6" s="38">
        <f>(O6*N6)</f>
        <v>10.765616932174776</v>
      </c>
    </row>
    <row r="7" spans="2:16">
      <c r="B7" s="36">
        <v>1.5894120000000001E-2</v>
      </c>
      <c r="C7" s="40">
        <v>0</v>
      </c>
      <c r="D7" s="26">
        <f>(B7*C7)</f>
        <v>0</v>
      </c>
      <c r="E7" s="38">
        <f>(B7*J4)</f>
        <v>0.40716318649784716</v>
      </c>
      <c r="N7" s="29">
        <f>($B$10/5)</f>
        <v>10.928919964</v>
      </c>
      <c r="O7" s="38">
        <f>($C$5*Params!K9)</f>
        <v>1.2123787267190709</v>
      </c>
      <c r="P7" s="38">
        <f>(O7*N7)</f>
        <v>13.249990070368954</v>
      </c>
    </row>
    <row r="8" spans="2:16">
      <c r="N8" s="29">
        <f>($B$10/5)</f>
        <v>10.928919964</v>
      </c>
      <c r="O8" s="38">
        <f>($C$5*Params!K10)</f>
        <v>1.6670207492387226</v>
      </c>
      <c r="P8" s="38">
        <f>(O8*N8)</f>
        <v>18.218736346757314</v>
      </c>
    </row>
    <row r="9" spans="2:16">
      <c r="F9" t="s">
        <v>9</v>
      </c>
      <c r="G9" s="38">
        <f>(D10/B10)</f>
        <v>0.7244997699756236</v>
      </c>
      <c r="N9" s="29">
        <f>($B$10/5)</f>
        <v>10.928919964</v>
      </c>
      <c r="O9" s="38">
        <f>($C$5*Params!K11)</f>
        <v>3.0309468167976772</v>
      </c>
      <c r="P9" s="38">
        <f>(O9*N9)</f>
        <v>33.124975175922387</v>
      </c>
    </row>
    <row r="10" spans="2:16">
      <c r="B10" s="29">
        <f>(SUM(B5:B9))</f>
        <v>54.644599820000003</v>
      </c>
      <c r="D10" s="38">
        <f>(SUM(D5:D9))</f>
        <v>39.590000000000003</v>
      </c>
    </row>
    <row r="11" spans="2:16">
      <c r="P11" s="38">
        <f>(SUM(P6:P9))</f>
        <v>75.359318525223429</v>
      </c>
    </row>
  </sheetData>
  <conditionalFormatting sqref="C5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O6:O9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9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1.325198987617251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27.265573164173365</v>
      </c>
      <c r="K4" s="4">
        <f>(J4/D19-1)</f>
        <v>-0.25502013883395014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18.466884310000001</v>
      </c>
      <c r="C6" s="38">
        <f>(D6/B6)</f>
        <v>1.8357184369018229</v>
      </c>
      <c r="D6" s="38">
        <v>33.9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18.466884310000001</v>
      </c>
      <c r="S6" s="38">
        <f>(T6/R6)</f>
        <v>1.8357184369018229</v>
      </c>
      <c r="T6" s="38">
        <f>D6</f>
        <v>33.9</v>
      </c>
      <c r="U6" s="38" t="str">
        <f>(E6)</f>
        <v>DCA2</v>
      </c>
    </row>
    <row r="7" spans="2:22">
      <c r="B7" s="2">
        <v>6.0695680000000002E-2</v>
      </c>
      <c r="C7" s="40">
        <v>0</v>
      </c>
      <c r="D7" s="26">
        <v>0</v>
      </c>
      <c r="E7" s="39">
        <f>B7*J3</f>
        <v>8.0433853688740634E-2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6.0695680000000002E-2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0.31480312830696366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0.32685947228589296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3.7205399159999999</v>
      </c>
      <c r="O14" s="38">
        <f>($C$6*Params!K8)</f>
        <v>2.3864339679723701</v>
      </c>
      <c r="P14" s="38">
        <f>(O14*N14)</f>
        <v>8.8788228347394682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3.7205399159999999</v>
      </c>
      <c r="O15" s="38">
        <f>($C$6*Params!K9)</f>
        <v>2.937149499042917</v>
      </c>
      <c r="P15" s="38">
        <f>(O15*N15)</f>
        <v>10.927781950448576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3.7205399159999999</v>
      </c>
      <c r="O16" s="38">
        <f>($C$6*Params!K10)</f>
        <v>4.0385805611840109</v>
      </c>
      <c r="P16" s="38">
        <f>(O16*N16)</f>
        <v>15.025700181866792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3.7205399159999999</v>
      </c>
      <c r="O17" s="38">
        <f>($C$6*Params!K11)</f>
        <v>7.3428737476072916</v>
      </c>
      <c r="P17" s="38">
        <f>(O17*N17)</f>
        <v>27.319454876121437</v>
      </c>
      <c r="S17" s="38"/>
      <c r="T17" s="38"/>
    </row>
    <row r="18" spans="2:20">
      <c r="C18" s="38"/>
      <c r="D18" s="38"/>
      <c r="F18" t="s">
        <v>9</v>
      </c>
      <c r="G18" s="38">
        <f>(D19/B19)</f>
        <v>1.7788386729582681</v>
      </c>
      <c r="O18" s="38"/>
      <c r="P18" s="38"/>
      <c r="S18" s="38"/>
      <c r="T18" s="38"/>
    </row>
    <row r="19" spans="2:20">
      <c r="B19" s="1">
        <f>(SUM(B5:B18))</f>
        <v>20.574701172385979</v>
      </c>
      <c r="C19" s="38"/>
      <c r="D19" s="38">
        <f>(SUM(D5:D18))</f>
        <v>36.599074129999998</v>
      </c>
      <c r="O19" s="38"/>
      <c r="P19" s="38">
        <f>(SUM(P14:P17))</f>
        <v>62.151759843176279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20.574701172385982</v>
      </c>
      <c r="S22" s="38"/>
      <c r="T22" s="38">
        <f>(SUM(T5:T21))</f>
        <v>36.599074129999998</v>
      </c>
    </row>
  </sheetData>
  <conditionalFormatting sqref="C5:C6 C12:C14 C16:C17 O6:O9 O14:O17 S5:S6">
    <cfRule type="cellIs" dxfId="93" priority="17" operator="lessThan">
      <formula>$J$3</formula>
    </cfRule>
    <cfRule type="cellIs" dxfId="9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T41" sqref="T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1.0547260308884141E-5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4.6381370482015951</v>
      </c>
      <c r="K4" s="4">
        <f>(J4/D13-1)</f>
        <v>-7.7905159403261481E-2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216.36</v>
      </c>
      <c r="C6" s="40">
        <v>0</v>
      </c>
      <c r="D6" s="26">
        <f>(B6*C6)</f>
        <v>0</v>
      </c>
      <c r="E6" s="38">
        <f>(B6*J3)</f>
        <v>2.2820052404301729E-3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1.1438368207394399E-5</v>
      </c>
    </row>
    <row r="13" spans="2:16">
      <c r="B13">
        <f>(SUM(B5:B12))</f>
        <v>439748.04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91" priority="5" operator="lessThan">
      <formula>$J$3</formula>
    </cfRule>
    <cfRule type="cellIs" dxfId="90" priority="6" operator="greaterThan">
      <formula>$J$3</formula>
    </cfRule>
  </conditionalFormatting>
  <conditionalFormatting sqref="J3">
    <cfRule type="cellIs" dxfId="89" priority="3" operator="lessThan">
      <formula>$J$3</formula>
    </cfRule>
    <cfRule type="cellIs" dxfId="88" priority="4" operator="greaterThan">
      <formula>$J$3</formula>
    </cfRule>
  </conditionalFormatting>
  <conditionalFormatting sqref="O6:O9">
    <cfRule type="cellIs" dxfId="87" priority="1" operator="lessThan">
      <formula>$J$3</formula>
    </cfRule>
    <cfRule type="cellIs" dxfId="8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0"/>
  <sheetViews>
    <sheetView workbookViewId="0">
      <selection activeCell="B19" sqref="B19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24.709108615866722</v>
      </c>
      <c r="M3" t="s">
        <v>4</v>
      </c>
      <c r="N3" s="24">
        <f>(INDEX(N5:N26,MATCH(MAX(O6:O7,O23,O14),O5:O26,0))/0.9)</f>
        <v>0.11333333333333333</v>
      </c>
      <c r="O3" s="39">
        <f>(MAX(O14,O23,O6:O7)*0.85)</f>
        <v>18.797183333333333</v>
      </c>
      <c r="P3" s="38">
        <f>(O3*N3)</f>
        <v>2.1303474444444443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(B36*J3)</f>
        <v>194.73742956607984</v>
      </c>
      <c r="K4" s="4">
        <f>(J4/D36-1)</f>
        <v>-1.679369069918335E-2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-B29</f>
        <v>0.10199999999999999</v>
      </c>
      <c r="O7" s="38">
        <f>P7/N7</f>
        <v>22.114333333333335</v>
      </c>
      <c r="P7" s="38">
        <f>-D29</f>
        <v>2.2556620000000001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0.106217334</v>
      </c>
      <c r="O8" s="38">
        <f>($C$16*Params!K10)</f>
        <v>28.255152590055655</v>
      </c>
      <c r="P8" s="38">
        <f>(O8*N8)</f>
        <v>3.0011869798789066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0.106217334</v>
      </c>
      <c r="O9" s="38">
        <f>($C$16*Params!K11)</f>
        <v>51.373004709192095</v>
      </c>
      <c r="P9" s="38">
        <f>(O9*N9)</f>
        <v>5.4567035997798294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12.306157645605122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5.1889128093320115E-2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5.4633083200000003</v>
      </c>
      <c r="S13" s="38">
        <f>(T13/R13)</f>
        <v>19.460301482673781</v>
      </c>
      <c r="T13" s="38">
        <f>(D17+11.97*B21)</f>
        <v>106.317627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0.15223313940076807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3.4193309999999998E-2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1.3040923927065068E-2</v>
      </c>
      <c r="N15" s="24">
        <f>(2*($R$13+N14+$R$21)/5-N14)</f>
        <v>2.0348123760000001</v>
      </c>
      <c r="O15" s="38">
        <f>($S$13*Params!K9)</f>
        <v>31.136482372278053</v>
      </c>
      <c r="P15" s="38">
        <f>(O15*N15)</f>
        <v>63.356899676217225</v>
      </c>
      <c r="R15" s="24">
        <f>B19+B22</f>
        <v>1.6521795400000001</v>
      </c>
      <c r="S15" s="38">
        <f>(T15/R15)</f>
        <v>19.973529026996665</v>
      </c>
      <c r="T15" s="38">
        <f>(D19+12.6*B22)</f>
        <v>32.999856000000001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(($R$13+N14+$R$21)/5)</f>
        <v>1.157856188</v>
      </c>
      <c r="O16" s="38">
        <f>($S$13*Params!K10)</f>
        <v>42.812663261882321</v>
      </c>
      <c r="P16" s="38">
        <f>(O16*N16)</f>
        <v>49.570907082530709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5.7442083200000003</v>
      </c>
      <c r="C17" s="38">
        <f>(D17/B17)</f>
        <v>19.094015030429816</v>
      </c>
      <c r="D17" s="38">
        <v>109.68</v>
      </c>
      <c r="E17" t="s">
        <v>10</v>
      </c>
      <c r="N17" s="24">
        <f>(($R$13+N14+$R$21)/5)</f>
        <v>1.157856188</v>
      </c>
      <c r="O17" s="38">
        <f>($S$13*Params!K11)</f>
        <v>77.841205930695125</v>
      </c>
      <c r="P17" s="38">
        <f>(O17*N17)</f>
        <v>90.128921968237648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3.4193309999999998E-2</v>
      </c>
      <c r="C18" s="40">
        <v>0</v>
      </c>
      <c r="D18" s="26">
        <v>0</v>
      </c>
      <c r="E18" s="39">
        <f>B18*J3</f>
        <v>0.84488621072600167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1.7236195400000001</v>
      </c>
      <c r="C19" s="38">
        <f t="shared" ref="C19:C32" si="1">(D19/B19)</f>
        <v>19.667913488611298</v>
      </c>
      <c r="D19" s="38">
        <v>33.9</v>
      </c>
      <c r="E19" t="s">
        <v>15</v>
      </c>
      <c r="O19" s="38"/>
      <c r="P19" s="38">
        <f>(SUM(P14:P17))</f>
        <v>207.25892872698557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(B28+B25+B33+B34)</f>
        <v>2.6283669999999995E-2</v>
      </c>
      <c r="S20" s="38">
        <v>0</v>
      </c>
      <c r="T20" s="38">
        <f>(D28+D25+D33+D34)</f>
        <v>-0.2870919999999999</v>
      </c>
      <c r="U20" t="s">
        <v>86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/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B29</f>
        <v>-0.10199999999999999</v>
      </c>
      <c r="S22" s="39">
        <f>T22/R22</f>
        <v>22.114333333333335</v>
      </c>
      <c r="T22" s="39">
        <f>D29</f>
        <v>-2.2556620000000001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/>
      <c r="S23" s="39"/>
      <c r="T23" s="38"/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(2*($R$15+$N$23+$R$19)/5-$N$23)</f>
        <v>0.62056158799999994</v>
      </c>
      <c r="O24" s="38">
        <f>($S$15*Params!K9)</f>
        <v>31.957646443194665</v>
      </c>
      <c r="P24" s="38">
        <f>(O24*N24)</f>
        <v>19.831687825531432</v>
      </c>
      <c r="S24" s="38"/>
      <c r="T24" s="38"/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($R$15+$N$23+$R$19)/5</f>
        <v>0.346000794</v>
      </c>
      <c r="O25" s="38">
        <f>($S$15*Params!K10)</f>
        <v>43.941763859392665</v>
      </c>
      <c r="P25" s="38">
        <f>(O25*N25)</f>
        <v>15.203885185110366</v>
      </c>
      <c r="S25" s="38"/>
      <c r="T25" s="38"/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0.346000794</v>
      </c>
      <c r="O26" s="38">
        <f>($S$15*Params!K11)</f>
        <v>79.894116107986662</v>
      </c>
      <c r="P26" s="38">
        <f>(O26*N26)</f>
        <v>27.643427609291574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63.842104139933369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>D34/B34</f>
        <v>23.38403859622824</v>
      </c>
      <c r="D34" s="38">
        <v>2.68</v>
      </c>
      <c r="E34" s="38"/>
      <c r="S34" s="38"/>
      <c r="T34" s="38"/>
    </row>
    <row r="35" spans="2:23">
      <c r="C35" s="38"/>
      <c r="D35" s="38"/>
      <c r="E35" s="38"/>
      <c r="S35" s="38"/>
      <c r="T35" s="38"/>
    </row>
    <row r="36" spans="2:23">
      <c r="B36" s="24">
        <f>(SUM(B5:B35))</f>
        <v>7.8812001109999992</v>
      </c>
      <c r="C36" s="38"/>
      <c r="D36" s="38">
        <f>(SUM(D5:D35))</f>
        <v>198.06364923000001</v>
      </c>
      <c r="E36" s="38"/>
      <c r="F36" t="s">
        <v>9</v>
      </c>
      <c r="G36" s="38">
        <f>(D36/B36)</f>
        <v>25.131153433543368</v>
      </c>
      <c r="S36" s="38"/>
      <c r="T36" s="38"/>
    </row>
    <row r="37" spans="2:23">
      <c r="K37">
        <v>21</v>
      </c>
      <c r="M37" s="24"/>
      <c r="S37" s="38"/>
      <c r="T37" s="38"/>
    </row>
    <row r="38" spans="2:23">
      <c r="R38" s="24">
        <f>(SUM(R5:R37))</f>
        <v>7.8812001110000001</v>
      </c>
      <c r="S38" s="38"/>
      <c r="T38" s="38">
        <f>(SUM(T5:T37))</f>
        <v>198.06128967000001</v>
      </c>
      <c r="V38" t="s">
        <v>9</v>
      </c>
      <c r="W38" s="38">
        <f>(T38/R38)</f>
        <v>25.130854042591892</v>
      </c>
    </row>
    <row r="40" spans="2:23">
      <c r="N40" s="24"/>
    </row>
  </sheetData>
  <conditionalFormatting sqref="C5 C8:C10 S5">
    <cfRule type="cellIs" dxfId="85" priority="85" operator="lessThan">
      <formula>$J$3</formula>
    </cfRule>
    <cfRule type="cellIs" dxfId="84" priority="86" operator="greaterThan">
      <formula>$J$3</formula>
    </cfRule>
  </conditionalFormatting>
  <conditionalFormatting sqref="C16:C17">
    <cfRule type="cellIs" dxfId="83" priority="69" operator="lessThan">
      <formula>$J$3</formula>
    </cfRule>
    <cfRule type="cellIs" dxfId="82" priority="70" operator="greaterThan">
      <formula>$J$3</formula>
    </cfRule>
    <cfRule type="cellIs" dxfId="81" priority="71" operator="lessThan">
      <formula>$J$3</formula>
    </cfRule>
    <cfRule type="cellIs" dxfId="80" priority="72" operator="greaterThan">
      <formula>$J$3</formula>
    </cfRule>
    <cfRule type="cellIs" dxfId="79" priority="79" operator="lessThan">
      <formula>$J$3</formula>
    </cfRule>
    <cfRule type="cellIs" dxfId="78" priority="80" operator="greaterThan">
      <formula>$J$3</formula>
    </cfRule>
  </conditionalFormatting>
  <conditionalFormatting sqref="C19:C20 G36">
    <cfRule type="cellIs" dxfId="77" priority="63" operator="lessThan">
      <formula>$J$3</formula>
    </cfRule>
    <cfRule type="cellIs" dxfId="76" priority="64" operator="greaterThan">
      <formula>$J$3</formula>
    </cfRule>
    <cfRule type="cellIs" dxfId="75" priority="65" operator="lessThan">
      <formula>$J$3</formula>
    </cfRule>
    <cfRule type="cellIs" dxfId="74" priority="66" operator="greaterThan">
      <formula>$J$3</formula>
    </cfRule>
    <cfRule type="cellIs" dxfId="73" priority="67" operator="lessThan">
      <formula>$J$3</formula>
    </cfRule>
    <cfRule type="cellIs" dxfId="72" priority="68" operator="greaterThan">
      <formula>$J$3</formula>
    </cfRule>
    <cfRule type="cellIs" dxfId="71" priority="77" operator="lessThan">
      <formula>$J$3</formula>
    </cfRule>
    <cfRule type="cellIs" dxfId="70" priority="78" operator="greaterThan">
      <formula>$J$3</formula>
    </cfRule>
  </conditionalFormatting>
  <conditionalFormatting sqref="C27:C28 C30:C31">
    <cfRule type="cellIs" dxfId="69" priority="55" operator="lessThan">
      <formula>$J$3</formula>
    </cfRule>
    <cfRule type="cellIs" dxfId="68" priority="56" operator="greaterThan">
      <formula>$J$3</formula>
    </cfRule>
    <cfRule type="cellIs" dxfId="67" priority="57" operator="lessThan">
      <formula>$J$3</formula>
    </cfRule>
    <cfRule type="cellIs" dxfId="66" priority="58" operator="greaterThan">
      <formula>$J$3</formula>
    </cfRule>
    <cfRule type="cellIs" dxfId="65" priority="59" operator="lessThan">
      <formula>$J$3</formula>
    </cfRule>
    <cfRule type="cellIs" dxfId="64" priority="60" operator="greaterThan">
      <formula>$J$3</formula>
    </cfRule>
    <cfRule type="cellIs" dxfId="63" priority="61" operator="lessThan">
      <formula>$J$3</formula>
    </cfRule>
    <cfRule type="cellIs" dxfId="62" priority="62" operator="greaterThan">
      <formula>$J$3</formula>
    </cfRule>
    <cfRule type="cellIs" dxfId="61" priority="75" operator="lessThan">
      <formula>$J$3</formula>
    </cfRule>
    <cfRule type="cellIs" dxfId="60" priority="76" operator="greaterThan">
      <formula>$J$3</formula>
    </cfRule>
  </conditionalFormatting>
  <conditionalFormatting sqref="O8:O9 O15:O17 O24:O26 S12:S13 S15:S16">
    <cfRule type="cellIs" dxfId="59" priority="49" operator="lessThan">
      <formula>$J$3</formula>
    </cfRule>
    <cfRule type="cellIs" dxfId="58" priority="50" operator="greaterThan">
      <formula>$J$3</formula>
    </cfRule>
    <cfRule type="cellIs" dxfId="57" priority="51" operator="lessThan">
      <formula>$J$3</formula>
    </cfRule>
    <cfRule type="cellIs" dxfId="56" priority="52" operator="greaterThan">
      <formula>$J$3</formula>
    </cfRule>
  </conditionalFormatting>
  <conditionalFormatting sqref="O3">
    <cfRule type="cellIs" dxfId="55" priority="31" operator="greaterThan">
      <formula>$J$3</formula>
    </cfRule>
    <cfRule type="cellIs" dxfId="54" priority="32" operator="lessThan">
      <formula>$J$3</formula>
    </cfRule>
  </conditionalFormatting>
  <conditionalFormatting sqref="W38">
    <cfRule type="cellIs" dxfId="53" priority="1" operator="lessThan">
      <formula>$J$3</formula>
    </cfRule>
    <cfRule type="cellIs" dxfId="52" priority="2" operator="greaterThan">
      <formula>$J$3</formula>
    </cfRule>
    <cfRule type="cellIs" dxfId="51" priority="3" operator="lessThan">
      <formula>$J$3</formula>
    </cfRule>
    <cfRule type="cellIs" dxfId="50" priority="4" operator="greaterThan">
      <formula>$J$3</formula>
    </cfRule>
    <cfRule type="cellIs" dxfId="49" priority="5" operator="lessThan">
      <formula>$J$3</formula>
    </cfRule>
    <cfRule type="cellIs" dxfId="48" priority="6" operator="greaterThan">
      <formula>$J$3</formula>
    </cfRule>
    <cfRule type="cellIs" dxfId="47" priority="7" operator="lessThan">
      <formula>$J$3</formula>
    </cfRule>
    <cfRule type="cellIs" dxfId="46" priority="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C6" sqref="B6:D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7.7155024872072597E-2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0.71574960679765709</v>
      </c>
      <c r="K4" s="4">
        <f>(J4/D13-1)</f>
        <v>0.43149921359531418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0.17551405</v>
      </c>
      <c r="C6" s="40">
        <v>0</v>
      </c>
      <c r="D6" s="26">
        <f>(B6*C6)</f>
        <v>0</v>
      </c>
      <c r="E6" s="38">
        <f>(B6*J3)</f>
        <v>1.3541790893148194E-2</v>
      </c>
      <c r="G6" s="38"/>
      <c r="M6" t="s">
        <v>11</v>
      </c>
      <c r="N6" s="19">
        <f>($B$13/5)</f>
        <v>1.855354484</v>
      </c>
      <c r="O6" s="35">
        <f>($C$5*Params!K8)</f>
        <v>7.1418695478700056E-2</v>
      </c>
      <c r="P6" s="38">
        <f>(O6*N6)</f>
        <v>0.13250699689783668</v>
      </c>
      <c r="Q6" s="38">
        <f>N6*$J$3</f>
        <v>0.14314992135953142</v>
      </c>
    </row>
    <row r="7" spans="2:17">
      <c r="C7" s="38"/>
      <c r="D7" s="38"/>
      <c r="E7" s="38"/>
      <c r="G7" s="38"/>
      <c r="N7" s="19">
        <f>($B$13/5)</f>
        <v>1.855354484</v>
      </c>
      <c r="O7" s="35">
        <f>($C$5*Params!K9)</f>
        <v>8.7899932896861599E-2</v>
      </c>
      <c r="P7" s="38">
        <f>(O7*N7)</f>
        <v>0.16308553464349129</v>
      </c>
      <c r="Q7" s="38"/>
    </row>
    <row r="8" spans="2:17">
      <c r="C8" s="38"/>
      <c r="D8" s="38"/>
      <c r="E8" s="38"/>
      <c r="G8" s="38"/>
      <c r="N8" s="19">
        <f>($B$13/5)</f>
        <v>1.855354484</v>
      </c>
      <c r="O8" s="35">
        <f>($C$5*Params!K10)</f>
        <v>0.12086240773318471</v>
      </c>
      <c r="P8" s="38">
        <f>(O8*N8)</f>
        <v>0.22424261013480054</v>
      </c>
      <c r="Q8" s="38"/>
    </row>
    <row r="9" spans="2:17">
      <c r="C9" s="38"/>
      <c r="D9" s="38"/>
      <c r="E9" s="38"/>
      <c r="G9" s="38"/>
      <c r="N9" s="19">
        <f>($B$13/5)</f>
        <v>1.855354484</v>
      </c>
      <c r="O9" s="35">
        <f>($C$5*Params!K11)</f>
        <v>0.219749832242154</v>
      </c>
      <c r="P9" s="38">
        <f>(O9*N9)</f>
        <v>0.40771383660872818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0.92754897828485672</v>
      </c>
    </row>
    <row r="12" spans="2:17">
      <c r="C12" s="38"/>
      <c r="D12" s="38"/>
      <c r="E12" s="38"/>
      <c r="F12" t="s">
        <v>9</v>
      </c>
      <c r="G12" s="38">
        <f>(D13/B13)</f>
        <v>5.3898056065495241E-2</v>
      </c>
    </row>
    <row r="13" spans="2:17">
      <c r="B13">
        <f>(SUM(B5:B12))</f>
        <v>9.2767724200000004</v>
      </c>
      <c r="C13" s="38"/>
      <c r="D13" s="38">
        <f>(SUM(D5:D12))</f>
        <v>0.5</v>
      </c>
      <c r="E13" s="38"/>
      <c r="G13" s="38"/>
    </row>
  </sheetData>
  <conditionalFormatting sqref="C5">
    <cfRule type="cellIs" dxfId="45" priority="7" operator="lessThan">
      <formula>$J$3</formula>
    </cfRule>
    <cfRule type="cellIs" dxfId="44" priority="8" operator="greaterThan">
      <formula>$J$3</formula>
    </cfRule>
  </conditionalFormatting>
  <conditionalFormatting sqref="O6:O9">
    <cfRule type="cellIs" dxfId="43" priority="5" operator="lessThan">
      <formula>$J$3</formula>
    </cfRule>
    <cfRule type="cellIs" dxfId="42" priority="6" operator="greaterThan">
      <formula>$J$3</formula>
    </cfRule>
    <cfRule type="cellIs" dxfId="41" priority="1" operator="lessThan">
      <formula>$J$3</formula>
    </cfRule>
    <cfRule type="cellIs" dxfId="4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6.2506488271337526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10.551208044413103</v>
      </c>
      <c r="K4" s="4">
        <f>(J4/D10-1)</f>
        <v>0.10599665035776784</v>
      </c>
      <c r="O4" s="38"/>
      <c r="P4" s="38"/>
    </row>
    <row r="5" spans="2:16">
      <c r="B5" s="1">
        <v>1.68618443</v>
      </c>
      <c r="C5" s="38">
        <f>(D5/B5)</f>
        <v>5.6577440938652241</v>
      </c>
      <c r="D5" s="38">
        <v>9.5399999999999991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1.83362E-3</v>
      </c>
      <c r="C6" s="40">
        <v>0</v>
      </c>
      <c r="D6" s="40">
        <f>(B6*C6)</f>
        <v>0</v>
      </c>
      <c r="E6" s="38">
        <f>(B6*J3)</f>
        <v>1.1461314702408991E-2</v>
      </c>
      <c r="G6" s="38"/>
      <c r="H6" s="38"/>
      <c r="J6" s="38"/>
      <c r="M6" t="s">
        <v>11</v>
      </c>
      <c r="N6" s="1">
        <f>($B$5/5)</f>
        <v>0.33723688600000001</v>
      </c>
      <c r="O6" s="35">
        <f>($C$5*Params!K8)</f>
        <v>7.3550673220247917</v>
      </c>
      <c r="P6" s="38">
        <f>(O6*N6)</f>
        <v>2.4803999999999999</v>
      </c>
    </row>
    <row r="7" spans="2:16">
      <c r="C7" s="38"/>
      <c r="D7" s="38"/>
      <c r="E7" s="38"/>
      <c r="G7" s="38"/>
      <c r="H7" s="38"/>
      <c r="J7" s="38"/>
      <c r="N7" s="1">
        <f>($B$5/5)</f>
        <v>0.33723688600000001</v>
      </c>
      <c r="O7" s="35">
        <f>($C$5*Params!K9)</f>
        <v>9.0523905501843593</v>
      </c>
      <c r="P7" s="38">
        <f>(O7*N7)</f>
        <v>3.0528000000000004</v>
      </c>
    </row>
    <row r="8" spans="2:16">
      <c r="C8" s="38"/>
      <c r="D8" s="38"/>
      <c r="E8" s="38"/>
      <c r="G8" s="38"/>
      <c r="H8" s="38"/>
      <c r="J8" s="38"/>
      <c r="N8" s="1">
        <f>($B$5/5)</f>
        <v>0.33723688600000001</v>
      </c>
      <c r="O8" s="35">
        <f>($C$5*Params!K10)</f>
        <v>12.447037006503495</v>
      </c>
      <c r="P8" s="38">
        <f>(O8*N8)</f>
        <v>4.1976000000000004</v>
      </c>
    </row>
    <row r="9" spans="2:16">
      <c r="C9" s="38"/>
      <c r="D9" s="38"/>
      <c r="E9" s="38"/>
      <c r="F9" t="s">
        <v>9</v>
      </c>
      <c r="G9" s="38">
        <f>(D10/B10)</f>
        <v>5.6515983345083303</v>
      </c>
      <c r="H9" s="38"/>
      <c r="J9" s="38"/>
      <c r="N9" s="1">
        <f>($B$5/5)</f>
        <v>0.33723688600000001</v>
      </c>
      <c r="O9" s="35">
        <f>($C$5*Params!K11)</f>
        <v>22.630976375460897</v>
      </c>
      <c r="P9" s="38">
        <f>(O9*N9)</f>
        <v>7.6319999999999997</v>
      </c>
    </row>
    <row r="10" spans="2:16">
      <c r="B10" s="1">
        <f>(SUM(B5:B9))</f>
        <v>1.6880180499999999</v>
      </c>
      <c r="C10" s="38"/>
      <c r="D10" s="38">
        <f>(SUM(D5:D9))</f>
        <v>9.5399999999999991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17.3628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39" priority="5" operator="lessThan">
      <formula>$J$3</formula>
    </cfRule>
    <cfRule type="cellIs" dxfId="38" priority="6" operator="greaterThan">
      <formula>$J$3</formula>
    </cfRule>
  </conditionalFormatting>
  <conditionalFormatting sqref="O6:O9">
    <cfRule type="cellIs" dxfId="37" priority="3" operator="lessThan">
      <formula>$J$3</formula>
    </cfRule>
    <cfRule type="cellIs" dxfId="36" priority="4" operator="greaterThan">
      <formula>$J$3</formula>
    </cfRule>
  </conditionalFormatting>
  <conditionalFormatting sqref="G9">
    <cfRule type="cellIs" dxfId="35" priority="1" operator="lessThan">
      <formula>$J$3</formula>
    </cfRule>
    <cfRule type="cellIs" dxfId="3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4"/>
  <sheetViews>
    <sheetView workbookViewId="0">
      <selection activeCell="N7" sqref="N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0.62453590878598775</v>
      </c>
      <c r="M3" t="s">
        <v>4</v>
      </c>
      <c r="N3" s="19">
        <f>(INDEX(N5:N13,MATCH(MAX(O6:O7),O5:O13,0))/0.9)</f>
        <v>12.111111111111111</v>
      </c>
      <c r="O3" s="39">
        <f>(MAX(O6:O7)*0.85)</f>
        <v>0.48540838895304461</v>
      </c>
      <c r="P3" s="38">
        <f>(O3*N3)</f>
        <v>5.8788349328757628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21.138355398658749</v>
      </c>
      <c r="K4" s="4">
        <f>(J4/D13-1)</f>
        <v>3.0234558543091161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54.173891810000001</v>
      </c>
      <c r="S5" s="38">
        <f>(T5/R5)</f>
        <v>0.3525683564878076</v>
      </c>
      <c r="T5" s="38">
        <f>(SUM(D5:D7))</f>
        <v>19.100000000000001</v>
      </c>
    </row>
    <row r="6" spans="2:20">
      <c r="B6" s="20">
        <v>0.59888034000000001</v>
      </c>
      <c r="C6" s="40">
        <v>0</v>
      </c>
      <c r="D6" s="40">
        <f>(B6*C6)</f>
        <v>0</v>
      </c>
      <c r="E6" s="38">
        <f>(B6*J3)</f>
        <v>0.37402227739596133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v>10.9</v>
      </c>
      <c r="O7" s="38">
        <f>($C$5*Params!K9)</f>
        <v>0.57106869288593487</v>
      </c>
      <c r="P7" s="38">
        <f>(O7*N7)</f>
        <v>6.22464875245669</v>
      </c>
      <c r="Q7" t="s">
        <v>12</v>
      </c>
      <c r="R7" s="19">
        <f>B9+B10</f>
        <v>-9.5673905899999987</v>
      </c>
      <c r="S7" s="38">
        <f>T7/R7</f>
        <v>0.91911390961618522</v>
      </c>
      <c r="T7" s="39">
        <f>D9+D10</f>
        <v>-8.7935217699999999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(B$13/3)</f>
        <v>11.282167073333335</v>
      </c>
      <c r="O8" s="38">
        <f>($C$5*Params!K10)</f>
        <v>0.78521945271816052</v>
      </c>
      <c r="P8" s="38">
        <f>(O8*N8)</f>
        <v>8.8589770547976521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(B$13/3)</f>
        <v>11.282167073333335</v>
      </c>
      <c r="O9" s="38">
        <f>($C$5*Params!K11)</f>
        <v>1.4276717322148371</v>
      </c>
      <c r="P9" s="38">
        <f>(O9*N9)</f>
        <v>16.107231008723002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P11" s="38">
        <f>(SUM(P6:P9))</f>
        <v>36.243554175977344</v>
      </c>
    </row>
    <row r="12" spans="2:20">
      <c r="F12" t="s">
        <v>9</v>
      </c>
      <c r="G12" s="38">
        <f>(D13/B13)</f>
        <v>0.15522375077562006</v>
      </c>
    </row>
    <row r="13" spans="2:20">
      <c r="B13" s="19">
        <f>(SUM(B5:B12))</f>
        <v>33.846501220000007</v>
      </c>
      <c r="D13" s="38">
        <f>(SUM(D5:D12))</f>
        <v>5.2537808700000017</v>
      </c>
    </row>
    <row r="17" spans="14:20">
      <c r="R17">
        <f>(SUM(R5:R16))</f>
        <v>33.846501220000007</v>
      </c>
      <c r="T17" s="38">
        <f>(SUM(T5:T16))</f>
        <v>5.2537808700000017</v>
      </c>
    </row>
    <row r="24" spans="14:20">
      <c r="N24" s="19"/>
    </row>
  </sheetData>
  <conditionalFormatting sqref="C5 C7 G12 O9 S5">
    <cfRule type="cellIs" dxfId="33" priority="15" operator="lessThan">
      <formula>$J$3</formula>
    </cfRule>
    <cfRule type="cellIs" dxfId="32" priority="16" operator="greaterThan">
      <formula>$J$3</formula>
    </cfRule>
  </conditionalFormatting>
  <conditionalFormatting sqref="O3">
    <cfRule type="cellIs" dxfId="31" priority="9" operator="greaterThan">
      <formula>$J$3</formula>
    </cfRule>
    <cfRule type="cellIs" dxfId="30" priority="10" operator="lessThan">
      <formula>$J$3</formula>
    </cfRule>
  </conditionalFormatting>
  <conditionalFormatting sqref="C10">
    <cfRule type="cellIs" dxfId="29" priority="3" operator="lessThan">
      <formula>$J$3</formula>
    </cfRule>
    <cfRule type="cellIs" dxfId="28" priority="4" operator="greaterThan">
      <formula>$J$3</formula>
    </cfRule>
  </conditionalFormatting>
  <conditionalFormatting sqref="O8">
    <cfRule type="cellIs" dxfId="27" priority="1" operator="lessThan">
      <formula>$J$3</formula>
    </cfRule>
    <cfRule type="cellIs" dxfId="26" priority="2" operator="greater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5"/>
  <sheetViews>
    <sheetView tabSelected="1" workbookViewId="0">
      <selection activeCell="J14" sqref="J1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0.1069909434892565</v>
      </c>
      <c r="M3" t="s">
        <v>4</v>
      </c>
      <c r="N3" s="29">
        <f>(INDEX(N5:N26,MATCH(MAX(O6:O7),O5:O26,0))/0.9)</f>
        <v>14.114724477777777</v>
      </c>
      <c r="O3" s="37">
        <f>(MAX(O6:O7)*0.85)</f>
        <v>8.1449836432159653E-2</v>
      </c>
      <c r="P3" s="38">
        <f>(O3*N3)</f>
        <v>1.1496420000000001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(B11*J3)</f>
        <v>4.3743233037185227</v>
      </c>
      <c r="K4" s="4">
        <f>(J4/D11-1)</f>
        <v>1.5848177724219754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8">
        <f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8">
        <f>(D6/B6)</f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8">
        <f>(D7/B7)</f>
        <v>9.5823336979011353E-2</v>
      </c>
      <c r="D7" s="38">
        <v>-1.217268</v>
      </c>
      <c r="N7" s="29">
        <f>(-B7)</f>
        <v>12.70325203</v>
      </c>
      <c r="O7" s="38">
        <f>(C7)</f>
        <v>9.5823336979011353E-2</v>
      </c>
      <c r="P7" s="38">
        <f>(O7*N7)</f>
        <v>1.217268</v>
      </c>
      <c r="Q7" t="s">
        <v>12</v>
      </c>
      <c r="R7" s="24">
        <f>B7</f>
        <v>-12.70325203</v>
      </c>
      <c r="S7" s="38">
        <f>(C7)</f>
        <v>9.5823336979011353E-2</v>
      </c>
      <c r="T7" s="38">
        <f>D7</f>
        <v>-1.217268</v>
      </c>
    </row>
    <row r="8" spans="2:20">
      <c r="B8" s="19">
        <v>-12.62063846</v>
      </c>
      <c r="C8" s="38">
        <f>(D8/B8)</f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8">
        <f>(D9/B9)</f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C10" s="38"/>
      <c r="D10" s="38"/>
      <c r="F10" t="s">
        <v>9</v>
      </c>
      <c r="G10" s="38">
        <f>(D11/B11)</f>
        <v>4.1392064319105151E-2</v>
      </c>
      <c r="O10" s="38"/>
      <c r="P10" s="38"/>
      <c r="R10" s="24"/>
      <c r="S10" s="38"/>
      <c r="T10" s="38"/>
    </row>
    <row r="11" spans="2:20">
      <c r="B11" s="19">
        <f>(SUM(B5:B10))</f>
        <v>40.884986720000001</v>
      </c>
      <c r="C11" s="38"/>
      <c r="D11" s="38">
        <f>(SUM(D5:D10))</f>
        <v>1.6923139999999999</v>
      </c>
      <c r="O11" s="38"/>
      <c r="P11" s="38">
        <f>(SUM(P6:P9))</f>
        <v>7.3496122565703388</v>
      </c>
      <c r="R11" s="24"/>
      <c r="S11" s="38"/>
      <c r="T11" s="38"/>
    </row>
    <row r="12" spans="2:20"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  <c r="V21" s="39"/>
    </row>
    <row r="23" spans="18:22">
      <c r="S23" s="38"/>
      <c r="T23" s="38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R35" s="24">
        <f>(SUM(R5:R34))</f>
        <v>40.884986720000001</v>
      </c>
      <c r="S35" s="38"/>
      <c r="T35" s="38">
        <f>(SUM(T5:T34))</f>
        <v>1.6923139999999999</v>
      </c>
      <c r="V35" t="s">
        <v>9</v>
      </c>
      <c r="W35" s="38">
        <f>(T35/R35)</f>
        <v>4.1392064319105151E-2</v>
      </c>
    </row>
  </sheetData>
  <conditionalFormatting sqref="C5 G10">
    <cfRule type="cellIs" dxfId="25" priority="23" operator="lessThan">
      <formula>$J$3</formula>
    </cfRule>
    <cfRule type="cellIs" dxfId="24" priority="24" operator="greaterThan">
      <formula>$J$3</formula>
    </cfRule>
  </conditionalFormatting>
  <conditionalFormatting sqref="O8:O9">
    <cfRule type="cellIs" dxfId="23" priority="19" operator="lessThan">
      <formula>$J$3</formula>
    </cfRule>
    <cfRule type="cellIs" dxfId="22" priority="20" operator="greaterThan">
      <formula>$J$3</formula>
    </cfRule>
  </conditionalFormatting>
  <conditionalFormatting sqref="O3">
    <cfRule type="cellIs" dxfId="21" priority="17" operator="greaterThan">
      <formula>$J$3</formula>
    </cfRule>
    <cfRule type="cellIs" dxfId="20" priority="18" operator="lessThan">
      <formula>$J$3</formula>
    </cfRule>
  </conditionalFormatting>
  <conditionalFormatting sqref="C9">
    <cfRule type="cellIs" dxfId="19" priority="15" operator="lessThan">
      <formula>$J$3</formula>
    </cfRule>
    <cfRule type="cellIs" dxfId="18" priority="16" operator="greaterThan">
      <formula>$J$3</formula>
    </cfRule>
  </conditionalFormatting>
  <conditionalFormatting sqref="S5 S8">
    <cfRule type="cellIs" dxfId="17" priority="13" operator="lessThan">
      <formula>$J$3</formula>
    </cfRule>
    <cfRule type="cellIs" dxfId="16" priority="14" operator="greaterThan">
      <formula>$J$3</formula>
    </cfRule>
  </conditionalFormatting>
  <conditionalFormatting sqref="W35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0.82138579315390292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2.4019940812500282</v>
      </c>
      <c r="K4" s="4">
        <f>(J4/D10-1)</f>
        <v>-0.19933530624999063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2.4625187867976469E-3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1.4760337608065095</v>
      </c>
      <c r="K4" s="4">
        <f>(J4/D10-1)</f>
        <v>-0.50798874639783009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0.16982149956379389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1.0331600390462092</v>
      </c>
      <c r="K4" s="4">
        <f>(J4/D9-1)</f>
        <v>-0.96421030541948538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43" priority="9" operator="lessThan">
      <formula>$J$3</formula>
    </cfRule>
    <cfRule type="cellIs" dxfId="242" priority="10" operator="greaterThan">
      <formula>$J$3</formula>
    </cfRule>
  </conditionalFormatting>
  <conditionalFormatting sqref="O11:O14">
    <cfRule type="cellIs" dxfId="241" priority="7" operator="lessThan">
      <formula>$J$3</formula>
    </cfRule>
    <cfRule type="cellIs" dxfId="240" priority="8" operator="greaterThan">
      <formula>$J$3</formula>
    </cfRule>
  </conditionalFormatting>
  <conditionalFormatting sqref="O20:O23">
    <cfRule type="cellIs" dxfId="239" priority="5" operator="lessThan">
      <formula>$J$3</formula>
    </cfRule>
    <cfRule type="cellIs" dxfId="238" priority="6" operator="greaterThan">
      <formula>$J$3</formula>
    </cfRule>
  </conditionalFormatting>
  <conditionalFormatting sqref="O29:O32">
    <cfRule type="cellIs" dxfId="237" priority="3" operator="lessThan">
      <formula>$J$3</formula>
    </cfRule>
    <cfRule type="cellIs" dxfId="236" priority="4" operator="greaterThan">
      <formula>$J$3</formula>
    </cfRule>
  </conditionalFormatting>
  <conditionalFormatting sqref="N6">
    <cfRule type="cellIs" dxfId="235" priority="1" operator="lessThan">
      <formula>$J$3</formula>
    </cfRule>
    <cfRule type="cellIs" dxfId="234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workbookViewId="0">
      <selection activeCell="N6" sqref="N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606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1.666941480263118E-3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5.8215950754599213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-46.353999999999935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-263.13240492454003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-183.74240492454001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606</v>
      </c>
      <c r="E34">
        <f t="shared" ref="E34:E40" si="1">C34*D34</f>
        <v>3789.9239999999995</v>
      </c>
      <c r="F34" s="29">
        <f t="shared" ref="F34:F40" si="2">E34*$N$5</f>
        <v>3145.6369199999995</v>
      </c>
      <c r="G34" s="38">
        <v>3.5</v>
      </c>
      <c r="H34" s="30">
        <f>G50</f>
        <v>1.5615590400000001</v>
      </c>
      <c r="I34" s="39">
        <f t="shared" ref="I34:I41" si="3">((F34-H34*D34)*$J$3-G34)</f>
        <v>0.1661579759756675</v>
      </c>
      <c r="J34">
        <v>1</v>
      </c>
      <c r="K34" s="44">
        <f t="shared" ref="K34:K40" si="4">I34*J34</f>
        <v>0.1661579759756675</v>
      </c>
      <c r="L34" s="31">
        <v>26</v>
      </c>
      <c r="M34" s="31">
        <f t="shared" ref="M34:M40" si="5">L34*J34</f>
        <v>26</v>
      </c>
    </row>
    <row r="35" spans="2:16">
      <c r="B35" s="8" t="s">
        <v>42</v>
      </c>
      <c r="C35">
        <v>0.96599999999999997</v>
      </c>
      <c r="D35">
        <f>$H$2</f>
        <v>606</v>
      </c>
      <c r="E35">
        <f t="shared" si="1"/>
        <v>585.39599999999996</v>
      </c>
      <c r="F35" s="29">
        <f t="shared" si="2"/>
        <v>485.87867999999992</v>
      </c>
      <c r="G35" s="38">
        <v>3.5</v>
      </c>
      <c r="H35" s="30">
        <f>G51</f>
        <v>0.21337130135885166</v>
      </c>
      <c r="I35" s="39">
        <f t="shared" si="3"/>
        <v>-2.9056092225297823</v>
      </c>
      <c r="J35">
        <v>1</v>
      </c>
      <c r="K35" s="44">
        <f t="shared" si="4"/>
        <v>-2.9056092225297823</v>
      </c>
      <c r="L35" s="31">
        <v>3</v>
      </c>
      <c r="M35" s="31">
        <f t="shared" si="5"/>
        <v>3</v>
      </c>
    </row>
    <row r="36" spans="2:16">
      <c r="B36" s="8" t="s">
        <v>44</v>
      </c>
      <c r="C36">
        <v>0.85099999999999998</v>
      </c>
      <c r="D36">
        <f>$H$2</f>
        <v>606</v>
      </c>
      <c r="E36">
        <f t="shared" si="1"/>
        <v>515.70600000000002</v>
      </c>
      <c r="F36" s="29">
        <f t="shared" si="2"/>
        <v>428.03598</v>
      </c>
      <c r="G36" s="38">
        <v>3.5</v>
      </c>
      <c r="H36" s="30">
        <f>G52</f>
        <v>0.18479602162162162</v>
      </c>
      <c r="I36" s="39">
        <f t="shared" si="3"/>
        <v>-2.9731638271131064</v>
      </c>
      <c r="J36">
        <v>1</v>
      </c>
      <c r="K36" s="44">
        <f t="shared" si="4"/>
        <v>-2.9731638271131064</v>
      </c>
      <c r="L36" s="31">
        <v>2.77</v>
      </c>
      <c r="M36" s="31">
        <f t="shared" si="5"/>
        <v>2.77</v>
      </c>
    </row>
    <row r="37" spans="2:16">
      <c r="B37" s="8" t="s">
        <v>44</v>
      </c>
      <c r="C37">
        <v>0.85099999999999998</v>
      </c>
      <c r="D37">
        <f>$H$2-34</f>
        <v>572</v>
      </c>
      <c r="E37">
        <f t="shared" si="1"/>
        <v>486.77199999999999</v>
      </c>
      <c r="F37" s="29">
        <f t="shared" si="2"/>
        <v>404.02076</v>
      </c>
      <c r="G37" s="38">
        <v>0</v>
      </c>
      <c r="H37" s="30">
        <f>G52</f>
        <v>0.18479602162162162</v>
      </c>
      <c r="I37" s="39">
        <f t="shared" si="3"/>
        <v>0.49727770774142432</v>
      </c>
      <c r="J37">
        <v>3</v>
      </c>
      <c r="K37" s="44">
        <f t="shared" si="4"/>
        <v>1.491833123224273</v>
      </c>
      <c r="L37" s="31">
        <f>L36</f>
        <v>2.77</v>
      </c>
      <c r="M37" s="31">
        <f t="shared" si="5"/>
        <v>8.31</v>
      </c>
    </row>
    <row r="38" spans="2:16">
      <c r="B38" s="8" t="s">
        <v>44</v>
      </c>
      <c r="C38">
        <v>0.85099999999999998</v>
      </c>
      <c r="D38">
        <f>$H$2-34-58</f>
        <v>514</v>
      </c>
      <c r="E38">
        <f t="shared" si="1"/>
        <v>437.41399999999999</v>
      </c>
      <c r="F38" s="29">
        <f t="shared" si="2"/>
        <v>363.05361999999997</v>
      </c>
      <c r="G38" s="38">
        <v>0</v>
      </c>
      <c r="H38" s="30">
        <f>H37</f>
        <v>0.18479602162162162</v>
      </c>
      <c r="I38" s="39">
        <f t="shared" si="3"/>
        <v>0.44685444366974147</v>
      </c>
      <c r="J38">
        <v>1</v>
      </c>
      <c r="K38" s="44">
        <f t="shared" si="4"/>
        <v>0.44685444366974147</v>
      </c>
      <c r="L38" s="31">
        <f>L37</f>
        <v>2.77</v>
      </c>
      <c r="M38" s="31">
        <f t="shared" si="5"/>
        <v>2.77</v>
      </c>
    </row>
    <row r="39" spans="2:16">
      <c r="B39" s="8" t="s">
        <v>44</v>
      </c>
      <c r="C39">
        <v>0.85099999999999998</v>
      </c>
      <c r="D39">
        <f>$H$2-140</f>
        <v>466</v>
      </c>
      <c r="E39">
        <f t="shared" si="1"/>
        <v>396.56599999999997</v>
      </c>
      <c r="F39" s="29">
        <f t="shared" si="2"/>
        <v>329.14977999999996</v>
      </c>
      <c r="G39" s="38">
        <v>0</v>
      </c>
      <c r="H39" s="30">
        <f>H38</f>
        <v>0.18479602162162162</v>
      </c>
      <c r="I39" s="39">
        <f t="shared" si="3"/>
        <v>0.40512484581731417</v>
      </c>
      <c r="J39">
        <v>1</v>
      </c>
      <c r="K39" s="44">
        <f t="shared" si="4"/>
        <v>0.40512484581731417</v>
      </c>
      <c r="L39" s="31">
        <f>L38</f>
        <v>2.77</v>
      </c>
      <c r="M39" s="31">
        <f t="shared" si="5"/>
        <v>2.77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56.124600000000001</v>
      </c>
      <c r="G40" s="45">
        <v>0</v>
      </c>
      <c r="H40" s="32">
        <f>H35</f>
        <v>0.21337130135885166</v>
      </c>
      <c r="I40" s="45">
        <f t="shared" si="3"/>
        <v>6.8659000697879946E-2</v>
      </c>
      <c r="J40" s="16">
        <v>1</v>
      </c>
      <c r="K40" s="46">
        <f t="shared" si="4"/>
        <v>6.8659000697879946E-2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332</v>
      </c>
      <c r="E41">
        <f>(C41*D41)</f>
        <v>282.53199999999998</v>
      </c>
      <c r="F41" s="29">
        <f>(E41*$N$5)</f>
        <v>234.50155999999998</v>
      </c>
      <c r="G41" s="38">
        <v>0</v>
      </c>
      <c r="H41" s="29">
        <f>(H37)</f>
        <v>0.18479602162162162</v>
      </c>
      <c r="I41" s="39">
        <f t="shared" si="3"/>
        <v>0.2886297184792882</v>
      </c>
      <c r="J41">
        <v>1</v>
      </c>
      <c r="K41" s="44">
        <f>(I41*J41)</f>
        <v>0.2886297184792882</v>
      </c>
      <c r="L41" s="31">
        <f>(L39)</f>
        <v>2.77</v>
      </c>
      <c r="M41" s="31">
        <f>(L41*J41)</f>
        <v>2.77</v>
      </c>
    </row>
    <row r="42" spans="2:16">
      <c r="B42" s="8" t="s">
        <v>46</v>
      </c>
      <c r="H42" s="21"/>
      <c r="J42">
        <v>2</v>
      </c>
      <c r="K42" s="44"/>
      <c r="L42" s="31">
        <v>14.78</v>
      </c>
      <c r="M42" s="31">
        <f>L42*J42</f>
        <v>29.56</v>
      </c>
    </row>
    <row r="43" spans="2:16">
      <c r="B43" s="8" t="s">
        <v>65</v>
      </c>
      <c r="J43">
        <v>1</v>
      </c>
      <c r="K43" s="9"/>
      <c r="L43" s="31">
        <v>0.2</v>
      </c>
      <c r="M43" s="31">
        <f>(L43*J43)</f>
        <v>0.2</v>
      </c>
    </row>
    <row r="44" spans="2:16">
      <c r="B44" s="8" t="s">
        <v>66</v>
      </c>
      <c r="J44">
        <v>1</v>
      </c>
      <c r="K44" s="9"/>
      <c r="L44" s="31">
        <v>0.18</v>
      </c>
      <c r="M44" s="31">
        <f>(L44*J44)</f>
        <v>0.18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1.06</v>
      </c>
      <c r="M45" s="31">
        <f>(L45*J45)</f>
        <v>1.06</v>
      </c>
    </row>
    <row r="46" spans="2:16">
      <c r="L46" t="s">
        <v>34</v>
      </c>
      <c r="M46" s="31">
        <f>(SUM(M33:M45))</f>
        <v>79.390000000000015</v>
      </c>
      <c r="O46" s="31">
        <f>(J13+SUM(G34:G40)-D74)</f>
        <v>1.0152430754599227</v>
      </c>
      <c r="P46">
        <f>(O46/J3)</f>
        <v>609.04542089844199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33" priority="17" operator="lessThan">
      <formula>$C$5</formula>
    </cfRule>
    <cfRule type="cellIs" dxfId="232" priority="18" operator="greaterThan">
      <formula>$C$5</formula>
    </cfRule>
  </conditionalFormatting>
  <conditionalFormatting sqref="L35">
    <cfRule type="cellIs" dxfId="231" priority="15" operator="lessThan">
      <formula>$C$6</formula>
    </cfRule>
    <cfRule type="cellIs" dxfId="230" priority="16" operator="greaterThan">
      <formula>$C$6</formula>
    </cfRule>
  </conditionalFormatting>
  <conditionalFormatting sqref="L39">
    <cfRule type="cellIs" dxfId="229" priority="13" operator="lessThan">
      <formula>$C$20</formula>
    </cfRule>
    <cfRule type="cellIs" dxfId="228" priority="14" operator="greaterThan">
      <formula>$C$20</formula>
    </cfRule>
  </conditionalFormatting>
  <conditionalFormatting sqref="L38">
    <cfRule type="cellIs" dxfId="227" priority="11" operator="lessThan">
      <formula>$C$19</formula>
    </cfRule>
    <cfRule type="cellIs" dxfId="226" priority="12" operator="greaterThan">
      <formula>$C$19</formula>
    </cfRule>
  </conditionalFormatting>
  <conditionalFormatting sqref="L37">
    <cfRule type="cellIs" dxfId="225" priority="9" operator="lessThan">
      <formula>$C$17</formula>
    </cfRule>
    <cfRule type="cellIs" dxfId="224" priority="10" operator="greaterThan">
      <formula>$C$17</formula>
    </cfRule>
  </conditionalFormatting>
  <conditionalFormatting sqref="L36">
    <cfRule type="cellIs" dxfId="223" priority="7" operator="lessThan">
      <formula>$C$7</formula>
    </cfRule>
    <cfRule type="cellIs" dxfId="222" priority="8" operator="greaterThan">
      <formula>$C$7</formula>
    </cfRule>
  </conditionalFormatting>
  <conditionalFormatting sqref="L41">
    <cfRule type="cellIs" dxfId="221" priority="5" operator="lessThan">
      <formula>$C$20</formula>
    </cfRule>
    <cfRule type="cellIs" dxfId="220" priority="6" operator="greaterThan">
      <formula>$C$20</formula>
    </cfRule>
  </conditionalFormatting>
  <conditionalFormatting sqref="L42">
    <cfRule type="cellIs" dxfId="219" priority="3" operator="lessThan">
      <formula>$C$27</formula>
    </cfRule>
    <cfRule type="cellIs" dxfId="218" priority="4" operator="greaterThan">
      <formula>$C$27</formula>
    </cfRule>
  </conditionalFormatting>
  <conditionalFormatting sqref="L43:L45">
    <cfRule type="cellIs" dxfId="217" priority="1" operator="lessThan">
      <formula>$C$7</formula>
    </cfRule>
    <cfRule type="cellIs" dxfId="216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(-68/3)</f>
        <v>-22.666666666666668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0.28835084457339683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29.109040328905017</v>
      </c>
      <c r="K4" s="4">
        <f>(J4/D13-1)</f>
        <v>-0.15356180989439838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0.54473199000000005</v>
      </c>
      <c r="C6" s="40">
        <v>0</v>
      </c>
      <c r="D6" s="40">
        <f>(B6*C6)</f>
        <v>0</v>
      </c>
      <c r="E6" s="38">
        <f>(B6*J3)</f>
        <v>0.15707392938264716</v>
      </c>
      <c r="M6" t="s">
        <v>11</v>
      </c>
      <c r="N6" s="1">
        <f>($B$13/5)</f>
        <v>20.190015654</v>
      </c>
      <c r="O6" s="38">
        <f>($S$7*Params!K8)</f>
        <v>0.45077040430278165</v>
      </c>
      <c r="P6" s="38">
        <f>(O6*N6)</f>
        <v>9.1010615192330704</v>
      </c>
      <c r="R6" s="2">
        <f>(B6)</f>
        <v>0.54473199000000005</v>
      </c>
      <c r="S6" s="40">
        <v>0</v>
      </c>
      <c r="T6" s="40">
        <f>(D6)</f>
        <v>0</v>
      </c>
      <c r="U6" s="38">
        <f>(R6*J3)</f>
        <v>0.15707392938264716</v>
      </c>
    </row>
    <row r="7" spans="2:21">
      <c r="B7" s="1">
        <v>97.765957080000007</v>
      </c>
      <c r="C7" s="38">
        <f>(D7/B7)</f>
        <v>0.34674646484829358</v>
      </c>
      <c r="D7" s="38">
        <v>33.9</v>
      </c>
      <c r="E7" t="s">
        <v>15</v>
      </c>
      <c r="N7" s="1">
        <f>($B$13/5)</f>
        <v>20.190015654</v>
      </c>
      <c r="O7" s="38">
        <f>($S$7*Params!K9)</f>
        <v>0.55479434375726977</v>
      </c>
      <c r="P7" s="38">
        <f>(O7*N7)</f>
        <v>11.201306485209933</v>
      </c>
      <c r="R7" s="29">
        <f>B7</f>
        <v>97.765957080000007</v>
      </c>
      <c r="S7" s="38">
        <f>(T7/R7)</f>
        <v>0.34674646484829358</v>
      </c>
      <c r="T7" s="38">
        <f>D7</f>
        <v>33.9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20.190015654</v>
      </c>
      <c r="O8" s="38">
        <f>($C$7*Params!K10)</f>
        <v>0.76284222266624591</v>
      </c>
      <c r="P8" s="38">
        <f>(O8*N8)</f>
        <v>15.401796417163657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20.190015654</v>
      </c>
      <c r="O9" s="38">
        <f>($C$7*Params!K11)</f>
        <v>1.3869858593931743</v>
      </c>
      <c r="P9" s="38">
        <f>(O9*N9)</f>
        <v>28.003266213024833</v>
      </c>
    </row>
    <row r="10" spans="2:21">
      <c r="N10" s="1"/>
      <c r="P10" s="38"/>
    </row>
    <row r="11" spans="2:21">
      <c r="P11" s="38">
        <f>(SUM(P6:P9))</f>
        <v>63.707430634631493</v>
      </c>
    </row>
    <row r="12" spans="2:21">
      <c r="F12" t="s">
        <v>9</v>
      </c>
      <c r="G12" s="35">
        <f>(D13/B13)</f>
        <v>0.34066379322679446</v>
      </c>
    </row>
    <row r="13" spans="2:21">
      <c r="B13" s="1">
        <f>(SUM(B5:B12))</f>
        <v>100.95007827000001</v>
      </c>
      <c r="D13" s="38">
        <f>(SUM(D5:D12))</f>
        <v>34.390036590000001</v>
      </c>
      <c r="R13" s="1">
        <f>(SUM(R5:R12))</f>
        <v>100.95007827000001</v>
      </c>
      <c r="T13" s="38">
        <f>(SUM(T5:T12))</f>
        <v>34.390036590000001</v>
      </c>
    </row>
  </sheetData>
  <conditionalFormatting sqref="C5 C7 G12 S5 S7">
    <cfRule type="cellIs" dxfId="215" priority="15" operator="lessThan">
      <formula>$J$3</formula>
    </cfRule>
    <cfRule type="cellIs" dxfId="214" priority="16" operator="greaterThan">
      <formula>$J$3</formula>
    </cfRule>
  </conditionalFormatting>
  <conditionalFormatting sqref="O6:O9">
    <cfRule type="cellIs" dxfId="213" priority="11" operator="lessThan">
      <formula>$J$3</formula>
    </cfRule>
    <cfRule type="cellIs" dxfId="212" priority="12" operator="greaterThan">
      <formula>$J$3</formula>
    </cfRule>
  </conditionalFormatting>
  <conditionalFormatting sqref="O6">
    <cfRule type="cellIs" dxfId="211" priority="1" operator="lessThan">
      <formula>$J$3</formula>
    </cfRule>
    <cfRule type="cellIs" dxfId="210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0.1128256149931854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7.1295107621395077</v>
      </c>
      <c r="K4" s="4">
        <f>(J4/D14-1)</f>
        <v>-0.27441385692499831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0.44772358000000001</v>
      </c>
      <c r="C6" s="40">
        <v>0</v>
      </c>
      <c r="D6" s="40">
        <f>(B6*C6)</f>
        <v>0</v>
      </c>
      <c r="E6" s="38">
        <f>(B6*J3)</f>
        <v>5.0514688260450642E-2</v>
      </c>
      <c r="M6" t="s">
        <v>11</v>
      </c>
      <c r="N6" s="29">
        <f>($B$14/5)</f>
        <v>12.638106626000001</v>
      </c>
      <c r="O6" s="38">
        <f>($C$5*Params!K8)</f>
        <v>0.21940472231459929</v>
      </c>
      <c r="P6" s="38">
        <f>(O6*N6)</f>
        <v>2.7728602748598274</v>
      </c>
      <c r="R6" s="25">
        <f>(B6)</f>
        <v>0.44772358000000001</v>
      </c>
      <c r="S6" s="40">
        <v>0</v>
      </c>
      <c r="T6" s="40">
        <f>(D6)</f>
        <v>0</v>
      </c>
      <c r="U6" s="38">
        <f>(E6)</f>
        <v>5.0514688260450642E-2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12.638106626000001</v>
      </c>
      <c r="O7" s="38">
        <f>($C$5*Params!K9)</f>
        <v>0.27003658131027602</v>
      </c>
      <c r="P7" s="38">
        <f>(O7*N7)</f>
        <v>3.4127511075197874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12.638106626000001</v>
      </c>
      <c r="O8" s="38">
        <f>($C$5*Params!K10)</f>
        <v>0.37130029930162955</v>
      </c>
      <c r="P8" s="38">
        <f>(O8*N8)</f>
        <v>4.6925327728397077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12.638106626000001</v>
      </c>
      <c r="O9" s="38">
        <f>($C$5*Params!K11)</f>
        <v>0.67509145327569009</v>
      </c>
      <c r="P9" s="38">
        <f>(O9*N9)</f>
        <v>8.5318777687994682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19.410021924018793</v>
      </c>
    </row>
    <row r="13" spans="2:21">
      <c r="F13" t="s">
        <v>9</v>
      </c>
      <c r="G13" s="38">
        <f>(D14/B14)</f>
        <v>0.15549582371437731</v>
      </c>
    </row>
    <row r="14" spans="2:21">
      <c r="B14" s="29">
        <f>(SUM(B5:B13))</f>
        <v>63.190533130000006</v>
      </c>
      <c r="D14" s="38">
        <f>(SUM(D5:D13))</f>
        <v>9.8258639999999993</v>
      </c>
    </row>
    <row r="17" spans="11:20">
      <c r="N17" s="29"/>
      <c r="R17" s="29">
        <f>(SUM(R5:R16))</f>
        <v>63.190533130000006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9" priority="13" operator="lessThan">
      <formula>$J$3</formula>
    </cfRule>
    <cfRule type="cellIs" dxfId="208" priority="14" operator="greaterThan">
      <formula>$J$3</formula>
    </cfRule>
  </conditionalFormatting>
  <conditionalFormatting sqref="C9:C10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:O9">
    <cfRule type="cellIs" dxfId="205" priority="9" operator="lessThan">
      <formula>$J$3</formula>
    </cfRule>
    <cfRule type="cellIs" dxfId="204" priority="10" operator="greaterThan">
      <formula>$J$3</formula>
    </cfRule>
  </conditionalFormatting>
  <conditionalFormatting sqref="S5 S7:S8">
    <cfRule type="cellIs" dxfId="203" priority="5" operator="lessThan">
      <formula>$J$3</formula>
    </cfRule>
    <cfRule type="cellIs" dxfId="202" priority="6" operator="greaterThan">
      <formula>$J$3</formula>
    </cfRule>
  </conditionalFormatting>
  <conditionalFormatting sqref="O6">
    <cfRule type="cellIs" dxfId="201" priority="3" operator="lessThan">
      <formula>$J$3</formula>
    </cfRule>
    <cfRule type="cellIs" dxfId="200" priority="4" operator="greaterThan">
      <formula>$J$3</formula>
    </cfRule>
  </conditionalFormatting>
  <conditionalFormatting sqref="G13">
    <cfRule type="cellIs" dxfId="199" priority="1" operator="lessThan">
      <formula>$J$3</formula>
    </cfRule>
    <cfRule type="cellIs" dxfId="198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2023-08-15T16:44:07Z</dcterms:modified>
</cp:coreProperties>
</file>