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3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35" r:id="rId19"/>
    <sheet name="ICP" sheetId="19" r:id="rId20"/>
    <sheet name="KAVA" sheetId="36" r:id="rId21"/>
    <sheet name="LDO" sheetId="20" r:id="rId22"/>
    <sheet name="LINK" sheetId="21" r:id="rId23"/>
    <sheet name="LTC" sheetId="22" r:id="rId24"/>
    <sheet name="LUNA" sheetId="23" r:id="rId25"/>
    <sheet name="LUNC" sheetId="24" r:id="rId26"/>
    <sheet name="MATIC" sheetId="25" r:id="rId27"/>
    <sheet name="MEME" sheetId="26" r:id="rId28"/>
    <sheet name="MINA" sheetId="27" r:id="rId29"/>
    <sheet name="NEAR" sheetId="28" r:id="rId30"/>
    <sheet name="SEI" sheetId="29" r:id="rId31"/>
    <sheet name="SHIB" sheetId="30" r:id="rId32"/>
    <sheet name="SHPING" sheetId="37" r:id="rId33"/>
    <sheet name="SOL" sheetId="31" r:id="rId34"/>
    <sheet name="TRX" sheetId="32" r:id="rId35"/>
    <sheet name="UNI" sheetId="33" r:id="rId36"/>
    <sheet name="XRP" sheetId="34" r:id="rId37"/>
    <sheet name="TIA" sheetId="39" r:id="rId38"/>
    <sheet name="DYDX" sheetId="40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5"/>
  <c r="S5"/>
  <c r="R5"/>
  <c r="R18" s="1"/>
  <c r="C5"/>
  <c r="O9" s="1"/>
  <c r="P9" s="1"/>
  <c r="J4"/>
  <c r="P6" i="40"/>
  <c r="O6"/>
  <c r="N6"/>
  <c r="N7"/>
  <c r="N8"/>
  <c r="N9"/>
  <c r="T5"/>
  <c r="S6"/>
  <c r="R5"/>
  <c r="R6"/>
  <c r="B14"/>
  <c r="E6"/>
  <c r="D6"/>
  <c r="D14" s="1"/>
  <c r="C5"/>
  <c r="O8" s="1"/>
  <c r="J4"/>
  <c r="K4" i="39" l="1"/>
  <c r="T18"/>
  <c r="O8"/>
  <c r="P8" s="1"/>
  <c r="D14"/>
  <c r="G13" s="1"/>
  <c r="O6"/>
  <c r="P6" s="1"/>
  <c r="P11" s="1"/>
  <c r="O7"/>
  <c r="P7" s="1"/>
  <c r="T6" i="40"/>
  <c r="P8"/>
  <c r="R18"/>
  <c r="S5"/>
  <c r="G13"/>
  <c r="K4"/>
  <c r="O9"/>
  <c r="P9" s="1"/>
  <c r="T18"/>
  <c r="O7"/>
  <c r="P7" s="1"/>
  <c r="P11" s="1"/>
  <c r="D10" i="37" l="1"/>
  <c r="B10"/>
  <c r="N9"/>
  <c r="G9"/>
  <c r="N8"/>
  <c r="N7"/>
  <c r="N6"/>
  <c r="C5"/>
  <c r="O7" s="1"/>
  <c r="P7" s="1"/>
  <c r="J4"/>
  <c r="K4" s="1"/>
  <c r="D10" i="36"/>
  <c r="B10"/>
  <c r="N9"/>
  <c r="G9"/>
  <c r="N8"/>
  <c r="N7"/>
  <c r="N6"/>
  <c r="C5"/>
  <c r="O9" s="1"/>
  <c r="P9" s="1"/>
  <c r="J4"/>
  <c r="K4" s="1"/>
  <c r="B14" i="35"/>
  <c r="C12"/>
  <c r="D11"/>
  <c r="D14" s="1"/>
  <c r="G13" s="1"/>
  <c r="C10"/>
  <c r="T9"/>
  <c r="S9"/>
  <c r="R9"/>
  <c r="C9"/>
  <c r="T8"/>
  <c r="S8" s="1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4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3"/>
  <c r="N9"/>
  <c r="N8"/>
  <c r="N7"/>
  <c r="N6"/>
  <c r="E6"/>
  <c r="D6"/>
  <c r="D10" s="1"/>
  <c r="G9" s="1"/>
  <c r="C5"/>
  <c r="O9" s="1"/>
  <c r="P9" s="1"/>
  <c r="J4"/>
  <c r="K4" s="1"/>
  <c r="B13" i="32"/>
  <c r="N9"/>
  <c r="N8"/>
  <c r="N7"/>
  <c r="N6"/>
  <c r="Q6" s="1"/>
  <c r="E6"/>
  <c r="D6"/>
  <c r="D13" s="1"/>
  <c r="C5"/>
  <c r="O9" s="1"/>
  <c r="P9" s="1"/>
  <c r="J4"/>
  <c r="D41" i="31"/>
  <c r="C41" s="1"/>
  <c r="S28" s="1"/>
  <c r="C40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O25"/>
  <c r="N25"/>
  <c r="C25"/>
  <c r="T24"/>
  <c r="S24" s="1"/>
  <c r="R24"/>
  <c r="N24"/>
  <c r="C24"/>
  <c r="T23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3" i="30"/>
  <c r="B13"/>
  <c r="G12"/>
  <c r="N9"/>
  <c r="N8"/>
  <c r="N7"/>
  <c r="N6"/>
  <c r="E6"/>
  <c r="D6"/>
  <c r="C5"/>
  <c r="O8" s="1"/>
  <c r="P8" s="1"/>
  <c r="J4"/>
  <c r="K4" s="1"/>
  <c r="B14" i="29"/>
  <c r="N6" s="1"/>
  <c r="Q6" s="1"/>
  <c r="N9"/>
  <c r="N8"/>
  <c r="N7"/>
  <c r="Q7" s="1"/>
  <c r="T6"/>
  <c r="R6"/>
  <c r="O6"/>
  <c r="P6" s="1"/>
  <c r="E6"/>
  <c r="U6" s="1"/>
  <c r="D6"/>
  <c r="D14" s="1"/>
  <c r="G13" s="1"/>
  <c r="T5"/>
  <c r="T17" s="1"/>
  <c r="R5"/>
  <c r="R17" s="1"/>
  <c r="C5"/>
  <c r="O9" s="1"/>
  <c r="P9" s="1"/>
  <c r="D21" i="28"/>
  <c r="B21"/>
  <c r="G20"/>
  <c r="C19"/>
  <c r="E18"/>
  <c r="C18"/>
  <c r="O17"/>
  <c r="C17"/>
  <c r="O16"/>
  <c r="C16"/>
  <c r="C15"/>
  <c r="P14"/>
  <c r="O14"/>
  <c r="N14"/>
  <c r="C14"/>
  <c r="C13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N8"/>
  <c r="C8"/>
  <c r="T7"/>
  <c r="R7"/>
  <c r="N7"/>
  <c r="E7"/>
  <c r="U6"/>
  <c r="T6"/>
  <c r="S6"/>
  <c r="O15" s="1"/>
  <c r="R6"/>
  <c r="P6"/>
  <c r="N6"/>
  <c r="C6"/>
  <c r="T5"/>
  <c r="T24" s="1"/>
  <c r="R5"/>
  <c r="R24" s="1"/>
  <c r="C5"/>
  <c r="O9" s="1"/>
  <c r="P9" s="1"/>
  <c r="K4"/>
  <c r="J4"/>
  <c r="B10" i="27"/>
  <c r="N9"/>
  <c r="N8"/>
  <c r="O7"/>
  <c r="P7" s="1"/>
  <c r="N7"/>
  <c r="E7"/>
  <c r="D7"/>
  <c r="N6"/>
  <c r="E6"/>
  <c r="D6"/>
  <c r="D10" s="1"/>
  <c r="C5"/>
  <c r="O9" s="1"/>
  <c r="P9" s="1"/>
  <c r="J4"/>
  <c r="B10" i="26"/>
  <c r="N9" s="1"/>
  <c r="N7"/>
  <c r="E6"/>
  <c r="D6"/>
  <c r="D10" s="1"/>
  <c r="G9" s="1"/>
  <c r="C5"/>
  <c r="O9" s="1"/>
  <c r="P9" s="1"/>
  <c r="J4"/>
  <c r="K4" s="1"/>
  <c r="N17" i="25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7" i="24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S26" s="1"/>
  <c r="R26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B39" s="1"/>
  <c r="S8"/>
  <c r="R8"/>
  <c r="C8"/>
  <c r="R7"/>
  <c r="T7" s="1"/>
  <c r="D7"/>
  <c r="T6"/>
  <c r="R6"/>
  <c r="N6"/>
  <c r="O6" s="1"/>
  <c r="P6" s="1"/>
  <c r="D6"/>
  <c r="T5"/>
  <c r="R5"/>
  <c r="D5"/>
  <c r="D39" s="1"/>
  <c r="G39" s="1"/>
  <c r="D20" i="23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22" s="1"/>
  <c r="D5"/>
  <c r="B15" i="22"/>
  <c r="C13"/>
  <c r="C12"/>
  <c r="C11"/>
  <c r="C10"/>
  <c r="C9"/>
  <c r="T8"/>
  <c r="R8"/>
  <c r="U8" s="1"/>
  <c r="C8"/>
  <c r="T7"/>
  <c r="S7" s="1"/>
  <c r="R7"/>
  <c r="R21" s="1"/>
  <c r="C7"/>
  <c r="O9" s="1"/>
  <c r="P9" s="1"/>
  <c r="R6"/>
  <c r="N6"/>
  <c r="E6"/>
  <c r="D6"/>
  <c r="D15" s="1"/>
  <c r="G14" s="1"/>
  <c r="T5"/>
  <c r="S5"/>
  <c r="R5"/>
  <c r="N9" s="1"/>
  <c r="C5"/>
  <c r="J4"/>
  <c r="B11" i="21"/>
  <c r="R9"/>
  <c r="R22" s="1"/>
  <c r="D9"/>
  <c r="T9" s="1"/>
  <c r="T8"/>
  <c r="R8"/>
  <c r="P8"/>
  <c r="O8" s="1"/>
  <c r="N8"/>
  <c r="N9" s="1"/>
  <c r="C8"/>
  <c r="T7"/>
  <c r="R7"/>
  <c r="P7"/>
  <c r="O7"/>
  <c r="N7"/>
  <c r="D7"/>
  <c r="C7"/>
  <c r="R6"/>
  <c r="P6"/>
  <c r="N6"/>
  <c r="E6"/>
  <c r="D6"/>
  <c r="D11" s="1"/>
  <c r="G10" s="1"/>
  <c r="T5"/>
  <c r="S5"/>
  <c r="R5"/>
  <c r="C5"/>
  <c r="O9" s="1"/>
  <c r="J4"/>
  <c r="K4" s="1"/>
  <c r="B10" i="20"/>
  <c r="N9" s="1"/>
  <c r="N7"/>
  <c r="E6"/>
  <c r="D6"/>
  <c r="D10" s="1"/>
  <c r="G9" s="1"/>
  <c r="C5"/>
  <c r="O9" s="1"/>
  <c r="P9" s="1"/>
  <c r="J4"/>
  <c r="K4" s="1"/>
  <c r="B12" i="19"/>
  <c r="J4" s="1"/>
  <c r="C10"/>
  <c r="T9"/>
  <c r="R9"/>
  <c r="N9"/>
  <c r="C9"/>
  <c r="T8"/>
  <c r="R8"/>
  <c r="C8"/>
  <c r="T7"/>
  <c r="R7"/>
  <c r="P7"/>
  <c r="O7" s="1"/>
  <c r="N3" s="1"/>
  <c r="N7"/>
  <c r="N8" s="1"/>
  <c r="C7"/>
  <c r="T6"/>
  <c r="S6" s="1"/>
  <c r="R6"/>
  <c r="P6"/>
  <c r="O6"/>
  <c r="O3" s="1"/>
  <c r="P3" s="1"/>
  <c r="N6"/>
  <c r="E6"/>
  <c r="D6"/>
  <c r="D12" s="1"/>
  <c r="G11" s="1"/>
  <c r="T5"/>
  <c r="T24" s="1"/>
  <c r="R5"/>
  <c r="R24" s="1"/>
  <c r="C5"/>
  <c r="O9" s="1"/>
  <c r="P9" s="1"/>
  <c r="B13" i="18"/>
  <c r="N9" s="1"/>
  <c r="O9"/>
  <c r="P9" s="1"/>
  <c r="O8"/>
  <c r="N8"/>
  <c r="P8" s="1"/>
  <c r="O7"/>
  <c r="D7"/>
  <c r="C7" s="1"/>
  <c r="N6"/>
  <c r="E6"/>
  <c r="D6"/>
  <c r="D13" s="1"/>
  <c r="G12" s="1"/>
  <c r="J4"/>
  <c r="D11" i="17"/>
  <c r="C10"/>
  <c r="R9"/>
  <c r="O9"/>
  <c r="D9"/>
  <c r="D8" s="1"/>
  <c r="B9"/>
  <c r="O8"/>
  <c r="B8"/>
  <c r="B14" s="1"/>
  <c r="T7"/>
  <c r="S7"/>
  <c r="R7"/>
  <c r="C7"/>
  <c r="T6"/>
  <c r="R6"/>
  <c r="N6"/>
  <c r="E6"/>
  <c r="D6"/>
  <c r="T5"/>
  <c r="R5"/>
  <c r="C5"/>
  <c r="B13" i="16"/>
  <c r="N9" s="1"/>
  <c r="O9"/>
  <c r="N8"/>
  <c r="O7"/>
  <c r="N6"/>
  <c r="E6"/>
  <c r="D6"/>
  <c r="D13" s="1"/>
  <c r="G12" s="1"/>
  <c r="C5"/>
  <c r="O8" s="1"/>
  <c r="P8" s="1"/>
  <c r="N24" i="15"/>
  <c r="N22"/>
  <c r="N17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J4"/>
  <c r="K4" s="1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P23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T5"/>
  <c r="R5"/>
  <c r="R19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10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57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3" s="1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12" i="4" l="1"/>
  <c r="P14"/>
  <c r="P20"/>
  <c r="P26" s="1"/>
  <c r="P22"/>
  <c r="P30"/>
  <c r="P32"/>
  <c r="P25" i="31"/>
  <c r="T27" s="1"/>
  <c r="O37" i="1"/>
  <c r="P37" s="1"/>
  <c r="O36"/>
  <c r="O35"/>
  <c r="O34"/>
  <c r="O29"/>
  <c r="P29" s="1"/>
  <c r="O28"/>
  <c r="O27"/>
  <c r="O26"/>
  <c r="N51" i="2"/>
  <c r="O51" s="1"/>
  <c r="N52"/>
  <c r="O52" s="1"/>
  <c r="N50"/>
  <c r="O50" s="1"/>
  <c r="N76"/>
  <c r="N74"/>
  <c r="N75"/>
  <c r="O75" s="1"/>
  <c r="N73"/>
  <c r="O9"/>
  <c r="O14" s="1"/>
  <c r="N4"/>
  <c r="T10" i="1"/>
  <c r="S10" s="1"/>
  <c r="O22" i="2"/>
  <c r="O54"/>
  <c r="O38"/>
  <c r="J12" i="1"/>
  <c r="J13" s="1"/>
  <c r="J4"/>
  <c r="R22"/>
  <c r="D39"/>
  <c r="T22"/>
  <c r="T18"/>
  <c r="R18"/>
  <c r="N11" s="1"/>
  <c r="N10"/>
  <c r="J4" i="2"/>
  <c r="J7"/>
  <c r="J8" s="1"/>
  <c r="P10" i="1"/>
  <c r="H37" i="5"/>
  <c r="H38"/>
  <c r="O3" i="1"/>
  <c r="T5"/>
  <c r="N6"/>
  <c r="R19"/>
  <c r="N19" s="1"/>
  <c r="T19"/>
  <c r="S19" s="1"/>
  <c r="R21"/>
  <c r="N34"/>
  <c r="N35"/>
  <c r="N36"/>
  <c r="D38"/>
  <c r="T21" s="1"/>
  <c r="T5" i="2"/>
  <c r="R20"/>
  <c r="M58" s="1"/>
  <c r="T20"/>
  <c r="S20" s="1"/>
  <c r="D31"/>
  <c r="D38" s="1"/>
  <c r="G37" s="1"/>
  <c r="N43"/>
  <c r="O43" s="1"/>
  <c r="N66"/>
  <c r="O66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K4" i="4"/>
  <c r="P6"/>
  <c r="G8"/>
  <c r="P17"/>
  <c r="J14" i="5"/>
  <c r="I38"/>
  <c r="K38" s="1"/>
  <c r="P9" i="16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L40" i="5"/>
  <c r="M40" s="1"/>
  <c r="M39"/>
  <c r="J4" i="8"/>
  <c r="N9"/>
  <c r="P9" s="1"/>
  <c r="E7" i="12"/>
  <c r="K4"/>
  <c r="C8" i="17"/>
  <c r="D14"/>
  <c r="G13" s="1"/>
  <c r="T8"/>
  <c r="N26" i="1"/>
  <c r="N27"/>
  <c r="N28"/>
  <c r="N26" i="2"/>
  <c r="O26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M47" i="5"/>
  <c r="I37"/>
  <c r="K37" s="1"/>
  <c r="P6" i="10"/>
  <c r="N3" i="13"/>
  <c r="O3"/>
  <c r="P9" i="14"/>
  <c r="N9" i="17"/>
  <c r="N8"/>
  <c r="J4"/>
  <c r="K4" s="1"/>
  <c r="C11"/>
  <c r="O6" s="1"/>
  <c r="T9"/>
  <c r="P6"/>
  <c r="O9" i="24"/>
  <c r="P9" s="1"/>
  <c r="J4"/>
  <c r="O7" i="25"/>
  <c r="O8"/>
  <c r="P8" s="1"/>
  <c r="O6"/>
  <c r="P6" s="1"/>
  <c r="O26" i="31"/>
  <c r="P26" s="1"/>
  <c r="O24"/>
  <c r="P24" s="1"/>
  <c r="P23"/>
  <c r="P28" s="1"/>
  <c r="K4" i="32"/>
  <c r="G12"/>
  <c r="Q9"/>
  <c r="Q8"/>
  <c r="Q7"/>
  <c r="O6" i="8"/>
  <c r="O8"/>
  <c r="T6" i="9"/>
  <c r="T13" s="1"/>
  <c r="O7" i="11"/>
  <c r="U7"/>
  <c r="N8"/>
  <c r="U5" i="13"/>
  <c r="D19"/>
  <c r="T19"/>
  <c r="P21"/>
  <c r="P25" s="1"/>
  <c r="O6" i="14"/>
  <c r="O7"/>
  <c r="O8"/>
  <c r="R15"/>
  <c r="O14" i="15"/>
  <c r="O15"/>
  <c r="P15" s="1"/>
  <c r="D17"/>
  <c r="K4" s="1"/>
  <c r="P8" i="17"/>
  <c r="K4" i="25"/>
  <c r="K4" i="27"/>
  <c r="G9"/>
  <c r="T5" i="31"/>
  <c r="D5" i="8"/>
  <c r="N6"/>
  <c r="O7"/>
  <c r="P7" s="1"/>
  <c r="N8"/>
  <c r="O6" i="9"/>
  <c r="O8"/>
  <c r="P8" s="1"/>
  <c r="P11" s="1"/>
  <c r="J4" i="10"/>
  <c r="K4" s="1"/>
  <c r="S5"/>
  <c r="T6"/>
  <c r="T17" s="1"/>
  <c r="O7"/>
  <c r="P7" s="1"/>
  <c r="O8"/>
  <c r="P8" s="1"/>
  <c r="U5" i="11"/>
  <c r="O6"/>
  <c r="P6" s="1"/>
  <c r="N7"/>
  <c r="O8"/>
  <c r="P8" s="1"/>
  <c r="O6" i="12"/>
  <c r="P6" s="1"/>
  <c r="P12" s="1"/>
  <c r="N6" i="14"/>
  <c r="N7"/>
  <c r="N8"/>
  <c r="T5" i="15"/>
  <c r="O7"/>
  <c r="P7" s="1"/>
  <c r="P11" s="1"/>
  <c r="O8"/>
  <c r="P8" s="1"/>
  <c r="T9"/>
  <c r="N14"/>
  <c r="O16"/>
  <c r="P16" s="1"/>
  <c r="N23"/>
  <c r="N25"/>
  <c r="J4" i="16"/>
  <c r="K4" s="1"/>
  <c r="O6"/>
  <c r="P6" s="1"/>
  <c r="N7"/>
  <c r="P7" s="1"/>
  <c r="U5" i="17"/>
  <c r="S6"/>
  <c r="O7" s="1"/>
  <c r="P7" s="1"/>
  <c r="N7"/>
  <c r="R8"/>
  <c r="R13" s="1"/>
  <c r="P9"/>
  <c r="K4" i="18"/>
  <c r="P6"/>
  <c r="K4" i="19"/>
  <c r="P9" i="21"/>
  <c r="P11" s="1"/>
  <c r="K4" i="22"/>
  <c r="T21" i="24"/>
  <c r="S21" s="1"/>
  <c r="P17" i="28"/>
  <c r="Q8" i="29"/>
  <c r="Q9" s="1"/>
  <c r="P17" i="31"/>
  <c r="N7" i="18"/>
  <c r="P7" s="1"/>
  <c r="S5" i="19"/>
  <c r="O8"/>
  <c r="P8" s="1"/>
  <c r="P11" s="1"/>
  <c r="N6" i="20"/>
  <c r="O7"/>
  <c r="P7" s="1"/>
  <c r="N8"/>
  <c r="O6" i="21"/>
  <c r="T6"/>
  <c r="S6" s="1"/>
  <c r="C9"/>
  <c r="O6" i="22"/>
  <c r="P6" s="1"/>
  <c r="T6"/>
  <c r="S6" s="1"/>
  <c r="N7"/>
  <c r="O8"/>
  <c r="O12" i="23"/>
  <c r="P12" s="1"/>
  <c r="R9" i="24"/>
  <c r="S9" s="1"/>
  <c r="N7" i="25"/>
  <c r="O14"/>
  <c r="P14" s="1"/>
  <c r="O16"/>
  <c r="P16" s="1"/>
  <c r="O17"/>
  <c r="P17" s="1"/>
  <c r="N6" i="26"/>
  <c r="O7"/>
  <c r="P7" s="1"/>
  <c r="N8"/>
  <c r="O6" i="27"/>
  <c r="P6" s="1"/>
  <c r="P11" s="1"/>
  <c r="O8"/>
  <c r="P8" s="1"/>
  <c r="S5" i="28"/>
  <c r="O6"/>
  <c r="O7"/>
  <c r="P7" s="1"/>
  <c r="P11" s="1"/>
  <c r="O8"/>
  <c r="P8" s="1"/>
  <c r="N15"/>
  <c r="P15" s="1"/>
  <c r="P19" s="1"/>
  <c r="N16"/>
  <c r="P16" s="1"/>
  <c r="J4" i="29"/>
  <c r="K4" s="1"/>
  <c r="S5"/>
  <c r="O7"/>
  <c r="P7" s="1"/>
  <c r="P12" s="1"/>
  <c r="O8"/>
  <c r="P8" s="1"/>
  <c r="O7" i="30"/>
  <c r="P7" s="1"/>
  <c r="O9"/>
  <c r="P9" s="1"/>
  <c r="D5" i="31"/>
  <c r="D43" s="1"/>
  <c r="N9"/>
  <c r="P9" s="1"/>
  <c r="P11" s="1"/>
  <c r="T26"/>
  <c r="R27"/>
  <c r="R43" s="1"/>
  <c r="N39"/>
  <c r="B43"/>
  <c r="J4" s="1"/>
  <c r="K4" s="1"/>
  <c r="O6" i="32"/>
  <c r="P6" s="1"/>
  <c r="O7"/>
  <c r="P7" s="1"/>
  <c r="O8"/>
  <c r="P8" s="1"/>
  <c r="O7" i="33"/>
  <c r="P7" s="1"/>
  <c r="T5" i="34"/>
  <c r="O6"/>
  <c r="O9"/>
  <c r="P9" s="1"/>
  <c r="S5" i="35"/>
  <c r="T5" s="1"/>
  <c r="T33" s="1"/>
  <c r="W33" s="1"/>
  <c r="O6"/>
  <c r="O8"/>
  <c r="P8" s="1"/>
  <c r="N9"/>
  <c r="P9" s="1"/>
  <c r="R33"/>
  <c r="O7" i="36"/>
  <c r="P7" s="1"/>
  <c r="O6" i="37"/>
  <c r="P6" s="1"/>
  <c r="O8"/>
  <c r="P8" s="1"/>
  <c r="O9"/>
  <c r="P9" s="1"/>
  <c r="O6" i="20"/>
  <c r="P6" s="1"/>
  <c r="O8"/>
  <c r="P8" s="1"/>
  <c r="O7" i="22"/>
  <c r="P7" s="1"/>
  <c r="N8"/>
  <c r="T6" i="25"/>
  <c r="T17" s="1"/>
  <c r="O6" i="26"/>
  <c r="P6" s="1"/>
  <c r="O8"/>
  <c r="P8" s="1"/>
  <c r="O6" i="30"/>
  <c r="P6" s="1"/>
  <c r="P16" i="31"/>
  <c r="P19" s="1"/>
  <c r="O6" i="33"/>
  <c r="P6" s="1"/>
  <c r="O8"/>
  <c r="P8" s="1"/>
  <c r="O7" i="34"/>
  <c r="P7" s="1"/>
  <c r="O7" i="35"/>
  <c r="C11"/>
  <c r="O6" i="36"/>
  <c r="P6" s="1"/>
  <c r="O8"/>
  <c r="P8" s="1"/>
  <c r="P11" i="34" l="1"/>
  <c r="P11" i="33"/>
  <c r="P11" i="30"/>
  <c r="P11" i="26"/>
  <c r="O30" i="2"/>
  <c r="O70"/>
  <c r="O3" i="34"/>
  <c r="N3"/>
  <c r="O3" i="21"/>
  <c r="N3"/>
  <c r="P11" i="18"/>
  <c r="O6"/>
  <c r="T37" i="15"/>
  <c r="S5"/>
  <c r="G18" i="13"/>
  <c r="K4"/>
  <c r="O3" i="17"/>
  <c r="N3"/>
  <c r="S8"/>
  <c r="T13"/>
  <c r="H42" i="5"/>
  <c r="I42" s="1"/>
  <c r="K42" s="1"/>
  <c r="H39"/>
  <c r="M4" i="2"/>
  <c r="O4" s="1"/>
  <c r="P11" i="37"/>
  <c r="N3" i="31"/>
  <c r="P20" i="25"/>
  <c r="P8" i="22"/>
  <c r="T21"/>
  <c r="N18" i="8"/>
  <c r="O18" s="1"/>
  <c r="T43" i="31"/>
  <c r="W43" s="1"/>
  <c r="P7" i="14"/>
  <c r="P7" i="11"/>
  <c r="P8" i="8"/>
  <c r="O3" i="31"/>
  <c r="P3" s="1"/>
  <c r="P12" i="17"/>
  <c r="P3" i="13"/>
  <c r="P12" i="10"/>
  <c r="T22" i="2"/>
  <c r="T32" i="1"/>
  <c r="R32"/>
  <c r="K4" i="2"/>
  <c r="O73"/>
  <c r="O74"/>
  <c r="P27" i="1"/>
  <c r="P35"/>
  <c r="P6" i="35"/>
  <c r="P13" s="1"/>
  <c r="N3"/>
  <c r="O3"/>
  <c r="S5" i="34"/>
  <c r="T18"/>
  <c r="N3" i="28"/>
  <c r="O3"/>
  <c r="N3" i="9"/>
  <c r="O3"/>
  <c r="D13" i="8"/>
  <c r="G12" s="1"/>
  <c r="T5"/>
  <c r="P6"/>
  <c r="P11" s="1"/>
  <c r="O3"/>
  <c r="N3"/>
  <c r="N60" i="2"/>
  <c r="O60" s="1"/>
  <c r="N58"/>
  <c r="O58" s="1"/>
  <c r="O62" s="1"/>
  <c r="N59"/>
  <c r="O59" s="1"/>
  <c r="O20" i="1"/>
  <c r="P20" s="1"/>
  <c r="O21"/>
  <c r="P21" s="1"/>
  <c r="O19"/>
  <c r="P19" s="1"/>
  <c r="P23" s="1"/>
  <c r="O6"/>
  <c r="N3" s="1"/>
  <c r="P3" s="1"/>
  <c r="P11" i="36"/>
  <c r="P11" i="20"/>
  <c r="P11" i="32"/>
  <c r="G43" i="31"/>
  <c r="P11" i="22"/>
  <c r="R39" i="24"/>
  <c r="P11" i="16"/>
  <c r="P11" i="11"/>
  <c r="T39" i="24"/>
  <c r="T22" i="21"/>
  <c r="P14" i="15"/>
  <c r="P19" s="1"/>
  <c r="P8" i="14"/>
  <c r="P6"/>
  <c r="P7" i="25"/>
  <c r="P11" s="1"/>
  <c r="K14" i="5"/>
  <c r="T37" i="2"/>
  <c r="R37"/>
  <c r="S18" i="1"/>
  <c r="D43"/>
  <c r="O76" i="2"/>
  <c r="P26" i="1"/>
  <c r="P28"/>
  <c r="P34"/>
  <c r="P36"/>
  <c r="P3" i="21" l="1"/>
  <c r="P3" i="34"/>
  <c r="P39" i="1"/>
  <c r="P31"/>
  <c r="O13"/>
  <c r="P13" s="1"/>
  <c r="O12"/>
  <c r="P12" s="1"/>
  <c r="O11"/>
  <c r="P11" s="1"/>
  <c r="P15" s="1"/>
  <c r="K4" i="8"/>
  <c r="P3" i="17"/>
  <c r="G42" i="1"/>
  <c r="G7"/>
  <c r="S5" i="8"/>
  <c r="T13"/>
  <c r="H40" i="5"/>
  <c r="I40" s="1"/>
  <c r="K40" s="1"/>
  <c r="I39"/>
  <c r="K39" s="1"/>
  <c r="J13" s="1"/>
  <c r="O24" i="15"/>
  <c r="P24" s="1"/>
  <c r="O22"/>
  <c r="P22" s="1"/>
  <c r="O25"/>
  <c r="P25" s="1"/>
  <c r="O23"/>
  <c r="P23" s="1"/>
  <c r="N3" i="18"/>
  <c r="O3"/>
  <c r="P3" s="1"/>
  <c r="K4" i="1"/>
  <c r="P12" i="14"/>
  <c r="P6" i="1"/>
  <c r="P3" i="8"/>
  <c r="P3" i="9"/>
  <c r="P3" i="28"/>
  <c r="P3" i="35"/>
  <c r="O78" i="2"/>
  <c r="O47" i="5" l="1"/>
  <c r="P47" s="1"/>
  <c r="J15"/>
  <c r="J16" s="1"/>
  <c r="P27" i="15"/>
</calcChain>
</file>

<file path=xl/sharedStrings.xml><?xml version="1.0" encoding="utf-8"?>
<sst xmlns="http://schemas.openxmlformats.org/spreadsheetml/2006/main" count="854" uniqueCount="100">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</sst>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6" fontId="0" fillId="0" borderId="0" xfId="1" applyNumberFormat="1" applyFont="1"/>
    <xf numFmtId="171" fontId="0" fillId="0" borderId="0" xfId="0" applyNumberFormat="1"/>
  </cellXfs>
  <cellStyles count="3">
    <cellStyle name="Monétaire" xfId="1" builtinId="4"/>
    <cellStyle name="Normal" xfId="0" builtinId="0"/>
    <cellStyle name="Pourcentage" xfId="2" builtinId="5"/>
  </cellStyles>
  <dxfs count="3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5755520"/>
        <c:axId val="75757440"/>
      </c:lineChart>
      <c:dateAx>
        <c:axId val="75755520"/>
        <c:scaling>
          <c:orientation val="minMax"/>
        </c:scaling>
        <c:axPos val="b"/>
        <c:numFmt formatCode="dd/mm/yy;@" sourceLinked="1"/>
        <c:majorTickMark val="none"/>
        <c:tickLblPos val="nextTo"/>
        <c:crossAx val="75757440"/>
        <c:crosses val="autoZero"/>
        <c:lblOffset val="100"/>
      </c:dateAx>
      <c:valAx>
        <c:axId val="757574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755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2247.545827309641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1268.5341488767599</v>
      </c>
      <c r="K4" s="4">
        <f>(J4/D43-1)</f>
        <v>-0.16756980170454427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2699.9811298435334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6.4979599999999997E-3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4.0947131999999997E-2</v>
      </c>
      <c r="O11" s="24">
        <f>($S$18*[1]Params!K16)</f>
        <v>3369.5843127742878</v>
      </c>
      <c r="P11" s="25">
        <f>(O11*N11)</f>
        <v>137.97481364029804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6.4979599999999997E-3</v>
      </c>
      <c r="C12" s="28">
        <v>0</v>
      </c>
      <c r="D12" s="29">
        <f t="shared" si="0"/>
        <v>0</v>
      </c>
      <c r="E12" s="23">
        <f>(B12*J3)</f>
        <v>14.604462884024954</v>
      </c>
      <c r="I12" t="s">
        <v>13</v>
      </c>
      <c r="J12">
        <f>(J11-B43)</f>
        <v>3.5591419999999929E-2</v>
      </c>
      <c r="N12">
        <f>($B$35/5)</f>
        <v>2.2796066E-2</v>
      </c>
      <c r="O12" s="24">
        <f>($S$18*[1]Params!K17)</f>
        <v>6739.1686255485756</v>
      </c>
      <c r="P12" s="25">
        <f>(O12*N12)</f>
        <v>153.62653277313461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79.993347509024744</v>
      </c>
      <c r="N13">
        <f>($B$35/5)</f>
        <v>2.2796066E-2</v>
      </c>
      <c r="O13" s="24">
        <f>($S$18*[1]Params!K18)</f>
        <v>13478.337251097151</v>
      </c>
      <c r="P13" s="25">
        <f>(O13*N13)</f>
        <v>307.25306554626923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606.30963695970195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0.10933533000000001</v>
      </c>
      <c r="S18" s="24">
        <f>(T18/R18)</f>
        <v>1684.7921563871439</v>
      </c>
      <c r="T18" s="25">
        <f>(D35+1283.68*B39)</f>
        <v>184.20730639999999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8.5578440000000002E-3</v>
      </c>
      <c r="O19" s="24">
        <f>($S$19*[1]Params!K16)</f>
        <v>3438.8595325784527</v>
      </c>
      <c r="P19" s="25">
        <f>(O19*N19)</f>
        <v>29.429223417719317</v>
      </c>
      <c r="R19" s="26">
        <f>(B36+B38)</f>
        <v>2.2452110000000001E-2</v>
      </c>
      <c r="S19" s="24">
        <f>(T19/R19)</f>
        <v>1719.4297662892263</v>
      </c>
      <c r="T19" s="25">
        <f>(D36+1269.75*B38)</f>
        <v>38.604826250000002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4.6314220000000005E-3</v>
      </c>
      <c r="O20" s="24">
        <f>($S$19*[1]Params!K17)</f>
        <v>6877.7190651569053</v>
      </c>
      <c r="P20" s="25">
        <f>(O20*N20)</f>
        <v>31.853619388187127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4.6314220000000005E-3</v>
      </c>
      <c r="O21" s="24">
        <f>($S$19*[1]Params!K18)</f>
        <v>13755.438130313811</v>
      </c>
      <c r="P21" s="25">
        <f>(O21*N21)</f>
        <v>63.707238776374254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126.12160658228069</v>
      </c>
      <c r="R23" s="26">
        <f>(B40)</f>
        <v>5.2977009999999998E-2</v>
      </c>
      <c r="S23" s="24">
        <f>(T23/R23)</f>
        <v>1843.2523843833392</v>
      </c>
      <c r="T23" s="25">
        <f>(D40)</f>
        <v>97.65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0.54402898000000011</v>
      </c>
      <c r="T32" s="25">
        <f>(SUM(T5:T31))</f>
        <v>1477.5289255217845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1.0595402E-2</v>
      </c>
      <c r="O34" s="24">
        <f>($S$23*[1]Params!K15)</f>
        <v>2764.878576575009</v>
      </c>
      <c r="P34" s="25">
        <f>(O34*N34)</f>
        <v>29.295000000000005</v>
      </c>
    </row>
    <row r="35" spans="2:16">
      <c r="B35" s="26">
        <v>0.11398033</v>
      </c>
      <c r="C35" s="24">
        <f>(D35/B35)</f>
        <v>1668.445774810443</v>
      </c>
      <c r="D35" s="25">
        <v>190.17</v>
      </c>
      <c r="E35" t="s">
        <v>10</v>
      </c>
      <c r="N35">
        <f>($R$23/5)</f>
        <v>1.0595402E-2</v>
      </c>
      <c r="O35" s="24">
        <f>($S$23*[1]Params!K16)</f>
        <v>3686.5047687666784</v>
      </c>
      <c r="P35" s="25">
        <f>(O35*N35)</f>
        <v>39.06</v>
      </c>
    </row>
    <row r="36" spans="2:16">
      <c r="B36" s="26">
        <v>2.3157110000000002E-2</v>
      </c>
      <c r="C36" s="24">
        <f>(D36/B36)</f>
        <v>1705.7396194948333</v>
      </c>
      <c r="D36" s="25">
        <v>39.5</v>
      </c>
      <c r="E36" t="s">
        <v>15</v>
      </c>
      <c r="N36">
        <f>($R$23/5)</f>
        <v>1.0595402E-2</v>
      </c>
      <c r="O36" s="24">
        <f>($S$23*[1]Params!K17)</f>
        <v>7373.0095375333567</v>
      </c>
      <c r="P36" s="25">
        <f>(O36*N36)</f>
        <v>78.12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1.0595402E-2</v>
      </c>
      <c r="O37" s="24">
        <f>($S$23*[1]Params!K18)</f>
        <v>14746.019075066713</v>
      </c>
      <c r="P37" s="25">
        <f>(O37*N37)</f>
        <v>156.24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302.71500000000003</v>
      </c>
    </row>
    <row r="40" spans="2:16">
      <c r="B40" s="26">
        <v>5.2977009999999998E-2</v>
      </c>
      <c r="C40" s="24">
        <f>(D40/B40)</f>
        <v>1843.2523843833392</v>
      </c>
      <c r="D40" s="25">
        <v>97.65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2699.9811298435334</v>
      </c>
    </row>
    <row r="43" spans="2:16">
      <c r="B43">
        <f>(SUM(B5:B42))</f>
        <v>0.56440858000000005</v>
      </c>
      <c r="D43" s="25">
        <f>(SUM(D5:D42))</f>
        <v>1523.8925155217844</v>
      </c>
    </row>
  </sheetData>
  <conditionalFormatting sqref="C5:C7 C11 C18:C25 C27 C29 C31 C33 C35:C37 C40:C41 N6 O11:O13 O19:O21 O26:O29 O34:O37 S5:S7 S10:S15 S18:S20 S23">
    <cfRule type="cellIs" dxfId="331" priority="37" operator="lessThan">
      <formula>$J$3</formula>
    </cfRule>
    <cfRule type="cellIs" dxfId="330" priority="38" operator="greaterThan">
      <formula>$J$3</formula>
    </cfRule>
  </conditionalFormatting>
  <conditionalFormatting sqref="G42">
    <cfRule type="cellIs" dxfId="329" priority="21" operator="lessThan">
      <formula>$J$3</formula>
    </cfRule>
    <cfRule type="cellIs" dxfId="328" priority="22" operator="greaterThan">
      <formula>$J$3</formula>
    </cfRule>
  </conditionalFormatting>
  <conditionalFormatting sqref="O3">
    <cfRule type="cellIs" dxfId="327" priority="9" operator="greaterThan">
      <formula>$J$3</formula>
    </cfRule>
    <cfRule type="cellIs" dxfId="326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0.20241522714426671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12.814034323392928</v>
      </c>
      <c r="K4" s="4">
        <f>(J4/D14-1)</f>
        <v>0.30411272977042314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0.56287403999999996</v>
      </c>
      <c r="C6" s="28">
        <v>0</v>
      </c>
      <c r="D6" s="28">
        <f>(B6*C6)</f>
        <v>0</v>
      </c>
      <c r="E6" s="23">
        <f>(B6*J3)</f>
        <v>0.11393427666021105</v>
      </c>
      <c r="M6" t="s">
        <v>11</v>
      </c>
      <c r="N6" s="35">
        <f>($B$14/5)</f>
        <v>12.661136718</v>
      </c>
      <c r="O6" s="23">
        <f>($C$5*[1]Params!K8)</f>
        <v>0.21940472231459929</v>
      </c>
      <c r="P6" s="23">
        <f>(O6*N6)</f>
        <v>2.7779131857999668</v>
      </c>
      <c r="R6" s="47">
        <f>(B6)</f>
        <v>0.56287403999999996</v>
      </c>
      <c r="S6" s="28">
        <v>0</v>
      </c>
      <c r="T6" s="28">
        <f>(D6)</f>
        <v>0</v>
      </c>
      <c r="U6" s="23">
        <f>(E6)</f>
        <v>0.11393427666021105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12.661136718</v>
      </c>
      <c r="O7" s="23">
        <f>($C$5*[1]Params!K9)</f>
        <v>0.27003658131027602</v>
      </c>
      <c r="P7" s="23">
        <f>(O7*N7)</f>
        <v>3.4189700748307281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12.661136718</v>
      </c>
      <c r="O8" s="23">
        <f>($C$5*[1]Params!K10)</f>
        <v>0.37130029930162955</v>
      </c>
      <c r="P8" s="23">
        <f>(O8*N8)</f>
        <v>4.7010838528922516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12.661136718</v>
      </c>
      <c r="O9" s="23">
        <f>($C$5*[1]Params!K11)</f>
        <v>0.84386431659461258</v>
      </c>
      <c r="P9" s="23">
        <f>(O9*N9)</f>
        <v>10.684281483846027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21.582248597368974</v>
      </c>
    </row>
    <row r="13" spans="2:21">
      <c r="F13" t="s">
        <v>9</v>
      </c>
      <c r="G13" s="23">
        <f>(D14/B14)</f>
        <v>0.15521298314440962</v>
      </c>
    </row>
    <row r="14" spans="2:21">
      <c r="B14" s="35">
        <f>(SUM(B5:B13))</f>
        <v>63.305683590000001</v>
      </c>
      <c r="D14" s="23">
        <f>(SUM(D5:D13))</f>
        <v>9.8258639999999993</v>
      </c>
    </row>
    <row r="17" spans="11:20">
      <c r="N17" s="35"/>
      <c r="R17" s="35">
        <f>(SUM(R5:R16))</f>
        <v>63.305683590000001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69" priority="13" operator="lessThan">
      <formula>$J$3</formula>
    </cfRule>
    <cfRule type="cellIs" dxfId="268" priority="14" operator="greaterThan">
      <formula>$J$3</formula>
    </cfRule>
  </conditionalFormatting>
  <conditionalFormatting sqref="C9:C10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6:O9">
    <cfRule type="cellIs" dxfId="265" priority="9" operator="lessThan">
      <formula>$J$3</formula>
    </cfRule>
    <cfRule type="cellIs" dxfId="264" priority="10" operator="greaterThan">
      <formula>$J$3</formula>
    </cfRule>
  </conditionalFormatting>
  <conditionalFormatting sqref="S5 S7:S8">
    <cfRule type="cellIs" dxfId="263" priority="5" operator="lessThan">
      <formula>$J$3</formula>
    </cfRule>
    <cfRule type="cellIs" dxfId="262" priority="6" operator="greaterThan">
      <formula>$J$3</formula>
    </cfRule>
  </conditionalFormatting>
  <conditionalFormatting sqref="O6">
    <cfRule type="cellIs" dxfId="261" priority="3" operator="lessThan">
      <formula>$J$3</formula>
    </cfRule>
    <cfRule type="cellIs" dxfId="260" priority="4" operator="greaterThan">
      <formula>$J$3</formula>
    </cfRule>
  </conditionalFormatting>
  <conditionalFormatting sqref="G13">
    <cfRule type="cellIs" dxfId="259" priority="1" operator="lessThan">
      <formula>$J$3</formula>
    </cfRule>
    <cfRule type="cellIs" dxfId="258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1.656201994789646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22.544332054873756</v>
      </c>
      <c r="K4" s="4">
        <f>(J4/D14-1)</f>
        <v>-0.42650490717903922</v>
      </c>
      <c r="R4" t="s">
        <v>5</v>
      </c>
      <c r="S4" t="s">
        <v>6</v>
      </c>
      <c r="T4" t="s">
        <v>7</v>
      </c>
    </row>
    <row r="5" spans="2:21">
      <c r="B5" s="35">
        <v>12.9689332</v>
      </c>
      <c r="C5" s="23">
        <f>(D5/B5)</f>
        <v>3.0457401075980557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0.57719178000000004</v>
      </c>
      <c r="S5" s="28">
        <v>0</v>
      </c>
      <c r="T5" s="29">
        <f>(D6)</f>
        <v>0</v>
      </c>
      <c r="U5" s="23">
        <f>(R5*J3)</f>
        <v>0.95594617741218657</v>
      </c>
    </row>
    <row r="6" spans="2:21">
      <c r="B6" s="47">
        <v>0.57719178000000004</v>
      </c>
      <c r="C6" s="28">
        <v>0</v>
      </c>
      <c r="D6" s="29">
        <f>(B6*C6)</f>
        <v>0</v>
      </c>
      <c r="E6" s="23">
        <f>(B6*J3)</f>
        <v>0.95594617741218657</v>
      </c>
      <c r="M6" t="s">
        <v>11</v>
      </c>
      <c r="N6" s="35">
        <f>(SUM(R5:R7)/5)</f>
        <v>2.722413344</v>
      </c>
      <c r="O6" s="23">
        <f>($C$5*[1]Params!K8)</f>
        <v>3.9594621398774725</v>
      </c>
      <c r="P6" s="23">
        <f>(O6*N6)</f>
        <v>10.779292564665226</v>
      </c>
      <c r="R6" s="35">
        <f>(B5)</f>
        <v>12.9689332</v>
      </c>
      <c r="S6" s="23">
        <f>(T6/R6)</f>
        <v>3.0457401075980557</v>
      </c>
      <c r="T6" s="23">
        <f>(D5)</f>
        <v>39.5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2.722413344</v>
      </c>
      <c r="O7" s="23">
        <f>($C$5*[1]Params!K9)</f>
        <v>4.8731841721568898</v>
      </c>
      <c r="P7" s="23">
        <f>(O7*N7)</f>
        <v>13.26682161804951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0.29879443132790012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2.722413344</v>
      </c>
      <c r="O8" s="23">
        <f>($C$5*[1]Params!K10)</f>
        <v>6.7006282367157235</v>
      </c>
      <c r="P8" s="23">
        <f>(O8*N8)</f>
        <v>18.241879724818077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2.722413344</v>
      </c>
      <c r="O9" s="23">
        <f>($C$5*[1]Params!K11)</f>
        <v>15.228700537990278</v>
      </c>
      <c r="P9" s="23">
        <f>(O9*N9)</f>
        <v>41.458817556404711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83.746811463937519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2.8879096186210877</v>
      </c>
    </row>
    <row r="14" spans="2:21">
      <c r="B14" s="35">
        <f>(SUM(B5:B13))</f>
        <v>13.612066720000001</v>
      </c>
      <c r="D14" s="23">
        <f>(SUM(D5:D13))</f>
        <v>39.310418410000004</v>
      </c>
      <c r="R14" s="35">
        <f>(SUM(R5:R13))</f>
        <v>13.61206672</v>
      </c>
      <c r="T14" s="23">
        <f>(SUM(T5:T13))</f>
        <v>39.310418409999997</v>
      </c>
    </row>
    <row r="22" spans="4:4">
      <c r="D22" s="35"/>
    </row>
  </sheetData>
  <conditionalFormatting sqref="C5 C7:C12">
    <cfRule type="cellIs" dxfId="257" priority="7" operator="lessThan">
      <formula>$J$3</formula>
    </cfRule>
    <cfRule type="cellIs" dxfId="256" priority="8" operator="greaterThan">
      <formula>$J$3</formula>
    </cfRule>
  </conditionalFormatting>
  <conditionalFormatting sqref="O6:O9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S6:S7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G13">
    <cfRule type="cellIs" dxfId="251" priority="1" operator="lessThan">
      <formula>$J$3</formula>
    </cfRule>
    <cfRule type="cellIs" dxfId="25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10.883511172962461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13.321694878735629</v>
      </c>
      <c r="K4" s="4">
        <f>(J4/D14-1)</f>
        <v>0.21881929357142083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0.95705320035140906</v>
      </c>
      <c r="M6" t="s">
        <v>11</v>
      </c>
      <c r="N6" s="1">
        <f>(SUM($B$5:$B$7)/5)</f>
        <v>0.24480509400000003</v>
      </c>
      <c r="O6" s="23">
        <f>($C$5*[1]Params!K8)</f>
        <v>12.800900900900901</v>
      </c>
      <c r="P6" s="23">
        <f>(O6*N6)</f>
        <v>3.1337257483297303</v>
      </c>
    </row>
    <row r="7" spans="2:16">
      <c r="B7" s="47">
        <v>2.6089399999999999E-2</v>
      </c>
      <c r="C7" s="28">
        <v>0</v>
      </c>
      <c r="D7" s="29">
        <f>(C7*B7)</f>
        <v>0</v>
      </c>
      <c r="E7" s="23">
        <f>(B7*J4)</f>
        <v>0.34755502636928531</v>
      </c>
      <c r="N7" s="1">
        <f>(SUM($B$5:$B$7)/5)</f>
        <v>0.24480509400000003</v>
      </c>
      <c r="O7" s="23">
        <f>($C$5*[1]Params!K9)</f>
        <v>15.754954954954954</v>
      </c>
      <c r="P7" s="23">
        <f>(O7*N7)</f>
        <v>3.8568932287135138</v>
      </c>
    </row>
    <row r="8" spans="2:16">
      <c r="N8" s="1">
        <f>(SUM($B$5:$B$7)/5)</f>
        <v>0.24480509400000003</v>
      </c>
      <c r="O8" s="23">
        <f>($C$5*[1]Params!K10)</f>
        <v>21.663063063063063</v>
      </c>
      <c r="P8" s="23">
        <f>(O8*N8)</f>
        <v>5.3032281894810822</v>
      </c>
    </row>
    <row r="9" spans="2:16">
      <c r="N9" s="1">
        <f>(SUM($B$5:$B$7)/5)</f>
        <v>0.24480509400000003</v>
      </c>
      <c r="O9" s="23">
        <f>($C$5*[1]Params!K11)</f>
        <v>49.234234234234229</v>
      </c>
      <c r="P9" s="23">
        <f>(O9*N9)</f>
        <v>12.05279133972973</v>
      </c>
    </row>
    <row r="12" spans="2:16">
      <c r="P12" s="23">
        <f>(SUM(P6:P9))</f>
        <v>24.346638506254056</v>
      </c>
    </row>
    <row r="13" spans="2:16">
      <c r="F13" t="s">
        <v>9</v>
      </c>
      <c r="G13" s="23">
        <f>(D14/B14)</f>
        <v>8.9295527486041593</v>
      </c>
    </row>
    <row r="14" spans="2:16">
      <c r="B14" s="19">
        <f>(SUM(B5:B13))</f>
        <v>1.2240254700000002</v>
      </c>
      <c r="D14" s="23">
        <f>(SUM(D5:D13))</f>
        <v>10.93</v>
      </c>
    </row>
  </sheetData>
  <conditionalFormatting sqref="C5">
    <cfRule type="cellIs" dxfId="249" priority="5" operator="lessThan">
      <formula>$J$3</formula>
    </cfRule>
    <cfRule type="cellIs" dxfId="248" priority="6" operator="greaterThan">
      <formula>$J$3</formula>
    </cfRule>
  </conditionalFormatting>
  <conditionalFormatting sqref="O6:O9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G13">
    <cfRule type="cellIs" dxfId="245" priority="1" operator="lessThan">
      <formula>$J$3</formula>
    </cfRule>
    <cfRule type="cellIs" dxfId="24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40.759391672300382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55.341385634666111</v>
      </c>
      <c r="K4" s="4">
        <f>(J4/D19-1)</f>
        <v>-33.900690553975188</v>
      </c>
      <c r="R4" t="s">
        <v>5</v>
      </c>
      <c r="S4" t="s">
        <v>6</v>
      </c>
      <c r="T4" t="s">
        <v>7</v>
      </c>
    </row>
    <row r="5" spans="2:22">
      <c r="B5" s="26">
        <v>2.5185880699999998</v>
      </c>
      <c r="C5" s="23">
        <f>(D5/B5)</f>
        <v>15.68339041644075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1.5800290000000002E-2</v>
      </c>
      <c r="S5" s="28">
        <v>0</v>
      </c>
      <c r="T5" s="29">
        <f>(D6)</f>
        <v>0</v>
      </c>
      <c r="U5" s="23">
        <f>(R5*J3)</f>
        <v>0.64401020864593106</v>
      </c>
    </row>
    <row r="6" spans="2:22">
      <c r="B6" s="27">
        <v>1.5800290000000002E-2</v>
      </c>
      <c r="C6" s="28">
        <v>0</v>
      </c>
      <c r="D6" s="29">
        <f>(B6*C6)</f>
        <v>0</v>
      </c>
      <c r="E6" s="23">
        <f>(B6*J3)</f>
        <v>0.64401020864593106</v>
      </c>
      <c r="M6" t="s">
        <v>11</v>
      </c>
      <c r="N6" s="26">
        <f>($B$5+$R$7)/5</f>
        <v>0.51017703000000003</v>
      </c>
      <c r="O6" s="23">
        <f>($C$5*[1]Params!K8)</f>
        <v>20.388407541372974</v>
      </c>
      <c r="P6" s="23">
        <f>(O6*N6)</f>
        <v>10.401697205887267</v>
      </c>
      <c r="Q6" t="s">
        <v>12</v>
      </c>
      <c r="R6" s="26">
        <f>B5+B13+B15+B17</f>
        <v>1.0202880699999999</v>
      </c>
      <c r="S6" s="23">
        <f>(T6/R6)</f>
        <v>16.436664794090952</v>
      </c>
      <c r="T6" s="23">
        <f>D5-(-B13-B15)*15.13+B17*15.25</f>
        <v>16.770133000000001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1.5200642235916186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0.54157132200000013</v>
      </c>
      <c r="O9" s="23">
        <f>($S$6*[1]Params!K11)</f>
        <v>82.183323970454751</v>
      </c>
      <c r="P9" s="23">
        <f>(O9*N9)</f>
        <v>44.508131409033481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85.299287304920739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-1.2388612818151221</v>
      </c>
    </row>
    <row r="19" spans="2:20">
      <c r="B19" s="26">
        <f>(SUM(B5:B18))</f>
        <v>1.3577578899999994</v>
      </c>
      <c r="D19" s="23">
        <f>(SUM(D5:D18))</f>
        <v>-1.6820736799999949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1.3577578899999998</v>
      </c>
      <c r="T19" s="23">
        <f>(SUM(T5:T18))</f>
        <v>-1.6820736799999967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</sheetData>
  <conditionalFormatting sqref="C5 C9:C11 G18 O9 O23 S6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S8">
    <cfRule type="cellIs" dxfId="241" priority="13" operator="lessThan">
      <formula>$J$3</formula>
    </cfRule>
    <cfRule type="cellIs" dxfId="240" priority="14" operator="greaterThan">
      <formula>$J$3</formula>
    </cfRule>
  </conditionalFormatting>
  <conditionalFormatting sqref="O3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3.9069237169676446E-3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3.7322304624698446</v>
      </c>
      <c r="K4" s="4">
        <f>(J4/D13-1)</f>
        <v>0.31780307068342672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37" priority="17" operator="lessThan">
      <formula>$J$3</formula>
    </cfRule>
    <cfRule type="cellIs" dxfId="236" priority="18" operator="greaterThan">
      <formula>$J$3</formula>
    </cfRule>
  </conditionalFormatting>
  <conditionalFormatting sqref="C9:C11">
    <cfRule type="cellIs" dxfId="235" priority="15" operator="lessThan">
      <formula>$J$3</formula>
    </cfRule>
    <cfRule type="cellIs" dxfId="234" priority="16" operator="greaterThan">
      <formula>$J$3</formula>
    </cfRule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O6:O9">
    <cfRule type="cellIs" dxfId="231" priority="11" operator="lessThan">
      <formula>$J$3</formula>
    </cfRule>
    <cfRule type="cellIs" dxfId="230" priority="12" operator="greaterThan">
      <formula>$J$3</formula>
    </cfRule>
    <cfRule type="cellIs" dxfId="229" priority="9" operator="lessThan">
      <formula>$J$3</formula>
    </cfRule>
    <cfRule type="cellIs" dxfId="228" priority="10" operator="greaterThan">
      <formula>$J$3</formula>
    </cfRule>
  </conditionalFormatting>
  <conditionalFormatting sqref="S5">
    <cfRule type="cellIs" dxfId="227" priority="7" operator="lessThan">
      <formula>$J$3</formula>
    </cfRule>
    <cfRule type="cellIs" dxfId="226" priority="8" operator="greaterThan">
      <formula>$J$3</formula>
    </cfRule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G12">
    <cfRule type="cellIs" dxfId="223" priority="3" operator="lessThan">
      <formula>$J$3</formula>
    </cfRule>
    <cfRule type="cellIs" dxfId="222" priority="4" operator="greaterThan">
      <formula>$J$3</formula>
    </cfRule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244.87025189865281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174.10047670400451</v>
      </c>
      <c r="K4" s="4">
        <f>(J4/D17-1)</f>
        <v>-0.12270636556475145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0.11197509400000001</v>
      </c>
      <c r="O6" s="23">
        <f>($S$8*[1]Params!K8)</f>
        <v>369.11958296726232</v>
      </c>
      <c r="P6" s="23">
        <f>(O6*N6)</f>
        <v>41.3322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5.754450919618341E-2</v>
      </c>
      <c r="I7" t="s">
        <v>11</v>
      </c>
      <c r="J7">
        <v>1</v>
      </c>
      <c r="N7" s="26">
        <f>($R$8/5)</f>
        <v>0.11197509400000001</v>
      </c>
      <c r="O7" s="23">
        <f>($S$8*[1]Params!K9)</f>
        <v>454.30102519047671</v>
      </c>
      <c r="P7" s="23">
        <f>(O7*N7)</f>
        <v>50.870400000000004</v>
      </c>
      <c r="R7" s="49">
        <f>(B7+B8+B10)</f>
        <v>2.5945300000000003E-3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2.3257776525334044E-2</v>
      </c>
      <c r="I8" t="s">
        <v>13</v>
      </c>
      <c r="J8" s="49">
        <f>(J7-B17)</f>
        <v>0.28900928000000015</v>
      </c>
      <c r="N8" s="26">
        <f>($R$8/5)</f>
        <v>0.11197509400000001</v>
      </c>
      <c r="O8" s="23">
        <f>($S$8*[1]Params!K10)</f>
        <v>624.66390963690549</v>
      </c>
      <c r="P8" s="23">
        <f>(O8*N8)</f>
        <v>69.94680000000001</v>
      </c>
      <c r="R8" s="49">
        <f>(B11)</f>
        <v>0.55987547000000004</v>
      </c>
      <c r="S8" s="23">
        <f>(C11)</f>
        <v>283.93814074404793</v>
      </c>
      <c r="T8" s="23">
        <f>(R8*S8)</f>
        <v>158.97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70.769775194648318</v>
      </c>
      <c r="N9" s="26">
        <f>($R$8/5)</f>
        <v>0.11197509400000001</v>
      </c>
      <c r="O9" s="23">
        <f>($S$8*[1]Params!K11)</f>
        <v>1419.6907037202395</v>
      </c>
      <c r="P9" s="23">
        <f>(O9*N9)</f>
        <v>158.97</v>
      </c>
      <c r="R9" s="49">
        <f>(B12)</f>
        <v>0.13877635999999999</v>
      </c>
      <c r="S9" s="23">
        <f>(C12)</f>
        <v>284.63060999726468</v>
      </c>
      <c r="T9" s="23">
        <f>(R9*S9)</f>
        <v>39.5</v>
      </c>
      <c r="U9" t="s">
        <v>15</v>
      </c>
    </row>
    <row r="10" spans="2:21">
      <c r="B10" s="50">
        <v>2.2645500000000002E-3</v>
      </c>
      <c r="C10" s="28">
        <v>0</v>
      </c>
      <c r="D10" s="29">
        <v>0</v>
      </c>
      <c r="E10" s="23">
        <f>(B10*J3)</f>
        <v>0.55452092893709426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0.55987547000000004</v>
      </c>
      <c r="C11" s="23">
        <f>(D11/B11)</f>
        <v>283.93814074404793</v>
      </c>
      <c r="D11" s="23">
        <v>158.97</v>
      </c>
      <c r="E11" t="s">
        <v>10</v>
      </c>
      <c r="P11" s="23">
        <f>(SUM(P6:P9))</f>
        <v>321.11940000000004</v>
      </c>
    </row>
    <row r="12" spans="2:21">
      <c r="B12" s="49">
        <v>0.13877635999999999</v>
      </c>
      <c r="C12" s="23">
        <f>(D12/B12)</f>
        <v>284.63060999726468</v>
      </c>
      <c r="D12" s="23">
        <v>39.5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2.7755271999999998E-2</v>
      </c>
      <c r="O14" s="23">
        <f>($S$9*[1]Params!K8)</f>
        <v>370.0197929964441</v>
      </c>
      <c r="P14" s="23">
        <f>(O14*N14)</f>
        <v>10.27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2.7755271999999998E-2</v>
      </c>
      <c r="O15" s="23">
        <f>($S$9*[1]Params!K9)</f>
        <v>455.40897599562351</v>
      </c>
      <c r="P15" s="23">
        <f>(O15*N15)</f>
        <v>12.64</v>
      </c>
    </row>
    <row r="16" spans="2:21">
      <c r="N16" s="26">
        <f>($R$9/5)</f>
        <v>2.7755271999999998E-2</v>
      </c>
      <c r="O16" s="23">
        <f>($S$9*[1]Params!K10)</f>
        <v>626.18734199398239</v>
      </c>
      <c r="P16" s="23">
        <f>(O16*N16)</f>
        <v>17.380000000000003</v>
      </c>
    </row>
    <row r="17" spans="2:16">
      <c r="B17" s="49">
        <f>(SUM(B5:B16))</f>
        <v>0.71099071999999985</v>
      </c>
      <c r="D17" s="23">
        <f>(SUM(D5:D16))</f>
        <v>198.45177244000001</v>
      </c>
      <c r="F17" t="s">
        <v>9</v>
      </c>
      <c r="G17" s="23">
        <f>(SUM(D5:D16)/SUM(B5:B16))</f>
        <v>279.12006001991142</v>
      </c>
      <c r="N17" s="26">
        <f>($R$9/5)</f>
        <v>2.7755271999999998E-2</v>
      </c>
      <c r="O17" s="23">
        <f>($S$9*[1]Params!K11)</f>
        <v>1423.1530499863234</v>
      </c>
      <c r="P17" s="23">
        <f>(O17*N17)</f>
        <v>39.5</v>
      </c>
    </row>
    <row r="18" spans="2:16">
      <c r="P18" s="23"/>
    </row>
    <row r="19" spans="2:16">
      <c r="P19" s="23">
        <f>(SUM(P14:P17))</f>
        <v>79.790000000000006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9.8245400000000001E-4</v>
      </c>
      <c r="O22" s="23">
        <f>($S$5*[1]Params!K8)</f>
        <v>323.96134165178148</v>
      </c>
      <c r="P22" s="23">
        <f>(O22*N22)</f>
        <v>0.31827711595115932</v>
      </c>
    </row>
    <row r="23" spans="2:16">
      <c r="N23" s="26">
        <f>(($R$5+$R$7)/5)</f>
        <v>9.8245400000000001E-4</v>
      </c>
      <c r="O23" s="23">
        <f>($S$5*[1]Params!K9)</f>
        <v>398.72165126373102</v>
      </c>
      <c r="P23" s="23">
        <f>(O23*N23)</f>
        <v>0.39172568117065759</v>
      </c>
    </row>
    <row r="24" spans="2:16">
      <c r="N24" s="26">
        <f>(($R$5+$R$7)/5)</f>
        <v>9.8245400000000001E-4</v>
      </c>
      <c r="O24" s="23">
        <f>($S$5*[1]Params!K10)</f>
        <v>548.24227048763021</v>
      </c>
      <c r="P24" s="23">
        <f>(O24*N24)</f>
        <v>0.53862281160965431</v>
      </c>
    </row>
    <row r="25" spans="2:16">
      <c r="N25" s="26">
        <f>(($R$5+$R$7)/5)</f>
        <v>9.8245400000000001E-4</v>
      </c>
      <c r="O25" s="23">
        <f>($S$5*[1]Params!K11)</f>
        <v>1246.0051601991595</v>
      </c>
      <c r="P25" s="23">
        <f>(O25*N25)</f>
        <v>1.2241427536583052</v>
      </c>
    </row>
    <row r="26" spans="2:16">
      <c r="P26" s="23"/>
    </row>
    <row r="27" spans="2:16">
      <c r="P27" s="23">
        <f>(SUM(P22:P25))</f>
        <v>2.4727683623897763</v>
      </c>
    </row>
    <row r="37" spans="18:20">
      <c r="R37" s="49">
        <f>(SUM(R5:R27))</f>
        <v>0.71099071999999996</v>
      </c>
      <c r="T37" s="23">
        <f>(SUM(T5:T27))</f>
        <v>198.45177244000001</v>
      </c>
    </row>
  </sheetData>
  <conditionalFormatting sqref="C5:C6 C9 C11:C14 O6:O9 O14 S5:S6 S8:S9">
    <cfRule type="cellIs" dxfId="219" priority="11" operator="lessThan">
      <formula>$J$3</formula>
    </cfRule>
    <cfRule type="cellIs" dxfId="218" priority="12" operator="greaterThan">
      <formula>$J$3</formula>
    </cfRule>
  </conditionalFormatting>
  <conditionalFormatting sqref="O15:O17">
    <cfRule type="cellIs" dxfId="217" priority="7" operator="lessThan">
      <formula>$J$3</formula>
    </cfRule>
    <cfRule type="cellIs" dxfId="216" priority="8" operator="greaterThan">
      <formula>$J$3</formula>
    </cfRule>
  </conditionalFormatting>
  <conditionalFormatting sqref="O22:O2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G17">
    <cfRule type="cellIs" dxfId="213" priority="1" operator="lessThan">
      <formula>$J$3</formula>
    </cfRule>
    <cfRule type="cellIs" dxfId="212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9.2910609091583302E-2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5.7042069502913186</v>
      </c>
      <c r="K4" s="4">
        <f>(J4/D13-1)</f>
        <v>0.14084139005826368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0.27545222000000003</v>
      </c>
      <c r="C6" s="28">
        <v>0</v>
      </c>
      <c r="D6" s="29">
        <f>(B6*C6)</f>
        <v>0</v>
      </c>
      <c r="E6" s="23">
        <f>(B6*J3)</f>
        <v>2.5592433535828806E-2</v>
      </c>
      <c r="M6" t="s">
        <v>11</v>
      </c>
      <c r="N6" s="35">
        <f>($B$13/5)</f>
        <v>12.278914122</v>
      </c>
      <c r="O6" s="23">
        <f>($C$5*[1]Params!K8)</f>
        <v>0.10634970155367125</v>
      </c>
      <c r="P6" s="23">
        <f>(O6*N6)</f>
        <v>1.3058588522778594</v>
      </c>
    </row>
    <row r="7" spans="2:16">
      <c r="N7" s="35">
        <f>($B$13/5)</f>
        <v>12.278914122</v>
      </c>
      <c r="O7" s="23">
        <f>($C$5*[1]Params!K9)</f>
        <v>0.13089194037374924</v>
      </c>
      <c r="P7" s="23">
        <f>(O7*N7)</f>
        <v>1.6072108951112114</v>
      </c>
    </row>
    <row r="8" spans="2:16">
      <c r="N8" s="35">
        <f>($B$13/5)</f>
        <v>12.278914122</v>
      </c>
      <c r="O8" s="23">
        <f>($C$5*[1]Params!K10)</f>
        <v>0.17997641801390521</v>
      </c>
      <c r="P8" s="23">
        <f>(O8*N8)</f>
        <v>2.2099149807779157</v>
      </c>
    </row>
    <row r="9" spans="2:16">
      <c r="N9" s="35">
        <f>($B$13/5)</f>
        <v>12.278914122</v>
      </c>
      <c r="O9" s="23">
        <f>($C$5*[1]Params!K11)</f>
        <v>0.40903731366796636</v>
      </c>
      <c r="P9" s="23">
        <f>(O9*N9)</f>
        <v>5.0225340472225355</v>
      </c>
    </row>
    <row r="11" spans="2:16">
      <c r="P11" s="23">
        <f>(SUM(P6:P9))</f>
        <v>10.145518775389522</v>
      </c>
    </row>
    <row r="12" spans="2:16">
      <c r="F12" t="s">
        <v>9</v>
      </c>
      <c r="G12" s="23">
        <f>(D13/B13)</f>
        <v>8.1440426251398787E-2</v>
      </c>
    </row>
    <row r="13" spans="2:16">
      <c r="B13" s="35">
        <f>(SUM(B5:B12))</f>
        <v>61.394570609999995</v>
      </c>
      <c r="D13" s="23">
        <f>(SUM(D5:D12))</f>
        <v>5</v>
      </c>
    </row>
  </sheetData>
  <conditionalFormatting sqref="O6:O9"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C5">
    <cfRule type="cellIs" dxfId="209" priority="3" operator="lessThan">
      <formula>$J$3</formula>
    </cfRule>
    <cfRule type="cellIs" dxfId="208" priority="4" operator="greaterThan">
      <formula>$J$3</formula>
    </cfRule>
  </conditionalFormatting>
  <conditionalFormatting sqref="G12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6.9735840900858932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40.730900952666808</v>
      </c>
      <c r="K4" s="4">
        <f>(J4/D14-1)</f>
        <v>0.36223743583960744</v>
      </c>
      <c r="R4" t="s">
        <v>5</v>
      </c>
      <c r="S4" t="s">
        <v>6</v>
      </c>
      <c r="T4" t="s">
        <v>7</v>
      </c>
    </row>
    <row r="5" spans="2:21">
      <c r="B5" s="26">
        <v>7.0538727400000001</v>
      </c>
      <c r="C5" s="23">
        <f>(D5/B5)</f>
        <v>5.5997607918285182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7.218716E-2</v>
      </c>
      <c r="S5" s="28">
        <v>0</v>
      </c>
      <c r="T5" s="29">
        <f>(D6)</f>
        <v>0</v>
      </c>
      <c r="U5">
        <f>(R5*J3)</f>
        <v>0.50340323048448476</v>
      </c>
    </row>
    <row r="6" spans="2:21">
      <c r="B6" s="27">
        <v>7.218716E-2</v>
      </c>
      <c r="C6" s="28">
        <v>0</v>
      </c>
      <c r="D6" s="29">
        <f>(B6*C6)</f>
        <v>0</v>
      </c>
      <c r="E6" s="23">
        <f>(B6*J3)</f>
        <v>0.50340323048448476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5.6807727400000001</v>
      </c>
      <c r="S6" s="23">
        <f>(T6/R6)</f>
        <v>5.6142055772503934</v>
      </c>
      <c r="T6" s="23">
        <f>D5+B11*5.54</f>
        <v>31.893025999999999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1.5124365400000004</v>
      </c>
      <c r="O7" s="23">
        <f>($S$6*[1]Params!K9)</f>
        <v>8.9827289236006305</v>
      </c>
      <c r="P7" s="23">
        <f>(O7*N7)</f>
        <v>13.585807452968465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1.4427682700000002</v>
      </c>
      <c r="O8" s="23">
        <f>($C$5*[1]Params!K10)</f>
        <v>12.31947374202274</v>
      </c>
      <c r="P8" s="23">
        <f>(O8*N8)</f>
        <v>17.774145818088577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1.4427682700000002</v>
      </c>
      <c r="O9" s="23">
        <f>($C$5*[1]Params!K11)</f>
        <v>27.998803959142592</v>
      </c>
      <c r="P9" s="23">
        <f>(O9*N9)</f>
        <v>40.395785950201315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81.650081441258351</v>
      </c>
    </row>
    <row r="13" spans="2:21">
      <c r="F13" t="s">
        <v>9</v>
      </c>
      <c r="G13" s="23">
        <f>(D14/B14)</f>
        <v>5.1192133666388075</v>
      </c>
      <c r="N13" s="26"/>
      <c r="P13" s="23"/>
      <c r="R13" s="26">
        <f>(SUM(R5:R12))</f>
        <v>5.8407413500000001</v>
      </c>
      <c r="T13" s="23">
        <f>(SUM(T5:T12))</f>
        <v>29.900001190000001</v>
      </c>
    </row>
    <row r="14" spans="2:21">
      <c r="B14">
        <f>(SUM(B5:B13))</f>
        <v>5.8407413500000009</v>
      </c>
      <c r="D14" s="23">
        <f>(SUM(D5:D13))</f>
        <v>29.900001189999998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205" priority="17" operator="lessThan">
      <formula>$J$3</formula>
    </cfRule>
    <cfRule type="cellIs" dxfId="204" priority="18" operator="greaterThan">
      <formula>$J$3</formula>
    </cfRule>
  </conditionalFormatting>
  <conditionalFormatting sqref="O3">
    <cfRule type="cellIs" dxfId="203" priority="1" operator="greaterThan">
      <formula>$J$3</formula>
    </cfRule>
    <cfRule type="cellIs" dxfId="202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58.820596100075669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5.8256153659899343</v>
      </c>
      <c r="K4" s="4">
        <f>(J4/D13-1)</f>
        <v>0.54179794333121833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2.9427300000000002E-3</v>
      </c>
      <c r="C6" s="28">
        <v>0</v>
      </c>
      <c r="D6" s="29">
        <f>(B6*C6)</f>
        <v>0</v>
      </c>
      <c r="E6" s="23">
        <f>(B6*J3)</f>
        <v>0.17309313276157567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2.4758079999999998E-2</v>
      </c>
      <c r="O7" s="23">
        <f>($C$5*[1]Params!K9)</f>
        <v>68.847999999999999</v>
      </c>
      <c r="P7" s="23">
        <f>(O7*N7)</f>
        <v>1.7045442918399998</v>
      </c>
    </row>
    <row r="8" spans="2:17">
      <c r="N8" s="26">
        <f>($B$13-$B$7)/5</f>
        <v>2.4758079999999998E-2</v>
      </c>
      <c r="O8" s="23">
        <f>($C$5*[1]Params!K10)</f>
        <v>94.666000000000011</v>
      </c>
      <c r="P8" s="23">
        <f>(O8*N8)</f>
        <v>2.3437484012800001</v>
      </c>
    </row>
    <row r="9" spans="2:17">
      <c r="N9" s="26">
        <f>($B$13-$B$7)/5</f>
        <v>2.4758079999999998E-2</v>
      </c>
      <c r="O9" s="23">
        <f>($C$5*[1]Params!K11)</f>
        <v>215.15</v>
      </c>
      <c r="P9" s="23">
        <f>(O9*N9)</f>
        <v>5.3267009119999997</v>
      </c>
    </row>
    <row r="11" spans="2:17">
      <c r="P11" s="23">
        <f>(SUM(P6:P9))</f>
        <v>10.796537815120001</v>
      </c>
    </row>
    <row r="12" spans="2:17">
      <c r="F12" t="s">
        <v>9</v>
      </c>
      <c r="G12" s="23">
        <f>(D13/B13)</f>
        <v>38.150651552295834</v>
      </c>
    </row>
    <row r="13" spans="2:17">
      <c r="B13">
        <f>(SUM(B5:B12))</f>
        <v>9.9040400000000001E-2</v>
      </c>
      <c r="D13" s="23">
        <f>(SUM(D5:D12))</f>
        <v>3.7784557900000002</v>
      </c>
    </row>
  </sheetData>
  <conditionalFormatting sqref="C5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O7:O9">
    <cfRule type="cellIs" dxfId="199" priority="7" operator="lessThan">
      <formula>$J$3</formula>
    </cfRule>
    <cfRule type="cellIs" dxfId="198" priority="8" operator="greaterThan">
      <formula>$J$3</formula>
    </cfRule>
  </conditionalFormatting>
  <conditionalFormatting sqref="G12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3">
    <cfRule type="cellIs" dxfId="195" priority="1" operator="greaterThan">
      <formula>$J$3</formula>
    </cfRule>
    <cfRule type="cellIs" dxfId="194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0.1626800070111839</v>
      </c>
      <c r="M3" t="s">
        <v>4</v>
      </c>
      <c r="N3" s="35">
        <f>(INDEX(N5:N29,MATCH(MAX(O6:O8),O5:O29,0))/0.9)</f>
        <v>17.499576300000001</v>
      </c>
      <c r="O3" s="53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4.3821645972801564</v>
      </c>
      <c r="K4" s="4">
        <f>(J4/D14-1)</f>
        <v>-7.7075008797794613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59" priority="23" operator="lessThan">
      <formula>$J$3</formula>
    </cfRule>
    <cfRule type="cellIs" dxfId="58" priority="24" operator="greaterThan">
      <formula>$J$3</formula>
    </cfRule>
  </conditionalFormatting>
  <conditionalFormatting sqref="O3">
    <cfRule type="cellIs" dxfId="57" priority="17" operator="greaterThan">
      <formula>$J$3</formula>
    </cfRule>
    <cfRule type="cellIs" dxfId="56" priority="18" operator="lessThan">
      <formula>$J$3</formula>
    </cfRule>
  </conditionalFormatting>
  <conditionalFormatting sqref="W33">
    <cfRule type="cellIs" dxfId="55" priority="1" operator="lessThan">
      <formula>$J$3</formula>
    </cfRule>
    <cfRule type="cellIs" dxfId="54" priority="2" operator="greaterThan">
      <formula>$J$3</formula>
    </cfRule>
    <cfRule type="cellIs" dxfId="53" priority="3" operator="lessThan">
      <formula>$J$3</formula>
    </cfRule>
    <cfRule type="cellIs" dxfId="52" priority="4" operator="greaterThan">
      <formula>$J$3</formula>
    </cfRule>
    <cfRule type="cellIs" dxfId="51" priority="5" operator="lessThan">
      <formula>$J$3</formula>
    </cfRule>
    <cfRule type="cellIs" dxfId="50" priority="6" operator="greaterThan">
      <formula>$J$3</formula>
    </cfRule>
    <cfRule type="cellIs" dxfId="49" priority="7" operator="lessThan">
      <formula>$J$3</formula>
    </cfRule>
    <cfRule type="cellIs" dxfId="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43090.283792223883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1254.2327684658021</v>
      </c>
      <c r="K4" s="4">
        <f>(J4/D38-1)</f>
        <v>0.83561709136996942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3.4976000000000001E-4</v>
      </c>
      <c r="C6" s="28">
        <v>0</v>
      </c>
      <c r="D6" s="29">
        <f>(B6*C6)</f>
        <v>0</v>
      </c>
      <c r="E6" s="23">
        <f>(B6*J3)</f>
        <v>15.071257659168227</v>
      </c>
      <c r="I6" t="s">
        <v>11</v>
      </c>
      <c r="J6">
        <v>0.03</v>
      </c>
      <c r="R6" s="26">
        <f t="shared" si="0"/>
        <v>3.4976000000000001E-4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8.9290999999999329E-4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38.47574530091434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6.5453099999999995E-3</v>
      </c>
      <c r="S19" s="23">
        <f t="shared" si="2"/>
        <v>24591.042868863351</v>
      </c>
      <c r="T19" s="23">
        <f>(D23+17438.6*B32)</f>
        <v>160.95599879999997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1.48898E-3</v>
      </c>
      <c r="S20" s="23">
        <f t="shared" si="2"/>
        <v>25926.445551988611</v>
      </c>
      <c r="T20" s="23">
        <f>(D24+17211.7*B31)</f>
        <v>38.603958898000002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6.8873099999999998E-3</v>
      </c>
      <c r="C23" s="23">
        <f t="shared" si="3"/>
        <v>24235.877287358926</v>
      </c>
      <c r="D23" s="23">
        <v>166.92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1.54104E-3</v>
      </c>
      <c r="C24" s="23">
        <f t="shared" si="3"/>
        <v>25632.040699787158</v>
      </c>
      <c r="D24" s="23">
        <v>39.5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1.77305E-3</v>
      </c>
      <c r="S24" s="23">
        <f>(T24/R24)</f>
        <v>27269.394546121093</v>
      </c>
      <c r="T24" s="23">
        <f>(D34)</f>
        <v>48.35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1.77305E-3</v>
      </c>
      <c r="C34" s="23">
        <f>(D34/B34)</f>
        <v>27269.394546121093</v>
      </c>
      <c r="D34" s="23">
        <v>48.35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23474.549237316409</v>
      </c>
      <c r="R37">
        <f>(SUM(R5:R25))</f>
        <v>2.9462889999999999E-2</v>
      </c>
      <c r="T37" s="23">
        <f>(SUM(T5:T25))</f>
        <v>545.61980017000008</v>
      </c>
    </row>
    <row r="38" spans="2:20">
      <c r="B38">
        <f>(SUM(B5:B37))</f>
        <v>2.9107090000000006E-2</v>
      </c>
      <c r="D38" s="23">
        <f>(SUM(D5:D37))</f>
        <v>683.27581736000025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2.4129239999999999E-3</v>
      </c>
      <c r="N50" s="23">
        <f>($S$19*[1]Params!K16)</f>
        <v>49182.085737726702</v>
      </c>
      <c r="O50" s="30">
        <f>(N50*M50)</f>
        <v>118.67263504661845</v>
      </c>
    </row>
    <row r="51" spans="12:16">
      <c r="M51">
        <f>($B$23/5)</f>
        <v>1.3774619999999999E-3</v>
      </c>
      <c r="N51" s="23">
        <f>($S$19*[1]Params!K17)</f>
        <v>98364.171475453404</v>
      </c>
      <c r="O51" s="30">
        <f>(N51*M51)</f>
        <v>135.49290836892098</v>
      </c>
    </row>
    <row r="52" spans="12:16">
      <c r="M52">
        <f>($B$23/5)</f>
        <v>1.3774619999999999E-3</v>
      </c>
      <c r="N52" s="23">
        <f>($S$19*[1]Params!K18)</f>
        <v>196728.34295090681</v>
      </c>
      <c r="O52" s="30">
        <f>(N52*M52)</f>
        <v>270.98581673784196</v>
      </c>
    </row>
    <row r="54" spans="12:16">
      <c r="O54" s="30">
        <f>(SUM(O49:O52))</f>
        <v>532.60696015338135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5.6435600000000002E-4</v>
      </c>
      <c r="N58" s="23">
        <f>($S$20*[1]Params!K16)</f>
        <v>51852.891103977221</v>
      </c>
      <c r="O58" s="30">
        <f>(N58*M58)</f>
        <v>29.263490211876171</v>
      </c>
    </row>
    <row r="59" spans="12:16">
      <c r="M59">
        <f>($B$24/5)</f>
        <v>3.0820800000000003E-4</v>
      </c>
      <c r="N59" s="23">
        <f>($S$20*[1]Params!K17)</f>
        <v>103705.78220795444</v>
      </c>
      <c r="O59" s="30">
        <f>(N59*M59)</f>
        <v>31.962951722749224</v>
      </c>
    </row>
    <row r="60" spans="12:16">
      <c r="M60">
        <f>($B$24/5)</f>
        <v>3.0820800000000003E-4</v>
      </c>
      <c r="N60" s="23">
        <f>($S$20*[1]Params!K18)</f>
        <v>207411.56441590888</v>
      </c>
      <c r="O60" s="30">
        <f>(N60*M60)</f>
        <v>63.925903445498449</v>
      </c>
    </row>
    <row r="62" spans="12:16">
      <c r="O62" s="30">
        <f>(SUM(O57:O60))</f>
        <v>126.27475898012385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3.5460999999999999E-4</v>
      </c>
      <c r="N73" s="23">
        <f>($S$24*[1]Params!K15)</f>
        <v>40904.091819181638</v>
      </c>
      <c r="O73" s="30">
        <f>(N73*M73)</f>
        <v>14.505000000000001</v>
      </c>
    </row>
    <row r="74" spans="12:16">
      <c r="M74">
        <f>($R$24/5)</f>
        <v>3.5460999999999999E-4</v>
      </c>
      <c r="N74" s="23">
        <f>($S$24*[1]Params!K16)</f>
        <v>54538.789092242187</v>
      </c>
      <c r="O74" s="30">
        <f>(N74*M74)</f>
        <v>19.34</v>
      </c>
    </row>
    <row r="75" spans="12:16">
      <c r="M75">
        <f>($R$24/5)</f>
        <v>3.5460999999999999E-4</v>
      </c>
      <c r="N75" s="23">
        <f>($S$24*[1]Params!K17)</f>
        <v>109077.57818448437</v>
      </c>
      <c r="O75" s="30">
        <f>(N75*M75)</f>
        <v>38.68</v>
      </c>
    </row>
    <row r="76" spans="12:16">
      <c r="M76">
        <f>($R$24/5)</f>
        <v>3.5460999999999999E-4</v>
      </c>
      <c r="N76" s="23">
        <f>($S$24*[1]Params!K18)</f>
        <v>218155.15636896875</v>
      </c>
      <c r="O76" s="30">
        <f>(N76*M76)</f>
        <v>77.36</v>
      </c>
    </row>
    <row r="78" spans="12:16">
      <c r="O78" s="30">
        <f>(SUM(O73:O76))</f>
        <v>149.88499999999999</v>
      </c>
    </row>
  </sheetData>
  <conditionalFormatting sqref="C5 C7:C17 C19:C20 C22:C25 C34:C36 G37 N10:N12 N20 N26:N28 N34:N35 S5 S7:S21 S24">
    <cfRule type="cellIs" dxfId="325" priority="45" operator="lessThan">
      <formula>$J$3</formula>
    </cfRule>
    <cfRule type="cellIs" dxfId="324" priority="46" operator="greaterThan">
      <formula>$J$3</formula>
    </cfRule>
  </conditionalFormatting>
  <conditionalFormatting sqref="N36">
    <cfRule type="cellIs" dxfId="323" priority="19" operator="lessThan">
      <formula>$J$3</formula>
    </cfRule>
    <cfRule type="cellIs" dxfId="322" priority="20" operator="greaterThan">
      <formula>$J$3</formula>
    </cfRule>
  </conditionalFormatting>
  <conditionalFormatting sqref="N42:N44">
    <cfRule type="cellIs" dxfId="321" priority="17" operator="lessThan">
      <formula>$J$3</formula>
    </cfRule>
    <cfRule type="cellIs" dxfId="320" priority="18" operator="greaterThan">
      <formula>$J$3</formula>
    </cfRule>
  </conditionalFormatting>
  <conditionalFormatting sqref="N50:N52">
    <cfRule type="cellIs" dxfId="319" priority="15" operator="lessThan">
      <formula>$J$3</formula>
    </cfRule>
    <cfRule type="cellIs" dxfId="318" priority="16" operator="greaterThan">
      <formula>$J$3</formula>
    </cfRule>
  </conditionalFormatting>
  <conditionalFormatting sqref="N58:N60">
    <cfRule type="cellIs" dxfId="317" priority="13" operator="lessThan">
      <formula>$J$3</formula>
    </cfRule>
    <cfRule type="cellIs" dxfId="316" priority="14" operator="greaterThan">
      <formula>$J$3</formula>
    </cfRule>
  </conditionalFormatting>
  <conditionalFormatting sqref="N66:N68">
    <cfRule type="cellIs" dxfId="315" priority="11" operator="lessThan">
      <formula>$J$3</formula>
    </cfRule>
    <cfRule type="cellIs" dxfId="314" priority="12" operator="greaterThan">
      <formula>$J$3</formula>
    </cfRule>
  </conditionalFormatting>
  <conditionalFormatting sqref="N73:N76">
    <cfRule type="cellIs" dxfId="313" priority="9" operator="lessThan">
      <formula>$J$3</formula>
    </cfRule>
    <cfRule type="cellIs" dxfId="312" priority="10" operator="greaterThan">
      <formula>$J$3</formula>
    </cfRule>
  </conditionalFormatting>
  <conditionalFormatting sqref="N4">
    <cfRule type="cellIs" dxfId="311" priority="1" operator="greaterThan">
      <formula>$J$3</formula>
    </cfRule>
    <cfRule type="cellIs" dxfId="31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9.9887294828450734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14.56814611992117</v>
      </c>
      <c r="K4" s="4">
        <f>(J4/D12-1)</f>
        <v>3.0562541454293202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2.2606700000000002E-3</v>
      </c>
      <c r="C6" s="28">
        <v>0</v>
      </c>
      <c r="D6" s="29">
        <f>(B6*C6)</f>
        <v>0</v>
      </c>
      <c r="E6" s="23">
        <f>(B6*J3)</f>
        <v>2.2581221079983373E-2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2.2606700000000002E-3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0.500875022</v>
      </c>
      <c r="O8" s="23">
        <f>($C$5*[1]Params!K10)</f>
        <v>10.281572794239395</v>
      </c>
      <c r="P8" s="23">
        <f>(O8*N8)</f>
        <v>5.1497829995092586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2.4625502063524793</v>
      </c>
      <c r="P11" s="23">
        <f>(SUM(P6:P9))</f>
        <v>23.108475469509258</v>
      </c>
      <c r="R11" s="1"/>
      <c r="S11" s="23"/>
      <c r="T11" s="23"/>
    </row>
    <row r="12" spans="2:21">
      <c r="B12">
        <f>(SUM(B5:B11))</f>
        <v>1.4584583700000002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1.4584583700000002</v>
      </c>
      <c r="T24" s="23">
        <f>(SUM(T5:T23))</f>
        <v>3.5915269600000013</v>
      </c>
    </row>
  </sheetData>
  <conditionalFormatting sqref="C5 G11 O8:O9 S5">
    <cfRule type="cellIs" dxfId="193" priority="11" operator="lessThan">
      <formula>$J$3</formula>
    </cfRule>
    <cfRule type="cellIs" dxfId="192" priority="12" operator="greaterThan">
      <formula>$J$3</formula>
    </cfRule>
  </conditionalFormatting>
  <conditionalFormatting sqref="O3">
    <cfRule type="cellIs" dxfId="191" priority="3" operator="greaterThan">
      <formula>$J$3</formula>
    </cfRule>
    <cfRule type="cellIs" dxfId="190" priority="4" operator="lessThan">
      <formula>$J$3</formula>
    </cfRule>
  </conditionalFormatting>
  <conditionalFormatting sqref="C10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0.77656890463309847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2.2709352026277578</v>
      </c>
      <c r="K4" s="4">
        <f>(J4/D10-1)</f>
        <v>-0.24302159912408072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47" priority="5" operator="lessThan">
      <formula>$J$3</formula>
    </cfRule>
    <cfRule type="cellIs" dxfId="46" priority="6" operator="greaterThan">
      <formula>$J$3</formula>
    </cfRule>
  </conditionalFormatting>
  <conditionalFormatting sqref="G9">
    <cfRule type="cellIs" dxfId="45" priority="3" operator="lessThan">
      <formula>$J$3</formula>
    </cfRule>
    <cfRule type="cellIs" dxfId="44" priority="4" operator="greaterThan">
      <formula>$J$3</formula>
    </cfRule>
  </conditionalFormatting>
  <conditionalFormatting sqref="O6:O9">
    <cfRule type="cellIs" dxfId="43" priority="1" operator="lessThan">
      <formula>$J$3</formula>
    </cfRule>
    <cfRule type="cellIs" dxfId="42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2.1329654593655589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12.003018407452531</v>
      </c>
      <c r="K4" s="4">
        <f>(J4/D10-1)</f>
        <v>-1.2097250415429528E-2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1.7506879999999999E-2</v>
      </c>
      <c r="C6" s="28">
        <v>0</v>
      </c>
      <c r="D6" s="29">
        <f>(B6*C6)</f>
        <v>0</v>
      </c>
      <c r="E6" s="23">
        <f>(B6*J3)</f>
        <v>3.7341570341257714E-2</v>
      </c>
      <c r="M6" t="s">
        <v>11</v>
      </c>
      <c r="N6" s="1">
        <f>($B$10/5)</f>
        <v>1.1254770540000001</v>
      </c>
      <c r="O6" s="23">
        <f>($C$5*[1]Params!K8)</f>
        <v>2.8155690554996147</v>
      </c>
      <c r="P6" s="23">
        <f>(O6*N6)</f>
        <v>3.1688583659172691</v>
      </c>
    </row>
    <row r="7" spans="2:16">
      <c r="N7" s="1">
        <f>($B$10/5)</f>
        <v>1.1254770540000001</v>
      </c>
      <c r="O7" s="23">
        <f>($C$5*[1]Params!K9)</f>
        <v>3.4653157606149101</v>
      </c>
      <c r="P7" s="23">
        <f>(O7*N7)</f>
        <v>3.9001333734366384</v>
      </c>
    </row>
    <row r="8" spans="2:16">
      <c r="N8" s="1">
        <f>($B$10/5)</f>
        <v>1.1254770540000001</v>
      </c>
      <c r="O8" s="23">
        <f>($C$5*[1]Params!K10)</f>
        <v>4.7648091708455018</v>
      </c>
      <c r="P8" s="23">
        <f>(O8*N8)</f>
        <v>5.3626833884753786</v>
      </c>
    </row>
    <row r="9" spans="2:16">
      <c r="F9" t="s">
        <v>9</v>
      </c>
      <c r="G9" s="23">
        <f>(D10/B10)</f>
        <v>2.1590844445594533</v>
      </c>
      <c r="N9" s="1">
        <f>($B$10/5)</f>
        <v>1.1254770540000001</v>
      </c>
      <c r="O9" s="23">
        <f>($C$5*[1]Params!K11)</f>
        <v>10.829111751921594</v>
      </c>
      <c r="P9" s="23">
        <f>(O9*N9)</f>
        <v>12.187916791989496</v>
      </c>
    </row>
    <row r="10" spans="2:16">
      <c r="B10" s="1">
        <f>(SUM(B5:B9))</f>
        <v>5.6273852700000004</v>
      </c>
      <c r="D10" s="23">
        <f>(SUM(D5:D9))</f>
        <v>12.15</v>
      </c>
    </row>
    <row r="11" spans="2:16">
      <c r="P11" s="23">
        <f>(SUM(P6:P9))</f>
        <v>24.619591919818781</v>
      </c>
    </row>
  </sheetData>
  <conditionalFormatting sqref="C5">
    <cfRule type="cellIs" dxfId="187" priority="5" operator="lessThan">
      <formula>$J$3</formula>
    </cfRule>
    <cfRule type="cellIs" dxfId="186" priority="6" operator="greaterThan">
      <formula>$J$3</formula>
    </cfRule>
  </conditionalFormatting>
  <conditionalFormatting sqref="O6:O9">
    <cfRule type="cellIs" dxfId="185" priority="3" operator="lessThan">
      <formula>$J$3</formula>
    </cfRule>
    <cfRule type="cellIs" dxfId="184" priority="4" operator="greaterThan">
      <formula>$J$3</formula>
    </cfRule>
  </conditionalFormatting>
  <conditionalFormatting sqref="G9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14.603879931048031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8.0337205275921253</v>
      </c>
      <c r="K4" s="4">
        <f>(J4/D11-1)</f>
        <v>-25.984036211605815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2.3359000000000001E-3</v>
      </c>
      <c r="C6" s="28">
        <v>0</v>
      </c>
      <c r="D6" s="29">
        <f>(B6*C6)</f>
        <v>0</v>
      </c>
      <c r="E6" s="23">
        <f>(B6*J3)</f>
        <v>3.4113203130935098E-2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2.3359000000000001E-3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0.28376691199999993</v>
      </c>
      <c r="O9" s="23">
        <f>($C$5*[1]Params!K11)</f>
        <v>35.091738077914854</v>
      </c>
      <c r="P9" s="23">
        <f>(O9*N9)</f>
        <v>9.9578741510827111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-0.58452844878058985</v>
      </c>
      <c r="O10" s="23"/>
      <c r="P10" s="23"/>
      <c r="R10" s="1"/>
      <c r="S10" s="23"/>
      <c r="T10" s="23"/>
      <c r="U10" s="24"/>
    </row>
    <row r="11" spans="2:21">
      <c r="B11">
        <f>(SUM(B5:B10))</f>
        <v>0.55010863999999993</v>
      </c>
      <c r="C11" s="23"/>
      <c r="D11" s="23">
        <f>(SUM(D5:D10))</f>
        <v>-0.32155414999999987</v>
      </c>
      <c r="O11" s="23"/>
      <c r="P11" s="23">
        <f>(SUM(P6:P9))</f>
        <v>19.609428301082708</v>
      </c>
      <c r="R11" s="1"/>
      <c r="S11" s="23"/>
      <c r="T11" s="24"/>
    </row>
    <row r="22" spans="18:20">
      <c r="R22">
        <f>(SUM(R5:R21))</f>
        <v>0.55010863999999982</v>
      </c>
      <c r="T22" s="23">
        <f>(SUM(T5:T21))</f>
        <v>-0.32155414999999987</v>
      </c>
    </row>
  </sheetData>
  <conditionalFormatting sqref="C5 G10 O9 S5">
    <cfRule type="cellIs" dxfId="181" priority="9" operator="lessThan">
      <formula>$J$3</formula>
    </cfRule>
    <cfRule type="cellIs" dxfId="180" priority="10" operator="greaterThan">
      <formula>$J$3</formula>
    </cfRule>
  </conditionalFormatting>
  <conditionalFormatting sqref="O3">
    <cfRule type="cellIs" dxfId="179" priority="3" operator="greaterThan">
      <formula>$J$3</formula>
    </cfRule>
    <cfRule type="cellIs" dxfId="178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71.324913292472559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11.703824848016154</v>
      </c>
      <c r="K4" s="4">
        <f>(J4/D15-1)</f>
        <v>0.1775800554668181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1.1340899999999999E-3</v>
      </c>
      <c r="C6" s="28">
        <v>0</v>
      </c>
      <c r="D6" s="29">
        <f>(B6*C6)</f>
        <v>0</v>
      </c>
      <c r="E6" s="23">
        <f>(B6*J3)</f>
        <v>8.0888870915860195E-2</v>
      </c>
      <c r="M6" t="s">
        <v>11</v>
      </c>
      <c r="N6" s="49">
        <f>(SUM(R$5:R$8)/5)</f>
        <v>3.2818336000000004E-2</v>
      </c>
      <c r="O6" s="23">
        <f>($C$7*[1]Params!K8)</f>
        <v>89.451451451451447</v>
      </c>
      <c r="P6" s="23">
        <f>(O6*N6)</f>
        <v>2.9356477894214215</v>
      </c>
      <c r="R6" s="2">
        <f>(B6)</f>
        <v>1.1340899999999999E-3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3.2818336000000004E-2</v>
      </c>
      <c r="O7" s="23">
        <f>($C$7*[1]Params!K9)</f>
        <v>110.09409409409409</v>
      </c>
      <c r="P7" s="23">
        <f>(O7*N7)</f>
        <v>3.6131049715955958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3.2818336000000004E-2</v>
      </c>
      <c r="O8" s="23">
        <f>($C$7*[1]Params!K10)</f>
        <v>151.37937937937937</v>
      </c>
      <c r="P8" s="23">
        <f>(O8*N8)</f>
        <v>4.9680193359439446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1.2770422939247292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3.2818336000000004E-2</v>
      </c>
      <c r="O9" s="23">
        <f>($C$7*[1]Params!K11)</f>
        <v>344.04404404404403</v>
      </c>
      <c r="P9" s="23">
        <f>(O9*N9)</f>
        <v>11.290953036236237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22.807725133197199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60.569056822381235</v>
      </c>
    </row>
    <row r="15" spans="2:21">
      <c r="B15" s="1">
        <f>(SUM(B5:B14))</f>
        <v>0.16409168000000002</v>
      </c>
      <c r="D15" s="23">
        <f>(SUM(D5:D14))</f>
        <v>9.9388782899999999</v>
      </c>
    </row>
    <row r="21" spans="18:20">
      <c r="R21">
        <f>(SUM(R5:R20))</f>
        <v>0.16409168000000002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77" priority="21" operator="lessThan">
      <formula>$J$3</formula>
    </cfRule>
    <cfRule type="cellIs" dxfId="176" priority="22" operator="greaterThan">
      <formula>$J$3</formula>
    </cfRule>
  </conditionalFormatting>
  <conditionalFormatting sqref="C9">
    <cfRule type="cellIs" dxfId="175" priority="9" operator="lessThan">
      <formula>$J$3</formula>
    </cfRule>
    <cfRule type="cellIs" dxfId="174" priority="10" operator="greaterThan">
      <formula>$J$3</formula>
    </cfRule>
  </conditionalFormatting>
  <conditionalFormatting sqref="C12:C13">
    <cfRule type="cellIs" dxfId="173" priority="5" operator="lessThan">
      <formula>$J$3</formula>
    </cfRule>
    <cfRule type="cellIs" dxfId="172" priority="6" operator="greaterThan">
      <formula>$J$3</formula>
    </cfRule>
  </conditionalFormatting>
  <conditionalFormatting sqref="O6:O7">
    <cfRule type="cellIs" dxfId="171" priority="3" operator="lessThan">
      <formula>$J$3</formula>
    </cfRule>
    <cfRule type="cellIs" dxfId="170" priority="4" operator="greaterThan">
      <formula>$J$3</formula>
    </cfRule>
  </conditionalFormatting>
  <conditionalFormatting sqref="G14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0.91622820086174428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3.8139461527569973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5.587752E-2</v>
      </c>
      <c r="C6" s="28">
        <v>0</v>
      </c>
      <c r="D6" s="29">
        <f>(B6*C6)</f>
        <v>0</v>
      </c>
      <c r="E6" s="23">
        <f>(B6*J3)</f>
        <v>5.1196559618216134E-2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4.1626596400000011</v>
      </c>
      <c r="D22" s="23">
        <f>(SUM(D5:D21))</f>
        <v>-5.3974319099999999</v>
      </c>
    </row>
  </sheetData>
  <conditionalFormatting sqref="N6"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N12">
    <cfRule type="cellIs" dxfId="165" priority="1" operator="greaterThan">
      <formula>$J$3</formula>
    </cfRule>
    <cfRule type="cellIs" dxfId="16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1.521446905334706E-4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19.476116970390567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32002.623460110131</v>
      </c>
      <c r="P9" s="23">
        <f>(O9*N9)</f>
        <v>16.001311730055065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4855.7511065099998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4855.7511065099998</v>
      </c>
      <c r="C18" s="28">
        <v>0</v>
      </c>
      <c r="D18" s="29">
        <f>(B18*C18)</f>
        <v>0</v>
      </c>
      <c r="E18" s="23">
        <f>(B18*J3)</f>
        <v>0.73877674940752136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-9.4329708130751779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-22.821703580020589</v>
      </c>
    </row>
    <row r="39" spans="2:20">
      <c r="B39">
        <f>(SUM(B5:B38))</f>
        <v>128010.49384044053</v>
      </c>
      <c r="D39" s="23">
        <f>(SUM(D5:D38))</f>
        <v>-76.307382291799911</v>
      </c>
      <c r="F39" t="s">
        <v>9</v>
      </c>
      <c r="G39" s="33">
        <f>(D39/B39)</f>
        <v>-5.9610255380245403E-4</v>
      </c>
      <c r="R39">
        <f>(SUM(R5:R38))</f>
        <v>128010.49384044053</v>
      </c>
      <c r="T39" s="23">
        <f>(SUM(T5:T38))</f>
        <v>-76.307382291799911</v>
      </c>
    </row>
  </sheetData>
  <conditionalFormatting sqref="C5:C9 C14:C16 C25:C26 C28 C30 C32 C35">
    <cfRule type="cellIs" dxfId="163" priority="15" operator="lessThan">
      <formula>$J$3</formula>
    </cfRule>
    <cfRule type="cellIs" dxfId="162" priority="16" operator="greaterThan">
      <formula>$J$3</formula>
    </cfRule>
  </conditionalFormatting>
  <conditionalFormatting sqref="N6">
    <cfRule type="cellIs" dxfId="161" priority="11" operator="lessThan">
      <formula>$J$3</formula>
    </cfRule>
    <cfRule type="cellIs" dxfId="160" priority="12" operator="greaterThan">
      <formula>$J$3</formula>
    </cfRule>
  </conditionalFormatting>
  <conditionalFormatting sqref="N9">
    <cfRule type="cellIs" dxfId="159" priority="7" operator="lessThan">
      <formula>$J$3</formula>
    </cfRule>
    <cfRule type="cellIs" dxfId="158" priority="8" operator="greaterThan">
      <formula>$J$3</formula>
    </cfRule>
  </conditionalFormatting>
  <conditionalFormatting sqref="S5:S9 S13"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G39">
    <cfRule type="cellIs" dxfId="155" priority="3" operator="lessThan">
      <formula>$J$3</formula>
    </cfRule>
    <cfRule type="cellIs" dxfId="154" priority="4" operator="greaterThan">
      <formula>$J$3</formula>
    </cfRule>
  </conditionalFormatting>
  <conditionalFormatting sqref="N12">
    <cfRule type="cellIs" dxfId="153" priority="1" operator="greaterThan">
      <formula>$J$3</formula>
    </cfRule>
    <cfRule type="cellIs" dxfId="152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0.79977746031458141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45.73394726927377</v>
      </c>
      <c r="K4" s="4">
        <f>(J4/D18-1)</f>
        <v>-8.1026412117009672E-2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0.31835038999999998</v>
      </c>
      <c r="C6" s="28">
        <v>0</v>
      </c>
      <c r="D6" s="29">
        <f>(B6*C6)</f>
        <v>0</v>
      </c>
      <c r="E6" s="23">
        <f>(B6*J3)</f>
        <v>0.2546094664043565</v>
      </c>
      <c r="M6" t="s">
        <v>11</v>
      </c>
      <c r="N6" s="19">
        <f>($B$7+$R$9)/5</f>
        <v>8.6983023457777779</v>
      </c>
      <c r="O6" s="23">
        <f>($S$7*[1]Params!K8)</f>
        <v>1.1980698342298057</v>
      </c>
      <c r="P6" s="23">
        <f>(O6*N6)</f>
        <v>10.421173649486713</v>
      </c>
      <c r="R6" s="47">
        <f>(B6)</f>
        <v>0.31835038999999998</v>
      </c>
      <c r="S6" s="28">
        <v>0</v>
      </c>
      <c r="T6" s="29">
        <f>(D6)</f>
        <v>0</v>
      </c>
      <c r="U6" s="23">
        <f>(R6*J3)</f>
        <v>0.2546094664043565</v>
      </c>
    </row>
    <row r="7" spans="2:21">
      <c r="B7" s="19">
        <v>42.860606730000001</v>
      </c>
      <c r="C7" s="23">
        <f t="shared" ref="C7:C14" si="0">(D7/B7)</f>
        <v>0.92159218017677369</v>
      </c>
      <c r="D7" s="23">
        <v>39.5</v>
      </c>
      <c r="E7" t="s">
        <v>15</v>
      </c>
      <c r="N7" s="19">
        <f>($B$7+$R$9)/5</f>
        <v>8.6983023457777779</v>
      </c>
      <c r="O7" s="23">
        <f>($S$7*[1]Params!K9)</f>
        <v>1.474547488282838</v>
      </c>
      <c r="P7" s="23">
        <f>(O7*N7)</f>
        <v>12.826059876291341</v>
      </c>
      <c r="R7" s="19">
        <f>B7</f>
        <v>42.860606730000001</v>
      </c>
      <c r="S7" s="23">
        <f>(T7/R7)</f>
        <v>0.92159218017677369</v>
      </c>
      <c r="T7" s="23">
        <f>D7</f>
        <v>39.5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8.6983023457777779</v>
      </c>
      <c r="O8" s="23">
        <f>($S$7*[1]Params!K10)</f>
        <v>2.0275027963889021</v>
      </c>
      <c r="P8" s="23">
        <f>(O8*N8)</f>
        <v>17.635832329900591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8.6983023457777779</v>
      </c>
      <c r="O9" s="23">
        <f>($C$7*[1]Params!K11)</f>
        <v>4.6079609008838682</v>
      </c>
      <c r="P9" s="23">
        <f>(O9*N9)</f>
        <v>40.081437113410431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80.964502969089068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0.8702942836006885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57.183341039999995</v>
      </c>
      <c r="S17" s="23"/>
      <c r="T17" s="23">
        <f>(SUM(T5:T12))</f>
        <v>49.766334824300642</v>
      </c>
    </row>
    <row r="18" spans="2:20">
      <c r="B18" s="19">
        <f>(SUM(B5:B17))</f>
        <v>57.183341039999995</v>
      </c>
      <c r="D18" s="23">
        <f>(SUM(D5:D17))</f>
        <v>49.766334824300642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51" priority="25" operator="lessThan">
      <formula>$J$3</formula>
    </cfRule>
    <cfRule type="cellIs" dxfId="150" priority="26" operator="greaterThan">
      <formula>$J$3</formula>
    </cfRule>
  </conditionalFormatting>
  <conditionalFormatting sqref="S8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G17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36" width="9.140625" style="14" customWidth="1"/>
    <col min="37" max="16384" width="9.140625" style="14"/>
  </cols>
  <sheetData>
    <row r="3" spans="2:16">
      <c r="I3" t="s">
        <v>3</v>
      </c>
      <c r="J3" s="23">
        <v>2.9760834336259191E-2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1.9282642083661548</v>
      </c>
      <c r="K4" s="4">
        <f>(J4/D10-1)</f>
        <v>-3.5867895816922624E-2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4.3274319999999998E-2</v>
      </c>
      <c r="C6" s="28">
        <v>0</v>
      </c>
      <c r="D6" s="29">
        <f>(B6*C6)</f>
        <v>0</v>
      </c>
      <c r="E6" s="23">
        <f>(B6*J3)</f>
        <v>1.2878798685342677E-3</v>
      </c>
      <c r="M6" t="s">
        <v>11</v>
      </c>
      <c r="N6" s="35">
        <f>($B$10/5)</f>
        <v>12.958401545999999</v>
      </c>
      <c r="O6" s="23">
        <f>($C$5*[1]Params!K8)</f>
        <v>4.0155225640266315E-2</v>
      </c>
      <c r="P6" s="23">
        <f>(O6*N6)</f>
        <v>0.52034753801680578</v>
      </c>
    </row>
    <row r="7" spans="2:16">
      <c r="B7" s="35"/>
      <c r="C7" s="23"/>
      <c r="D7" s="25"/>
      <c r="E7" s="23"/>
      <c r="N7" s="35">
        <f>($B$10/5)</f>
        <v>12.958401545999999</v>
      </c>
      <c r="O7" s="23">
        <f>($C$5*[1]Params!K9)</f>
        <v>4.9421816172635469E-2</v>
      </c>
      <c r="P7" s="23">
        <f>(O7*N7)</f>
        <v>0.6404277390976072</v>
      </c>
    </row>
    <row r="8" spans="2:16">
      <c r="N8" s="35">
        <f>($B$10/5)</f>
        <v>12.958401545999999</v>
      </c>
      <c r="O8" s="23">
        <f>($C$5*[1]Params!K10)</f>
        <v>6.7954997237373763E-2</v>
      </c>
      <c r="P8" s="23">
        <f>(O8*N8)</f>
        <v>0.88058814125920981</v>
      </c>
    </row>
    <row r="9" spans="2:16">
      <c r="F9" t="s">
        <v>9</v>
      </c>
      <c r="G9" s="23">
        <f>(D10/B10)</f>
        <v>3.0868004713395538E-2</v>
      </c>
      <c r="N9" s="35">
        <f>($B$10/5)</f>
        <v>12.958401545999999</v>
      </c>
      <c r="O9" s="23">
        <f>($C$5*[1]Params!K11)</f>
        <v>0.15444317553948583</v>
      </c>
      <c r="P9" s="23">
        <f>(O9*N9)</f>
        <v>2.0013366846800227</v>
      </c>
    </row>
    <row r="10" spans="2:16">
      <c r="B10" s="35">
        <f>(SUM(B5:B9))</f>
        <v>64.792007729999995</v>
      </c>
      <c r="D10" s="23">
        <f>(SUM(D5:D9))</f>
        <v>2</v>
      </c>
    </row>
    <row r="11" spans="2:16">
      <c r="P11" s="23">
        <f>(SUM(P6:P9))</f>
        <v>4.0427001030536456</v>
      </c>
    </row>
    <row r="22" spans="10:10">
      <c r="J22" s="26"/>
    </row>
  </sheetData>
  <conditionalFormatting sqref="C5">
    <cfRule type="cellIs" dxfId="145" priority="11" operator="lessThan">
      <formula>$J$3</formula>
    </cfRule>
    <cfRule type="cellIs" dxfId="144" priority="12" operator="greaterThan">
      <formula>$J$3</formula>
    </cfRule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9" operator="lessThan">
      <formula>$J$3</formula>
    </cfRule>
    <cfRule type="cellIs" dxfId="140" priority="10" operator="greaterThan">
      <formula>$J$3</formula>
    </cfRule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G9">
    <cfRule type="cellIs" dxfId="137" priority="7" operator="lessThan">
      <formula>$J$3</formula>
    </cfRule>
    <cfRule type="cellIs" dxfId="136" priority="8" operator="greaterThan">
      <formula>$J$3</formula>
    </cfRule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L11" sqref="L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0.76539964379234526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42.066693429864181</v>
      </c>
      <c r="K4" s="4">
        <f>(J4/D10-1)</f>
        <v>6.2558560996821777E-2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0.33172984999999999</v>
      </c>
      <c r="C6" s="28">
        <v>0</v>
      </c>
      <c r="D6" s="29">
        <f>(B6*C6)</f>
        <v>0</v>
      </c>
      <c r="E6" s="23">
        <f>(B6*J3)</f>
        <v>0.25390590902528815</v>
      </c>
      <c r="M6" t="s">
        <v>11</v>
      </c>
      <c r="N6" s="35">
        <f>($B$10/5)</f>
        <v>10.992085970000002</v>
      </c>
      <c r="O6" s="23">
        <f>($C$5*[1]Params!K8)</f>
        <v>0.98505771545924514</v>
      </c>
      <c r="P6" s="23">
        <f>(O6*N6)</f>
        <v>10.827839093739822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1.8224165518695739</v>
      </c>
      <c r="N7" s="35">
        <f>($B$10/5)</f>
        <v>10.992085970000002</v>
      </c>
      <c r="O7" s="23">
        <f>($C$5*[1]Params!K9)</f>
        <v>1.2123787267190709</v>
      </c>
      <c r="P7" s="23">
        <f>(O7*N7)</f>
        <v>13.326571192295164</v>
      </c>
    </row>
    <row r="8" spans="2:16">
      <c r="N8" s="35">
        <f>($B$10/5)</f>
        <v>10.992085970000002</v>
      </c>
      <c r="O8" s="23">
        <f>($C$5*[1]Params!K10)</f>
        <v>1.6670207492387226</v>
      </c>
      <c r="P8" s="23">
        <f>(O8*N8)</f>
        <v>18.324035389405854</v>
      </c>
    </row>
    <row r="9" spans="2:16">
      <c r="F9" t="s">
        <v>9</v>
      </c>
      <c r="G9" s="23">
        <f>(D10/B10)</f>
        <v>0.72033643310378881</v>
      </c>
      <c r="N9" s="35">
        <f>($B$10/5)</f>
        <v>10.992085970000002</v>
      </c>
      <c r="O9" s="23">
        <f>($C$5*[1]Params!K11)</f>
        <v>3.7886835209970964</v>
      </c>
      <c r="P9" s="23">
        <f>(O9*N9)</f>
        <v>41.645534975922388</v>
      </c>
    </row>
    <row r="10" spans="2:16">
      <c r="B10" s="35">
        <f>(SUM(B5:B9))</f>
        <v>54.960429850000004</v>
      </c>
      <c r="D10" s="23">
        <f>(SUM(D5:D9))</f>
        <v>39.590000000000003</v>
      </c>
    </row>
    <row r="11" spans="2:16">
      <c r="P11" s="23">
        <f>(SUM(P6:P9))</f>
        <v>84.123980651363226</v>
      </c>
    </row>
    <row r="22" spans="10:10">
      <c r="J22" s="26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N14" sqref="N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2.376483149763382</v>
      </c>
      <c r="M3" t="s">
        <v>4</v>
      </c>
      <c r="N3" s="26">
        <f>(INDEX(N5:N27,MATCH(MAX(O6,O14),O5:O27,0))/0.9)</f>
        <v>4.7777777777777777</v>
      </c>
      <c r="O3" s="24">
        <f>(MAX(O6,O14)*0.85)</f>
        <v>2.0080046913953487</v>
      </c>
      <c r="P3" s="23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(B21*J3)</f>
        <v>47.139074516511528</v>
      </c>
      <c r="K4" s="4">
        <f>(J4/D21-1)</f>
        <v>0.50995585883821826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22.365978340000002</v>
      </c>
      <c r="C6" s="23">
        <f>(D6/B6)</f>
        <v>1.766075214754053</v>
      </c>
      <c r="D6" s="23">
        <v>39.5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</f>
        <v>18.065978340000001</v>
      </c>
      <c r="S6" s="23">
        <f>(T6/R6)</f>
        <v>1.7722815447591198</v>
      </c>
      <c r="T6" s="23">
        <f>D6+B19*1.74</f>
        <v>32.018000000000001</v>
      </c>
      <c r="U6" s="23" t="str">
        <f>(E6)</f>
        <v>DCA2</v>
      </c>
    </row>
    <row r="7" spans="2:22">
      <c r="B7" s="2">
        <v>0.10024265</v>
      </c>
      <c r="C7" s="28">
        <v>0</v>
      </c>
      <c r="D7" s="29">
        <v>0</v>
      </c>
      <c r="E7" s="24">
        <f>B7*J3</f>
        <v>0.23822496861262829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R7" s="2">
        <f>(B7)</f>
        <v>0.10024265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19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15</v>
      </c>
      <c r="V8" s="24">
        <f>-T8+R8*$J$3</f>
        <v>0.45758357063556426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0.45438645675196415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86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S12" s="23"/>
      <c r="T12" s="23"/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S13" s="23"/>
      <c r="T13" s="23"/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(($B$6+$R$8)/5)</f>
        <v>4.5003587219999996</v>
      </c>
      <c r="O15" s="23">
        <f>($S$6*[1]Params!K9)</f>
        <v>2.835650471614592</v>
      </c>
      <c r="P15" s="23">
        <f>(O15*N15)</f>
        <v>12.761444332474142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(($B$6+$R$8)/5)</f>
        <v>4.5003587219999996</v>
      </c>
      <c r="O16" s="23">
        <f>($C$6*[1]Params!K10)</f>
        <v>3.8853654724589171</v>
      </c>
      <c r="P16" s="23">
        <f>(O16*N16)</f>
        <v>17.485538392138135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4.5003587219999996</v>
      </c>
      <c r="O17" s="23">
        <f>($C$6*[1]Params!K11)</f>
        <v>8.8303760737702657</v>
      </c>
      <c r="P17" s="23">
        <f>(O17*N17)</f>
        <v>39.739859982132124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80.144984086744401</v>
      </c>
      <c r="S19" s="23"/>
      <c r="T19" s="23"/>
    </row>
    <row r="20" spans="2:20">
      <c r="C20" s="23"/>
      <c r="D20" s="23"/>
      <c r="F20" t="s">
        <v>9</v>
      </c>
      <c r="G20" s="23">
        <f>(D21/B21)</f>
        <v>1.5738759089235115</v>
      </c>
      <c r="S20" s="23"/>
      <c r="T20" s="23"/>
    </row>
    <row r="21" spans="2:20">
      <c r="B21" s="1">
        <f>(SUM(B5:B20))</f>
        <v>19.83564433065936</v>
      </c>
      <c r="C21" s="23"/>
      <c r="D21" s="23">
        <f>(SUM(D5:D20))</f>
        <v>31.218842749999997</v>
      </c>
      <c r="S21" s="23"/>
      <c r="T21" s="23"/>
    </row>
    <row r="22" spans="2:20">
      <c r="S22" s="23"/>
      <c r="T22" s="23"/>
    </row>
    <row r="23" spans="2:20">
      <c r="S23" s="23"/>
      <c r="T23" s="23"/>
    </row>
    <row r="24" spans="2:20">
      <c r="R24" s="1">
        <f>(SUM(R5:R23))</f>
        <v>19.835644330659363</v>
      </c>
      <c r="S24" s="23"/>
      <c r="T24" s="23">
        <f>(SUM(T5:T23))</f>
        <v>31.218842749999997</v>
      </c>
    </row>
  </sheetData>
  <conditionalFormatting sqref="C5:C6 C12:C14 C16:C17 O7:O9 O15:O17 S5:S6">
    <cfRule type="cellIs" dxfId="127" priority="19" operator="lessThan">
      <formula>$J$3</formula>
    </cfRule>
    <cfRule type="cellIs" dxfId="126" priority="20" operator="greaterThan">
      <formula>$J$3</formula>
    </cfRule>
  </conditionalFormatting>
  <conditionalFormatting sqref="O3">
    <cfRule type="cellIs" dxfId="125" priority="1" operator="greaterThan">
      <formula>$J$3</formula>
    </cfRule>
    <cfRule type="cellIs" dxfId="124" priority="2" operator="less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7" sqref="N7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57" width="9.140625" style="14" customWidth="1"/>
    <col min="58" max="16384" width="9.140625" style="14"/>
  </cols>
  <sheetData>
    <row r="3" spans="2:21">
      <c r="I3" t="s">
        <v>3</v>
      </c>
      <c r="J3" s="45">
        <v>0.33502420971372299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3.1774627651069438</v>
      </c>
      <c r="K4" s="4">
        <f>(J4/D14-1)</f>
        <v>0.44430125686679256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7.4623369999999994E-2</v>
      </c>
      <c r="C6" s="28">
        <v>0</v>
      </c>
      <c r="D6" s="28">
        <f>(B6*C6)</f>
        <v>0</v>
      </c>
      <c r="E6" s="23">
        <f>(B6*J3)</f>
        <v>2.5000635560424742E-2</v>
      </c>
      <c r="M6" t="s">
        <v>11</v>
      </c>
      <c r="N6" s="35">
        <f>($B$14/5)</f>
        <v>1.8968556140000001</v>
      </c>
      <c r="O6" s="23">
        <f>($C$5*[1]Params!K8)</f>
        <v>0.30394314044276249</v>
      </c>
      <c r="P6" s="23">
        <f>(O6*N6)</f>
        <v>0.57653625228564453</v>
      </c>
      <c r="Q6" s="24">
        <f>N6*$J$3</f>
        <v>0.63549255302138885</v>
      </c>
      <c r="R6" s="47">
        <f>(B6)</f>
        <v>7.4623369999999994E-2</v>
      </c>
      <c r="S6" s="28">
        <v>0</v>
      </c>
      <c r="T6" s="28">
        <f>(D6)</f>
        <v>0</v>
      </c>
      <c r="U6" s="23">
        <f>(E6)</f>
        <v>2.5000635560424742E-2</v>
      </c>
    </row>
    <row r="7" spans="2:21">
      <c r="B7" s="35"/>
      <c r="C7" s="23"/>
      <c r="D7" s="23"/>
      <c r="N7" s="35">
        <f>($B$14/5)</f>
        <v>1.8968556140000001</v>
      </c>
      <c r="O7" s="23">
        <f>($C$5*[1]Params!K9)</f>
        <v>0.3740838651603231</v>
      </c>
      <c r="P7" s="23">
        <f>(O7*N7)</f>
        <v>0.70958307973617796</v>
      </c>
      <c r="Q7" s="24">
        <f>N7*$J$3+Q6</f>
        <v>1.2709851060427777</v>
      </c>
      <c r="R7" s="35"/>
      <c r="S7" s="23"/>
      <c r="T7" s="23"/>
      <c r="U7" s="24"/>
    </row>
    <row r="8" spans="2:21">
      <c r="B8" s="35"/>
      <c r="C8" s="23"/>
      <c r="D8" s="23"/>
      <c r="N8" s="35">
        <f>($B$14/5)</f>
        <v>1.8968556140000001</v>
      </c>
      <c r="O8" s="23">
        <f>($C$5*[1]Params!K10)</f>
        <v>0.51436531459544421</v>
      </c>
      <c r="P8" s="23">
        <f>(O8*N8)</f>
        <v>0.97567673463724458</v>
      </c>
      <c r="Q8" s="24">
        <f>N8*$J$3+Q7</f>
        <v>1.9064776590641666</v>
      </c>
      <c r="R8" s="35"/>
      <c r="S8" s="23"/>
      <c r="T8" s="23"/>
    </row>
    <row r="9" spans="2:21">
      <c r="B9" s="35"/>
      <c r="C9" s="23"/>
      <c r="D9" s="23"/>
      <c r="N9" s="35">
        <f>($B$14/5)</f>
        <v>1.8968556140000001</v>
      </c>
      <c r="O9" s="23">
        <f>($C$5*[1]Params!K11)</f>
        <v>1.1690120786260096</v>
      </c>
      <c r="P9" s="23">
        <f>(O9*N9)</f>
        <v>2.217447124175556</v>
      </c>
      <c r="Q9" s="24">
        <f>N9*$J$3+Q8</f>
        <v>2.5419702120855554</v>
      </c>
    </row>
    <row r="10" spans="2:21">
      <c r="B10" s="35"/>
      <c r="C10" s="23"/>
      <c r="D10" s="23"/>
    </row>
    <row r="12" spans="2:21">
      <c r="P12" s="23">
        <f>(SUM(P6:P9))</f>
        <v>4.4792431908346231</v>
      </c>
    </row>
    <row r="13" spans="2:21">
      <c r="F13" t="s">
        <v>9</v>
      </c>
      <c r="G13" s="23">
        <f>(D14/B14)</f>
        <v>0.23196283193750772</v>
      </c>
    </row>
    <row r="14" spans="2:21">
      <c r="B14" s="35">
        <f>(SUM(B5:B13))</f>
        <v>9.4842780700000002</v>
      </c>
      <c r="D14" s="23">
        <f>(SUM(D5:D13))</f>
        <v>2.2000000000000002</v>
      </c>
    </row>
    <row r="17" spans="11:20">
      <c r="N17" s="35"/>
      <c r="R17" s="35">
        <f>(SUM(R5:R16))</f>
        <v>9.4842780700000002</v>
      </c>
      <c r="T17" s="23">
        <f>(SUM(T5:T16))</f>
        <v>2.2000000000000002</v>
      </c>
    </row>
    <row r="20" spans="11:20">
      <c r="K20" s="24"/>
    </row>
  </sheetData>
  <conditionalFormatting sqref="C5">
    <cfRule type="cellIs" dxfId="123" priority="11" operator="lessThan">
      <formula>$J$3</formula>
    </cfRule>
    <cfRule type="cellIs" dxfId="122" priority="12" operator="greaterThan">
      <formula>$J$3</formula>
    </cfRule>
  </conditionalFormatting>
  <conditionalFormatting sqref="O6:O9">
    <cfRule type="cellIs" dxfId="121" priority="7" operator="lessThan">
      <formula>$J$3</formula>
    </cfRule>
    <cfRule type="cellIs" dxfId="120" priority="8" operator="greaterThan">
      <formula>$J$3</formula>
    </cfRule>
  </conditionalFormatting>
  <conditionalFormatting sqref="S5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2">
        <v>1.047669970993954E-5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4.6075433652204323</v>
      </c>
      <c r="K4" s="4">
        <f>(J4/D13-1)</f>
        <v>-8.3987402540669609E-2</v>
      </c>
    </row>
    <row r="5" spans="2:16">
      <c r="B5" s="22">
        <v>439531.68</v>
      </c>
      <c r="C5" s="52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257.89999999999998</v>
      </c>
      <c r="C6" s="28">
        <v>0</v>
      </c>
      <c r="D6" s="29">
        <f>(B6*C6)</f>
        <v>0</v>
      </c>
      <c r="E6" s="23">
        <f>(B6*J3)</f>
        <v>2.7019408551934069E-3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1.1437287804772455E-5</v>
      </c>
    </row>
    <row r="13" spans="2:16">
      <c r="B13">
        <f>(SUM(B5:B12))</f>
        <v>439789.58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113" priority="5" operator="lessThan">
      <formula>$J$3</formula>
    </cfRule>
    <cfRule type="cellIs" dxfId="112" priority="6" operator="greaterThan">
      <formula>$J$3</formula>
    </cfRule>
  </conditionalFormatting>
  <conditionalFormatting sqref="J3">
    <cfRule type="cellIs" dxfId="111" priority="3" operator="lessThan">
      <formula>$J$3</formula>
    </cfRule>
    <cfRule type="cellIs" dxfId="110" priority="4" operator="greaterThan">
      <formula>$J$3</formula>
    </cfRule>
  </conditionalFormatting>
  <conditionalFormatting sqref="O6:O9">
    <cfRule type="cellIs" dxfId="109" priority="1" operator="lessThan">
      <formula>$J$3</formula>
    </cfRule>
    <cfRule type="cellIs" dxfId="108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4.7823450654994283E-3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2.8665376322603571</v>
      </c>
      <c r="K4" s="4">
        <f>(J4/D10-1)</f>
        <v>-4.4487455913214347E-2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41" priority="5" operator="lessThan">
      <formula>$J$3</formula>
    </cfRule>
    <cfRule type="cellIs" dxfId="40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75.271733347380206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286.17418496922028</v>
      </c>
      <c r="K4" s="4">
        <f>(J4/D43-1)</f>
        <v>5.5046004828358717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87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0.15807064002949842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88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2.4472813499999999</v>
      </c>
      <c r="S13" s="23">
        <f>(T13/R13)</f>
        <v>22.327006666397384</v>
      </c>
      <c r="T13" s="23">
        <f>(D17+11.97*B21+B37*19.42078-N16*19.42078)</f>
        <v>54.640467015999988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0.46375012768574664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6.2379839999999999E-2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3.9726764882614118E-2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0.76317103000000019</v>
      </c>
      <c r="S15" s="23">
        <f>(T15/R15)</f>
        <v>23.209605322675831</v>
      </c>
      <c r="T15" s="23">
        <f>(D19+12.6*B22+20.2393*B39-20.2393*N25)</f>
        <v>17.7128984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6.04098135</v>
      </c>
      <c r="C17" s="23">
        <f>(D17/B17)</f>
        <v>20.251676492926105</v>
      </c>
      <c r="D17" s="23">
        <v>122.34</v>
      </c>
      <c r="E17" t="s">
        <v>10</v>
      </c>
      <c r="N17" s="26">
        <f>(($R$13+N14+$R$21)/5)</f>
        <v>0.55465079399999995</v>
      </c>
      <c r="O17" s="23">
        <f>($S$13*[1]Params!K11)</f>
        <v>111.63503333198692</v>
      </c>
      <c r="P17" s="23">
        <f>(O17*N17)</f>
        <v>61.918459875803002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6.2379839999999999E-2</v>
      </c>
      <c r="C18" s="28">
        <v>0</v>
      </c>
      <c r="D18" s="29">
        <v>0</v>
      </c>
      <c r="E18" s="24">
        <f>B18*J3</f>
        <v>4.6954386827322416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1.8666110300000001</v>
      </c>
      <c r="C19" s="23">
        <f t="shared" ref="C19:C32" si="1">(D19/B19)</f>
        <v>21.161345007159845</v>
      </c>
      <c r="D19" s="23">
        <v>39.5</v>
      </c>
      <c r="E19" t="s">
        <v>15</v>
      </c>
      <c r="O19" s="23"/>
      <c r="P19" s="23">
        <f>(SUM(P14:P17))</f>
        <v>189.19318431603338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89</v>
      </c>
      <c r="V19" s="24">
        <f>-T19+R19*$J$3</f>
        <v>0.55044784253501478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3.3832528451490083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3.8478461539077955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37.135368516281332</v>
      </c>
      <c r="P24" s="23">
        <f>(O24*N24)</f>
        <v>24.137989535582868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0.16819909200000005</v>
      </c>
      <c r="O26" s="23">
        <f>($S$15*[1]Params!K11)</f>
        <v>116.04802661337915</v>
      </c>
      <c r="P26" s="23">
        <f>(O26*N26)</f>
        <v>19.519172704762212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62.72120460011471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3.8018811610000003</v>
      </c>
      <c r="C43" s="23"/>
      <c r="D43" s="23">
        <f>(SUM(D5:D42))</f>
        <v>43.995659029999985</v>
      </c>
      <c r="E43" s="23"/>
      <c r="F43" t="s">
        <v>9</v>
      </c>
      <c r="G43" s="23">
        <f>(D43/B43)</f>
        <v>11.57207633981592</v>
      </c>
      <c r="R43" s="26">
        <f>(SUM(R5:R36))</f>
        <v>3.8018811609999998</v>
      </c>
      <c r="S43" s="23"/>
      <c r="T43" s="23">
        <f>(SUM(T5:T36))</f>
        <v>43.993659160230365</v>
      </c>
      <c r="V43" t="s">
        <v>9</v>
      </c>
      <c r="W43" s="23">
        <f>(T43/R43)</f>
        <v>11.571550318700339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107" priority="95" operator="lessThan">
      <formula>$J$3</formula>
    </cfRule>
    <cfRule type="cellIs" dxfId="106" priority="96" operator="greaterThan">
      <formula>$J$3</formula>
    </cfRule>
  </conditionalFormatting>
  <conditionalFormatting sqref="C16:C17">
    <cfRule type="cellIs" dxfId="105" priority="79" operator="lessThan">
      <formula>$J$3</formula>
    </cfRule>
    <cfRule type="cellIs" dxfId="104" priority="80" operator="greaterThan">
      <formula>$J$3</formula>
    </cfRule>
    <cfRule type="cellIs" dxfId="103" priority="81" operator="lessThan">
      <formula>$J$3</formula>
    </cfRule>
    <cfRule type="cellIs" dxfId="102" priority="82" operator="greaterThan">
      <formula>$J$3</formula>
    </cfRule>
    <cfRule type="cellIs" dxfId="101" priority="89" operator="lessThan">
      <formula>$J$3</formula>
    </cfRule>
    <cfRule type="cellIs" dxfId="100" priority="90" operator="greaterThan">
      <formula>$J$3</formula>
    </cfRule>
  </conditionalFormatting>
  <conditionalFormatting sqref="C19:C20 G43 W43">
    <cfRule type="cellIs" dxfId="99" priority="73" operator="lessThan">
      <formula>$J$3</formula>
    </cfRule>
    <cfRule type="cellIs" dxfId="98" priority="74" operator="greaterThan">
      <formula>$J$3</formula>
    </cfRule>
    <cfRule type="cellIs" dxfId="97" priority="75" operator="lessThan">
      <formula>$J$3</formula>
    </cfRule>
    <cfRule type="cellIs" dxfId="96" priority="76" operator="greaterThan">
      <formula>$J$3</formula>
    </cfRule>
    <cfRule type="cellIs" dxfId="95" priority="77" operator="lessThan">
      <formula>$J$3</formula>
    </cfRule>
    <cfRule type="cellIs" dxfId="94" priority="78" operator="greaterThan">
      <formula>$J$3</formula>
    </cfRule>
    <cfRule type="cellIs" dxfId="93" priority="87" operator="lessThan">
      <formula>$J$3</formula>
    </cfRule>
    <cfRule type="cellIs" dxfId="92" priority="88" operator="greaterThan">
      <formula>$J$3</formula>
    </cfRule>
  </conditionalFormatting>
  <conditionalFormatting sqref="C27:C28 C30:C31 C34:C35">
    <cfRule type="cellIs" dxfId="91" priority="65" operator="lessThan">
      <formula>$J$3</formula>
    </cfRule>
    <cfRule type="cellIs" dxfId="90" priority="66" operator="greaterThan">
      <formula>$J$3</formula>
    </cfRule>
    <cfRule type="cellIs" dxfId="89" priority="67" operator="lessThan">
      <formula>$J$3</formula>
    </cfRule>
    <cfRule type="cellIs" dxfId="88" priority="68" operator="greaterThan">
      <formula>$J$3</formula>
    </cfRule>
    <cfRule type="cellIs" dxfId="87" priority="69" operator="lessThan">
      <formula>$J$3</formula>
    </cfRule>
    <cfRule type="cellIs" dxfId="86" priority="70" operator="greaterThan">
      <formula>$J$3</formula>
    </cfRule>
    <cfRule type="cellIs" dxfId="85" priority="71" operator="lessThan">
      <formula>$J$3</formula>
    </cfRule>
    <cfRule type="cellIs" dxfId="84" priority="72" operator="greaterThan">
      <formula>$J$3</formula>
    </cfRule>
    <cfRule type="cellIs" dxfId="83" priority="85" operator="lessThan">
      <formula>$J$3</formula>
    </cfRule>
    <cfRule type="cellIs" dxfId="82" priority="86" operator="greaterThan">
      <formula>$J$3</formula>
    </cfRule>
  </conditionalFormatting>
  <conditionalFormatting sqref="O17 O26 S12:S13 S15:S16">
    <cfRule type="cellIs" dxfId="81" priority="59" operator="lessThan">
      <formula>$J$3</formula>
    </cfRule>
    <cfRule type="cellIs" dxfId="80" priority="60" operator="greaterThan">
      <formula>$J$3</formula>
    </cfRule>
    <cfRule type="cellIs" dxfId="79" priority="61" operator="lessThan">
      <formula>$J$3</formula>
    </cfRule>
    <cfRule type="cellIs" dxfId="78" priority="62" operator="greaterThan">
      <formula>$J$3</formula>
    </cfRule>
  </conditionalFormatting>
  <conditionalFormatting sqref="O3">
    <cfRule type="cellIs" dxfId="77" priority="41" operator="greaterThan">
      <formula>$J$3</formula>
    </cfRule>
    <cfRule type="cellIs" dxfId="76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0.1012833466101732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0.94665304153073093</v>
      </c>
      <c r="K4" s="4">
        <f>(J4/D13-1)</f>
        <v>0.89330608306146186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0.24532301000000001</v>
      </c>
      <c r="C6" s="28">
        <v>0</v>
      </c>
      <c r="D6" s="29">
        <f>(B6*C6)</f>
        <v>0</v>
      </c>
      <c r="E6" s="23">
        <f>(B6*J3)</f>
        <v>2.4847135453280988E-2</v>
      </c>
      <c r="G6" s="23"/>
      <c r="M6" t="s">
        <v>11</v>
      </c>
      <c r="N6" s="19">
        <f>($B$13/5)</f>
        <v>1.8693162759999999</v>
      </c>
      <c r="O6" s="45">
        <f>($C$5*[1]Params!K8)</f>
        <v>7.1418695478700056E-2</v>
      </c>
      <c r="P6" s="23">
        <f>(O6*N6)</f>
        <v>0.13350412986902163</v>
      </c>
      <c r="Q6" s="23">
        <f>N6*$J$3</f>
        <v>0.18933060830614618</v>
      </c>
    </row>
    <row r="7" spans="2:17">
      <c r="C7" s="23"/>
      <c r="D7" s="23"/>
      <c r="E7" s="23"/>
      <c r="G7" s="23"/>
      <c r="N7" s="19">
        <f>($B$13/5)</f>
        <v>1.8693162759999999</v>
      </c>
      <c r="O7" s="45">
        <f>($C$5*[1]Params!K9)</f>
        <v>8.7899932896861599E-2</v>
      </c>
      <c r="P7" s="23">
        <f>(O7*N7)</f>
        <v>0.1643127752234112</v>
      </c>
      <c r="Q7" s="23">
        <f>Q6*2</f>
        <v>0.37866121661229235</v>
      </c>
    </row>
    <row r="8" spans="2:17">
      <c r="C8" s="23"/>
      <c r="D8" s="23"/>
      <c r="E8" s="23"/>
      <c r="G8" s="23"/>
      <c r="N8" s="19">
        <f>($B$13/5)</f>
        <v>1.8693162759999999</v>
      </c>
      <c r="O8" s="45">
        <f>($C$5*[1]Params!K10)</f>
        <v>0.12086240773318471</v>
      </c>
      <c r="P8" s="23">
        <f>(O8*N8)</f>
        <v>0.22593006593219045</v>
      </c>
      <c r="Q8" s="23">
        <f>Q6*3</f>
        <v>0.56799182491843858</v>
      </c>
    </row>
    <row r="9" spans="2:17">
      <c r="C9" s="23"/>
      <c r="D9" s="23"/>
      <c r="E9" s="23"/>
      <c r="G9" s="23"/>
      <c r="N9" s="19">
        <f>($B$13/5)</f>
        <v>1.8693162759999999</v>
      </c>
      <c r="O9" s="45">
        <f>($C$5*[1]Params!K11)</f>
        <v>0.27468729030269251</v>
      </c>
      <c r="P9" s="23">
        <f>(O9*N9)</f>
        <v>0.51347742257316009</v>
      </c>
      <c r="Q9" s="23">
        <f>Q6*4</f>
        <v>0.7573224332245847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1.0372243935977834</v>
      </c>
    </row>
    <row r="12" spans="2:17">
      <c r="C12" s="23"/>
      <c r="D12" s="23"/>
      <c r="E12" s="23"/>
      <c r="F12" t="s">
        <v>9</v>
      </c>
      <c r="G12" s="23">
        <f>(D13/B13)</f>
        <v>5.3495495269522811E-2</v>
      </c>
    </row>
    <row r="13" spans="2:17">
      <c r="B13">
        <f>(SUM(B5:B12))</f>
        <v>9.3465813799999999</v>
      </c>
      <c r="C13" s="23"/>
      <c r="D13" s="23">
        <f>(SUM(D5:D12))</f>
        <v>0.5</v>
      </c>
      <c r="E13" s="23"/>
      <c r="G13" s="23"/>
    </row>
  </sheetData>
  <conditionalFormatting sqref="C5">
    <cfRule type="cellIs" dxfId="75" priority="7" operator="lessThan">
      <formula>$J$3</formula>
    </cfRule>
    <cfRule type="cellIs" dxfId="74" priority="8" operator="greaterThan">
      <formula>$J$3</formula>
    </cfRule>
  </conditionalFormatting>
  <conditionalFormatting sqref="O6:O9">
    <cfRule type="cellIs" dxfId="73" priority="5" operator="lessThan">
      <formula>$J$3</formula>
    </cfRule>
    <cfRule type="cellIs" dxfId="72" priority="6" operator="greaterThan">
      <formula>$J$3</formula>
    </cfRule>
    <cfRule type="cellIs" dxfId="71" priority="1" operator="lessThan">
      <formula>$J$3</formula>
    </cfRule>
    <cfRule type="cellIs" dxfId="7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5.9971964955646282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12.299954590503683</v>
      </c>
      <c r="K4" s="4">
        <f>(J4/D10-1)</f>
        <v>9.3329296933660766E-2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2.57837E-3</v>
      </c>
      <c r="C6" s="28">
        <v>0</v>
      </c>
      <c r="D6" s="28">
        <f>(B6*C6)</f>
        <v>0</v>
      </c>
      <c r="E6" s="23">
        <f>(B6*J3)</f>
        <v>1.5462991528268971E-2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5.4852609478080385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2.0509507400000002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69" priority="5" operator="lessThan">
      <formula>$J$3</formula>
    </cfRule>
    <cfRule type="cellIs" dxfId="68" priority="6" operator="greaterThan">
      <formula>$J$3</formula>
    </cfRule>
  </conditionalFormatting>
  <conditionalFormatting sqref="O6:O9">
    <cfRule type="cellIs" dxfId="67" priority="3" operator="lessThan">
      <formula>$J$3</formula>
    </cfRule>
    <cfRule type="cellIs" dxfId="66" priority="4" operator="greaterThan">
      <formula>$J$3</formula>
    </cfRule>
  </conditionalFormatting>
  <conditionalFormatting sqref="G9">
    <cfRule type="cellIs" dxfId="65" priority="1" operator="lessThan">
      <formula>$J$3</formula>
    </cfRule>
    <cfRule type="cellIs" dxfId="64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U28" sqref="A1:XFD104857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0.61116438441225529</v>
      </c>
      <c r="M3" t="s">
        <v>4</v>
      </c>
      <c r="N3" s="19">
        <f>(INDEX(N5:N14,MATCH(MAX(O6:O7),O5:O14,0))/0.9)</f>
        <v>11.467698577777782</v>
      </c>
      <c r="O3" s="53">
        <f>(MAX(O6:O7)*0.85)</f>
        <v>0.48540838895304461</v>
      </c>
      <c r="P3" s="23">
        <f>(O3*N3)</f>
        <v>5.566517091638234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18.923352143164703</v>
      </c>
      <c r="K4" s="4">
        <f>(J4/D14-1)</f>
        <v>7.0931888194750634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54.370060559999999</v>
      </c>
      <c r="S5" s="23">
        <f>(T5/R5)</f>
        <v>0.35129627966704624</v>
      </c>
      <c r="T5" s="23">
        <f>(SUM(D5:D7))</f>
        <v>19.100000000000001</v>
      </c>
    </row>
    <row r="6" spans="2:21">
      <c r="B6" s="20">
        <v>0.79504909000000001</v>
      </c>
      <c r="C6" s="28">
        <v>0</v>
      </c>
      <c r="D6" s="28">
        <f>(B6*C6)</f>
        <v>0</v>
      </c>
      <c r="E6" s="23">
        <f>(B6*J3)</f>
        <v>0.48590568766737374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10.320928720000003</v>
      </c>
      <c r="O7" s="23">
        <f>($C$5*[1]Params!K9)</f>
        <v>0.57106869288593487</v>
      </c>
      <c r="P7" s="23">
        <f>(O7*N7)</f>
        <v>5.8939592734993065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10.320928720000003</v>
      </c>
      <c r="O8" s="23">
        <f>($C$5*[1]Params!K10)</f>
        <v>0.78521945271816052</v>
      </c>
      <c r="P8" s="23">
        <f>(O8*N8)</f>
        <v>8.104194001061547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10.320928720000003</v>
      </c>
      <c r="O9" s="23">
        <f>($C$5*[1]Params!K11)</f>
        <v>1.7845896652685465</v>
      </c>
      <c r="P9" s="23">
        <f>(O9*N9)</f>
        <v>18.418622729685332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37.469473364246184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7.551589343147147E-2</v>
      </c>
    </row>
    <row r="14" spans="2:21">
      <c r="B14" s="19">
        <f>(SUM(B5:B13))</f>
        <v>30.962786160000007</v>
      </c>
      <c r="D14" s="23">
        <f>(SUM(D5:D13))</f>
        <v>2.3381824600000005</v>
      </c>
    </row>
    <row r="18" spans="12:20">
      <c r="R18">
        <f>(SUM(R5:R17))</f>
        <v>30.962786160000007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63" priority="15" operator="lessThan">
      <formula>$J$3</formula>
    </cfRule>
    <cfRule type="cellIs" dxfId="62" priority="16" operator="greaterThan">
      <formula>$J$3</formula>
    </cfRule>
  </conditionalFormatting>
  <conditionalFormatting sqref="O3">
    <cfRule type="cellIs" dxfId="61" priority="9" operator="greaterThan">
      <formula>$J$3</formula>
    </cfRule>
    <cfRule type="cellIs" dxfId="60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tabSelected="1" workbookViewId="0">
      <selection activeCell="O3" sqref="O3"/>
    </sheetView>
  </sheetViews>
  <sheetFormatPr baseColWidth="10" defaultColWidth="9.140625" defaultRowHeight="15"/>
  <cols>
    <col min="1" max="3" width="9.140625" style="14"/>
    <col min="4" max="4" width="10.28515625" style="14" bestFit="1" customWidth="1"/>
    <col min="5" max="8" width="9.140625" style="14"/>
    <col min="9" max="9" width="12.42578125" style="14" bestFit="1" customWidth="1"/>
    <col min="10" max="13" width="9.140625" style="14"/>
    <col min="14" max="14" width="10.140625" style="14" bestFit="1" customWidth="1"/>
    <col min="15" max="15" width="11.28515625" style="14" bestFit="1" customWidth="1"/>
    <col min="16" max="19" width="9.140625" style="14"/>
    <col min="20" max="20" width="10.28515625" style="14" bestFit="1" customWidth="1"/>
    <col min="21" max="16384" width="9.140625" style="14"/>
  </cols>
  <sheetData>
    <row r="3" spans="2:21">
      <c r="I3" s="14" t="s">
        <v>3</v>
      </c>
      <c r="J3" s="45">
        <v>0.61116438441225529</v>
      </c>
      <c r="N3" s="19"/>
      <c r="O3" s="53"/>
      <c r="P3" s="23"/>
    </row>
    <row r="4" spans="2:21">
      <c r="B4" s="14" t="s">
        <v>5</v>
      </c>
      <c r="C4" s="14" t="s">
        <v>6</v>
      </c>
      <c r="D4" s="14" t="s">
        <v>7</v>
      </c>
      <c r="I4" s="14" t="s">
        <v>8</v>
      </c>
      <c r="J4" s="23">
        <f>(B14*J3)</f>
        <v>0</v>
      </c>
      <c r="K4" s="4" t="e">
        <f>(J4/D14-1)</f>
        <v>#DIV/0!</v>
      </c>
      <c r="R4" s="14" t="s">
        <v>5</v>
      </c>
      <c r="S4" s="14" t="s">
        <v>6</v>
      </c>
      <c r="T4" s="14" t="s">
        <v>7</v>
      </c>
    </row>
    <row r="5" spans="2:21">
      <c r="B5" s="19">
        <v>0</v>
      </c>
      <c r="C5" s="23" t="e">
        <f>(D5/B5)</f>
        <v>#DIV/0!</v>
      </c>
      <c r="D5" s="23">
        <v>0</v>
      </c>
      <c r="E5" s="14" t="s">
        <v>99</v>
      </c>
      <c r="N5" s="14" t="s">
        <v>32</v>
      </c>
      <c r="O5" s="14" t="s">
        <v>1</v>
      </c>
      <c r="P5" s="14" t="s">
        <v>2</v>
      </c>
      <c r="R5" s="19">
        <f>B5</f>
        <v>0</v>
      </c>
      <c r="S5" s="23" t="e">
        <f>(T5/R5)</f>
        <v>#DIV/0!</v>
      </c>
      <c r="T5" s="23">
        <f>D5</f>
        <v>0</v>
      </c>
    </row>
    <row r="6" spans="2:21">
      <c r="B6" s="20">
        <v>0</v>
      </c>
      <c r="C6" s="28">
        <v>0</v>
      </c>
      <c r="D6" s="28">
        <f>(B6*C6)</f>
        <v>0</v>
      </c>
      <c r="E6" s="23">
        <f>(B6*J3)</f>
        <v>0</v>
      </c>
      <c r="M6" s="14" t="s">
        <v>11</v>
      </c>
      <c r="N6" s="19">
        <f t="shared" ref="N6:N8" si="0">(B$14/5)</f>
        <v>0</v>
      </c>
      <c r="O6" s="23" t="e">
        <f>($C$5*[1]Params!K8)</f>
        <v>#DIV/0!</v>
      </c>
      <c r="P6" s="23" t="e">
        <f>(O6*N6)</f>
        <v>#DIV/0!</v>
      </c>
      <c r="R6" s="19">
        <f>(B6)</f>
        <v>0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 t="shared" si="0"/>
        <v>0</v>
      </c>
      <c r="O7" s="23" t="e">
        <f>($C$5*[1]Params!K9)</f>
        <v>#DIV/0!</v>
      </c>
      <c r="P7" s="23" t="e">
        <f>(O7*N7)</f>
        <v>#DIV/0!</v>
      </c>
      <c r="R7" s="19"/>
      <c r="S7" s="23"/>
      <c r="T7" s="24"/>
      <c r="U7" s="24"/>
    </row>
    <row r="8" spans="2:21">
      <c r="C8" s="23"/>
      <c r="D8" s="23"/>
      <c r="N8" s="19">
        <f t="shared" si="0"/>
        <v>0</v>
      </c>
      <c r="O8" s="23" t="e">
        <f>($C$5*[1]Params!K10)</f>
        <v>#DIV/0!</v>
      </c>
      <c r="P8" s="23" t="e">
        <f>(O8*N8)</f>
        <v>#DIV/0!</v>
      </c>
      <c r="R8" s="19"/>
      <c r="S8" s="24"/>
      <c r="T8" s="24"/>
    </row>
    <row r="9" spans="2:21">
      <c r="C9" s="24"/>
      <c r="D9" s="23"/>
      <c r="N9" s="19">
        <f>(B$14/5)</f>
        <v>0</v>
      </c>
      <c r="O9" s="23" t="e">
        <f>($C$5*[1]Params!K11)</f>
        <v>#DIV/0!</v>
      </c>
      <c r="P9" s="23" t="e">
        <f>(O9*N9)</f>
        <v>#DIV/0!</v>
      </c>
    </row>
    <row r="10" spans="2:21">
      <c r="B10" s="19"/>
      <c r="C10" s="23"/>
      <c r="D10" s="23"/>
    </row>
    <row r="11" spans="2:21">
      <c r="B11" s="19"/>
      <c r="C11" s="23"/>
      <c r="D11" s="23"/>
      <c r="P11" s="23" t="e">
        <f>(SUM(P6:P9))</f>
        <v>#DIV/0!</v>
      </c>
    </row>
    <row r="12" spans="2:21">
      <c r="B12" s="19"/>
      <c r="C12" s="24"/>
      <c r="D12" s="23"/>
    </row>
    <row r="13" spans="2:21">
      <c r="F13" s="14" t="s">
        <v>9</v>
      </c>
      <c r="G13" s="23" t="e">
        <f>(D14/B14)</f>
        <v>#DIV/0!</v>
      </c>
    </row>
    <row r="14" spans="2:21">
      <c r="B14" s="19">
        <f>(SUM(B5:B13))</f>
        <v>0</v>
      </c>
      <c r="D14" s="23">
        <f>(SUM(D5:D13))</f>
        <v>0</v>
      </c>
    </row>
    <row r="18" spans="12:20">
      <c r="R18" s="14">
        <f>(SUM(R5:R17))</f>
        <v>0</v>
      </c>
      <c r="T18" s="23">
        <f>(SUM(T5:T17))</f>
        <v>0</v>
      </c>
    </row>
    <row r="22" spans="12:20">
      <c r="L22" s="24"/>
    </row>
    <row r="25" spans="12:20">
      <c r="N25" s="19"/>
    </row>
  </sheetData>
  <conditionalFormatting sqref="C5 O8:O9 S5 G13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C5 O8:O9 S5 G13">
    <cfRule type="cellIs" dxfId="15" priority="1" operator="lessThan">
      <formula>$J$3</formula>
    </cfRule>
    <cfRule type="cellIs" dxfId="14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Y32" sqref="Y32"/>
    </sheetView>
  </sheetViews>
  <sheetFormatPr baseColWidth="10" defaultColWidth="9.140625" defaultRowHeight="15"/>
  <cols>
    <col min="1" max="3" width="9.140625" style="14"/>
    <col min="4" max="4" width="10.28515625" style="14" bestFit="1" customWidth="1"/>
    <col min="5" max="8" width="9.140625" style="14"/>
    <col min="9" max="9" width="12.42578125" style="14" bestFit="1" customWidth="1"/>
    <col min="10" max="13" width="9.140625" style="14"/>
    <col min="14" max="14" width="10.140625" style="14" bestFit="1" customWidth="1"/>
    <col min="15" max="15" width="11.28515625" style="14" bestFit="1" customWidth="1"/>
    <col min="16" max="19" width="9.140625" style="14"/>
    <col min="20" max="20" width="10.28515625" style="14" bestFit="1" customWidth="1"/>
    <col min="21" max="16384" width="9.140625" style="14"/>
  </cols>
  <sheetData>
    <row r="3" spans="2:21">
      <c r="I3" s="14" t="s">
        <v>3</v>
      </c>
      <c r="J3" s="45">
        <v>0.61116438441225529</v>
      </c>
      <c r="N3" s="19"/>
      <c r="O3" s="53"/>
      <c r="P3" s="23"/>
    </row>
    <row r="4" spans="2:21">
      <c r="B4" s="14" t="s">
        <v>5</v>
      </c>
      <c r="C4" s="14" t="s">
        <v>6</v>
      </c>
      <c r="D4" s="14" t="s">
        <v>7</v>
      </c>
      <c r="I4" s="14" t="s">
        <v>8</v>
      </c>
      <c r="J4" s="23">
        <f>(B14*J3)</f>
        <v>0</v>
      </c>
      <c r="K4" s="4" t="e">
        <f>(J4/D14-1)</f>
        <v>#DIV/0!</v>
      </c>
      <c r="R4" s="14" t="s">
        <v>5</v>
      </c>
      <c r="S4" s="14" t="s">
        <v>6</v>
      </c>
      <c r="T4" s="14" t="s">
        <v>7</v>
      </c>
    </row>
    <row r="5" spans="2:21">
      <c r="B5" s="19">
        <v>0</v>
      </c>
      <c r="C5" s="23" t="e">
        <f>(D5/B5)</f>
        <v>#DIV/0!</v>
      </c>
      <c r="D5" s="23">
        <v>0</v>
      </c>
      <c r="E5" s="14" t="s">
        <v>99</v>
      </c>
      <c r="N5" s="14" t="s">
        <v>32</v>
      </c>
      <c r="O5" s="14" t="s">
        <v>1</v>
      </c>
      <c r="P5" s="14" t="s">
        <v>2</v>
      </c>
      <c r="R5" s="19">
        <f>B5</f>
        <v>0</v>
      </c>
      <c r="S5" s="23" t="e">
        <f>(T5/R5)</f>
        <v>#DIV/0!</v>
      </c>
      <c r="T5" s="23">
        <f>D5</f>
        <v>0</v>
      </c>
    </row>
    <row r="6" spans="2:21">
      <c r="B6" s="20">
        <v>0</v>
      </c>
      <c r="C6" s="28">
        <v>0</v>
      </c>
      <c r="D6" s="28">
        <f>(B6*C6)</f>
        <v>0</v>
      </c>
      <c r="E6" s="23">
        <f>(B6*J3)</f>
        <v>0</v>
      </c>
      <c r="M6" s="14" t="s">
        <v>11</v>
      </c>
      <c r="N6" s="19">
        <f t="shared" ref="N6:N8" si="0">(B$14/5)</f>
        <v>0</v>
      </c>
      <c r="O6" s="23" t="e">
        <f>($C$5*[1]Params!K8)</f>
        <v>#DIV/0!</v>
      </c>
      <c r="P6" s="23" t="e">
        <f>(O6*N6)</f>
        <v>#DIV/0!</v>
      </c>
      <c r="R6" s="19">
        <f>(B6)</f>
        <v>0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 t="shared" si="0"/>
        <v>0</v>
      </c>
      <c r="O7" s="23" t="e">
        <f>($C$5*[1]Params!K9)</f>
        <v>#DIV/0!</v>
      </c>
      <c r="P7" s="23" t="e">
        <f>(O7*N7)</f>
        <v>#DIV/0!</v>
      </c>
      <c r="R7" s="19"/>
      <c r="S7" s="23"/>
      <c r="T7" s="24"/>
      <c r="U7" s="24"/>
    </row>
    <row r="8" spans="2:21">
      <c r="C8" s="23"/>
      <c r="D8" s="23"/>
      <c r="N8" s="19">
        <f t="shared" si="0"/>
        <v>0</v>
      </c>
      <c r="O8" s="23" t="e">
        <f>($C$5*[1]Params!K10)</f>
        <v>#DIV/0!</v>
      </c>
      <c r="P8" s="23" t="e">
        <f>(O8*N8)</f>
        <v>#DIV/0!</v>
      </c>
      <c r="R8" s="19"/>
      <c r="S8" s="24"/>
      <c r="T8" s="24"/>
    </row>
    <row r="9" spans="2:21">
      <c r="C9" s="24"/>
      <c r="D9" s="23"/>
      <c r="N9" s="19">
        <f>(B$14/5)</f>
        <v>0</v>
      </c>
      <c r="O9" s="23" t="e">
        <f>($C$5*[1]Params!K11)</f>
        <v>#DIV/0!</v>
      </c>
      <c r="P9" s="23" t="e">
        <f>(O9*N9)</f>
        <v>#DIV/0!</v>
      </c>
    </row>
    <row r="10" spans="2:21">
      <c r="B10" s="19"/>
      <c r="C10" s="23"/>
      <c r="D10" s="23"/>
    </row>
    <row r="11" spans="2:21">
      <c r="B11" s="19"/>
      <c r="C11" s="23"/>
      <c r="D11" s="23"/>
      <c r="P11" s="23" t="e">
        <f>(SUM(P6:P9))</f>
        <v>#DIV/0!</v>
      </c>
    </row>
    <row r="12" spans="2:21">
      <c r="B12" s="19"/>
      <c r="C12" s="24"/>
      <c r="D12" s="23"/>
    </row>
    <row r="13" spans="2:21">
      <c r="F13" s="14" t="s">
        <v>9</v>
      </c>
      <c r="G13" s="23" t="e">
        <f>(D14/B14)</f>
        <v>#DIV/0!</v>
      </c>
    </row>
    <row r="14" spans="2:21">
      <c r="B14" s="19">
        <f>(SUM(B5:B13))</f>
        <v>0</v>
      </c>
      <c r="D14" s="23">
        <f>(SUM(D5:D13))</f>
        <v>0</v>
      </c>
    </row>
    <row r="18" spans="12:20">
      <c r="R18" s="14">
        <f>(SUM(R5:R17))</f>
        <v>0</v>
      </c>
      <c r="T18" s="23">
        <f>(SUM(T5:T17))</f>
        <v>0</v>
      </c>
    </row>
    <row r="22" spans="12:20">
      <c r="L22" s="24"/>
    </row>
    <row r="25" spans="12:20">
      <c r="N25" s="19"/>
    </row>
  </sheetData>
  <conditionalFormatting sqref="C5 O8:O9 S5 G13">
    <cfRule type="cellIs" dxfId="31" priority="3" operator="lessThan">
      <formula>$J$3</formula>
    </cfRule>
    <cfRule type="cellIs" dxfId="3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0.48826482532896709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2.9705055443363699</v>
      </c>
      <c r="K4" s="4">
        <f>(J4/D9-1)</f>
        <v>-0.89709872414377323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309" priority="9" operator="lessThan">
      <formula>$J$3</formula>
    </cfRule>
    <cfRule type="cellIs" dxfId="308" priority="10" operator="greaterThan">
      <formula>$J$3</formula>
    </cfRule>
  </conditionalFormatting>
  <conditionalFormatting sqref="O11:O14">
    <cfRule type="cellIs" dxfId="307" priority="7" operator="lessThan">
      <formula>$J$3</formula>
    </cfRule>
    <cfRule type="cellIs" dxfId="306" priority="8" operator="greaterThan">
      <formula>$J$3</formula>
    </cfRule>
  </conditionalFormatting>
  <conditionalFormatting sqref="O20:O23">
    <cfRule type="cellIs" dxfId="305" priority="5" operator="lessThan">
      <formula>$J$3</formula>
    </cfRule>
    <cfRule type="cellIs" dxfId="304" priority="6" operator="greaterThan">
      <formula>$J$3</formula>
    </cfRule>
  </conditionalFormatting>
  <conditionalFormatting sqref="O29:O32">
    <cfRule type="cellIs" dxfId="303" priority="3" operator="lessThan">
      <formula>$J$3</formula>
    </cfRule>
    <cfRule type="cellIs" dxfId="302" priority="4" operator="greaterThan">
      <formula>$J$3</formula>
    </cfRule>
  </conditionalFormatting>
  <conditionalFormatting sqref="N6">
    <cfRule type="cellIs" dxfId="301" priority="1" operator="lessThan">
      <formula>$J$3</formula>
    </cfRule>
    <cfRule type="cellIs" dxfId="30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5.7625670369934124E-3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9.7303308929914714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-251.28630910700846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-133.53630910700846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732</v>
      </c>
      <c r="E35">
        <f t="shared" ref="E35:E41" si="1">C35*D35</f>
        <v>4577.9279999999999</v>
      </c>
      <c r="F35" s="35">
        <f t="shared" ref="F35:F41" si="2">E35*$N$5</f>
        <v>3673.7872199999997</v>
      </c>
      <c r="G35" s="23">
        <v>3.5</v>
      </c>
      <c r="H35" s="36">
        <f>G51</f>
        <v>1.5615590400000001</v>
      </c>
      <c r="I35" s="24">
        <f t="shared" ref="I35:I42" si="3">((F35-H35*D35)*$J$3-G35)</f>
        <v>11.083478242936371</v>
      </c>
      <c r="J35">
        <v>1</v>
      </c>
      <c r="K35" s="37">
        <f t="shared" ref="K35:K41" si="4">I35*J35</f>
        <v>11.083478242936371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732</v>
      </c>
      <c r="E36">
        <f t="shared" si="1"/>
        <v>707.11199999999997</v>
      </c>
      <c r="F36" s="35">
        <f t="shared" si="2"/>
        <v>567.45737999999994</v>
      </c>
      <c r="G36" s="23">
        <v>3.5</v>
      </c>
      <c r="H36" s="36">
        <f>G52</f>
        <v>0.21337130135885166</v>
      </c>
      <c r="I36" s="24">
        <f t="shared" si="3"/>
        <v>-1.130031432300219</v>
      </c>
      <c r="J36">
        <v>1</v>
      </c>
      <c r="K36" s="37">
        <f t="shared" si="4"/>
        <v>-1.130031432300219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732</v>
      </c>
      <c r="E37">
        <f t="shared" si="1"/>
        <v>622.93200000000002</v>
      </c>
      <c r="F37" s="35">
        <f t="shared" si="2"/>
        <v>499.90293000000003</v>
      </c>
      <c r="G37" s="23">
        <v>3.5</v>
      </c>
      <c r="H37" s="36">
        <f>G53</f>
        <v>0.18479602162162162</v>
      </c>
      <c r="I37" s="24">
        <f t="shared" si="3"/>
        <v>-1.3987822606290266</v>
      </c>
      <c r="J37">
        <v>1</v>
      </c>
      <c r="K37" s="37">
        <f t="shared" si="4"/>
        <v>-1.3987822606290266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698</v>
      </c>
      <c r="E38">
        <f t="shared" si="1"/>
        <v>593.99799999999993</v>
      </c>
      <c r="F38" s="35">
        <f t="shared" si="2"/>
        <v>476.68339499999996</v>
      </c>
      <c r="G38" s="23">
        <v>0</v>
      </c>
      <c r="H38" s="36">
        <f>G53</f>
        <v>0.18479602162162162</v>
      </c>
      <c r="I38" s="24">
        <f t="shared" si="3"/>
        <v>2.0036201940996436</v>
      </c>
      <c r="J38">
        <v>3</v>
      </c>
      <c r="K38" s="37">
        <f t="shared" si="4"/>
        <v>6.0108605822989309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640</v>
      </c>
      <c r="E39">
        <f t="shared" si="1"/>
        <v>544.64</v>
      </c>
      <c r="F39" s="35">
        <f t="shared" si="2"/>
        <v>437.0736</v>
      </c>
      <c r="G39" s="23">
        <v>0</v>
      </c>
      <c r="H39" s="36">
        <f>H38</f>
        <v>0.18479602162162162</v>
      </c>
      <c r="I39" s="24">
        <f t="shared" si="3"/>
        <v>1.8371302639309055</v>
      </c>
      <c r="J39">
        <v>1</v>
      </c>
      <c r="K39" s="37">
        <f t="shared" si="4"/>
        <v>1.8371302639309055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592</v>
      </c>
      <c r="E40">
        <f t="shared" si="1"/>
        <v>503.79199999999997</v>
      </c>
      <c r="F40" s="35">
        <f t="shared" si="2"/>
        <v>404.29307999999997</v>
      </c>
      <c r="G40" s="23">
        <v>0</v>
      </c>
      <c r="H40" s="36">
        <f>H39</f>
        <v>0.18479602162162162</v>
      </c>
      <c r="I40" s="24">
        <f t="shared" si="3"/>
        <v>1.6993454941360875</v>
      </c>
      <c r="J40">
        <v>1</v>
      </c>
      <c r="K40" s="37">
        <f t="shared" si="4"/>
        <v>1.6993454941360875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0.22663633844123593</v>
      </c>
      <c r="J41" s="16">
        <v>1</v>
      </c>
      <c r="K41" s="41">
        <f t="shared" si="4"/>
        <v>0.22663633844123593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1.2630270564524975</v>
      </c>
      <c r="J42" s="16">
        <v>1</v>
      </c>
      <c r="K42" s="41">
        <f>(I42*J42)</f>
        <v>1.2630270564524975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1.7505788929914736</v>
      </c>
      <c r="P47">
        <f>(O47/J3)</f>
        <v>303.78456020614533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99" priority="17" operator="lessThan">
      <formula>$C$5</formula>
    </cfRule>
    <cfRule type="cellIs" dxfId="298" priority="18" operator="greaterThan">
      <formula>$C$5</formula>
    </cfRule>
  </conditionalFormatting>
  <conditionalFormatting sqref="L36">
    <cfRule type="cellIs" dxfId="297" priority="15" operator="lessThan">
      <formula>$C$6</formula>
    </cfRule>
    <cfRule type="cellIs" dxfId="296" priority="16" operator="greaterThan">
      <formula>$C$6</formula>
    </cfRule>
  </conditionalFormatting>
  <conditionalFormatting sqref="L40">
    <cfRule type="cellIs" dxfId="295" priority="13" operator="lessThan">
      <formula>$C$20</formula>
    </cfRule>
    <cfRule type="cellIs" dxfId="294" priority="14" operator="greaterThan">
      <formula>$C$20</formula>
    </cfRule>
  </conditionalFormatting>
  <conditionalFormatting sqref="L39">
    <cfRule type="cellIs" dxfId="293" priority="11" operator="lessThan">
      <formula>$C$19</formula>
    </cfRule>
    <cfRule type="cellIs" dxfId="292" priority="12" operator="greaterThan">
      <formula>$C$19</formula>
    </cfRule>
  </conditionalFormatting>
  <conditionalFormatting sqref="L38">
    <cfRule type="cellIs" dxfId="291" priority="9" operator="lessThan">
      <formula>$C$17</formula>
    </cfRule>
    <cfRule type="cellIs" dxfId="290" priority="10" operator="greaterThan">
      <formula>$C$17</formula>
    </cfRule>
  </conditionalFormatting>
  <conditionalFormatting sqref="L37">
    <cfRule type="cellIs" dxfId="289" priority="7" operator="lessThan">
      <formula>$C$7</formula>
    </cfRule>
    <cfRule type="cellIs" dxfId="288" priority="8" operator="greaterThan">
      <formula>$C$7</formula>
    </cfRule>
  </conditionalFormatting>
  <conditionalFormatting sqref="L43">
    <cfRule type="cellIs" dxfId="287" priority="3" operator="lessThan">
      <formula>$C$27</formula>
    </cfRule>
    <cfRule type="cellIs" dxfId="286" priority="4" operator="greaterThan">
      <formula>$C$27</formula>
    </cfRule>
  </conditionalFormatting>
  <conditionalFormatting sqref="L44:L46">
    <cfRule type="cellIs" dxfId="285" priority="1" operator="lessThan">
      <formula>$C$7</formula>
    </cfRule>
    <cfRule type="cellIs" dxfId="28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(-420/3)</f>
        <v>-140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7" width="9.140625" style="14" customWidth="1"/>
    <col min="28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13.752043462881289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4.316012555975802</v>
      </c>
      <c r="K4" s="4">
        <f>(J4/D13-1)</f>
        <v>-3.6602225014326093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5.3900000000000001E-6</v>
      </c>
      <c r="C6" s="28">
        <v>0</v>
      </c>
      <c r="D6" s="28">
        <f>(B6*C6)</f>
        <v>0</v>
      </c>
      <c r="E6" s="23">
        <f>(B6*J3)</f>
        <v>7.4123514264930155E-5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5.3900000000000001E-6</v>
      </c>
      <c r="S6" s="28">
        <v>0</v>
      </c>
      <c r="T6" s="28">
        <f>(D6)</f>
        <v>0</v>
      </c>
      <c r="U6" s="23">
        <f>(R6*J3)</f>
        <v>7.4123514264930155E-5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0.118879808</v>
      </c>
      <c r="O9" s="23">
        <f>($C$5*[1]Params!K11)</f>
        <v>20</v>
      </c>
      <c r="P9" s="23">
        <f>(O9*N9)</f>
        <v>2.37759616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4.8027222520000006</v>
      </c>
    </row>
    <row r="12" spans="2:21">
      <c r="F12" t="s">
        <v>9</v>
      </c>
      <c r="G12" s="45">
        <f>(D13/B13)</f>
        <v>-5.169508736759953</v>
      </c>
    </row>
    <row r="13" spans="2:21">
      <c r="B13" s="1">
        <f>(SUM(B5:B12))</f>
        <v>0.31384518</v>
      </c>
      <c r="D13" s="23">
        <f>(SUM(D5:D12))</f>
        <v>-1.6224254</v>
      </c>
      <c r="R13" s="1">
        <f>(SUM(R5:R12))</f>
        <v>0.59439903999999999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1.0462875089172774</v>
      </c>
    </row>
    <row r="21" spans="5:15">
      <c r="E21" s="46"/>
    </row>
  </sheetData>
  <conditionalFormatting sqref="C5 G12 S5">
    <cfRule type="cellIs" dxfId="283" priority="7" operator="lessThan">
      <formula>$J$3</formula>
    </cfRule>
    <cfRule type="cellIs" dxfId="282" priority="8" operator="greaterThan">
      <formula>$J$3</formula>
    </cfRule>
  </conditionalFormatting>
  <conditionalFormatting sqref="O9">
    <cfRule type="cellIs" dxfId="281" priority="5" operator="lessThan">
      <formula>$J$3</formula>
    </cfRule>
    <cfRule type="cellIs" dxfId="280" priority="6" operator="greaterThan">
      <formula>$J$3</formula>
    </cfRule>
  </conditionalFormatting>
  <conditionalFormatting sqref="O3">
    <cfRule type="cellIs" dxfId="279" priority="1" operator="greaterThan">
      <formula>$J$3</formula>
    </cfRule>
    <cfRule type="cellIs" dxfId="278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0.60549609996511233</v>
      </c>
      <c r="M3" t="s">
        <v>4</v>
      </c>
      <c r="N3" s="26">
        <f>(INDEX(N5:N21,MATCH(MAX(O6:O7),O5:O21,0))/0.9)</f>
        <v>25</v>
      </c>
      <c r="O3" s="24">
        <f>(MAX(O6:O7)*0.85)</f>
        <v>0.47545968134803307</v>
      </c>
      <c r="P3" s="45">
        <f>(O3*N3)</f>
        <v>11.886492033700828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43.579535079935916</v>
      </c>
      <c r="K4" s="4">
        <f>(J4/D13-1)</f>
        <v>1.4758837954334485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0.72107498999999997</v>
      </c>
      <c r="C6" s="28">
        <v>0</v>
      </c>
      <c r="D6" s="28">
        <f>(B6*C6)</f>
        <v>0</v>
      </c>
      <c r="E6" s="23">
        <f>(B6*J3)</f>
        <v>0.43660809422738234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0.72107498999999997</v>
      </c>
      <c r="S6" s="28">
        <v>0</v>
      </c>
      <c r="T6" s="28">
        <f>(D6)</f>
        <v>0</v>
      </c>
      <c r="U6" s="23">
        <f>(R6*J3)</f>
        <v>0.43660809422738234</v>
      </c>
    </row>
    <row r="7" spans="2:21">
      <c r="B7" s="1">
        <v>113.68280712000001</v>
      </c>
      <c r="C7" s="23">
        <f>(D7/B7)</f>
        <v>0.3474579929954143</v>
      </c>
      <c r="D7" s="23">
        <v>39.5</v>
      </c>
      <c r="E7" t="s">
        <v>15</v>
      </c>
      <c r="N7" s="1">
        <f>-B11</f>
        <v>22.5</v>
      </c>
      <c r="O7" s="23">
        <f>($S$7*[1]Params!K9)</f>
        <v>0.55936433099768601</v>
      </c>
      <c r="P7" s="23">
        <f>-D11</f>
        <v>12.305999999999999</v>
      </c>
      <c r="Q7" t="s">
        <v>12</v>
      </c>
      <c r="R7" s="35">
        <f>B7+B10</f>
        <v>91.112807120000014</v>
      </c>
      <c r="S7" s="23">
        <f>(T7/R7)</f>
        <v>0.34960270687355371</v>
      </c>
      <c r="T7" s="23">
        <f>D7+B10*0.3388</f>
        <v>31.853284000000002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25.155962785999996</v>
      </c>
      <c r="O8" s="23">
        <f>($C$7*[1]Params!K10)</f>
        <v>0.76440758458991154</v>
      </c>
      <c r="P8" s="23">
        <f>(O8*N8)</f>
        <v>19.229408751279959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14.394654262</v>
      </c>
      <c r="O9" s="23">
        <f>($C$7*[1]Params!K11)</f>
        <v>1.7372899649770714</v>
      </c>
      <c r="P9" s="23">
        <f>(O9*N9)</f>
        <v>25.00768839868703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66.625526119966992</v>
      </c>
    </row>
    <row r="12" spans="2:21">
      <c r="F12" t="s">
        <v>9</v>
      </c>
      <c r="G12" s="45">
        <f>(D13/B13)</f>
        <v>0.24455756004457765</v>
      </c>
    </row>
    <row r="13" spans="2:21">
      <c r="B13" s="1">
        <f>(SUM(B5:B12))</f>
        <v>71.973271310000001</v>
      </c>
      <c r="D13" s="23">
        <f>(SUM(D5:D12))</f>
        <v>17.601607620000003</v>
      </c>
      <c r="R13" s="1">
        <f>(SUM(R5:R12))</f>
        <v>94.473271310000015</v>
      </c>
      <c r="T13" s="23">
        <f>(SUM(T5:T12))</f>
        <v>29.907607620000004</v>
      </c>
    </row>
  </sheetData>
  <conditionalFormatting sqref="C5 C7 G12 S5 S7">
    <cfRule type="cellIs" dxfId="277" priority="19" operator="lessThan">
      <formula>$J$3</formula>
    </cfRule>
    <cfRule type="cellIs" dxfId="276" priority="20" operator="greaterThan">
      <formula>$J$3</formula>
    </cfRule>
  </conditionalFormatting>
  <conditionalFormatting sqref="O8:O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C9">
    <cfRule type="cellIs" dxfId="273" priority="3" operator="lessThan">
      <formula>$J$3</formula>
    </cfRule>
    <cfRule type="cellIs" dxfId="272" priority="4" operator="greaterThan">
      <formula>$J$3</formula>
    </cfRule>
  </conditionalFormatting>
  <conditionalFormatting sqref="O3">
    <cfRule type="cellIs" dxfId="271" priority="1" operator="greaterThan">
      <formula>$J$3</formula>
    </cfRule>
    <cfRule type="cellIs" dxfId="270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2023-12-19T09:34:26Z</dcterms:modified>
</cp:coreProperties>
</file>