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G37" i="23"/>
  <c r="D19" i="22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N9"/>
  <c r="G9"/>
  <c r="N8"/>
  <c r="N7"/>
  <c r="N6"/>
  <c r="C5"/>
  <c r="O9" s="1"/>
  <c r="P9" s="1"/>
  <c r="J4"/>
  <c r="K4" s="1"/>
  <c r="D14" i="32"/>
  <c r="G13" s="1"/>
  <c r="B14"/>
  <c r="C12"/>
  <c r="D11"/>
  <c r="C11"/>
  <c r="C10"/>
  <c r="T9"/>
  <c r="S9" s="1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P8" s="1"/>
  <c r="K4"/>
  <c r="J4"/>
  <c r="B14" i="31"/>
  <c r="C12"/>
  <c r="S8" s="1"/>
  <c r="C11"/>
  <c r="C10"/>
  <c r="C9"/>
  <c r="T8"/>
  <c r="R8"/>
  <c r="C8"/>
  <c r="T7"/>
  <c r="R7"/>
  <c r="R18" s="1"/>
  <c r="C7"/>
  <c r="T6"/>
  <c r="S6"/>
  <c r="R6"/>
  <c r="P6"/>
  <c r="N6"/>
  <c r="E6"/>
  <c r="D6"/>
  <c r="R5"/>
  <c r="C5"/>
  <c r="O9" s="1"/>
  <c r="B10" i="30"/>
  <c r="J4" s="1"/>
  <c r="K4" s="1"/>
  <c r="N9"/>
  <c r="N8"/>
  <c r="N7"/>
  <c r="N6"/>
  <c r="E6"/>
  <c r="D6"/>
  <c r="D10" s="1"/>
  <c r="G9" s="1"/>
  <c r="C5"/>
  <c r="O7" s="1"/>
  <c r="P7" s="1"/>
  <c r="B13" i="29"/>
  <c r="J4" s="1"/>
  <c r="K4" s="1"/>
  <c r="E6"/>
  <c r="D6"/>
  <c r="D13" s="1"/>
  <c r="C5"/>
  <c r="O9" s="1"/>
  <c r="D41" i="28"/>
  <c r="C41" s="1"/>
  <c r="S27" s="1"/>
  <c r="C40"/>
  <c r="S26" s="1"/>
  <c r="D39"/>
  <c r="C39"/>
  <c r="S25" s="1"/>
  <c r="D38"/>
  <c r="C38"/>
  <c r="O8" s="1"/>
  <c r="C37"/>
  <c r="C36"/>
  <c r="C35"/>
  <c r="C34"/>
  <c r="B34"/>
  <c r="D33"/>
  <c r="C33" s="1"/>
  <c r="C32"/>
  <c r="C31"/>
  <c r="C30"/>
  <c r="D29"/>
  <c r="C29"/>
  <c r="C28"/>
  <c r="B28"/>
  <c r="T27"/>
  <c r="R27"/>
  <c r="C27"/>
  <c r="T26"/>
  <c r="R26"/>
  <c r="C26"/>
  <c r="B26"/>
  <c r="T25"/>
  <c r="R25"/>
  <c r="O25"/>
  <c r="C25"/>
  <c r="T24"/>
  <c r="S24"/>
  <c r="R24"/>
  <c r="N24"/>
  <c r="C24"/>
  <c r="T23"/>
  <c r="S23" s="1"/>
  <c r="R23"/>
  <c r="N23"/>
  <c r="C23"/>
  <c r="O6" s="1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C16"/>
  <c r="T15"/>
  <c r="R15"/>
  <c r="O15"/>
  <c r="P15" s="1"/>
  <c r="N15"/>
  <c r="E15"/>
  <c r="B15"/>
  <c r="T14"/>
  <c r="S14"/>
  <c r="R14"/>
  <c r="O14"/>
  <c r="N14"/>
  <c r="E14"/>
  <c r="B14"/>
  <c r="T13"/>
  <c r="S13" s="1"/>
  <c r="O17" s="1"/>
  <c r="P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O9"/>
  <c r="C9"/>
  <c r="B9"/>
  <c r="T8"/>
  <c r="R8"/>
  <c r="P8"/>
  <c r="B8"/>
  <c r="C8" s="1"/>
  <c r="T7"/>
  <c r="R7"/>
  <c r="P7"/>
  <c r="C7"/>
  <c r="T6"/>
  <c r="P6"/>
  <c r="N6"/>
  <c r="B6"/>
  <c r="S5"/>
  <c r="D5"/>
  <c r="D43" s="1"/>
  <c r="B5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B19" i="26"/>
  <c r="J4" s="1"/>
  <c r="P17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T5"/>
  <c r="S5" s="1"/>
  <c r="R5"/>
  <c r="R22" s="1"/>
  <c r="C5"/>
  <c r="O9" s="1"/>
  <c r="P9" s="1"/>
  <c r="K4"/>
  <c r="B10" i="25"/>
  <c r="N7"/>
  <c r="E7"/>
  <c r="D7"/>
  <c r="E6"/>
  <c r="D6"/>
  <c r="C5"/>
  <c r="O7" s="1"/>
  <c r="P7" s="1"/>
  <c r="J4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21" i="22"/>
  <c r="J4" s="1"/>
  <c r="D18"/>
  <c r="D17"/>
  <c r="D16"/>
  <c r="D15"/>
  <c r="D14"/>
  <c r="D13"/>
  <c r="D12"/>
  <c r="D11"/>
  <c r="D10"/>
  <c r="D9"/>
  <c r="D8"/>
  <c r="C7"/>
  <c r="B7"/>
  <c r="E6"/>
  <c r="D6"/>
  <c r="D5"/>
  <c r="D21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0"/>
  <c r="R9"/>
  <c r="D9"/>
  <c r="T9" s="1"/>
  <c r="S9" s="1"/>
  <c r="C9"/>
  <c r="T8"/>
  <c r="S8"/>
  <c r="R8"/>
  <c r="N8"/>
  <c r="C8"/>
  <c r="R7"/>
  <c r="O7"/>
  <c r="D7"/>
  <c r="T6"/>
  <c r="R6"/>
  <c r="O6"/>
  <c r="N6"/>
  <c r="N7" s="1"/>
  <c r="N3" s="1"/>
  <c r="E6"/>
  <c r="D6"/>
  <c r="T5"/>
  <c r="R5"/>
  <c r="R22" s="1"/>
  <c r="C5"/>
  <c r="O9" s="1"/>
  <c r="J4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B17" i="14"/>
  <c r="C15"/>
  <c r="D14"/>
  <c r="C14" s="1"/>
  <c r="C13"/>
  <c r="C12"/>
  <c r="C11"/>
  <c r="T10"/>
  <c r="R10"/>
  <c r="E10"/>
  <c r="S9"/>
  <c r="R9"/>
  <c r="N15" s="1"/>
  <c r="D9"/>
  <c r="S8"/>
  <c r="O9" s="1"/>
  <c r="R8"/>
  <c r="N8" s="1"/>
  <c r="O8"/>
  <c r="E8"/>
  <c r="S7"/>
  <c r="R7"/>
  <c r="T7" s="1"/>
  <c r="O7"/>
  <c r="N7"/>
  <c r="P7" s="1"/>
  <c r="E7"/>
  <c r="S6"/>
  <c r="R6"/>
  <c r="T6" s="1"/>
  <c r="O6"/>
  <c r="P6" s="1"/>
  <c r="N6"/>
  <c r="D6"/>
  <c r="R5"/>
  <c r="N22" s="1"/>
  <c r="D5"/>
  <c r="G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9" i="12"/>
  <c r="N18"/>
  <c r="N17"/>
  <c r="P16"/>
  <c r="O16"/>
  <c r="N16"/>
  <c r="B15"/>
  <c r="C13"/>
  <c r="C12"/>
  <c r="C11"/>
  <c r="C10"/>
  <c r="O19" s="1"/>
  <c r="P19" s="1"/>
  <c r="C9"/>
  <c r="U8"/>
  <c r="T8"/>
  <c r="S8"/>
  <c r="R8"/>
  <c r="C8"/>
  <c r="T7"/>
  <c r="R7"/>
  <c r="N7" s="1"/>
  <c r="C7"/>
  <c r="T6"/>
  <c r="S6"/>
  <c r="R6"/>
  <c r="N6"/>
  <c r="E6"/>
  <c r="D6"/>
  <c r="D15" s="1"/>
  <c r="G14" s="1"/>
  <c r="T5"/>
  <c r="T15" s="1"/>
  <c r="R5"/>
  <c r="R15" s="1"/>
  <c r="C5"/>
  <c r="O9" s="1"/>
  <c r="J4"/>
  <c r="K4" s="1"/>
  <c r="B14" i="11"/>
  <c r="N9"/>
  <c r="N8"/>
  <c r="N7"/>
  <c r="D7"/>
  <c r="N6"/>
  <c r="E6"/>
  <c r="D6"/>
  <c r="D14" s="1"/>
  <c r="G13" s="1"/>
  <c r="C5"/>
  <c r="O9" s="1"/>
  <c r="P9" s="1"/>
  <c r="J4"/>
  <c r="E7" s="1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N9" s="1"/>
  <c r="C5"/>
  <c r="O7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R5"/>
  <c r="R17" s="1"/>
  <c r="C5"/>
  <c r="O6" s="1"/>
  <c r="P6" s="1"/>
  <c r="J4"/>
  <c r="K4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C6" i="7"/>
  <c r="E6" s="1"/>
  <c r="C5"/>
  <c r="E5" s="1"/>
  <c r="C4" i="6"/>
  <c r="C75" i="5"/>
  <c r="E73"/>
  <c r="E72"/>
  <c r="E71"/>
  <c r="E70"/>
  <c r="E69"/>
  <c r="E68"/>
  <c r="E67"/>
  <c r="E66"/>
  <c r="E65"/>
  <c r="E64"/>
  <c r="E63"/>
  <c r="D62"/>
  <c r="E62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D12"/>
  <c r="E12" s="1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9" i="2" l="1"/>
  <c r="O14" s="1"/>
  <c r="N4"/>
  <c r="O37" i="1"/>
  <c r="P37" s="1"/>
  <c r="O36"/>
  <c r="P36" s="1"/>
  <c r="O35"/>
  <c r="O34"/>
  <c r="P34" s="1"/>
  <c r="O29"/>
  <c r="P29" s="1"/>
  <c r="O28"/>
  <c r="O27"/>
  <c r="O26"/>
  <c r="T10"/>
  <c r="S10" s="1"/>
  <c r="O22" i="2"/>
  <c r="O46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L39" i="5"/>
  <c r="M38"/>
  <c r="H36"/>
  <c r="H37"/>
  <c r="O7" i="8"/>
  <c r="P7" s="1"/>
  <c r="O6"/>
  <c r="P6" s="1"/>
  <c r="G13" i="10"/>
  <c r="K4"/>
  <c r="P23" i="28"/>
  <c r="N26" i="1"/>
  <c r="N27"/>
  <c r="N28"/>
  <c r="B39"/>
  <c r="N34" i="2"/>
  <c r="O34" s="1"/>
  <c r="O38" s="1"/>
  <c r="N51"/>
  <c r="O51" s="1"/>
  <c r="N67"/>
  <c r="O67" s="1"/>
  <c r="O70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T17" i="9"/>
  <c r="P9" i="12"/>
  <c r="S8" i="16"/>
  <c r="P9" i="21"/>
  <c r="O3" i="1"/>
  <c r="T5"/>
  <c r="N6"/>
  <c r="R19"/>
  <c r="N19" s="1"/>
  <c r="T19"/>
  <c r="R21"/>
  <c r="N34"/>
  <c r="N35"/>
  <c r="N36"/>
  <c r="T15" i="2"/>
  <c r="S15" s="1"/>
  <c r="N26"/>
  <c r="O26" s="1"/>
  <c r="N27"/>
  <c r="O27" s="1"/>
  <c r="O30" s="1"/>
  <c r="D30"/>
  <c r="T21" s="1"/>
  <c r="S21" s="1"/>
  <c r="B31"/>
  <c r="B37" s="1"/>
  <c r="N35"/>
  <c r="O35" s="1"/>
  <c r="N50"/>
  <c r="O50" s="1"/>
  <c r="O54" s="1"/>
  <c r="N66"/>
  <c r="O66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K4" i="4"/>
  <c r="J14" i="5"/>
  <c r="I36"/>
  <c r="K36" s="1"/>
  <c r="I37"/>
  <c r="K37" s="1"/>
  <c r="I40"/>
  <c r="K40" s="1"/>
  <c r="E9" i="7"/>
  <c r="K4" i="8"/>
  <c r="K4" i="14"/>
  <c r="P8"/>
  <c r="T17" i="24"/>
  <c r="O17" i="14"/>
  <c r="O16"/>
  <c r="N9" i="18"/>
  <c r="N8"/>
  <c r="N6"/>
  <c r="C7" i="20"/>
  <c r="P6"/>
  <c r="B37" i="23"/>
  <c r="J4" s="1"/>
  <c r="R9"/>
  <c r="S9" s="1"/>
  <c r="C9"/>
  <c r="C32"/>
  <c r="R24"/>
  <c r="R37" s="1"/>
  <c r="O17" i="24"/>
  <c r="P17" s="1"/>
  <c r="O16"/>
  <c r="P16" s="1"/>
  <c r="O14"/>
  <c r="P14" s="1"/>
  <c r="N9"/>
  <c r="P9" s="1"/>
  <c r="N7"/>
  <c r="R6" i="28"/>
  <c r="C6"/>
  <c r="P14"/>
  <c r="N26"/>
  <c r="N25"/>
  <c r="O6" i="31"/>
  <c r="N8"/>
  <c r="N7"/>
  <c r="P6" i="32"/>
  <c r="N3"/>
  <c r="O3"/>
  <c r="P3" s="1"/>
  <c r="P6" i="4"/>
  <c r="G8"/>
  <c r="M37" i="5"/>
  <c r="D75"/>
  <c r="O8" i="8"/>
  <c r="P8" s="1"/>
  <c r="S5" i="9"/>
  <c r="T6"/>
  <c r="O7"/>
  <c r="P7" s="1"/>
  <c r="P12" s="1"/>
  <c r="O8"/>
  <c r="P8" s="1"/>
  <c r="O9"/>
  <c r="P9" s="1"/>
  <c r="U5" i="10"/>
  <c r="N7"/>
  <c r="P7" s="1"/>
  <c r="O8"/>
  <c r="O9"/>
  <c r="P9" s="1"/>
  <c r="R14"/>
  <c r="O6" i="11"/>
  <c r="P6" s="1"/>
  <c r="P12" s="1"/>
  <c r="O8"/>
  <c r="P8" s="1"/>
  <c r="O7" i="12"/>
  <c r="P7" s="1"/>
  <c r="V7"/>
  <c r="N8"/>
  <c r="N9"/>
  <c r="O18"/>
  <c r="P18" s="1"/>
  <c r="O7" i="13"/>
  <c r="O8"/>
  <c r="T8" i="14"/>
  <c r="N9"/>
  <c r="P9" s="1"/>
  <c r="P11" s="1"/>
  <c r="O14"/>
  <c r="N16"/>
  <c r="N17"/>
  <c r="B14" i="16"/>
  <c r="P6" i="18"/>
  <c r="N9" i="20"/>
  <c r="P9" s="1"/>
  <c r="D11"/>
  <c r="D18" i="24"/>
  <c r="G17" s="1"/>
  <c r="O8" i="25"/>
  <c r="O9"/>
  <c r="P25" i="28"/>
  <c r="O6" i="30"/>
  <c r="P6" s="1"/>
  <c r="O8"/>
  <c r="P8" s="1"/>
  <c r="R37" i="14"/>
  <c r="N25"/>
  <c r="N23"/>
  <c r="N9" i="15"/>
  <c r="N7"/>
  <c r="P7" s="1"/>
  <c r="J4"/>
  <c r="K4" s="1"/>
  <c r="O9" i="16"/>
  <c r="O8"/>
  <c r="N9" i="17"/>
  <c r="N7"/>
  <c r="S5" i="20"/>
  <c r="R21" i="21"/>
  <c r="N8"/>
  <c r="N6"/>
  <c r="N3" s="1"/>
  <c r="O3"/>
  <c r="C35" i="23"/>
  <c r="N9" s="1"/>
  <c r="R25"/>
  <c r="O9"/>
  <c r="P9" s="1"/>
  <c r="N9" i="25"/>
  <c r="N8"/>
  <c r="N6"/>
  <c r="D14" i="31"/>
  <c r="G13" s="1"/>
  <c r="T5"/>
  <c r="T6" i="8"/>
  <c r="T13" s="1"/>
  <c r="N6" i="10"/>
  <c r="P6" s="1"/>
  <c r="N8"/>
  <c r="K4" i="11"/>
  <c r="O7"/>
  <c r="P7" s="1"/>
  <c r="U5" i="12"/>
  <c r="O6"/>
  <c r="O8"/>
  <c r="P8" s="1"/>
  <c r="O17"/>
  <c r="P17" s="1"/>
  <c r="P21" s="1"/>
  <c r="N6" i="13"/>
  <c r="P6" s="1"/>
  <c r="N7"/>
  <c r="N8"/>
  <c r="T5" i="14"/>
  <c r="T9"/>
  <c r="N14"/>
  <c r="O15"/>
  <c r="P15" s="1"/>
  <c r="D17"/>
  <c r="N24"/>
  <c r="P9" i="15"/>
  <c r="T5" i="16"/>
  <c r="T13" s="1"/>
  <c r="R8"/>
  <c r="R13" s="1"/>
  <c r="K4" i="17"/>
  <c r="P7"/>
  <c r="P11" s="1"/>
  <c r="P9"/>
  <c r="N7" i="18"/>
  <c r="P7" s="1"/>
  <c r="O8"/>
  <c r="P8" s="1"/>
  <c r="O9"/>
  <c r="P9" s="1"/>
  <c r="K4" i="19"/>
  <c r="S6" i="20"/>
  <c r="P7"/>
  <c r="T7"/>
  <c r="S7" s="1"/>
  <c r="S6" i="21"/>
  <c r="N7"/>
  <c r="P8"/>
  <c r="T21"/>
  <c r="N6" i="23"/>
  <c r="O6" s="1"/>
  <c r="P6" s="1"/>
  <c r="T21"/>
  <c r="S21" s="1"/>
  <c r="R17" i="24"/>
  <c r="S7"/>
  <c r="N8"/>
  <c r="B18"/>
  <c r="J4" s="1"/>
  <c r="O15"/>
  <c r="P15" s="1"/>
  <c r="D10" i="25"/>
  <c r="G9" s="1"/>
  <c r="O6"/>
  <c r="T22" i="26"/>
  <c r="B43" i="28"/>
  <c r="J4" s="1"/>
  <c r="K4" s="1"/>
  <c r="R9"/>
  <c r="S15"/>
  <c r="N16"/>
  <c r="P16" s="1"/>
  <c r="G12" i="29"/>
  <c r="N6"/>
  <c r="Q6" s="1"/>
  <c r="N7"/>
  <c r="N8"/>
  <c r="N9"/>
  <c r="P9" s="1"/>
  <c r="O9" i="30"/>
  <c r="P9" s="1"/>
  <c r="J4" i="31"/>
  <c r="K4" s="1"/>
  <c r="O7"/>
  <c r="P7" s="1"/>
  <c r="O8"/>
  <c r="N9"/>
  <c r="P9" s="1"/>
  <c r="O6" i="15"/>
  <c r="P6" s="1"/>
  <c r="O6" i="19"/>
  <c r="P6" s="1"/>
  <c r="O8"/>
  <c r="P8" s="1"/>
  <c r="O8" i="20"/>
  <c r="P8" s="1"/>
  <c r="O7" i="21"/>
  <c r="P7" s="1"/>
  <c r="O6" i="26"/>
  <c r="P6" s="1"/>
  <c r="O7"/>
  <c r="P7" s="1"/>
  <c r="O8"/>
  <c r="P8" s="1"/>
  <c r="O14"/>
  <c r="P14" s="1"/>
  <c r="P19" s="1"/>
  <c r="O15"/>
  <c r="P15" s="1"/>
  <c r="O16"/>
  <c r="P16" s="1"/>
  <c r="O6" i="27"/>
  <c r="P6" s="1"/>
  <c r="P11" s="1"/>
  <c r="R5" i="28"/>
  <c r="O6" i="29"/>
  <c r="O7"/>
  <c r="P7" s="1"/>
  <c r="O8"/>
  <c r="S5" i="32"/>
  <c r="T5" s="1"/>
  <c r="T33" s="1"/>
  <c r="W33" s="1"/>
  <c r="N9"/>
  <c r="P9" s="1"/>
  <c r="R33"/>
  <c r="O7" i="33"/>
  <c r="P7" s="1"/>
  <c r="O6" i="34"/>
  <c r="P6" s="1"/>
  <c r="P11" s="1"/>
  <c r="O8"/>
  <c r="P8" s="1"/>
  <c r="O6" i="33"/>
  <c r="P6" s="1"/>
  <c r="P11" s="1"/>
  <c r="O8"/>
  <c r="P8" s="1"/>
  <c r="J4" i="2" l="1"/>
  <c r="J7"/>
  <c r="J8" s="1"/>
  <c r="Q9" i="29"/>
  <c r="Q8"/>
  <c r="Q7"/>
  <c r="S9" i="28"/>
  <c r="N9"/>
  <c r="P9" s="1"/>
  <c r="P11" s="1"/>
  <c r="N7"/>
  <c r="N8"/>
  <c r="T18" i="31"/>
  <c r="S5"/>
  <c r="O24" i="28"/>
  <c r="O26"/>
  <c r="P26" s="1"/>
  <c r="O8" i="24"/>
  <c r="P8" s="1"/>
  <c r="O6"/>
  <c r="P6" s="1"/>
  <c r="O7"/>
  <c r="P7" s="1"/>
  <c r="T37" i="14"/>
  <c r="S5"/>
  <c r="N3" i="12"/>
  <c r="P6"/>
  <c r="P11" s="1"/>
  <c r="O3"/>
  <c r="P3" s="1"/>
  <c r="N7" i="16"/>
  <c r="P7" s="1"/>
  <c r="N9"/>
  <c r="N8"/>
  <c r="N6"/>
  <c r="P6" s="1"/>
  <c r="J4"/>
  <c r="K4" s="1"/>
  <c r="N3" i="31"/>
  <c r="O3"/>
  <c r="P3" s="1"/>
  <c r="O6" i="1"/>
  <c r="N3" s="1"/>
  <c r="D39"/>
  <c r="D42" s="1"/>
  <c r="T22"/>
  <c r="T18"/>
  <c r="R18"/>
  <c r="N10"/>
  <c r="P10" s="1"/>
  <c r="R22"/>
  <c r="H41" i="5"/>
  <c r="I41" s="1"/>
  <c r="K41" s="1"/>
  <c r="H38"/>
  <c r="P11" i="15"/>
  <c r="P3" i="21"/>
  <c r="T22" i="20"/>
  <c r="P9" i="16"/>
  <c r="P8" i="29"/>
  <c r="P6"/>
  <c r="P11" s="1"/>
  <c r="P11" i="26"/>
  <c r="P11" i="19"/>
  <c r="P8" i="31"/>
  <c r="P11" s="1"/>
  <c r="P6" i="25"/>
  <c r="K4"/>
  <c r="K4" i="24"/>
  <c r="T37" i="23"/>
  <c r="O3" i="20"/>
  <c r="P3" s="1"/>
  <c r="P6" i="21"/>
  <c r="P11" s="1"/>
  <c r="P8" i="16"/>
  <c r="P11" i="30"/>
  <c r="P8" i="25"/>
  <c r="G13" i="16"/>
  <c r="P14" i="14"/>
  <c r="P7" i="13"/>
  <c r="P12" s="1"/>
  <c r="P8" i="10"/>
  <c r="P11" s="1"/>
  <c r="P20" i="24"/>
  <c r="P11" i="20"/>
  <c r="P17" i="14"/>
  <c r="G43" i="28"/>
  <c r="S19" i="1"/>
  <c r="P3"/>
  <c r="O74" i="2"/>
  <c r="P11" i="8"/>
  <c r="B42" i="1"/>
  <c r="P27"/>
  <c r="P35"/>
  <c r="T5" i="28"/>
  <c r="T43" s="1"/>
  <c r="W43" s="1"/>
  <c r="R43"/>
  <c r="G10" i="20"/>
  <c r="K4"/>
  <c r="R22" i="2"/>
  <c r="M57"/>
  <c r="O57" s="1"/>
  <c r="D31"/>
  <c r="D37" s="1"/>
  <c r="G36" s="1"/>
  <c r="T20"/>
  <c r="S20" s="1"/>
  <c r="R20"/>
  <c r="L41" i="5"/>
  <c r="M41" s="1"/>
  <c r="M39"/>
  <c r="M46" s="1"/>
  <c r="O4" i="2"/>
  <c r="M4"/>
  <c r="P9" i="25"/>
  <c r="P11" i="18"/>
  <c r="P8" i="13"/>
  <c r="P13" i="32"/>
  <c r="P19" i="28"/>
  <c r="P16" i="14"/>
  <c r="K14" i="5"/>
  <c r="O78" i="2"/>
  <c r="T32" i="1"/>
  <c r="P26"/>
  <c r="P28"/>
  <c r="P39"/>
  <c r="N59" i="2" l="1"/>
  <c r="O59" s="1"/>
  <c r="N60"/>
  <c r="O60" s="1"/>
  <c r="N58"/>
  <c r="O58" s="1"/>
  <c r="M58"/>
  <c r="R36"/>
  <c r="J12" i="1"/>
  <c r="J13" s="1"/>
  <c r="J4"/>
  <c r="K4" s="1"/>
  <c r="O21"/>
  <c r="P21" s="1"/>
  <c r="O19"/>
  <c r="P19" s="1"/>
  <c r="P23" s="1"/>
  <c r="O20"/>
  <c r="P20" s="1"/>
  <c r="G7"/>
  <c r="G41"/>
  <c r="P19" i="14"/>
  <c r="P31" i="1"/>
  <c r="T22" i="2"/>
  <c r="T36" s="1"/>
  <c r="O62"/>
  <c r="S18" i="1"/>
  <c r="P6"/>
  <c r="P12" i="16"/>
  <c r="P11" i="24"/>
  <c r="K4" i="2"/>
  <c r="H39" i="5"/>
  <c r="I39" s="1"/>
  <c r="K39" s="1"/>
  <c r="I38"/>
  <c r="K38" s="1"/>
  <c r="N11" i="1"/>
  <c r="R32"/>
  <c r="O24" i="14"/>
  <c r="P24" s="1"/>
  <c r="O22"/>
  <c r="P22" s="1"/>
  <c r="O25"/>
  <c r="P25" s="1"/>
  <c r="O23"/>
  <c r="P23" s="1"/>
  <c r="P24" i="28"/>
  <c r="P28" s="1"/>
  <c r="N3"/>
  <c r="O3"/>
  <c r="P11" i="25"/>
  <c r="P3" i="28" l="1"/>
  <c r="O12" i="1"/>
  <c r="P12" s="1"/>
  <c r="O11"/>
  <c r="P11" s="1"/>
  <c r="P15" s="1"/>
  <c r="O13"/>
  <c r="P13" s="1"/>
  <c r="P27" i="14"/>
  <c r="J13" i="5"/>
  <c r="O46" l="1"/>
  <c r="P46" s="1"/>
  <c r="J15"/>
  <c r="J16" s="1"/>
</calcChain>
</file>

<file path=xl/sharedStrings.xml><?xml version="1.0" encoding="utf-8"?>
<sst xmlns="http://schemas.openxmlformats.org/spreadsheetml/2006/main" count="724" uniqueCount="93">
  <si>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</si>
  <si>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</si>
  <si>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</si>
  <si>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</si>
  <si>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</si>
  <si>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</si>
  <si>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</si>
  <si>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</si>
  <si>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</si>
  <si>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</si>
  <si>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</si>
  <si>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</si>
  <si>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</si>
  <si>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</si>
  <si>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</si>
  <si>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</si>
  <si>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</si>
  <si>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</si>
  <si>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</si>
  <si>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</si>
  <si>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</si>
  <si>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</si>
  <si>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</si>
  <si>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</si>
  <si>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</si>
  <si>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</si>
  <si>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</si>
  <si>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</si>
  <si>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</si>
  <si>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</si>
  <si>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</si>
  <si>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</si>
  <si>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</si>
  <si>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</si>
  <si>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</si>
  <si>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</si>
  <si>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</si>
  <si>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</si>
  <si>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</si>
  <si>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</si>
  <si>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</si>
  <si>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</si>
  <si>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</si>
  <si>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</si>
  <si>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</si>
  <si>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</si>
  <si>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</si>
  <si>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</si>
  <si>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</si>
  <si>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</si>
  <si>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</si>
  <si>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</si>
  <si>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</si>
  <si>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</si>
  <si>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</si>
  <si>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</si>
  <si>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</si>
  <si>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</si>
  <si>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</si>
  <si>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</si>
  <si>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</si>
  <si>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</si>
  <si>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</si>
  <si>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</si>
  <si>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</si>
  <si>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</si>
  <si>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</si>
  <si>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</si>
  <si>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</si>
  <si>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</si>
  <si>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</si>
  <si>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</si>
  <si>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</si>
  <si>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</si>
  <si>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</si>
  <si>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</si>
  <si>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</si>
  <si>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</si>
  <si>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</si>
  <si>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</si>
  <si>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</si>
  <si>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</si>
  <si>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</si>
  <si>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</si>
  <si>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</si>
  <si>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</si>
  <si>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</si>
  <si>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</si>
  <si>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</si>
  <si>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</si>
  <si>
    <t>DCA2 2/5</t>
  </si>
  <si>
    <t>DCA1&amp;2 3/5</t>
  </si>
  <si>
    <t>Ph 4/5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</si>
</sst>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0930304"/>
        <c:axId val="80932224"/>
      </c:lineChart>
      <c:dateAx>
        <c:axId val="80930304"/>
        <c:scaling>
          <c:orientation val="minMax"/>
        </c:scaling>
        <c:axPos val="b"/>
        <c:numFmt formatCode="dd/mm/yy;@" sourceLinked="1"/>
        <c:majorTickMark val="none"/>
        <c:tickLblPos val="nextTo"/>
        <c:crossAx val="80932224"/>
        <c:crosses val="autoZero"/>
        <c:lblOffset val="100"/>
      </c:dateAx>
      <c:valAx>
        <c:axId val="8093222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9303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C11" sqref="C1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2099.032891276438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1119.912887171376</v>
      </c>
      <c r="K4" s="4">
        <f>(J4/D42-1)</f>
        <v>-0.22989759968806456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2725.6542641942292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6.2850700000000002E-3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6.2850700000000002E-3</v>
      </c>
      <c r="C12" s="40">
        <v>0</v>
      </c>
      <c r="D12" s="26">
        <f t="shared" si="0"/>
        <v>0</v>
      </c>
      <c r="E12" s="38">
        <f>(B12*J3)</f>
        <v>13.192568653974803</v>
      </c>
      <c r="I12" t="s">
        <v>13</v>
      </c>
      <c r="J12">
        <f>(J11-B42)</f>
        <v>6.6462440000000012E-2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139.5068475944868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0.53353756000000008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1" spans="2:16">
      <c r="F41" t="s">
        <v>9</v>
      </c>
      <c r="G41" s="39">
        <f>D42/B42</f>
        <v>2725.6542641942292</v>
      </c>
    </row>
    <row r="42" spans="2:16">
      <c r="B42">
        <f>(SUM(B5:B41))</f>
        <v>0.53353755999999997</v>
      </c>
      <c r="D42" s="23">
        <f>(SUM(D5:D41))</f>
        <v>1454.2389255217843</v>
      </c>
    </row>
  </sheetData>
  <conditionalFormatting sqref="C5:C7 C11 C18:C25 C27 C29 C31 C33 C35:C37 C40 N6 O11:O13 O19:O21 O26:O29 O34:O37 S5:S7 S10:S15 S18:S20 S23">
    <cfRule type="cellIs" dxfId="259" priority="37" operator="lessThan">
      <formula>$J$3</formula>
    </cfRule>
    <cfRule type="cellIs" dxfId="258" priority="38" operator="greaterThan">
      <formula>$J$3</formula>
    </cfRule>
  </conditionalFormatting>
  <conditionalFormatting sqref="G41">
    <cfRule type="cellIs" dxfId="257" priority="21" operator="lessThan">
      <formula>$J$3</formula>
    </cfRule>
    <cfRule type="cellIs" dxfId="256" priority="22" operator="greaterThan">
      <formula>$J$3</formula>
    </cfRule>
  </conditionalFormatting>
  <conditionalFormatting sqref="O3">
    <cfRule type="cellIs" dxfId="255" priority="9" operator="greaterThan">
      <formula>$J$3</formula>
    </cfRule>
    <cfRule type="cellIs" dxfId="254" priority="10" operator="less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1.6119959586314241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19.671693543068542</v>
      </c>
      <c r="K4" s="4">
        <f>(J4/D14-1)</f>
        <v>-0.46704225011605494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0.57194480999999997</v>
      </c>
      <c r="S5" s="40">
        <v>0</v>
      </c>
      <c r="T5" s="26">
        <f>(D6)</f>
        <v>0</v>
      </c>
      <c r="U5" s="38">
        <f>(R5*J3)</f>
        <v>0.92197272228021765</v>
      </c>
    </row>
    <row r="6" spans="2:21">
      <c r="B6" s="36">
        <v>0.57194480999999997</v>
      </c>
      <c r="C6" s="40">
        <v>0</v>
      </c>
      <c r="D6" s="26">
        <f>(B6*C6)</f>
        <v>0</v>
      </c>
      <c r="E6" s="38">
        <f>(B6*J3)</f>
        <v>0.92197272228021765</v>
      </c>
      <c r="M6" t="s">
        <v>11</v>
      </c>
      <c r="N6" s="29">
        <f>(SUM(R5:R7)/5)</f>
        <v>2.4406628859999997</v>
      </c>
      <c r="O6" s="38">
        <f>($C$5*Params!K8)</f>
        <v>4.170187259859512</v>
      </c>
      <c r="P6" s="38">
        <f>(O6*N6)</f>
        <v>10.178021272809147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2.4406628859999997</v>
      </c>
      <c r="O7" s="38">
        <f>($C$5*Params!K9)</f>
        <v>5.1325381659809377</v>
      </c>
      <c r="P7" s="38">
        <f>(O7*N7)</f>
        <v>12.52679541268818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0.29587940838512405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2.4406628859999997</v>
      </c>
      <c r="O8" s="38">
        <f>($C$5*Params!K10)</f>
        <v>7.0572399782237891</v>
      </c>
      <c r="P8" s="38">
        <f>(O8*N8)</f>
        <v>17.224343692446247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2.4406628859999997</v>
      </c>
      <c r="O9" s="38">
        <f>($C$5*Params!K11)</f>
        <v>12.831345414952343</v>
      </c>
      <c r="P9" s="38">
        <f>(O9*N9)</f>
        <v>31.316988531720451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71.246148909664029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3.024622418911155</v>
      </c>
    </row>
    <row r="14" spans="2:21">
      <c r="B14" s="29">
        <f>(SUM(B5:B13))</f>
        <v>12.203314430000001</v>
      </c>
      <c r="D14" s="38">
        <f>(SUM(D5:D13))</f>
        <v>36.910418410000005</v>
      </c>
      <c r="R14" s="29">
        <f>(SUM(R5:R13))</f>
        <v>12.203314429999999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9.4172242211491444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11.512131422681245</v>
      </c>
      <c r="K4" s="4">
        <f>(J4/D14-1)</f>
        <v>5.3259965478613447E-2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0.82811368831666665</v>
      </c>
      <c r="M6" t="s">
        <v>11</v>
      </c>
      <c r="N6" s="1">
        <f>(SUM($B$5:$B$7)/5)</f>
        <v>0.24449097000000003</v>
      </c>
      <c r="O6" s="38">
        <f>($C$5*Params!K8)</f>
        <v>12.800900900900901</v>
      </c>
      <c r="P6" s="38">
        <f>(O6*N6)</f>
        <v>3.1297046781351354</v>
      </c>
    </row>
    <row r="7" spans="2:16">
      <c r="B7" s="36">
        <v>2.451878E-2</v>
      </c>
      <c r="C7" s="40">
        <v>0</v>
      </c>
      <c r="D7" s="26">
        <f>(C7*B7)</f>
        <v>0</v>
      </c>
      <c r="E7" s="38">
        <f>(B7*J4)</f>
        <v>0.28226341768380847</v>
      </c>
      <c r="N7" s="1">
        <f>(SUM($B$5:$B$7)/5)</f>
        <v>0.24449097000000003</v>
      </c>
      <c r="O7" s="38">
        <f>($C$5*Params!K9)</f>
        <v>15.754954954954954</v>
      </c>
      <c r="P7" s="38">
        <f>(O7*N7)</f>
        <v>3.8519442192432436</v>
      </c>
    </row>
    <row r="8" spans="2:16">
      <c r="N8" s="1">
        <f>(SUM($B$5:$B$7)/5)</f>
        <v>0.24449097000000003</v>
      </c>
      <c r="O8" s="38">
        <f>($C$5*Params!K10)</f>
        <v>21.663063063063063</v>
      </c>
      <c r="P8" s="38">
        <f>(O8*N8)</f>
        <v>5.2964233014594599</v>
      </c>
    </row>
    <row r="9" spans="2:16">
      <c r="N9" s="1">
        <f>(SUM($B$5:$B$7)/5)</f>
        <v>0.24449097000000003</v>
      </c>
      <c r="O9" s="38">
        <f>($C$5*Params!K11)</f>
        <v>39.387387387387385</v>
      </c>
      <c r="P9" s="38">
        <f>(O9*N9)</f>
        <v>9.629860548108109</v>
      </c>
    </row>
    <row r="12" spans="2:16">
      <c r="P12" s="38">
        <f>(SUM(P6:P9))</f>
        <v>21.907932746945949</v>
      </c>
    </row>
    <row r="13" spans="2:16">
      <c r="F13" t="s">
        <v>9</v>
      </c>
      <c r="G13" s="38">
        <f>(D14/B14)</f>
        <v>8.9410255110853374</v>
      </c>
    </row>
    <row r="14" spans="2:16">
      <c r="B14" s="19">
        <f>(SUM(B5:B13))</f>
        <v>1.2224548500000001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21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22.469526266921719</v>
      </c>
      <c r="M3" t="s">
        <v>4</v>
      </c>
      <c r="N3" s="24">
        <f>(INDEX(N5:N19,MATCH(MAX(O16,O6),O5:O19,0))/0.9)</f>
        <v>0.55192021111111123</v>
      </c>
      <c r="O3" s="39">
        <f>(MAX(O16,O6)*0.85)</f>
        <v>16.723683895070991</v>
      </c>
      <c r="P3" s="35">
        <f>(O3*N3)</f>
        <v>9.2301391459230722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(B15*J3)</f>
        <v>57.349350277886636</v>
      </c>
      <c r="K4" s="4">
        <f>(J4/D15-1)</f>
        <v>0.72002921085631888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1.531363E-2</v>
      </c>
      <c r="S5" s="40">
        <v>0</v>
      </c>
      <c r="T5" s="26">
        <f>(D6)</f>
        <v>0</v>
      </c>
      <c r="U5" s="38">
        <f>(R5*J3)</f>
        <v>0.34409001152692043</v>
      </c>
    </row>
    <row r="6" spans="2:22">
      <c r="B6" s="25">
        <v>1.531363E-2</v>
      </c>
      <c r="C6" s="40">
        <v>0</v>
      </c>
      <c r="D6" s="26">
        <f>(B6*C6)</f>
        <v>0</v>
      </c>
      <c r="E6" s="38">
        <f>(B6*J3)</f>
        <v>0.34409001152692043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Q6" t="s">
        <v>12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 t="shared" ref="C7:C13" si="0"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0.92935497740487161</v>
      </c>
    </row>
    <row r="8" spans="2:22">
      <c r="B8">
        <v>-0.114356</v>
      </c>
      <c r="C8" s="38">
        <f t="shared" si="0"/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 t="shared" si="0"/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 t="shared" si="0"/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 t="shared" si="0"/>
        <v>11.638838496622212</v>
      </c>
      <c r="D11" s="38">
        <v>1.06</v>
      </c>
      <c r="P11" s="38">
        <f>(SUM(P6:P9))</f>
        <v>68.411619552135718</v>
      </c>
    </row>
    <row r="12" spans="2:22">
      <c r="B12" s="24">
        <v>-0.13750000000000001</v>
      </c>
      <c r="C12" s="38">
        <f t="shared" si="0"/>
        <v>18.539550399999996</v>
      </c>
      <c r="D12" s="38">
        <v>-2.5491881799999998</v>
      </c>
      <c r="P12" s="38"/>
    </row>
    <row r="13" spans="2:22">
      <c r="B13" s="24">
        <v>-0.49669999999999997</v>
      </c>
      <c r="C13" s="38">
        <f t="shared" si="0"/>
        <v>21.834261465673446</v>
      </c>
      <c r="D13" s="38">
        <v>-10.84507767</v>
      </c>
      <c r="P13" s="38"/>
    </row>
    <row r="14" spans="2:22">
      <c r="F14" t="s">
        <v>9</v>
      </c>
      <c r="G14" s="38">
        <f>(D15/B15)</f>
        <v>13.063456204755518</v>
      </c>
    </row>
    <row r="15" spans="2:22">
      <c r="B15" s="24">
        <f>(SUM(B5:B14))</f>
        <v>2.55231684</v>
      </c>
      <c r="D15" s="38">
        <f>(SUM(D5:D14))</f>
        <v>33.342079259999998</v>
      </c>
      <c r="M15" t="s">
        <v>81</v>
      </c>
      <c r="N15" t="s">
        <v>29</v>
      </c>
      <c r="O15" t="s">
        <v>1</v>
      </c>
      <c r="P15" t="s">
        <v>2</v>
      </c>
      <c r="R15" s="24">
        <f>(SUM(R5:R14))</f>
        <v>3.1865168400000004</v>
      </c>
      <c r="T15" s="38">
        <f>(SUM(T5:T14))</f>
        <v>46.736345110000002</v>
      </c>
    </row>
    <row r="16" spans="2:22">
      <c r="M16" t="s">
        <v>11</v>
      </c>
      <c r="N16" s="24">
        <f>-B12</f>
        <v>0.13750000000000001</v>
      </c>
      <c r="O16" s="38">
        <f>18.6</f>
        <v>18.600000000000001</v>
      </c>
      <c r="P16" s="38">
        <f>-D12</f>
        <v>2.5491881799999998</v>
      </c>
      <c r="Q16" t="s">
        <v>12</v>
      </c>
    </row>
    <row r="17" spans="14:16">
      <c r="N17" s="24">
        <f>($B$10)/5</f>
        <v>0.13751245200000001</v>
      </c>
      <c r="O17" s="38">
        <f>($C$10*Params!K9)</f>
        <v>22.898289967224205</v>
      </c>
      <c r="P17" s="38">
        <f>(O17*N17)</f>
        <v>3.1488</v>
      </c>
    </row>
    <row r="18" spans="14:16">
      <c r="N18" s="24">
        <f>($B$10)/5</f>
        <v>0.13751245200000001</v>
      </c>
      <c r="O18" s="38">
        <f>($C$10*Params!K10)</f>
        <v>31.485148704933284</v>
      </c>
      <c r="P18" s="38">
        <f>(O18*N18)</f>
        <v>4.329600000000001</v>
      </c>
    </row>
    <row r="19" spans="14:16">
      <c r="N19" s="24">
        <f>($B$10)/5</f>
        <v>0.13751245200000001</v>
      </c>
      <c r="O19" s="38">
        <f>($C$10*Params!K11)</f>
        <v>57.24572491806051</v>
      </c>
      <c r="P19" s="38">
        <f>(O19*N19)</f>
        <v>7.8719999999999999</v>
      </c>
    </row>
    <row r="21" spans="14:16">
      <c r="P21" s="38">
        <f>(SUM(P16:P19))</f>
        <v>17.899588180000002</v>
      </c>
    </row>
  </sheetData>
  <conditionalFormatting sqref="C5 C9:C11 G14 O7:O9 O17:O19 S6">
    <cfRule type="cellIs" dxfId="177" priority="19" operator="lessThan">
      <formula>$J$3</formula>
    </cfRule>
    <cfRule type="cellIs" dxfId="176" priority="20" operator="greaterThan">
      <formula>$J$3</formula>
    </cfRule>
  </conditionalFormatting>
  <conditionalFormatting sqref="S8"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3">
    <cfRule type="cellIs" dxfId="173" priority="1" operator="greaterThan">
      <formula>$J$3</formula>
    </cfRule>
    <cfRule type="cellIs" dxfId="1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2.47710811711652E-3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2.3663472960534797</v>
      </c>
      <c r="K4" s="4">
        <f>(J4/D13-1)</f>
        <v>-0.16447288976386598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C9:C11">
    <cfRule type="cellIs" dxfId="169" priority="15" operator="lessThan">
      <formula>$J$3</formula>
    </cfRule>
    <cfRule type="cellIs" dxfId="168" priority="16" operator="greaterThan">
      <formula>$J$3</formula>
    </cfRule>
    <cfRule type="cellIs" dxfId="167" priority="13" operator="lessThan">
      <formula>$J$3</formula>
    </cfRule>
    <cfRule type="cellIs" dxfId="166" priority="14" operator="greaterThan">
      <formula>$J$3</formula>
    </cfRule>
  </conditionalFormatting>
  <conditionalFormatting sqref="O6:O9">
    <cfRule type="cellIs" dxfId="165" priority="11" operator="lessThan">
      <formula>$J$3</formula>
    </cfRule>
    <cfRule type="cellIs" dxfId="164" priority="12" operator="greaterThan">
      <formula>$J$3</formula>
    </cfRule>
    <cfRule type="cellIs" dxfId="163" priority="9" operator="lessThan">
      <formula>$J$3</formula>
    </cfRule>
    <cfRule type="cellIs" dxfId="162" priority="10" operator="greaterThan">
      <formula>$J$3</formula>
    </cfRule>
  </conditionalFormatting>
  <conditionalFormatting sqref="S5">
    <cfRule type="cellIs" dxfId="161" priority="7" operator="lessThan">
      <formula>$J$3</formula>
    </cfRule>
    <cfRule type="cellIs" dxfId="160" priority="8" operator="greaterThan">
      <formula>$J$3</formula>
    </cfRule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G12"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26" sqref="I26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229.4943432871942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157.20427232577609</v>
      </c>
      <c r="K4" s="4">
        <f>(J4/D17-1)</f>
        <v>-0.18187446137212382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5.3931170672490633E-2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2.4536000000000002E-3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2.1797372725417704E-2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2.1236200000000001E-3</v>
      </c>
      <c r="C10" s="40">
        <v>0</v>
      </c>
      <c r="D10" s="26">
        <v>0</v>
      </c>
      <c r="E10" s="38">
        <f>(B10*J3)</f>
        <v>0.48735877729155136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0.68500282000000001</v>
      </c>
      <c r="D17" s="38">
        <f>(SUM(D5:D16))</f>
        <v>192.15177244</v>
      </c>
      <c r="F17" t="s">
        <v>9</v>
      </c>
      <c r="G17" s="38">
        <f>(SUM(D5:D16)/SUM(B5:B16))</f>
        <v>280.51238159866261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9.5426800000000009E-4</v>
      </c>
      <c r="O22" s="38">
        <f>($S$5*Params!K8)</f>
        <v>323.96134165178148</v>
      </c>
      <c r="P22" s="38">
        <f>(O22*N22)</f>
        <v>0.30914594157536224</v>
      </c>
    </row>
    <row r="23" spans="2:16">
      <c r="N23" s="24">
        <f>(($R$5+$R$7)/5)</f>
        <v>9.5426800000000009E-4</v>
      </c>
      <c r="O23" s="38">
        <f>($S$5*Params!K9)</f>
        <v>398.72165126373102</v>
      </c>
      <c r="P23" s="38">
        <f>(O23*N23)</f>
        <v>0.38048731270813813</v>
      </c>
    </row>
    <row r="24" spans="2:16">
      <c r="N24" s="24">
        <f>(($R$5+$R$7)/5)</f>
        <v>9.5426800000000009E-4</v>
      </c>
      <c r="O24" s="38">
        <f>($S$5*Params!K10)</f>
        <v>548.24227048763021</v>
      </c>
      <c r="P24" s="38">
        <f>(O24*N24)</f>
        <v>0.52317005497368996</v>
      </c>
    </row>
    <row r="25" spans="2:16">
      <c r="N25" s="24">
        <f>(($R$5+$R$7)/5)</f>
        <v>9.5426800000000009E-4</v>
      </c>
      <c r="O25" s="38">
        <f>($S$5*Params!K11)</f>
        <v>996.80412815932755</v>
      </c>
      <c r="P25" s="38">
        <f>(O25*N25)</f>
        <v>0.95121828177034529</v>
      </c>
    </row>
    <row r="26" spans="2:16">
      <c r="P26" s="38"/>
    </row>
    <row r="27" spans="2:16">
      <c r="P27" s="38">
        <f>(SUM(P22:P25))</f>
        <v>2.1640215910275358</v>
      </c>
    </row>
    <row r="37" spans="18:20">
      <c r="R37" s="51">
        <f>(SUM(R5:R27))</f>
        <v>0.68500282000000001</v>
      </c>
      <c r="T37" s="38">
        <f>(SUM(T5:T27))</f>
        <v>192.15177244</v>
      </c>
    </row>
  </sheetData>
  <conditionalFormatting sqref="C5:C6 C9 C11:C14 O6:O9 O14 S5:S6 S8:S9">
    <cfRule type="cellIs" dxfId="153" priority="11" operator="lessThan">
      <formula>$J$3</formula>
    </cfRule>
    <cfRule type="cellIs" dxfId="152" priority="12" operator="greaterThan">
      <formula>$J$3</formula>
    </cfRule>
  </conditionalFormatting>
  <conditionalFormatting sqref="O15:O17">
    <cfRule type="cellIs" dxfId="151" priority="7" operator="lessThan">
      <formula>$J$3</formula>
    </cfRule>
    <cfRule type="cellIs" dxfId="150" priority="8" operator="greaterThan">
      <formula>$J$3</formula>
    </cfRule>
  </conditionalFormatting>
  <conditionalFormatting sqref="O22:O25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G17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8.4237724451975748E-2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5.1712701035761288</v>
      </c>
      <c r="K4" s="4">
        <f>(J4/D13-1)</f>
        <v>3.4254020715225764E-2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0.26988679999999998</v>
      </c>
      <c r="C6" s="40">
        <v>0</v>
      </c>
      <c r="D6" s="26">
        <f>(B6*C6)</f>
        <v>0</v>
      </c>
      <c r="E6" s="38">
        <f>(B6*J3)</f>
        <v>2.2734649891625488E-2</v>
      </c>
      <c r="M6" t="s">
        <v>11</v>
      </c>
      <c r="N6" s="29">
        <f>($B$13/5)</f>
        <v>12.277801038</v>
      </c>
      <c r="O6" s="38">
        <f>($C$5*Params!K8)</f>
        <v>0.10634970155367125</v>
      </c>
      <c r="P6" s="38">
        <f>(O6*N6)</f>
        <v>1.3057404761266551</v>
      </c>
    </row>
    <row r="7" spans="2:16">
      <c r="N7" s="29">
        <f>($B$13/5)</f>
        <v>12.277801038</v>
      </c>
      <c r="O7" s="38">
        <f>($C$5*Params!K9)</f>
        <v>0.13089194037374924</v>
      </c>
      <c r="P7" s="38">
        <f>(O7*N7)</f>
        <v>1.6070652013866524</v>
      </c>
    </row>
    <row r="8" spans="2:16">
      <c r="N8" s="29">
        <f>($B$13/5)</f>
        <v>12.277801038</v>
      </c>
      <c r="O8" s="38">
        <f>($C$5*Params!K10)</f>
        <v>0.17997641801390521</v>
      </c>
      <c r="P8" s="38">
        <f>(O8*N8)</f>
        <v>2.2097146519066473</v>
      </c>
    </row>
    <row r="9" spans="2:16">
      <c r="N9" s="29">
        <f>($B$13/5)</f>
        <v>12.277801038</v>
      </c>
      <c r="O9" s="38">
        <f>($C$5*Params!K11)</f>
        <v>0.32722985093437307</v>
      </c>
      <c r="P9" s="38">
        <f>(O9*N9)</f>
        <v>4.0176630034666312</v>
      </c>
    </row>
    <row r="11" spans="2:16">
      <c r="P11" s="38">
        <f>(SUM(P6:P9))</f>
        <v>9.1401833328865862</v>
      </c>
    </row>
    <row r="12" spans="2:16">
      <c r="F12" t="s">
        <v>9</v>
      </c>
      <c r="G12" s="38">
        <f>(D13/B13)</f>
        <v>8.144780949821416E-2</v>
      </c>
    </row>
    <row r="13" spans="2:16">
      <c r="B13" s="29">
        <f>(SUM(B5:B12))</f>
        <v>61.389005189999999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5.4639035241007186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37.503580743678135</v>
      </c>
      <c r="K4" s="4">
        <f>(J4/D14-1)</f>
        <v>2.9212261459021782E-3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6.8972980000000003E-2</v>
      </c>
      <c r="S5" s="40">
        <v>0</v>
      </c>
      <c r="T5" s="26">
        <f>(D6)</f>
        <v>0</v>
      </c>
      <c r="U5">
        <f>(R5*J3)</f>
        <v>0.37686170848972839</v>
      </c>
    </row>
    <row r="6" spans="2:21">
      <c r="B6" s="25">
        <v>6.8972980000000003E-2</v>
      </c>
      <c r="C6" s="40">
        <v>0</v>
      </c>
      <c r="D6" s="26">
        <f>(B6*C6)</f>
        <v>0</v>
      </c>
      <c r="E6" s="38">
        <f>(B6*J3)</f>
        <v>0.37686170848972839</v>
      </c>
      <c r="M6" t="s">
        <v>11</v>
      </c>
      <c r="N6" s="24">
        <f>($B$14/5)</f>
        <v>1.3727760960000002</v>
      </c>
      <c r="O6" s="38">
        <f>($S$6*Params!K8)</f>
        <v>7.1908593398211149</v>
      </c>
      <c r="P6" s="38">
        <f>(O6*N6)</f>
        <v>9.8714398114047679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1.3727760960000002</v>
      </c>
      <c r="O7" s="38">
        <f>($S$6*Params!K9)</f>
        <v>8.850288418241373</v>
      </c>
      <c r="P7" s="38">
        <f>(O7*N7)</f>
        <v>12.149464383267409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1.3727760960000002</v>
      </c>
      <c r="O8" s="38">
        <f>($C$5*Params!K10)</f>
        <v>12.169146575081887</v>
      </c>
      <c r="P8" s="38">
        <f>(O8*N8)</f>
        <v>16.705513526992686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1.3727760960000002</v>
      </c>
      <c r="O9" s="38">
        <f>($C$5*Params!K11)</f>
        <v>22.125721045603431</v>
      </c>
      <c r="P9" s="38">
        <f>(O9*N9)</f>
        <v>30.373660958168518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69.100078679833373</v>
      </c>
    </row>
    <row r="13" spans="2:21">
      <c r="F13" t="s">
        <v>9</v>
      </c>
      <c r="G13" s="38">
        <f>(D14/B14)</f>
        <v>5.447988717017985</v>
      </c>
      <c r="N13" s="24"/>
      <c r="P13" s="38"/>
      <c r="R13" s="24">
        <f>(SUM(R5:R12))</f>
        <v>6.8638804799999997</v>
      </c>
      <c r="T13" s="38">
        <f>(SUM(T5:T12))</f>
        <v>37.394343410000005</v>
      </c>
    </row>
    <row r="14" spans="2:21">
      <c r="B14">
        <f>(SUM(B5:B13))</f>
        <v>6.8638804800000006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44.349682421434842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5.4895606709332556</v>
      </c>
      <c r="K4" s="4">
        <f>(J4/D13-1)</f>
        <v>5.5684744410241516E-2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2.93136E-3</v>
      </c>
      <c r="C6" s="40">
        <v>0</v>
      </c>
      <c r="D6" s="26">
        <f>(B6*C6)</f>
        <v>0</v>
      </c>
      <c r="E6" s="38">
        <f>(B6*J3)</f>
        <v>0.13000488506289723</v>
      </c>
      <c r="M6" t="s">
        <v>11</v>
      </c>
      <c r="N6" s="24">
        <f>($B$13/5)</f>
        <v>2.4755805999999998E-2</v>
      </c>
      <c r="O6" s="38">
        <f>($C$5*Params!K8)</f>
        <v>55.939</v>
      </c>
      <c r="P6" s="38">
        <f>(O6*N6)</f>
        <v>1.384815031834</v>
      </c>
    </row>
    <row r="7" spans="2:16">
      <c r="N7" s="24">
        <f>($B$13/5)</f>
        <v>2.4755805999999998E-2</v>
      </c>
      <c r="O7" s="38">
        <f>($C$5*Params!K9)</f>
        <v>68.847999999999999</v>
      </c>
      <c r="P7" s="38">
        <f>(O7*N7)</f>
        <v>1.7043877314879998</v>
      </c>
    </row>
    <row r="8" spans="2:16">
      <c r="N8" s="24">
        <f>($B$13/5)</f>
        <v>2.4755805999999998E-2</v>
      </c>
      <c r="O8" s="38">
        <f>($C$5*Params!K10)</f>
        <v>94.666000000000011</v>
      </c>
      <c r="P8" s="38">
        <f>(O8*N8)</f>
        <v>2.3435331307960001</v>
      </c>
    </row>
    <row r="9" spans="2:16">
      <c r="N9" s="24">
        <f>($B$13/5)</f>
        <v>2.4755805999999998E-2</v>
      </c>
      <c r="O9" s="38">
        <f>($C$5*Params!K11)</f>
        <v>172.12</v>
      </c>
      <c r="P9" s="38">
        <f>(O9*N9)</f>
        <v>4.2609693287199999</v>
      </c>
    </row>
    <row r="11" spans="2:16">
      <c r="P11" s="38">
        <f>(SUM(P6:P9))</f>
        <v>9.6937052228380001</v>
      </c>
    </row>
    <row r="12" spans="2:16">
      <c r="F12" t="s">
        <v>9</v>
      </c>
      <c r="G12" s="38">
        <f>(D13/B13)</f>
        <v>42.010346986884613</v>
      </c>
    </row>
    <row r="13" spans="2:16">
      <c r="B13">
        <f>(SUM(B5:B12))</f>
        <v>0.12377903</v>
      </c>
      <c r="D13" s="38">
        <f>(SUM(D5:D12))</f>
        <v>5.2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12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4.7652077970082596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10.54245376159059</v>
      </c>
      <c r="K4" s="4">
        <f>(J4/D10-1)</f>
        <v>3.3573898195155882E-2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2.1986499999999999E-3</v>
      </c>
      <c r="C6" s="40">
        <v>0</v>
      </c>
      <c r="D6" s="26">
        <f>(B6*C6)</f>
        <v>0</v>
      </c>
      <c r="E6" s="38">
        <f>(B6*J3)</f>
        <v>1.047702412289221E-2</v>
      </c>
      <c r="M6" t="s">
        <v>11</v>
      </c>
      <c r="N6" s="24">
        <f>($B$10/5)</f>
        <v>0.44247613999999996</v>
      </c>
      <c r="O6" s="38">
        <f>($C$5*Params!K8)</f>
        <v>5.9995057873173847</v>
      </c>
      <c r="P6" s="38">
        <f>(O6*N6)</f>
        <v>2.654638162679857</v>
      </c>
    </row>
    <row r="7" spans="2:16">
      <c r="N7" s="24">
        <f>($B$10/5)</f>
        <v>0.44247613999999996</v>
      </c>
      <c r="O7" s="38">
        <f>($C$5*Params!K9)</f>
        <v>7.3840071228521653</v>
      </c>
      <c r="P7" s="38">
        <f>(O7*N7)</f>
        <v>3.2672469694521316</v>
      </c>
    </row>
    <row r="8" spans="2:16">
      <c r="N8" s="24">
        <f>($B$10/5)</f>
        <v>0.44247613999999996</v>
      </c>
      <c r="O8" s="38">
        <f>($C$5*Params!K10)</f>
        <v>10.153009793921727</v>
      </c>
      <c r="P8" s="38">
        <f>(O8*N8)</f>
        <v>4.4924645829966812</v>
      </c>
    </row>
    <row r="9" spans="2:16">
      <c r="F9" t="s">
        <v>9</v>
      </c>
      <c r="G9" s="38">
        <f>(D10/B10)</f>
        <v>4.6104180894364157</v>
      </c>
      <c r="N9" s="24">
        <f>($B$10/5)</f>
        <v>0.44247613999999996</v>
      </c>
      <c r="O9" s="38">
        <f>($C$5*Params!K11)</f>
        <v>18.460017807130413</v>
      </c>
      <c r="P9" s="38">
        <f>(O9*N9)</f>
        <v>8.1681174236303296</v>
      </c>
    </row>
    <row r="10" spans="2:16">
      <c r="B10">
        <f>(SUM(B5:B9))</f>
        <v>2.2123806999999998</v>
      </c>
      <c r="D10" s="38">
        <f>(SUM(D5:D9))</f>
        <v>10.199999999999999</v>
      </c>
    </row>
    <row r="11" spans="2:16">
      <c r="P11" s="38">
        <f>(SUM(P6:P9))</f>
        <v>18.582467138759</v>
      </c>
    </row>
    <row r="12" spans="2:16">
      <c r="P12" s="38"/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2.406571156309222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12.689317830927271</v>
      </c>
      <c r="K4" s="4">
        <f>(J4/D10-1)</f>
        <v>0.1160349895274646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1.722771E-2</v>
      </c>
      <c r="C6" s="40">
        <v>0</v>
      </c>
      <c r="D6" s="26">
        <f>(B6*C6)</f>
        <v>0</v>
      </c>
      <c r="E6" s="38">
        <f>(B6*J3)</f>
        <v>4.1459709975259947E-2</v>
      </c>
      <c r="M6" t="s">
        <v>11</v>
      </c>
      <c r="N6" s="1">
        <f>($B$10/5)</f>
        <v>1.054555798</v>
      </c>
      <c r="O6" s="38">
        <f>($C$5*Params!K8)</f>
        <v>2.8124547193077718</v>
      </c>
      <c r="P6" s="38">
        <f>(O6*N6)</f>
        <v>2.9658904308584733</v>
      </c>
    </row>
    <row r="7" spans="2:16">
      <c r="N7" s="1">
        <f>($B$10/5)</f>
        <v>1.054555798</v>
      </c>
      <c r="O7" s="38">
        <f>($C$5*Params!K9)</f>
        <v>3.4614827314557193</v>
      </c>
      <c r="P7" s="38">
        <f>(O7*N7)</f>
        <v>3.6503266841335056</v>
      </c>
    </row>
    <row r="8" spans="2:16">
      <c r="N8" s="1">
        <f>($B$10/5)</f>
        <v>1.054555798</v>
      </c>
      <c r="O8" s="38">
        <f>($C$5*Params!K10)</f>
        <v>4.7595387557516142</v>
      </c>
      <c r="P8" s="38">
        <f>(O8*N8)</f>
        <v>5.0191991906835707</v>
      </c>
    </row>
    <row r="9" spans="2:16">
      <c r="F9" t="s">
        <v>9</v>
      </c>
      <c r="G9" s="38">
        <f>(D10/B10)</f>
        <v>2.1563581598173527</v>
      </c>
      <c r="N9" s="1">
        <f>($B$10/5)</f>
        <v>1.054555798</v>
      </c>
      <c r="O9" s="38">
        <f>($C$5*Params!K11)</f>
        <v>8.6537068286392973</v>
      </c>
      <c r="P9" s="38">
        <f>(O9*N9)</f>
        <v>9.1258167103337637</v>
      </c>
    </row>
    <row r="10" spans="2:16">
      <c r="B10" s="1">
        <f>(SUM(B5:B9))</f>
        <v>5.2727789899999999</v>
      </c>
      <c r="D10" s="38">
        <f>(SUM(D5:D9))</f>
        <v>11.37</v>
      </c>
    </row>
    <row r="11" spans="2:16">
      <c r="P11" s="38">
        <f>(SUM(P6:P9))</f>
        <v>20.761233016009314</v>
      </c>
    </row>
  </sheetData>
  <conditionalFormatting sqref="C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9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R19" sqref="R19:U2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38665.65253841829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1147.6754452714335</v>
      </c>
      <c r="K4" s="4">
        <f>(J4/D37-1)</f>
        <v>0.62103715045342955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3.4768000000000001E-4</v>
      </c>
      <c r="C6" s="40">
        <v>0</v>
      </c>
      <c r="D6" s="26">
        <f>(B6*C6)</f>
        <v>0</v>
      </c>
      <c r="E6" s="38">
        <f>(B6*J3)</f>
        <v>13.443274074557271</v>
      </c>
      <c r="I6" t="s">
        <v>11</v>
      </c>
      <c r="J6">
        <v>0.03</v>
      </c>
      <c r="R6" s="24">
        <f t="shared" si="0"/>
        <v>3.4768000000000001E-4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3.1795999999998867E-4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12.294130881115041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23852.416045864771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2.8952770000000003E-2</v>
      </c>
      <c r="T36" s="38">
        <f>(SUM(T5:T25))</f>
        <v>523.90980017000004</v>
      </c>
    </row>
    <row r="37" spans="2:20">
      <c r="B37">
        <f>(SUM(B5:B36))</f>
        <v>2.968204000000001E-2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M1" sqref="M1:P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14.80655419404559</v>
      </c>
      <c r="M3" t="s">
        <v>4</v>
      </c>
      <c r="N3" s="24">
        <f>(INDEX(N5:N16,MATCH(MAX(O6:O7),O5:O16,0))/0.9)</f>
        <v>0.30371801333333343</v>
      </c>
      <c r="O3" s="39">
        <f>(MAX(O6:O8)*0.85)</f>
        <v>12.906255639431281</v>
      </c>
      <c r="P3" s="35">
        <f>(O3*N3)</f>
        <v>3.9198623223801996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7.8330691665964878</v>
      </c>
      <c r="K4" s="4">
        <f>(J4/D11-1)</f>
        <v>-13.60239219156767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2.2616200000000002E-3</v>
      </c>
      <c r="C6" s="40">
        <v>0</v>
      </c>
      <c r="D6" s="26">
        <f>(B6*C6)</f>
        <v>0</v>
      </c>
      <c r="E6" s="38">
        <f>(B6*J3)</f>
        <v>3.3486799096337394E-2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2.2616200000000002E-3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($C$5*Params!K10)</f>
        <v>15.183830164036802</v>
      </c>
      <c r="P8" s="38">
        <f>(O8*N8)</f>
        <v>3.9720899709120276</v>
      </c>
      <c r="Q8" t="s">
        <v>12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0.26355550800000005</v>
      </c>
      <c r="O9" s="38">
        <f>($C$5*Params!K11)</f>
        <v>27.606963934612367</v>
      </c>
      <c r="P9" s="38">
        <f>(O9*N9)</f>
        <v>7.275967404124442</v>
      </c>
      <c r="R9" s="1">
        <f>B9</f>
        <v>-0.2616</v>
      </c>
      <c r="S9" s="38">
        <f>(T9/R9)</f>
        <v>15.329814220183486</v>
      </c>
      <c r="T9" s="38">
        <f>D9</f>
        <v>-4.0102793999999999</v>
      </c>
      <c r="U9" s="39"/>
    </row>
    <row r="10" spans="2:21">
      <c r="C10" s="38"/>
      <c r="D10" s="38"/>
      <c r="F10" t="s">
        <v>9</v>
      </c>
      <c r="G10" s="38">
        <f>(D11/B11)</f>
        <v>-1.174900286308558</v>
      </c>
      <c r="O10" s="38"/>
      <c r="P10" s="38"/>
      <c r="R10" s="1"/>
      <c r="S10" s="38"/>
      <c r="T10" s="38"/>
      <c r="U10" s="39"/>
    </row>
    <row r="11" spans="2:21">
      <c r="B11">
        <f>(SUM(B5:B10))</f>
        <v>0.52902715000000011</v>
      </c>
      <c r="C11" s="38"/>
      <c r="D11" s="38">
        <f>(SUM(D5:D10))</f>
        <v>-0.62155415000000058</v>
      </c>
      <c r="O11" s="38"/>
      <c r="P11" s="38">
        <f>(SUM(P6:P9))</f>
        <v>16.927647088741601</v>
      </c>
      <c r="R11" s="1"/>
      <c r="S11" s="38"/>
      <c r="T11" s="39"/>
    </row>
    <row r="22" spans="18:20">
      <c r="R22">
        <f>(SUM(R5:R21))</f>
        <v>0.52902715000000011</v>
      </c>
      <c r="T22" s="38">
        <f>(SUM(T5:T21))</f>
        <v>-0.62155415000000058</v>
      </c>
    </row>
  </sheetData>
  <conditionalFormatting sqref="C5 G10 O9 S5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3" operator="greaterThan">
      <formula>$J$3</formula>
    </cfRule>
    <cfRule type="cellIs" dxfId="116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71.142284008596434</v>
      </c>
      <c r="M3" t="s">
        <v>4</v>
      </c>
      <c r="N3" s="24">
        <f>(INDEX(N5:N15,MATCH(MAX(O6),O5:O15,0))/0.9)</f>
        <v>3.6449284444444445E-2</v>
      </c>
      <c r="O3" s="39">
        <f>(MAX(O6)*0.85)</f>
        <v>76.033733733733726</v>
      </c>
      <c r="P3" s="35">
        <f>(O3*N3)</f>
        <v>2.7713751882340114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11.668884056355523</v>
      </c>
      <c r="K4" s="4">
        <f>(J4/D15-1)</f>
        <v>0.17406448855462564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1.06419E-3</v>
      </c>
      <c r="C6" s="40">
        <v>0</v>
      </c>
      <c r="D6" s="26">
        <f>(B6*C6)</f>
        <v>0</v>
      </c>
      <c r="E6" s="38">
        <f>(B6*J3)</f>
        <v>7.5708907219108237E-2</v>
      </c>
      <c r="M6" t="s">
        <v>11</v>
      </c>
      <c r="N6" s="51">
        <f>(SUM(R$5:R$8)/5)</f>
        <v>3.2804356E-2</v>
      </c>
      <c r="O6" s="38">
        <f>($C$7*Params!K8)</f>
        <v>89.451451451451447</v>
      </c>
      <c r="P6" s="38">
        <f>(O6*N6)</f>
        <v>2.9343972581301299</v>
      </c>
      <c r="R6" s="2">
        <f>(B6)</f>
        <v>1.06419E-3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3.2804356E-2</v>
      </c>
      <c r="O7" s="38">
        <f>($C$7*Params!K9)</f>
        <v>110.09409409409409</v>
      </c>
      <c r="P7" s="38">
        <f>(O7*N7)</f>
        <v>3.6115658561601598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3.2804356E-2</v>
      </c>
      <c r="O8" s="38">
        <f>($C$7*Params!K10)</f>
        <v>151.37937937937937</v>
      </c>
      <c r="P8" s="38">
        <f>(O8*N8)</f>
        <v>4.9659030522202201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1.2751254315715084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3.2804356E-2</v>
      </c>
      <c r="O9" s="38">
        <f>($C$7*Params!K11)</f>
        <v>275.23523523523522</v>
      </c>
      <c r="P9" s="38">
        <f>(O9*N9)</f>
        <v>9.0289146404003997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20.540780806910909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60.594869108236722</v>
      </c>
    </row>
    <row r="15" spans="2:21">
      <c r="B15" s="1">
        <f>(SUM(B5:B14))</f>
        <v>0.16402178000000001</v>
      </c>
      <c r="D15" s="38">
        <f>(SUM(D5:D14))</f>
        <v>9.9388782899999999</v>
      </c>
    </row>
    <row r="21" spans="18:20">
      <c r="R21">
        <f>(SUM(R5:R20))</f>
        <v>0.16402178000000001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1"/>
  <sheetViews>
    <sheetView workbookViewId="0">
      <selection activeCell="G23" sqref="G23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0.74348887194137536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(B21*J3)</f>
        <v>2.8592000026710829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5.5261190000000002E-2</v>
      </c>
      <c r="C6" s="40">
        <v>0</v>
      </c>
      <c r="D6" s="26">
        <f>(B6*C6)</f>
        <v>0</v>
      </c>
      <c r="E6" s="38">
        <f>(B6*J3)</f>
        <v>4.1086079815238014E-2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8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19" spans="2:4" s="14" customFormat="1">
      <c r="B19" s="14">
        <v>0.31639059000000003</v>
      </c>
      <c r="C19" s="38">
        <v>0</v>
      </c>
      <c r="D19" s="38">
        <f t="shared" ref="D19" si="1">(B19*C19)</f>
        <v>0</v>
      </c>
    </row>
    <row r="21" spans="2:4">
      <c r="B21">
        <f>(SUM(B5:B20))</f>
        <v>3.8456527200000012</v>
      </c>
      <c r="D21" s="38">
        <f>(SUM(D5:D20))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tabSelected="1" workbookViewId="0">
      <selection activeCell="N29" sqref="N2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1.157884162559366E-4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39.365138803772346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4820.0153347900005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4820.0153347900005</v>
      </c>
      <c r="C18" s="40">
        <v>0</v>
      </c>
      <c r="D18" s="26">
        <f>(B18*C18)</f>
        <v>0</v>
      </c>
      <c r="E18" s="38">
        <f>(B18*J3)</f>
        <v>0.55810194194466223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7.1895535259884209</v>
      </c>
    </row>
    <row r="37" spans="2:20">
      <c r="B37">
        <f>(SUM(B5:B36))</f>
        <v>339974.75806872046</v>
      </c>
      <c r="D37" s="38">
        <f>(SUM(D5:D36))</f>
        <v>-21.780357561799917</v>
      </c>
      <c r="F37" t="s">
        <v>9</v>
      </c>
      <c r="G37" s="28">
        <f>(D37/B37)</f>
        <v>-6.4064631402421248E-5</v>
      </c>
      <c r="R37">
        <f>(SUM(R5:R36))</f>
        <v>339974.75806872046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O6" sqref="O6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0.78280257002639697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42.57311814308806</v>
      </c>
      <c r="K4" s="4">
        <f>(J4/D18-1)</f>
        <v>-0.10119458680922655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0.31489191999999999</v>
      </c>
      <c r="C6" s="40">
        <v>0</v>
      </c>
      <c r="D6" s="26">
        <f>(B6*C6)</f>
        <v>0</v>
      </c>
      <c r="E6" s="38">
        <f>(B6*J3)</f>
        <v>0.24649820425654659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0.31489191999999999</v>
      </c>
      <c r="S6" s="40">
        <v>0</v>
      </c>
      <c r="T6" s="26">
        <f>(D6)</f>
        <v>0</v>
      </c>
      <c r="U6" s="38">
        <f>(R6*J3)</f>
        <v>0.24649820425654659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0.87093664383643998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54.385511459999996</v>
      </c>
      <c r="S17" s="38"/>
      <c r="T17" s="38">
        <f>(SUM(T5:T12))</f>
        <v>47.366334824300644</v>
      </c>
    </row>
    <row r="18" spans="2:20">
      <c r="B18" s="19">
        <f>(SUM(B5:B17))</f>
        <v>54.385511459999996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0.73987825684794017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39.05597640647035</v>
      </c>
      <c r="K4" s="4">
        <f>(J4/D10-1)</f>
        <v>-1.3488850556444887E-2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0.32398936</v>
      </c>
      <c r="C6" s="40">
        <v>0</v>
      </c>
      <c r="D6" s="26">
        <f>(B6*C6)</f>
        <v>0</v>
      </c>
      <c r="E6" s="38">
        <f>(B6*J3)</f>
        <v>0.23971268291407977</v>
      </c>
      <c r="M6" t="s">
        <v>11</v>
      </c>
      <c r="N6" s="29">
        <f>($B$10/5)</f>
        <v>10.557406179999999</v>
      </c>
      <c r="O6" s="38">
        <f>($C$5*Params!K8)</f>
        <v>0.98505771545924514</v>
      </c>
      <c r="P6" s="38">
        <f>(O6*N6)</f>
        <v>10.399654412846115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0.15932652324215099</v>
      </c>
      <c r="N7" s="29">
        <f>($B$10/5)</f>
        <v>10.557406179999999</v>
      </c>
      <c r="O7" s="38">
        <f>($C$5*Params!K9)</f>
        <v>1.2123787267190709</v>
      </c>
      <c r="P7" s="38">
        <f>(O7*N7)</f>
        <v>12.799574661964449</v>
      </c>
    </row>
    <row r="8" spans="2:16">
      <c r="N8" s="29">
        <f>($B$10/5)</f>
        <v>10.557406179999999</v>
      </c>
      <c r="O8" s="38">
        <f>($C$5*Params!K10)</f>
        <v>1.6670207492387226</v>
      </c>
      <c r="P8" s="38">
        <f>(O8*N8)</f>
        <v>17.599415160201119</v>
      </c>
    </row>
    <row r="9" spans="2:16">
      <c r="F9" t="s">
        <v>9</v>
      </c>
      <c r="G9" s="38">
        <f>(D10/B10)</f>
        <v>0.74999482495993164</v>
      </c>
      <c r="N9" s="29">
        <f>($B$10/5)</f>
        <v>10.557406179999999</v>
      </c>
      <c r="O9" s="38">
        <f>($C$5*Params!K11)</f>
        <v>3.0309468167976772</v>
      </c>
      <c r="P9" s="38">
        <f>(O9*N9)</f>
        <v>31.998936654911123</v>
      </c>
    </row>
    <row r="10" spans="2:16">
      <c r="B10" s="29">
        <f>(SUM(B5:B9))</f>
        <v>52.787030899999998</v>
      </c>
      <c r="D10" s="38">
        <f>(SUM(D5:D9))</f>
        <v>39.590000000000003</v>
      </c>
    </row>
    <row r="11" spans="2:16">
      <c r="P11" s="38">
        <f>(SUM(P6:P9))</f>
        <v>72.797580889922799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1.886346120298003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44.277503142295167</v>
      </c>
      <c r="K4" s="4">
        <f>(J4/D19-1)</f>
        <v>0.11252595971621826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9.9251329999999999E-2</v>
      </c>
      <c r="C7" s="40">
        <v>0</v>
      </c>
      <c r="D7" s="26">
        <v>0</v>
      </c>
      <c r="E7" s="39">
        <f>B7*J3</f>
        <v>0.18722236127991679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9.9251329999999999E-2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0.39101547764172584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0.39492993719851044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1.6955524532471762</v>
      </c>
      <c r="O18" s="38"/>
      <c r="P18" s="38"/>
      <c r="S18" s="38"/>
      <c r="T18" s="38"/>
    </row>
    <row r="19" spans="2:20">
      <c r="B19" s="1">
        <f>(SUM(B5:B18))</f>
        <v>23.472629262385979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23.472629262385983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8.3486220233870203E-6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3.6716194411378784</v>
      </c>
      <c r="K4" s="4">
        <f>(J4/D13-1)</f>
        <v>-0.2700557771097658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255.8</v>
      </c>
      <c r="C6" s="40">
        <v>0</v>
      </c>
      <c r="D6" s="26">
        <f>(B6*C6)</f>
        <v>0</v>
      </c>
      <c r="E6" s="38">
        <f>(B6*J3)</f>
        <v>2.1355775135823997E-3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1.1437342418206176E-5</v>
      </c>
    </row>
    <row r="13" spans="2:16">
      <c r="B13">
        <f>(SUM(B5:B12))</f>
        <v>439787.48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Q31" sqref="Q31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61.450164156425487</v>
      </c>
      <c r="M3" t="s">
        <v>4</v>
      </c>
      <c r="N3" s="24">
        <f>(INDEX(N5:N26,MATCH(MAX(O6:O9,O23:O24,O14:O15),O5:O26,0))/0.9)</f>
        <v>0.1209481488888889</v>
      </c>
      <c r="O3" s="39">
        <f>(MAX(O14:O16,O23:O25,O6:O9)*0.85)</f>
        <v>43.667054002813281</v>
      </c>
      <c r="P3" s="38">
        <f>(O3*N3)</f>
        <v>5.2814493490714129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(B43*J3)</f>
        <v>225.53754248377777</v>
      </c>
      <c r="K4" s="4">
        <f>(J4/D43-1)</f>
        <v>5.5004542005893109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Q9" t="s">
        <v>12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0.12904534472849352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0.37859526021987444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6.1122830000000003E-2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3.2432044738150333E-2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43.54</f>
        <v>43.54</v>
      </c>
      <c r="P16" s="38">
        <f>(O16*N16)</f>
        <v>53.668851095440012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6.1122830000000003E-2</v>
      </c>
      <c r="C18" s="40">
        <v>0</v>
      </c>
      <c r="D18" s="26">
        <v>0</v>
      </c>
      <c r="E18" s="39">
        <f>B18*J3</f>
        <v>3.7560079372052888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217.99620440316832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0.46220500154520772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2.837802999715004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3.2248718179601861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 t="shared" ref="R22:R27" si="2">B36</f>
        <v>-0.10885</v>
      </c>
      <c r="S22" s="39">
        <f>T22/R22</f>
        <v>23.941203491042717</v>
      </c>
      <c r="T22" s="39">
        <f t="shared" ref="T22:T27" si="3"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 t="shared" si="2"/>
        <v>-2.08</v>
      </c>
      <c r="S23" s="39">
        <f>T23/R23</f>
        <v>31.395271514423076</v>
      </c>
      <c r="T23" s="38">
        <f t="shared" si="3"/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 t="shared" si="2"/>
        <v>-0.1</v>
      </c>
      <c r="S24" s="38">
        <f>T24/R24</f>
        <v>31.194569999999995</v>
      </c>
      <c r="T24" s="38">
        <f t="shared" si="3"/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45.21</f>
        <v>45.21</v>
      </c>
      <c r="P25" s="38">
        <f>(O25*N25)</f>
        <v>17.280739824480005</v>
      </c>
      <c r="Q25" t="s">
        <v>12</v>
      </c>
      <c r="R25" s="24">
        <f t="shared" si="2"/>
        <v>-0.65</v>
      </c>
      <c r="S25" s="38">
        <f>C39</f>
        <v>32.934038338461541</v>
      </c>
      <c r="T25" s="38">
        <f t="shared" si="3"/>
        <v>-21.407124920000001</v>
      </c>
      <c r="U25" t="s">
        <v>90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R26" s="24">
        <f t="shared" si="2"/>
        <v>-1.6148</v>
      </c>
      <c r="S26" s="38">
        <f>C40</f>
        <v>46.861096439187513</v>
      </c>
      <c r="T26" s="38">
        <f t="shared" si="3"/>
        <v>-75.671298530000001</v>
      </c>
      <c r="U26" t="s">
        <v>91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R27" s="24">
        <f t="shared" si="2"/>
        <v>-0.10879999999999999</v>
      </c>
      <c r="S27" s="38">
        <f>C41</f>
        <v>58.381847426470586</v>
      </c>
      <c r="T27" s="38">
        <f t="shared" si="3"/>
        <v>-6.3519449999999997</v>
      </c>
      <c r="U27" t="s">
        <v>92</v>
      </c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70.05413466282117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1" si="4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4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4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4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4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4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4"/>
        <v>32.934038338461541</v>
      </c>
      <c r="D39" s="38">
        <f>-21.40712492</f>
        <v>-21.407124920000001</v>
      </c>
      <c r="E39" s="38"/>
      <c r="S39" s="38"/>
      <c r="T39" s="38"/>
    </row>
    <row r="40" spans="2:23">
      <c r="B40" s="24">
        <v>-1.6148</v>
      </c>
      <c r="C40" s="38">
        <f t="shared" si="4"/>
        <v>46.861096439187513</v>
      </c>
      <c r="D40" s="38">
        <v>-75.671298530000001</v>
      </c>
      <c r="E40" s="38"/>
      <c r="S40" s="38"/>
      <c r="T40" s="38"/>
    </row>
    <row r="41" spans="2:23">
      <c r="B41" s="24">
        <v>-0.10879999999999999</v>
      </c>
      <c r="C41" s="38">
        <f t="shared" si="4"/>
        <v>58.381847426470586</v>
      </c>
      <c r="D41" s="38">
        <f>-6.4064+0.054455</f>
        <v>-6.3519449999999997</v>
      </c>
      <c r="E41" s="38"/>
      <c r="S41" s="38"/>
      <c r="T41" s="38"/>
    </row>
    <row r="42" spans="2:23">
      <c r="C42" s="38"/>
      <c r="D42" s="38"/>
      <c r="E42" s="38"/>
      <c r="S42" s="38"/>
      <c r="T42" s="38"/>
    </row>
    <row r="43" spans="2:23">
      <c r="B43" s="24">
        <f>(SUM(B5:B42))</f>
        <v>3.670251261000002</v>
      </c>
      <c r="C43" s="38"/>
      <c r="D43" s="38">
        <f>(SUM(D5:D42))</f>
        <v>34.695659029999973</v>
      </c>
      <c r="E43" s="38"/>
      <c r="F43" t="s">
        <v>9</v>
      </c>
      <c r="G43" s="38">
        <f>(D43/B43)</f>
        <v>9.4532108465366331</v>
      </c>
      <c r="R43" s="24">
        <f>(SUM(R5:R36))</f>
        <v>3.6702512610000002</v>
      </c>
      <c r="S43" s="38"/>
      <c r="T43" s="38">
        <f>(SUM(T5:T36))</f>
        <v>34.693299469999999</v>
      </c>
      <c r="V43" t="s">
        <v>9</v>
      </c>
      <c r="W43" s="38">
        <f>(T43/R43)</f>
        <v>9.4525679586708815</v>
      </c>
    </row>
    <row r="44" spans="2:23">
      <c r="M44" s="24"/>
      <c r="S44" s="38"/>
      <c r="T44" s="38"/>
    </row>
    <row r="47" spans="2:23">
      <c r="N47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3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17 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3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0.10408405481118881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0.97193093460633773</v>
      </c>
      <c r="K4" s="4">
        <f>(J4/D13-1)</f>
        <v>0.94386186921267545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0.23668428</v>
      </c>
      <c r="C6" s="40">
        <v>0</v>
      </c>
      <c r="D6" s="26">
        <f>(B6*C6)</f>
        <v>0</v>
      </c>
      <c r="E6" s="38">
        <f>(B6*J3)</f>
        <v>2.4635059572466759E-2</v>
      </c>
      <c r="G6" s="38"/>
      <c r="M6" t="s">
        <v>11</v>
      </c>
      <c r="N6" s="19">
        <f>($B$13/5)</f>
        <v>1.8675885300000001</v>
      </c>
      <c r="O6" s="35">
        <f>($C$5*Params!K8)</f>
        <v>7.1418695478700056E-2</v>
      </c>
      <c r="P6" s="38">
        <f>(O6*N6)</f>
        <v>0.13338073650358309</v>
      </c>
      <c r="Q6" s="38">
        <f>N6*$J$3</f>
        <v>0.19438618692126755</v>
      </c>
    </row>
    <row r="7" spans="2:17">
      <c r="C7" s="38"/>
      <c r="D7" s="38"/>
      <c r="E7" s="38"/>
      <c r="G7" s="38"/>
      <c r="N7" s="19">
        <f>($B$13/5)</f>
        <v>1.8675885300000001</v>
      </c>
      <c r="O7" s="35">
        <f>($C$5*Params!K9)</f>
        <v>8.7899932896861599E-2</v>
      </c>
      <c r="P7" s="38">
        <f>(O7*N7)</f>
        <v>0.16416090646594841</v>
      </c>
      <c r="Q7" s="38">
        <f>Q6*2</f>
        <v>0.3887723738425351</v>
      </c>
    </row>
    <row r="8" spans="2:17">
      <c r="C8" s="38"/>
      <c r="D8" s="38"/>
      <c r="E8" s="38"/>
      <c r="G8" s="38"/>
      <c r="N8" s="19">
        <f>($B$13/5)</f>
        <v>1.8675885300000001</v>
      </c>
      <c r="O8" s="35">
        <f>($C$5*Params!K10)</f>
        <v>0.12086240773318471</v>
      </c>
      <c r="P8" s="38">
        <f>(O8*N8)</f>
        <v>0.22572124639067909</v>
      </c>
      <c r="Q8" s="38">
        <f>Q6*3</f>
        <v>0.58315856076380268</v>
      </c>
    </row>
    <row r="9" spans="2:17">
      <c r="C9" s="38"/>
      <c r="D9" s="38"/>
      <c r="E9" s="38"/>
      <c r="G9" s="38"/>
      <c r="N9" s="19">
        <f>($B$13/5)</f>
        <v>1.8675885300000001</v>
      </c>
      <c r="O9" s="35">
        <f>($C$5*Params!K11)</f>
        <v>0.219749832242154</v>
      </c>
      <c r="P9" s="38">
        <f>(O9*N9)</f>
        <v>0.41040226616487102</v>
      </c>
      <c r="Q9" s="38">
        <f>Q6*4</f>
        <v>0.7775447476850702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0.93366515552508167</v>
      </c>
    </row>
    <row r="12" spans="2:17">
      <c r="C12" s="38"/>
      <c r="D12" s="38"/>
      <c r="E12" s="38"/>
      <c r="F12" t="s">
        <v>9</v>
      </c>
      <c r="G12" s="38">
        <f>(D13/B13)</f>
        <v>5.3544985093691912E-2</v>
      </c>
    </row>
    <row r="13" spans="2:17">
      <c r="B13">
        <f>(SUM(B5:B12))</f>
        <v>9.3379426500000005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6.0633221795247696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11.751365340395559</v>
      </c>
      <c r="K4" s="4">
        <f>(J4/D10-1)</f>
        <v>0.11281868753745816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2.50264E-3</v>
      </c>
      <c r="C6" s="40">
        <v>0</v>
      </c>
      <c r="D6" s="40">
        <f>(B6*C6)</f>
        <v>0</v>
      </c>
      <c r="E6" s="38">
        <f>(B6*J3)</f>
        <v>1.517431261936587E-2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5.4486164255043343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1.9381066999999998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L22" sqref="L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0.61312136905808468</v>
      </c>
      <c r="M3" t="s">
        <v>4</v>
      </c>
      <c r="N3" s="19">
        <f>(INDEX(N5:N14,MATCH(MAX(O6:O7),O5:O14,0))/0.9)</f>
        <v>11.458998203703706</v>
      </c>
      <c r="O3" s="37">
        <f>(MAX(O6:O7)*0.85)</f>
        <v>0.48540838895304461</v>
      </c>
      <c r="P3" s="38">
        <f>(O3*N3)</f>
        <v>5.5622938570756482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18.969543000060163</v>
      </c>
      <c r="K4" s="4">
        <f>(J4/D14-1)</f>
        <v>7.1129438461616719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54.346569549999998</v>
      </c>
      <c r="S5" s="38">
        <f>(T5/R5)</f>
        <v>0.3514481255790689</v>
      </c>
      <c r="T5" s="38">
        <f>(SUM(D5:D7))</f>
        <v>19.100000000000001</v>
      </c>
    </row>
    <row r="6" spans="2:21">
      <c r="B6" s="20">
        <v>0.77155808000000003</v>
      </c>
      <c r="C6" s="40">
        <v>0</v>
      </c>
      <c r="D6" s="40">
        <f>(B6*C6)</f>
        <v>0</v>
      </c>
      <c r="E6" s="38">
        <f>(B6*J3)</f>
        <v>0.47305874631742723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10.313098383333335</v>
      </c>
      <c r="O7" s="38">
        <f>($C$5*Params!K9)</f>
        <v>0.57106869288593487</v>
      </c>
      <c r="P7" s="38">
        <f>(O7*N7)</f>
        <v>5.8894876133742153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10.313098383333335</v>
      </c>
      <c r="O8" s="38">
        <f>($C$5*Params!K10)</f>
        <v>0.78521945271816052</v>
      </c>
      <c r="P8" s="38">
        <f>(O8*N8)</f>
        <v>8.0980454683895466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10.313098383333335</v>
      </c>
      <c r="O9" s="38">
        <f>($C$5*Params!K11)</f>
        <v>1.4276717322148371</v>
      </c>
      <c r="P9" s="38">
        <f>(O9*N9)</f>
        <v>14.723719033435538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33.763949475199297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7.5573229728215063E-2</v>
      </c>
    </row>
    <row r="14" spans="2:21">
      <c r="B14" s="19">
        <f>(SUM(B5:B13))</f>
        <v>30.939295150000007</v>
      </c>
      <c r="D14" s="38">
        <f>(SUM(D5:D13))</f>
        <v>2.3381824600000005</v>
      </c>
    </row>
    <row r="18" spans="14:20">
      <c r="R18">
        <f>(SUM(R5:R17))</f>
        <v>30.939295150000007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27" sqref="P2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0.1478035959247764</v>
      </c>
      <c r="M3" t="s">
        <v>4</v>
      </c>
      <c r="N3" s="29">
        <f>(INDEX(N5:N29,MATCH(MAX(O6:O8),O5:O29,0))/0.9)</f>
        <v>17.499576300000001</v>
      </c>
      <c r="O3" s="37">
        <f>(MAX(O6:O8)*0.85)</f>
        <v>0.11792713112298792</v>
      </c>
      <c r="P3" s="38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3.981433842498721</v>
      </c>
      <c r="K4" s="4">
        <f>(J4/D14-1)</f>
        <v>-7.0941277782945367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Q8" t="s">
        <v>12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4*($R$5+$R$7)/5+B12-N7-N6</f>
        <v>13.415354599999992</v>
      </c>
      <c r="O9" s="38">
        <f>($C$5*Params!K11)</f>
        <v>0.25225054785665862</v>
      </c>
      <c r="P9" s="38">
        <f>(O9*N9)</f>
        <v>3.3840305475413435</v>
      </c>
      <c r="R9" s="24">
        <f>B12</f>
        <v>-15.856236790000001</v>
      </c>
      <c r="S9" s="38">
        <f>T9/R9</f>
        <v>0.13886598876907916</v>
      </c>
      <c r="T9" s="38">
        <f>D12</f>
        <v>-2.201892</v>
      </c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B12" s="19">
        <v>-15.856236790000001</v>
      </c>
      <c r="C12" s="35">
        <f>D12/B12</f>
        <v>0.13886598876907916</v>
      </c>
      <c r="D12" s="38">
        <v>-2.201892</v>
      </c>
      <c r="N12" s="29"/>
      <c r="O12" s="38"/>
      <c r="P12" s="38"/>
      <c r="R12" s="24"/>
      <c r="S12" s="38"/>
      <c r="T12" s="38"/>
    </row>
    <row r="13" spans="2:20">
      <c r="C13" s="38"/>
      <c r="D13" s="38"/>
      <c r="F13" t="s">
        <v>9</v>
      </c>
      <c r="G13" s="38">
        <f>(D14/B14)</f>
        <v>-2.4253445497353809E-2</v>
      </c>
      <c r="O13" s="38"/>
      <c r="P13" s="38">
        <f>(SUM(P6:P9))</f>
        <v>7.8466350134638709</v>
      </c>
      <c r="R13" s="24"/>
      <c r="S13" s="38"/>
      <c r="T13" s="38"/>
    </row>
    <row r="14" spans="2:20">
      <c r="B14" s="19">
        <f>(SUM(B5:B13))</f>
        <v>26.937327320000005</v>
      </c>
      <c r="C14" s="38"/>
      <c r="D14" s="38">
        <f>(SUM(D5:D13))</f>
        <v>-0.65332299999999988</v>
      </c>
      <c r="O14" s="38"/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2:22">
      <c r="R17" s="24"/>
      <c r="S17" s="38"/>
      <c r="T17" s="38"/>
    </row>
    <row r="18" spans="12:22">
      <c r="R18" s="24"/>
      <c r="S18" s="38"/>
      <c r="T18" s="38"/>
    </row>
    <row r="19" spans="12:22">
      <c r="R19" s="24"/>
      <c r="S19" s="38"/>
      <c r="T19" s="38"/>
    </row>
    <row r="20" spans="12:22">
      <c r="R20" s="24"/>
      <c r="S20" s="38"/>
      <c r="T20" s="38"/>
    </row>
    <row r="21" spans="12:22">
      <c r="R21" s="24"/>
      <c r="S21" s="38"/>
      <c r="T21" s="38"/>
    </row>
    <row r="22" spans="12:22">
      <c r="R22" s="24"/>
      <c r="S22" s="38"/>
      <c r="T22" s="38"/>
    </row>
    <row r="23" spans="12:22">
      <c r="R23" s="24"/>
      <c r="S23" s="38"/>
      <c r="T23" s="38"/>
    </row>
    <row r="24" spans="12:22">
      <c r="R24" s="24"/>
      <c r="S24" s="38"/>
      <c r="T24" s="38"/>
      <c r="V24" s="39"/>
    </row>
    <row r="26" spans="12:22">
      <c r="S26" s="38"/>
      <c r="T26" s="38"/>
    </row>
    <row r="27" spans="12:22">
      <c r="L27" s="39"/>
      <c r="M27" s="39"/>
      <c r="S27" s="38"/>
      <c r="T27" s="38"/>
    </row>
    <row r="28" spans="12:22">
      <c r="S28" s="38"/>
      <c r="T28" s="38"/>
    </row>
    <row r="29" spans="12:22">
      <c r="S29" s="38"/>
      <c r="T29" s="38"/>
    </row>
    <row r="30" spans="12:22">
      <c r="S30" s="38"/>
      <c r="T30" s="38"/>
    </row>
    <row r="31" spans="12:22">
      <c r="S31" s="38"/>
      <c r="T31" s="38"/>
    </row>
    <row r="32" spans="12:22">
      <c r="S32" s="38"/>
      <c r="T32" s="38"/>
    </row>
    <row r="33" spans="18:23">
      <c r="R33" s="24">
        <f>(SUM(R5:R31))</f>
        <v>26.937327320000005</v>
      </c>
      <c r="S33" s="38"/>
      <c r="T33" s="38">
        <f>(SUM(T5:T31))</f>
        <v>-0.65332299999999988</v>
      </c>
      <c r="V33" t="s">
        <v>9</v>
      </c>
      <c r="W33" s="38">
        <f>(T33/R33)</f>
        <v>-2.4253445497353809E-2</v>
      </c>
    </row>
    <row r="34" spans="18:23">
      <c r="S34" s="38"/>
      <c r="T34" s="38"/>
    </row>
    <row r="35" spans="18:23">
      <c r="S35" s="38"/>
      <c r="T35" s="38"/>
    </row>
    <row r="36" spans="18:23">
      <c r="S36" s="38"/>
      <c r="T36" s="38"/>
    </row>
    <row r="37" spans="18:23">
      <c r="S37" s="38"/>
      <c r="T37" s="38"/>
    </row>
  </sheetData>
  <conditionalFormatting sqref="C5 C9:C10 G13 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3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0.77443028966906435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2.2646812102547487</v>
      </c>
      <c r="K4" s="4">
        <f>(J4/D10-1)</f>
        <v>-0.24510626324841711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4.0771180288564262E-3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2.4438245464965416</v>
      </c>
      <c r="K4" s="4">
        <f>(J4/D10-1)</f>
        <v>-0.18539181783448611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F9" sqref="F9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0.58926850033206302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3.5849917023202051</v>
      </c>
      <c r="K4" s="4">
        <f>(J4/D9-1)</f>
        <v>-0.87581231053209496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5"/>
  <sheetViews>
    <sheetView workbookViewId="0">
      <selection activeCell="L43" sqref="L43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714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7.3513371113521266E-3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(SUM(K34:K42)-C75*J3+D75)</f>
        <v>12.098847341555569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-63.553999999999938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-256.85515265844435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-152.78515265844436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22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22">
      <c r="B34" s="8" t="s">
        <v>39</v>
      </c>
      <c r="C34">
        <v>6.2539999999999996</v>
      </c>
      <c r="D34">
        <f>$H$2</f>
        <v>714</v>
      </c>
      <c r="E34">
        <f t="shared" ref="E34:E40" si="1">C34*D34</f>
        <v>4465.3559999999998</v>
      </c>
      <c r="F34" s="29">
        <f t="shared" ref="F34:F40" si="2">E34*$N$5</f>
        <v>3719.6415479999996</v>
      </c>
      <c r="G34" s="38">
        <v>3.5</v>
      </c>
      <c r="H34" s="30">
        <f>G50</f>
        <v>1.5615590400000001</v>
      </c>
      <c r="I34" s="39">
        <f t="shared" ref="I34:I41" si="3">((F34-H34*D34)*$J$3-G34)</f>
        <v>15.647942450203615</v>
      </c>
      <c r="J34">
        <v>1</v>
      </c>
      <c r="K34" s="44">
        <f t="shared" ref="K34:K40" si="4">I34*J34</f>
        <v>15.647942450203615</v>
      </c>
      <c r="L34" s="31">
        <v>27</v>
      </c>
      <c r="M34" s="31">
        <f t="shared" ref="M34:M40" si="5">L34*J34</f>
        <v>27</v>
      </c>
    </row>
    <row r="35" spans="2:22">
      <c r="B35" s="8" t="s">
        <v>42</v>
      </c>
      <c r="C35">
        <v>0.96599999999999997</v>
      </c>
      <c r="D35">
        <f>$H$2</f>
        <v>714</v>
      </c>
      <c r="E35">
        <f t="shared" si="1"/>
        <v>689.72399999999993</v>
      </c>
      <c r="F35" s="29">
        <f t="shared" si="2"/>
        <v>574.54009199999996</v>
      </c>
      <c r="G35" s="38">
        <v>3.5</v>
      </c>
      <c r="H35" s="30">
        <f>G51</f>
        <v>0.21337130135885166</v>
      </c>
      <c r="I35" s="39">
        <f t="shared" si="3"/>
        <v>-0.39631705717098775</v>
      </c>
      <c r="J35">
        <v>1</v>
      </c>
      <c r="K35" s="44">
        <f t="shared" si="4"/>
        <v>-0.39631705717098775</v>
      </c>
      <c r="L35" s="31">
        <v>7.5</v>
      </c>
      <c r="M35" s="31">
        <f t="shared" si="5"/>
        <v>7.5</v>
      </c>
    </row>
    <row r="36" spans="2:22">
      <c r="B36" s="8" t="s">
        <v>44</v>
      </c>
      <c r="C36">
        <v>0.85099999999999998</v>
      </c>
      <c r="D36">
        <f>$H$2</f>
        <v>714</v>
      </c>
      <c r="E36">
        <f t="shared" si="1"/>
        <v>607.61400000000003</v>
      </c>
      <c r="F36" s="29">
        <f t="shared" si="2"/>
        <v>506.14246200000002</v>
      </c>
      <c r="G36" s="38">
        <v>3.5</v>
      </c>
      <c r="H36" s="30">
        <f>G52</f>
        <v>0.18479602162162162</v>
      </c>
      <c r="I36" s="39">
        <f t="shared" si="3"/>
        <v>-0.74914360163722815</v>
      </c>
      <c r="J36">
        <v>1</v>
      </c>
      <c r="K36" s="44">
        <f t="shared" si="4"/>
        <v>-0.74914360163722815</v>
      </c>
      <c r="L36" s="31">
        <v>5.85</v>
      </c>
      <c r="M36" s="31">
        <f t="shared" si="5"/>
        <v>5.85</v>
      </c>
    </row>
    <row r="37" spans="2:22">
      <c r="B37" s="8" t="s">
        <v>44</v>
      </c>
      <c r="C37">
        <v>0.85099999999999998</v>
      </c>
      <c r="D37">
        <f>$H$2-34</f>
        <v>680</v>
      </c>
      <c r="E37">
        <f t="shared" si="1"/>
        <v>578.67999999999995</v>
      </c>
      <c r="F37" s="29">
        <f t="shared" si="2"/>
        <v>482.04043999999993</v>
      </c>
      <c r="G37" s="38">
        <v>0</v>
      </c>
      <c r="H37" s="30">
        <f>G52</f>
        <v>0.18479602162162162</v>
      </c>
      <c r="I37" s="39">
        <f t="shared" si="3"/>
        <v>2.6198632365359726</v>
      </c>
      <c r="J37">
        <v>3</v>
      </c>
      <c r="K37" s="44">
        <f t="shared" si="4"/>
        <v>7.8595897096079179</v>
      </c>
      <c r="L37" s="31">
        <f>L36</f>
        <v>5.85</v>
      </c>
      <c r="M37" s="31">
        <f t="shared" si="5"/>
        <v>17.549999999999997</v>
      </c>
    </row>
    <row r="38" spans="2:22">
      <c r="B38" s="8" t="s">
        <v>44</v>
      </c>
      <c r="C38">
        <v>0.85099999999999998</v>
      </c>
      <c r="D38">
        <f>$H$2-34-58</f>
        <v>622</v>
      </c>
      <c r="E38">
        <f t="shared" si="1"/>
        <v>529.322</v>
      </c>
      <c r="F38" s="29">
        <f t="shared" si="2"/>
        <v>440.92522600000001</v>
      </c>
      <c r="G38" s="38">
        <v>0</v>
      </c>
      <c r="H38" s="30">
        <f>H37</f>
        <v>0.18479602162162162</v>
      </c>
      <c r="I38" s="39">
        <f t="shared" si="3"/>
        <v>2.3964043134196698</v>
      </c>
      <c r="J38">
        <v>1</v>
      </c>
      <c r="K38" s="44">
        <f t="shared" si="4"/>
        <v>2.3964043134196698</v>
      </c>
      <c r="L38" s="31">
        <f>L37</f>
        <v>5.85</v>
      </c>
      <c r="M38" s="31">
        <f t="shared" si="5"/>
        <v>5.85</v>
      </c>
    </row>
    <row r="39" spans="2:22">
      <c r="B39" s="8" t="s">
        <v>44</v>
      </c>
      <c r="C39">
        <v>0.85099999999999998</v>
      </c>
      <c r="D39">
        <f>$H$2-140</f>
        <v>574</v>
      </c>
      <c r="E39">
        <f t="shared" si="1"/>
        <v>488.47399999999999</v>
      </c>
      <c r="F39" s="29">
        <f t="shared" si="2"/>
        <v>406.89884199999995</v>
      </c>
      <c r="G39" s="38">
        <v>0</v>
      </c>
      <c r="H39" s="30">
        <f>H38</f>
        <v>0.18479602162162162</v>
      </c>
      <c r="I39" s="39">
        <f t="shared" si="3"/>
        <v>2.2114727908406593</v>
      </c>
      <c r="J39">
        <v>1</v>
      </c>
      <c r="K39" s="44">
        <f t="shared" si="4"/>
        <v>2.2114727908406593</v>
      </c>
      <c r="L39" s="31">
        <f>L38</f>
        <v>5.85</v>
      </c>
      <c r="M39" s="31">
        <f t="shared" si="5"/>
        <v>5.85</v>
      </c>
    </row>
    <row r="40" spans="2:22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0.30428264145382472</v>
      </c>
      <c r="J40" s="16">
        <v>1</v>
      </c>
      <c r="K40" s="46">
        <f t="shared" si="4"/>
        <v>0.30428264145382472</v>
      </c>
      <c r="L40" s="33">
        <v>0</v>
      </c>
      <c r="M40" s="33">
        <f t="shared" si="5"/>
        <v>0</v>
      </c>
      <c r="N40" t="s">
        <v>64</v>
      </c>
    </row>
    <row r="41" spans="2:22">
      <c r="B41" s="8" t="s">
        <v>44</v>
      </c>
      <c r="C41">
        <v>0.85099999999999998</v>
      </c>
      <c r="D41">
        <f>($H$2-274)</f>
        <v>440</v>
      </c>
      <c r="E41">
        <f>(C41*D41)</f>
        <v>374.44</v>
      </c>
      <c r="F41" s="29">
        <f>(E41*$N$5)</f>
        <v>311.90852000000001</v>
      </c>
      <c r="G41" s="38">
        <v>0</v>
      </c>
      <c r="H41" s="29">
        <f>(H37)</f>
        <v>0.18479602162162162</v>
      </c>
      <c r="I41" s="39">
        <f t="shared" si="3"/>
        <v>1.6952056236409241</v>
      </c>
      <c r="J41">
        <v>1</v>
      </c>
      <c r="K41" s="44">
        <f>(I41*J41)</f>
        <v>1.6952056236409241</v>
      </c>
      <c r="L41" s="31">
        <f>(L39)</f>
        <v>5.85</v>
      </c>
      <c r="M41" s="31">
        <f>(L41*J41)</f>
        <v>5.85</v>
      </c>
    </row>
    <row r="42" spans="2:22">
      <c r="B42" s="8" t="s">
        <v>46</v>
      </c>
      <c r="H42" s="21"/>
      <c r="J42">
        <v>2</v>
      </c>
      <c r="K42" s="44"/>
      <c r="L42" s="31">
        <v>13.5</v>
      </c>
      <c r="M42" s="31">
        <f>L42*J42</f>
        <v>27</v>
      </c>
    </row>
    <row r="43" spans="2:22">
      <c r="B43" s="8" t="s">
        <v>65</v>
      </c>
      <c r="J43">
        <v>1</v>
      </c>
      <c r="K43" s="9"/>
      <c r="L43" s="31">
        <v>0.38</v>
      </c>
      <c r="M43" s="31">
        <f>(L43*J43)</f>
        <v>0.38</v>
      </c>
    </row>
    <row r="44" spans="2:22">
      <c r="B44" s="8" t="s">
        <v>66</v>
      </c>
      <c r="J44">
        <v>1</v>
      </c>
      <c r="K44" s="9"/>
      <c r="L44" s="31">
        <v>0.24</v>
      </c>
      <c r="M44" s="31">
        <f>(L44*J44)</f>
        <v>0.24</v>
      </c>
    </row>
    <row r="45" spans="2:22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</v>
      </c>
      <c r="M45" s="31">
        <f>(L45*J45)</f>
        <v>1</v>
      </c>
      <c r="V45" s="39"/>
    </row>
    <row r="46" spans="2:22">
      <c r="L46" t="s">
        <v>34</v>
      </c>
      <c r="M46" s="31">
        <f>(SUM(M33:M45))</f>
        <v>104.06999999999998</v>
      </c>
      <c r="O46" s="31">
        <f>(J13+SUM(G34:G40)-D75)</f>
        <v>4.1190953415555711</v>
      </c>
      <c r="P46">
        <f>(O46/J3)</f>
        <v>560.31920168573913</v>
      </c>
    </row>
    <row r="48" spans="2:22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3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8"/>
      <c r="C73" s="19">
        <v>925.39</v>
      </c>
      <c r="D73" s="47">
        <v>3.1734</v>
      </c>
      <c r="E73" s="48">
        <f t="shared" si="7"/>
        <v>3.4292568538670182E-3</v>
      </c>
    </row>
    <row r="74" spans="2:5">
      <c r="B74" s="10"/>
      <c r="C74" s="11"/>
      <c r="D74" s="12"/>
    </row>
    <row r="75" spans="2:5">
      <c r="B75" t="s">
        <v>34</v>
      </c>
      <c r="C75" s="19">
        <f>(SUM(C56:C74))</f>
        <v>4808.6954785700009</v>
      </c>
      <c r="D75" s="38">
        <f>(SUM(D56:D74))</f>
        <v>18.479751999999998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(-120/3)</f>
        <v>-40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0.3822350473142902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43.131525616045167</v>
      </c>
      <c r="K4" s="4">
        <f>(J4/D13-1)</f>
        <v>0.14741909103433426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0.69757694000000003</v>
      </c>
      <c r="C6" s="40">
        <v>0</v>
      </c>
      <c r="D6" s="40">
        <f>(B6*C6)</f>
        <v>0</v>
      </c>
      <c r="E6" s="38">
        <f>(B6*J3)</f>
        <v>0.26663835466625779</v>
      </c>
      <c r="M6" t="s">
        <v>11</v>
      </c>
      <c r="N6" s="1">
        <f>($B$13/5)</f>
        <v>22.568064294000003</v>
      </c>
      <c r="O6" s="38">
        <f>($S$7*Params!K8)</f>
        <v>0.44044312482164377</v>
      </c>
      <c r="P6" s="38">
        <f>(O6*N6)</f>
        <v>9.9399487588251247</v>
      </c>
      <c r="R6" s="2">
        <f>(B6)</f>
        <v>0.69757694000000003</v>
      </c>
      <c r="S6" s="40">
        <v>0</v>
      </c>
      <c r="T6" s="40">
        <f>(D6)</f>
        <v>0</v>
      </c>
      <c r="U6" s="38">
        <f>(R6*J3)</f>
        <v>0.26663835466625779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22.568064294000003</v>
      </c>
      <c r="O7" s="38">
        <f>($S$7*Params!K9)</f>
        <v>0.54208384593433079</v>
      </c>
      <c r="P7" s="38">
        <f>(O7*N7)</f>
        <v>12.233783087784769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22.568064294000003</v>
      </c>
      <c r="O8" s="38">
        <f>($C$7*Params!K10)</f>
        <v>0.74536528815970493</v>
      </c>
      <c r="P8" s="38">
        <f>(O8*N8)</f>
        <v>16.82145174570406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22.568064294000003</v>
      </c>
      <c r="O9" s="38">
        <f>($C$7*Params!K11)</f>
        <v>1.355209614835827</v>
      </c>
      <c r="P9" s="38">
        <f>(O9*N9)</f>
        <v>30.584457719461923</v>
      </c>
    </row>
    <row r="10" spans="2:21">
      <c r="N10" s="1"/>
      <c r="P10" s="38"/>
    </row>
    <row r="11" spans="2:21">
      <c r="P11" s="38">
        <f>(SUM(P6:P9))</f>
        <v>69.579641311775873</v>
      </c>
    </row>
    <row r="12" spans="2:21">
      <c r="F12" t="s">
        <v>9</v>
      </c>
      <c r="G12" s="35">
        <f>(D13/B13)</f>
        <v>0.33312592609011471</v>
      </c>
    </row>
    <row r="13" spans="2:21">
      <c r="B13" s="1">
        <f>(SUM(B5:B12))</f>
        <v>112.84032147000001</v>
      </c>
      <c r="D13" s="38">
        <f>(SUM(D5:D12))</f>
        <v>37.590036590000004</v>
      </c>
      <c r="R13" s="1">
        <f>(SUM(R5:R12))</f>
        <v>112.84032147000001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0.13467741370671199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8.5251280455925436</v>
      </c>
      <c r="K4" s="4">
        <f>(J4/D14-1)</f>
        <v>-0.13237878668048486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0.55754506000000004</v>
      </c>
      <c r="C6" s="40">
        <v>0</v>
      </c>
      <c r="D6" s="40">
        <f>(B6*C6)</f>
        <v>0</v>
      </c>
      <c r="E6" s="38">
        <f>(B6*J3)</f>
        <v>7.5088726705753561E-2</v>
      </c>
      <c r="M6" t="s">
        <v>11</v>
      </c>
      <c r="N6" s="29">
        <f>($B$14/5)</f>
        <v>12.660070921999999</v>
      </c>
      <c r="O6" s="38">
        <f>($C$5*Params!K8)</f>
        <v>0.21940472231459929</v>
      </c>
      <c r="P6" s="38">
        <f>(O6*N6)</f>
        <v>2.7776793451245427</v>
      </c>
      <c r="R6" s="36">
        <f>(B6)</f>
        <v>0.55754506000000004</v>
      </c>
      <c r="S6" s="40">
        <v>0</v>
      </c>
      <c r="T6" s="40">
        <f>(D6)</f>
        <v>0</v>
      </c>
      <c r="U6" s="38">
        <f>(E6)</f>
        <v>7.5088726705753561E-2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12.660070921999999</v>
      </c>
      <c r="O7" s="38">
        <f>($C$5*Params!K9)</f>
        <v>0.27003658131027602</v>
      </c>
      <c r="P7" s="38">
        <f>(O7*N7)</f>
        <v>3.4186822709225138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12.660070921999999</v>
      </c>
      <c r="O8" s="38">
        <f>($C$5*Params!K10)</f>
        <v>0.37130029930162955</v>
      </c>
      <c r="P8" s="38">
        <f>(O8*N8)</f>
        <v>4.7006881225184571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12.660070921999999</v>
      </c>
      <c r="O9" s="38">
        <f>($C$5*Params!K11)</f>
        <v>0.67509145327569009</v>
      </c>
      <c r="P9" s="38">
        <f>(O9*N9)</f>
        <v>8.5467056773062851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19.443755415871799</v>
      </c>
    </row>
    <row r="13" spans="2:21">
      <c r="F13" t="s">
        <v>9</v>
      </c>
      <c r="G13" s="38">
        <f>(D14/B14)</f>
        <v>0.15522604984661079</v>
      </c>
    </row>
    <row r="14" spans="2:21">
      <c r="B14" s="29">
        <f>(SUM(B5:B13))</f>
        <v>63.300354609999999</v>
      </c>
      <c r="D14" s="38">
        <f>(SUM(D5:D13))</f>
        <v>9.8258639999999993</v>
      </c>
    </row>
    <row r="17" spans="11:20">
      <c r="N17" s="29"/>
      <c r="R17" s="29">
        <f>(SUM(R5:R16))</f>
        <v>63.300354610000007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2023-12-01T10:54:49Z</dcterms:modified>
</cp:coreProperties>
</file>