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18" s="1"/>
  <c r="T5"/>
  <c r="S5"/>
  <c r="R5"/>
  <c r="R18" s="1"/>
  <c r="C5"/>
  <c r="O9" s="1"/>
  <c r="P9" s="1"/>
  <c r="J4"/>
  <c r="B14" i="38"/>
  <c r="N9" s="1"/>
  <c r="O9"/>
  <c r="N8"/>
  <c r="O7"/>
  <c r="T6"/>
  <c r="S6"/>
  <c r="R6"/>
  <c r="O6"/>
  <c r="E6"/>
  <c r="D6"/>
  <c r="D14" s="1"/>
  <c r="G13" s="1"/>
  <c r="T5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B10" i="36"/>
  <c r="N9"/>
  <c r="N8"/>
  <c r="O7"/>
  <c r="P7" s="1"/>
  <c r="N7"/>
  <c r="N6"/>
  <c r="E6"/>
  <c r="D6"/>
  <c r="D10" s="1"/>
  <c r="G9" s="1"/>
  <c r="C5"/>
  <c r="O9" s="1"/>
  <c r="P9" s="1"/>
  <c r="K4"/>
  <c r="J4"/>
  <c r="D13" i="35"/>
  <c r="B13"/>
  <c r="G12"/>
  <c r="O9"/>
  <c r="P9" s="1"/>
  <c r="N9"/>
  <c r="N8"/>
  <c r="O7"/>
  <c r="P7" s="1"/>
  <c r="N7"/>
  <c r="Q6"/>
  <c r="N6"/>
  <c r="E6"/>
  <c r="D6"/>
  <c r="C5"/>
  <c r="O8" s="1"/>
  <c r="P8" s="1"/>
  <c r="J4"/>
  <c r="K4" s="1"/>
  <c r="C43" i="34"/>
  <c r="C42"/>
  <c r="D41"/>
  <c r="C41"/>
  <c r="C40"/>
  <c r="N39"/>
  <c r="D39"/>
  <c r="C39"/>
  <c r="D38"/>
  <c r="C38"/>
  <c r="C37"/>
  <c r="C36"/>
  <c r="C35"/>
  <c r="C34"/>
  <c r="B34"/>
  <c r="D33"/>
  <c r="C32"/>
  <c r="C31"/>
  <c r="R30"/>
  <c r="C30"/>
  <c r="R29"/>
  <c r="D29"/>
  <c r="C29"/>
  <c r="T28"/>
  <c r="S28"/>
  <c r="R28"/>
  <c r="B28"/>
  <c r="R27"/>
  <c r="C27"/>
  <c r="T26"/>
  <c r="P26"/>
  <c r="O26" s="1"/>
  <c r="N26"/>
  <c r="B26"/>
  <c r="T25"/>
  <c r="R25"/>
  <c r="O25"/>
  <c r="P25" s="1"/>
  <c r="T27" s="1"/>
  <c r="N25"/>
  <c r="C25"/>
  <c r="T24"/>
  <c r="S24"/>
  <c r="R24"/>
  <c r="N24"/>
  <c r="C24"/>
  <c r="T23"/>
  <c r="R23"/>
  <c r="P23"/>
  <c r="N23"/>
  <c r="C23"/>
  <c r="T22"/>
  <c r="R22"/>
  <c r="C22"/>
  <c r="O23" s="1"/>
  <c r="T21"/>
  <c r="R21"/>
  <c r="V21" s="1"/>
  <c r="C21"/>
  <c r="C20"/>
  <c r="T19"/>
  <c r="C19"/>
  <c r="T18"/>
  <c r="R18"/>
  <c r="E18"/>
  <c r="T17"/>
  <c r="R17"/>
  <c r="P17"/>
  <c r="N17"/>
  <c r="C17"/>
  <c r="T16"/>
  <c r="R16"/>
  <c r="O16"/>
  <c r="N16"/>
  <c r="R26" s="1"/>
  <c r="C16"/>
  <c r="O9" s="1"/>
  <c r="O15"/>
  <c r="N15"/>
  <c r="P15" s="1"/>
  <c r="B15"/>
  <c r="E15" s="1"/>
  <c r="T14"/>
  <c r="S14"/>
  <c r="R14"/>
  <c r="O14"/>
  <c r="N14"/>
  <c r="P14" s="1"/>
  <c r="B14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P8"/>
  <c r="O8"/>
  <c r="C8"/>
  <c r="B8"/>
  <c r="T7"/>
  <c r="R7"/>
  <c r="P7"/>
  <c r="O7" s="1"/>
  <c r="N7"/>
  <c r="C7"/>
  <c r="T6"/>
  <c r="O6"/>
  <c r="N6"/>
  <c r="P6" s="1"/>
  <c r="B6"/>
  <c r="S5"/>
  <c r="D5"/>
  <c r="D45" s="1"/>
  <c r="B5"/>
  <c r="R5" s="1"/>
  <c r="D10" i="33"/>
  <c r="B10"/>
  <c r="N9"/>
  <c r="N8"/>
  <c r="O7"/>
  <c r="P7" s="1"/>
  <c r="N7"/>
  <c r="N6"/>
  <c r="C5"/>
  <c r="O9" s="1"/>
  <c r="P9" s="1"/>
  <c r="J4"/>
  <c r="D13" i="32"/>
  <c r="B13"/>
  <c r="G12"/>
  <c r="N9"/>
  <c r="N8"/>
  <c r="N7"/>
  <c r="N6"/>
  <c r="E6"/>
  <c r="D6"/>
  <c r="C5"/>
  <c r="J4"/>
  <c r="K4" s="1"/>
  <c r="B14" i="31"/>
  <c r="O9"/>
  <c r="N8"/>
  <c r="N7"/>
  <c r="D7"/>
  <c r="C7"/>
  <c r="T6"/>
  <c r="R6"/>
  <c r="P6"/>
  <c r="N6"/>
  <c r="E6"/>
  <c r="U6" s="1"/>
  <c r="D6"/>
  <c r="D14" s="1"/>
  <c r="G13" s="1"/>
  <c r="T5"/>
  <c r="R5"/>
  <c r="R17" s="1"/>
  <c r="C5"/>
  <c r="O8" s="1"/>
  <c r="P8" s="1"/>
  <c r="O3"/>
  <c r="B25" i="30"/>
  <c r="D23"/>
  <c r="C22"/>
  <c r="C21"/>
  <c r="D20"/>
  <c r="C20" s="1"/>
  <c r="C19"/>
  <c r="E18"/>
  <c r="C18"/>
  <c r="C17"/>
  <c r="N16"/>
  <c r="C16"/>
  <c r="T15"/>
  <c r="R15"/>
  <c r="P15"/>
  <c r="O15" s="1"/>
  <c r="N15"/>
  <c r="C15"/>
  <c r="T14"/>
  <c r="R14"/>
  <c r="P14"/>
  <c r="O14"/>
  <c r="N14"/>
  <c r="C14"/>
  <c r="T13"/>
  <c r="R13"/>
  <c r="C13"/>
  <c r="T12"/>
  <c r="S12" s="1"/>
  <c r="R12"/>
  <c r="C12"/>
  <c r="T11"/>
  <c r="R11"/>
  <c r="C11"/>
  <c r="T10"/>
  <c r="R10"/>
  <c r="C10"/>
  <c r="R9"/>
  <c r="O9"/>
  <c r="D9"/>
  <c r="T8"/>
  <c r="R8"/>
  <c r="P8"/>
  <c r="O8"/>
  <c r="N8"/>
  <c r="C8"/>
  <c r="T7"/>
  <c r="R7"/>
  <c r="R28" s="1"/>
  <c r="E7"/>
  <c r="U6"/>
  <c r="T6"/>
  <c r="S6" s="1"/>
  <c r="O17" s="1"/>
  <c r="R6"/>
  <c r="P6"/>
  <c r="O6"/>
  <c r="N6"/>
  <c r="C6"/>
  <c r="T5"/>
  <c r="S5"/>
  <c r="R5"/>
  <c r="C5"/>
  <c r="O7" s="1"/>
  <c r="J4"/>
  <c r="B11" i="29"/>
  <c r="T9"/>
  <c r="R9"/>
  <c r="C9"/>
  <c r="R8"/>
  <c r="N8"/>
  <c r="D8"/>
  <c r="T8" s="1"/>
  <c r="S8" s="1"/>
  <c r="C8"/>
  <c r="R7"/>
  <c r="P7"/>
  <c r="O7"/>
  <c r="N7"/>
  <c r="E7"/>
  <c r="D7"/>
  <c r="T7" s="1"/>
  <c r="T28" s="1"/>
  <c r="U6"/>
  <c r="T6"/>
  <c r="P6"/>
  <c r="N6"/>
  <c r="E6"/>
  <c r="D6"/>
  <c r="D11" s="1"/>
  <c r="G10" s="1"/>
  <c r="T5"/>
  <c r="S5"/>
  <c r="R5"/>
  <c r="C5"/>
  <c r="B10" i="28"/>
  <c r="O6"/>
  <c r="E6"/>
  <c r="D6"/>
  <c r="D10" s="1"/>
  <c r="G9" s="1"/>
  <c r="C5"/>
  <c r="O7" s="1"/>
  <c r="N17" i="27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T5"/>
  <c r="S5"/>
  <c r="R5"/>
  <c r="R17" s="1"/>
  <c r="C5"/>
  <c r="J4"/>
  <c r="K4" s="1"/>
  <c r="E37" i="26"/>
  <c r="C37"/>
  <c r="E36"/>
  <c r="C36"/>
  <c r="C35"/>
  <c r="B35"/>
  <c r="C34"/>
  <c r="C33"/>
  <c r="C32"/>
  <c r="B32"/>
  <c r="C31"/>
  <c r="C30"/>
  <c r="C29"/>
  <c r="C28"/>
  <c r="T27"/>
  <c r="R27"/>
  <c r="C27"/>
  <c r="T26"/>
  <c r="S26" s="1"/>
  <c r="R26"/>
  <c r="B26"/>
  <c r="D26" s="1"/>
  <c r="T21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D39" s="1"/>
  <c r="G39" s="1"/>
  <c r="R19"/>
  <c r="S19" s="1"/>
  <c r="D19"/>
  <c r="S18"/>
  <c r="R18"/>
  <c r="E18"/>
  <c r="D18"/>
  <c r="T17"/>
  <c r="R17"/>
  <c r="D17"/>
  <c r="R16"/>
  <c r="T16" s="1"/>
  <c r="C16"/>
  <c r="T15"/>
  <c r="R15"/>
  <c r="C15"/>
  <c r="N6" s="1"/>
  <c r="R14"/>
  <c r="T14" s="1"/>
  <c r="C14"/>
  <c r="T13"/>
  <c r="R13"/>
  <c r="C13"/>
  <c r="S12"/>
  <c r="R12"/>
  <c r="O12"/>
  <c r="N12"/>
  <c r="P12" s="1"/>
  <c r="C12"/>
  <c r="S11"/>
  <c r="R11"/>
  <c r="C11"/>
  <c r="R10"/>
  <c r="S10" s="1"/>
  <c r="C10"/>
  <c r="C9"/>
  <c r="B9"/>
  <c r="B39" s="1"/>
  <c r="S8"/>
  <c r="R8"/>
  <c r="C8"/>
  <c r="R7"/>
  <c r="D7"/>
  <c r="T6"/>
  <c r="R6"/>
  <c r="D6"/>
  <c r="T5"/>
  <c r="R5"/>
  <c r="D5"/>
  <c r="D22" i="25"/>
  <c r="D20"/>
  <c r="D19"/>
  <c r="D18"/>
  <c r="D17"/>
  <c r="D16"/>
  <c r="D15"/>
  <c r="D14"/>
  <c r="D13"/>
  <c r="D12"/>
  <c r="D11"/>
  <c r="D10"/>
  <c r="D9"/>
  <c r="D8"/>
  <c r="C7"/>
  <c r="N12" s="1"/>
  <c r="B7"/>
  <c r="B22" s="1"/>
  <c r="O6"/>
  <c r="N6"/>
  <c r="P6" s="1"/>
  <c r="E6"/>
  <c r="D6"/>
  <c r="D5"/>
  <c r="J4"/>
  <c r="B15" i="24"/>
  <c r="J4" s="1"/>
  <c r="C13"/>
  <c r="C12"/>
  <c r="C11"/>
  <c r="C10"/>
  <c r="C9"/>
  <c r="T8"/>
  <c r="R8"/>
  <c r="C8"/>
  <c r="T7"/>
  <c r="R7"/>
  <c r="C7"/>
  <c r="R6"/>
  <c r="E6"/>
  <c r="D6"/>
  <c r="T5"/>
  <c r="S5"/>
  <c r="R5"/>
  <c r="C5"/>
  <c r="B11" i="23"/>
  <c r="R9"/>
  <c r="R22" s="1"/>
  <c r="D9"/>
  <c r="T8"/>
  <c r="R8"/>
  <c r="N8"/>
  <c r="C8"/>
  <c r="T7"/>
  <c r="R7"/>
  <c r="P7"/>
  <c r="O7"/>
  <c r="N7"/>
  <c r="D7"/>
  <c r="C7"/>
  <c r="R6"/>
  <c r="P6"/>
  <c r="N6"/>
  <c r="E6"/>
  <c r="D6"/>
  <c r="T5"/>
  <c r="S5"/>
  <c r="R5"/>
  <c r="C5"/>
  <c r="O9" s="1"/>
  <c r="J4"/>
  <c r="B10" i="22"/>
  <c r="O6"/>
  <c r="E6"/>
  <c r="D6"/>
  <c r="D10" s="1"/>
  <c r="G9" s="1"/>
  <c r="C5"/>
  <c r="O7" s="1"/>
  <c r="D10" i="21"/>
  <c r="G9" s="1"/>
  <c r="B10"/>
  <c r="N9"/>
  <c r="N8"/>
  <c r="O7"/>
  <c r="P7" s="1"/>
  <c r="N7"/>
  <c r="N6"/>
  <c r="C5"/>
  <c r="O9" s="1"/>
  <c r="K4"/>
  <c r="J4"/>
  <c r="T24" i="20"/>
  <c r="B12"/>
  <c r="C10"/>
  <c r="T9"/>
  <c r="R9"/>
  <c r="N9"/>
  <c r="C9"/>
  <c r="T8"/>
  <c r="R8"/>
  <c r="O8"/>
  <c r="P8" s="1"/>
  <c r="C8"/>
  <c r="T7"/>
  <c r="R7"/>
  <c r="P7"/>
  <c r="O7"/>
  <c r="N7"/>
  <c r="C7"/>
  <c r="S6"/>
  <c r="R6"/>
  <c r="P6"/>
  <c r="N6"/>
  <c r="N8" s="1"/>
  <c r="E6"/>
  <c r="D6"/>
  <c r="T6" s="1"/>
  <c r="T5"/>
  <c r="S5"/>
  <c r="R5"/>
  <c r="C5"/>
  <c r="O9" s="1"/>
  <c r="P9" s="1"/>
  <c r="J4"/>
  <c r="B14" i="19"/>
  <c r="J4" s="1"/>
  <c r="C12"/>
  <c r="D11"/>
  <c r="C10"/>
  <c r="T9"/>
  <c r="S9"/>
  <c r="R9"/>
  <c r="C9"/>
  <c r="T8"/>
  <c r="R8"/>
  <c r="C8"/>
  <c r="T7"/>
  <c r="S7"/>
  <c r="R7"/>
  <c r="P7"/>
  <c r="N7"/>
  <c r="N9" s="1"/>
  <c r="C7"/>
  <c r="T6"/>
  <c r="R6"/>
  <c r="R33" s="1"/>
  <c r="N6"/>
  <c r="C6"/>
  <c r="S6" s="1"/>
  <c r="R5"/>
  <c r="C5"/>
  <c r="D13" i="18"/>
  <c r="G12" s="1"/>
  <c r="O9"/>
  <c r="N9"/>
  <c r="T8"/>
  <c r="R8"/>
  <c r="O8"/>
  <c r="C8"/>
  <c r="B8"/>
  <c r="B13" s="1"/>
  <c r="T7"/>
  <c r="R7"/>
  <c r="P7"/>
  <c r="O7" s="1"/>
  <c r="N7"/>
  <c r="D7"/>
  <c r="C7"/>
  <c r="S6"/>
  <c r="R6"/>
  <c r="P6"/>
  <c r="N6"/>
  <c r="E6"/>
  <c r="D6"/>
  <c r="T6" s="1"/>
  <c r="T5"/>
  <c r="S5"/>
  <c r="R5"/>
  <c r="R22" s="1"/>
  <c r="C12" i="17"/>
  <c r="D11"/>
  <c r="T10"/>
  <c r="R10"/>
  <c r="C10"/>
  <c r="R9"/>
  <c r="O9"/>
  <c r="D9"/>
  <c r="B9"/>
  <c r="R8"/>
  <c r="O8"/>
  <c r="D8"/>
  <c r="C8" s="1"/>
  <c r="B8"/>
  <c r="B14" s="1"/>
  <c r="T7"/>
  <c r="S7"/>
  <c r="R7"/>
  <c r="P7"/>
  <c r="N7"/>
  <c r="C7"/>
  <c r="T6"/>
  <c r="S6" s="1"/>
  <c r="R6"/>
  <c r="N6"/>
  <c r="E6"/>
  <c r="D6"/>
  <c r="T5"/>
  <c r="R5"/>
  <c r="R13" s="1"/>
  <c r="C5"/>
  <c r="B13" i="16"/>
  <c r="O9"/>
  <c r="N8"/>
  <c r="O7"/>
  <c r="N6"/>
  <c r="E6"/>
  <c r="D6"/>
  <c r="D13" s="1"/>
  <c r="G12" s="1"/>
  <c r="C5"/>
  <c r="O8" s="1"/>
  <c r="P8" s="1"/>
  <c r="N24" i="15"/>
  <c r="N22"/>
  <c r="N17"/>
  <c r="B17"/>
  <c r="N16"/>
  <c r="C15"/>
  <c r="D14"/>
  <c r="C14" s="1"/>
  <c r="C13"/>
  <c r="C12"/>
  <c r="C11"/>
  <c r="R10"/>
  <c r="E10"/>
  <c r="S9"/>
  <c r="R9"/>
  <c r="N15" s="1"/>
  <c r="N9"/>
  <c r="D9"/>
  <c r="S8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D5"/>
  <c r="J4"/>
  <c r="R15" i="14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P22" i="13"/>
  <c r="N22"/>
  <c r="N21"/>
  <c r="P20"/>
  <c r="O20"/>
  <c r="N20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R19" s="1"/>
  <c r="C11"/>
  <c r="T10"/>
  <c r="R10"/>
  <c r="C10"/>
  <c r="T9"/>
  <c r="R9"/>
  <c r="C9"/>
  <c r="U8"/>
  <c r="T8"/>
  <c r="S8"/>
  <c r="O23" s="1"/>
  <c r="R8"/>
  <c r="P8"/>
  <c r="O8" s="1"/>
  <c r="N8"/>
  <c r="C8"/>
  <c r="T7"/>
  <c r="R7"/>
  <c r="V7" s="1"/>
  <c r="P7"/>
  <c r="O7"/>
  <c r="N7"/>
  <c r="C7"/>
  <c r="T6"/>
  <c r="S6"/>
  <c r="O9" s="1"/>
  <c r="R6"/>
  <c r="N6"/>
  <c r="N9" s="1"/>
  <c r="E6"/>
  <c r="D6"/>
  <c r="D19" s="1"/>
  <c r="R5"/>
  <c r="U5" s="1"/>
  <c r="C5"/>
  <c r="O6" s="1"/>
  <c r="P6" s="1"/>
  <c r="J4"/>
  <c r="K4" s="1"/>
  <c r="D14" i="12"/>
  <c r="B14"/>
  <c r="G13"/>
  <c r="N9"/>
  <c r="N8"/>
  <c r="N7"/>
  <c r="D7"/>
  <c r="N6"/>
  <c r="E6"/>
  <c r="D6"/>
  <c r="C5"/>
  <c r="J4"/>
  <c r="B14" i="11"/>
  <c r="J4" s="1"/>
  <c r="D12"/>
  <c r="C12" s="1"/>
  <c r="C11"/>
  <c r="C10"/>
  <c r="O9"/>
  <c r="C9"/>
  <c r="O8"/>
  <c r="C8"/>
  <c r="T7"/>
  <c r="U7" s="1"/>
  <c r="R7"/>
  <c r="C7"/>
  <c r="T6"/>
  <c r="R6"/>
  <c r="O6"/>
  <c r="E6"/>
  <c r="D6"/>
  <c r="T5"/>
  <c r="R5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T6" s="1"/>
  <c r="T17" s="1"/>
  <c r="T5"/>
  <c r="S5"/>
  <c r="R5"/>
  <c r="C5"/>
  <c r="O9" s="1"/>
  <c r="P9" s="1"/>
  <c r="J4"/>
  <c r="O3"/>
  <c r="B13" i="9"/>
  <c r="C11"/>
  <c r="C10"/>
  <c r="T9"/>
  <c r="R9"/>
  <c r="N9"/>
  <c r="C9"/>
  <c r="T8"/>
  <c r="R8"/>
  <c r="C8"/>
  <c r="T7"/>
  <c r="R7"/>
  <c r="P7"/>
  <c r="N7"/>
  <c r="C7"/>
  <c r="R6"/>
  <c r="U6" s="1"/>
  <c r="P6"/>
  <c r="N6"/>
  <c r="N8" s="1"/>
  <c r="E6"/>
  <c r="D6"/>
  <c r="T6" s="1"/>
  <c r="T13" s="1"/>
  <c r="T5"/>
  <c r="S5"/>
  <c r="R5"/>
  <c r="C5"/>
  <c r="J4"/>
  <c r="N9" i="8"/>
  <c r="N7"/>
  <c r="C7"/>
  <c r="R6"/>
  <c r="U6" s="1"/>
  <c r="E6"/>
  <c r="D6"/>
  <c r="T6" s="1"/>
  <c r="R5"/>
  <c r="C5"/>
  <c r="B5"/>
  <c r="B13" s="1"/>
  <c r="J4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H37" s="1"/>
  <c r="E52"/>
  <c r="D52"/>
  <c r="C52"/>
  <c r="G52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M40"/>
  <c r="E40"/>
  <c r="F40" s="1"/>
  <c r="D40"/>
  <c r="E39"/>
  <c r="F39" s="1"/>
  <c r="D39"/>
  <c r="M38"/>
  <c r="L38"/>
  <c r="L39" s="1"/>
  <c r="L40" s="1"/>
  <c r="H38"/>
  <c r="H42" s="1"/>
  <c r="E38"/>
  <c r="F38" s="1"/>
  <c r="I38" s="1"/>
  <c r="K38" s="1"/>
  <c r="D38"/>
  <c r="M37"/>
  <c r="F37"/>
  <c r="I37" s="1"/>
  <c r="K37" s="1"/>
  <c r="D37"/>
  <c r="E37" s="1"/>
  <c r="M36"/>
  <c r="H36"/>
  <c r="H41" s="1"/>
  <c r="E36"/>
  <c r="F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N67"/>
  <c r="O67" s="1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B31"/>
  <c r="D30"/>
  <c r="T21" s="1"/>
  <c r="B30"/>
  <c r="B38" s="1"/>
  <c r="J7" s="1"/>
  <c r="J8" s="1"/>
  <c r="D29"/>
  <c r="T18" s="1"/>
  <c r="M28"/>
  <c r="D28"/>
  <c r="T17" s="1"/>
  <c r="S17" s="1"/>
  <c r="M27"/>
  <c r="D27"/>
  <c r="M26"/>
  <c r="D26"/>
  <c r="C26" s="1"/>
  <c r="N25"/>
  <c r="M25"/>
  <c r="O25" s="1"/>
  <c r="C25"/>
  <c r="N68" s="1"/>
  <c r="O68" s="1"/>
  <c r="T24"/>
  <c r="R24"/>
  <c r="C24"/>
  <c r="T23"/>
  <c r="R23"/>
  <c r="C23"/>
  <c r="C22"/>
  <c r="N43" s="1"/>
  <c r="O43" s="1"/>
  <c r="S21"/>
  <c r="R21"/>
  <c r="C21"/>
  <c r="N18" s="1"/>
  <c r="M20"/>
  <c r="C20"/>
  <c r="N34" s="1"/>
  <c r="O34" s="1"/>
  <c r="T19"/>
  <c r="S19" s="1"/>
  <c r="R19"/>
  <c r="M50" s="1"/>
  <c r="N19"/>
  <c r="O19" s="1"/>
  <c r="M19"/>
  <c r="C19"/>
  <c r="N27" s="1"/>
  <c r="O27" s="1"/>
  <c r="S18"/>
  <c r="R18"/>
  <c r="M18"/>
  <c r="O18" s="1"/>
  <c r="D18"/>
  <c r="C18"/>
  <c r="N17" s="1"/>
  <c r="O17" s="1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O9" s="1"/>
  <c r="O14" s="1"/>
  <c r="M9"/>
  <c r="C9"/>
  <c r="R8"/>
  <c r="S8" s="1"/>
  <c r="C8"/>
  <c r="R7"/>
  <c r="S7" s="1"/>
  <c r="C7"/>
  <c r="R6"/>
  <c r="T6" s="1"/>
  <c r="E6"/>
  <c r="D6"/>
  <c r="R5"/>
  <c r="D5"/>
  <c r="J4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8" i="2" l="1"/>
  <c r="P9" i="18"/>
  <c r="P32" i="4"/>
  <c r="O37" i="1"/>
  <c r="P37" s="1"/>
  <c r="O36"/>
  <c r="O35"/>
  <c r="P35" s="1"/>
  <c r="O34"/>
  <c r="O29"/>
  <c r="P29" s="1"/>
  <c r="O28"/>
  <c r="O27"/>
  <c r="P27" s="1"/>
  <c r="O26"/>
  <c r="N3" i="13"/>
  <c r="O3"/>
  <c r="N9" i="17"/>
  <c r="P9" s="1"/>
  <c r="N8"/>
  <c r="J4"/>
  <c r="K4" s="1"/>
  <c r="B43" i="1"/>
  <c r="T10"/>
  <c r="S10" s="1"/>
  <c r="O22" i="2"/>
  <c r="P9" i="13"/>
  <c r="P11" s="1"/>
  <c r="P19" i="34"/>
  <c r="N52" i="2"/>
  <c r="O52" s="1"/>
  <c r="N50"/>
  <c r="O50" s="1"/>
  <c r="M76"/>
  <c r="M74"/>
  <c r="D31"/>
  <c r="D38" s="1"/>
  <c r="T22"/>
  <c r="T20"/>
  <c r="R20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O9" i="8"/>
  <c r="P9" s="1"/>
  <c r="O7"/>
  <c r="P7" s="1"/>
  <c r="D5"/>
  <c r="O9" i="9"/>
  <c r="P9" s="1"/>
  <c r="O8"/>
  <c r="P8" s="1"/>
  <c r="P11" s="1"/>
  <c r="N9" i="11"/>
  <c r="N8"/>
  <c r="N6"/>
  <c r="P6" s="1"/>
  <c r="O9" i="12"/>
  <c r="P9" s="1"/>
  <c r="O7"/>
  <c r="P7" s="1"/>
  <c r="R32" i="13"/>
  <c r="G18"/>
  <c r="G17" i="15"/>
  <c r="T5"/>
  <c r="O17"/>
  <c r="P17" s="1"/>
  <c r="O16"/>
  <c r="P16" s="1"/>
  <c r="O6" i="18"/>
  <c r="N9" i="22"/>
  <c r="N8"/>
  <c r="N6"/>
  <c r="N7"/>
  <c r="P7" s="1"/>
  <c r="R21" i="24"/>
  <c r="N8"/>
  <c r="O8" i="27"/>
  <c r="P8" s="1"/>
  <c r="O6"/>
  <c r="P6" s="1"/>
  <c r="N9" i="28"/>
  <c r="N8"/>
  <c r="N6"/>
  <c r="N7"/>
  <c r="P7" s="1"/>
  <c r="O8" i="29"/>
  <c r="P8" s="1"/>
  <c r="O6"/>
  <c r="O9"/>
  <c r="G9" i="33"/>
  <c r="K4"/>
  <c r="T5" i="34"/>
  <c r="T29"/>
  <c r="O17"/>
  <c r="C26"/>
  <c r="R19"/>
  <c r="V19" s="1"/>
  <c r="C28"/>
  <c r="R20"/>
  <c r="Q9" i="35"/>
  <c r="Q7"/>
  <c r="T18" i="38"/>
  <c r="S5"/>
  <c r="O6" i="9"/>
  <c r="E7" i="12"/>
  <c r="K4"/>
  <c r="N9" i="14"/>
  <c r="N8"/>
  <c r="N7"/>
  <c r="N6"/>
  <c r="O9" i="15"/>
  <c r="P9" s="1"/>
  <c r="O8"/>
  <c r="P8" s="1"/>
  <c r="O7"/>
  <c r="P7" s="1"/>
  <c r="N9" i="16"/>
  <c r="N7"/>
  <c r="P7" s="1"/>
  <c r="J4"/>
  <c r="K4" s="1"/>
  <c r="C11" i="17"/>
  <c r="O6" s="1"/>
  <c r="T9"/>
  <c r="P6"/>
  <c r="O9" i="19"/>
  <c r="P9" s="1"/>
  <c r="O7"/>
  <c r="O8"/>
  <c r="O6" i="20"/>
  <c r="P11"/>
  <c r="T6" i="23"/>
  <c r="S6" s="1"/>
  <c r="D11"/>
  <c r="G10" s="1"/>
  <c r="T9"/>
  <c r="C9"/>
  <c r="P8"/>
  <c r="O8" s="1"/>
  <c r="D15" i="24"/>
  <c r="G14" s="1"/>
  <c r="T6"/>
  <c r="S6" s="1"/>
  <c r="O8"/>
  <c r="O6"/>
  <c r="O7"/>
  <c r="T7" i="26"/>
  <c r="T39" s="1"/>
  <c r="O9"/>
  <c r="P9" s="1"/>
  <c r="J4"/>
  <c r="N9" i="29"/>
  <c r="J4"/>
  <c r="K4" s="1"/>
  <c r="C23" i="30"/>
  <c r="P16"/>
  <c r="O16" s="1"/>
  <c r="O3" s="1"/>
  <c r="P7" i="31"/>
  <c r="N3"/>
  <c r="P3" s="1"/>
  <c r="O9" i="32"/>
  <c r="P9" s="1"/>
  <c r="O7"/>
  <c r="P7" s="1"/>
  <c r="N26" i="1"/>
  <c r="N27"/>
  <c r="N28"/>
  <c r="B39"/>
  <c r="N26" i="2"/>
  <c r="O26" s="1"/>
  <c r="N28"/>
  <c r="O28" s="1"/>
  <c r="O30" s="1"/>
  <c r="N51"/>
  <c r="O51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9" i="5"/>
  <c r="K39" s="1"/>
  <c r="I42"/>
  <c r="K42" s="1"/>
  <c r="D13" i="9"/>
  <c r="G12" s="1"/>
  <c r="O8" i="10"/>
  <c r="P8" s="1"/>
  <c r="D14"/>
  <c r="G13" s="1"/>
  <c r="U5" i="11"/>
  <c r="P8"/>
  <c r="P9"/>
  <c r="R14"/>
  <c r="O6" i="12"/>
  <c r="P6" s="1"/>
  <c r="P6" i="14"/>
  <c r="P7"/>
  <c r="P8"/>
  <c r="P9"/>
  <c r="U5" i="17"/>
  <c r="N9" i="23"/>
  <c r="P9" s="1"/>
  <c r="K4" i="24"/>
  <c r="O6" i="26"/>
  <c r="P6" s="1"/>
  <c r="N17" i="30"/>
  <c r="P17" s="1"/>
  <c r="P19" s="1"/>
  <c r="V8"/>
  <c r="P9"/>
  <c r="Q8" i="35"/>
  <c r="O3" i="1"/>
  <c r="T5"/>
  <c r="N6"/>
  <c r="R19"/>
  <c r="N19" s="1"/>
  <c r="T19"/>
  <c r="S19" s="1"/>
  <c r="R21"/>
  <c r="N34"/>
  <c r="N35"/>
  <c r="N36"/>
  <c r="N4" i="2"/>
  <c r="T5"/>
  <c r="T37" s="1"/>
  <c r="S15"/>
  <c r="R22"/>
  <c r="R37" s="1"/>
  <c r="S24"/>
  <c r="N42"/>
  <c r="O42" s="1"/>
  <c r="O46" s="1"/>
  <c r="N44"/>
  <c r="O44" s="1"/>
  <c r="M57"/>
  <c r="O57" s="1"/>
  <c r="M75"/>
  <c r="P35" i="4"/>
  <c r="I36" i="5"/>
  <c r="K36" s="1"/>
  <c r="J13" s="1"/>
  <c r="H39"/>
  <c r="H40" s="1"/>
  <c r="M39"/>
  <c r="K14" s="1"/>
  <c r="I40"/>
  <c r="K40" s="1"/>
  <c r="R13" i="8"/>
  <c r="O6"/>
  <c r="O8"/>
  <c r="P8" s="1"/>
  <c r="R13" i="9"/>
  <c r="S7"/>
  <c r="O7" s="1"/>
  <c r="K4" i="10"/>
  <c r="R17"/>
  <c r="P12"/>
  <c r="O7"/>
  <c r="P7" s="1"/>
  <c r="N3"/>
  <c r="P3" s="1"/>
  <c r="T14" i="11"/>
  <c r="D14"/>
  <c r="S6"/>
  <c r="N7"/>
  <c r="P7" s="1"/>
  <c r="O8" i="12"/>
  <c r="P8" s="1"/>
  <c r="T5" i="13"/>
  <c r="T19" s="1"/>
  <c r="N23"/>
  <c r="P23" s="1"/>
  <c r="P25" s="1"/>
  <c r="R37" i="15"/>
  <c r="T10"/>
  <c r="O14"/>
  <c r="P14" s="1"/>
  <c r="P19" s="1"/>
  <c r="O15"/>
  <c r="P15" s="1"/>
  <c r="D17"/>
  <c r="K4" s="1"/>
  <c r="P9" i="16"/>
  <c r="D14" i="17"/>
  <c r="G13" s="1"/>
  <c r="O7"/>
  <c r="P8"/>
  <c r="T8"/>
  <c r="S8" s="1"/>
  <c r="T22" i="18"/>
  <c r="S5" i="19"/>
  <c r="R24" i="20"/>
  <c r="P9" i="21"/>
  <c r="J4" i="22"/>
  <c r="K4" s="1"/>
  <c r="P6"/>
  <c r="N6" i="24"/>
  <c r="O9"/>
  <c r="S21" i="26"/>
  <c r="G17" i="27"/>
  <c r="J4" i="28"/>
  <c r="K4" s="1"/>
  <c r="P6"/>
  <c r="O6" i="32"/>
  <c r="P6" s="1"/>
  <c r="O8"/>
  <c r="P8" s="1"/>
  <c r="T30" i="34"/>
  <c r="T18" i="37"/>
  <c r="N8" i="18"/>
  <c r="J4"/>
  <c r="K4" s="1"/>
  <c r="D14" i="19"/>
  <c r="G13" s="1"/>
  <c r="C11"/>
  <c r="O6" i="23"/>
  <c r="O17" i="27"/>
  <c r="P17" s="1"/>
  <c r="O16"/>
  <c r="P16" s="1"/>
  <c r="O14"/>
  <c r="P14" s="1"/>
  <c r="N9"/>
  <c r="P9" s="1"/>
  <c r="N7"/>
  <c r="P7" s="1"/>
  <c r="D25" i="30"/>
  <c r="G24" s="1"/>
  <c r="T9"/>
  <c r="V9" s="1"/>
  <c r="C9"/>
  <c r="N9"/>
  <c r="N7"/>
  <c r="P7" s="1"/>
  <c r="P11" s="1"/>
  <c r="T17" i="31"/>
  <c r="S5"/>
  <c r="N9"/>
  <c r="J4"/>
  <c r="K4" s="1"/>
  <c r="R6" i="34"/>
  <c r="C6"/>
  <c r="E14"/>
  <c r="R10"/>
  <c r="R45" s="1"/>
  <c r="P16"/>
  <c r="T13"/>
  <c r="R13"/>
  <c r="T15"/>
  <c r="R15"/>
  <c r="C33"/>
  <c r="T20"/>
  <c r="V20" s="1"/>
  <c r="N66" i="2"/>
  <c r="O66" s="1"/>
  <c r="O70" s="1"/>
  <c r="N6" i="8"/>
  <c r="N18" s="1"/>
  <c r="O18" s="1"/>
  <c r="N8"/>
  <c r="T9" i="15"/>
  <c r="N14"/>
  <c r="N23"/>
  <c r="N25"/>
  <c r="O6" i="16"/>
  <c r="P6" s="1"/>
  <c r="P8" i="18"/>
  <c r="P11" s="1"/>
  <c r="T5" i="19"/>
  <c r="T33" s="1"/>
  <c r="W33" s="1"/>
  <c r="O6"/>
  <c r="N8"/>
  <c r="S8"/>
  <c r="D12" i="20"/>
  <c r="G11" s="1"/>
  <c r="O8" i="22"/>
  <c r="O9"/>
  <c r="P9" s="1"/>
  <c r="K4" i="23"/>
  <c r="T22"/>
  <c r="N9" i="24"/>
  <c r="T21"/>
  <c r="S7"/>
  <c r="U8"/>
  <c r="S13" i="26"/>
  <c r="S27"/>
  <c r="O8" i="28"/>
  <c r="P8" s="1"/>
  <c r="O9"/>
  <c r="P9" s="1"/>
  <c r="R28" i="29"/>
  <c r="S9"/>
  <c r="N3" i="30"/>
  <c r="S10"/>
  <c r="S14"/>
  <c r="P9" i="31"/>
  <c r="S12" i="34"/>
  <c r="S16"/>
  <c r="S22"/>
  <c r="B45"/>
  <c r="O6" i="35"/>
  <c r="P6" s="1"/>
  <c r="P11" s="1"/>
  <c r="R18" i="37"/>
  <c r="O7"/>
  <c r="O3" s="1"/>
  <c r="P11"/>
  <c r="P9" i="38"/>
  <c r="O8" i="39"/>
  <c r="P8" s="1"/>
  <c r="D14"/>
  <c r="G13" s="1"/>
  <c r="O6" i="21"/>
  <c r="P6" s="1"/>
  <c r="O8"/>
  <c r="P8" s="1"/>
  <c r="N7" i="24"/>
  <c r="O12" i="25"/>
  <c r="P12" s="1"/>
  <c r="R9" i="26"/>
  <c r="S9" s="1"/>
  <c r="O6" i="33"/>
  <c r="P6" s="1"/>
  <c r="O8"/>
  <c r="P8" s="1"/>
  <c r="O6" i="36"/>
  <c r="P6" s="1"/>
  <c r="O8"/>
  <c r="P8" s="1"/>
  <c r="J4" i="38"/>
  <c r="K4" s="1"/>
  <c r="N6"/>
  <c r="P6" s="1"/>
  <c r="N7"/>
  <c r="P7" s="1"/>
  <c r="O6" i="39"/>
  <c r="P6" s="1"/>
  <c r="O7"/>
  <c r="P7" s="1"/>
  <c r="P11" l="1"/>
  <c r="P11" i="21"/>
  <c r="P3" i="30"/>
  <c r="P11" i="15"/>
  <c r="P11" i="11"/>
  <c r="O54" i="2"/>
  <c r="P12" i="31"/>
  <c r="G37" i="2"/>
  <c r="K4"/>
  <c r="O47" i="5"/>
  <c r="P47" s="1"/>
  <c r="J15"/>
  <c r="P11" i="38"/>
  <c r="N3" i="23"/>
  <c r="O3"/>
  <c r="G13" i="11"/>
  <c r="K4"/>
  <c r="O21" i="1"/>
  <c r="P21" s="1"/>
  <c r="O19"/>
  <c r="P19" s="1"/>
  <c r="O20"/>
  <c r="P20" s="1"/>
  <c r="O6"/>
  <c r="N3" s="1"/>
  <c r="N3" i="20"/>
  <c r="O3"/>
  <c r="P3" s="1"/>
  <c r="O3" i="17"/>
  <c r="N3"/>
  <c r="N3" i="29"/>
  <c r="O3"/>
  <c r="P3" s="1"/>
  <c r="O3" i="18"/>
  <c r="N3"/>
  <c r="T37" i="15"/>
  <c r="S5"/>
  <c r="J12" i="1"/>
  <c r="J13" s="1"/>
  <c r="J4"/>
  <c r="K4" s="1"/>
  <c r="J4" i="34"/>
  <c r="K4" s="1"/>
  <c r="G45"/>
  <c r="P6" i="19"/>
  <c r="N3"/>
  <c r="O3"/>
  <c r="P6" i="8"/>
  <c r="P11" s="1"/>
  <c r="O3"/>
  <c r="N3"/>
  <c r="N75" i="2"/>
  <c r="O75" s="1"/>
  <c r="N73"/>
  <c r="O73" s="1"/>
  <c r="N76"/>
  <c r="O76" s="1"/>
  <c r="N74"/>
  <c r="O74" s="1"/>
  <c r="M4"/>
  <c r="O4" s="1"/>
  <c r="D39" i="1"/>
  <c r="D43" s="1"/>
  <c r="T22"/>
  <c r="T32" s="1"/>
  <c r="T18"/>
  <c r="R18"/>
  <c r="N10"/>
  <c r="P10" s="1"/>
  <c r="R22"/>
  <c r="N3" i="9"/>
  <c r="O3"/>
  <c r="N8" i="34"/>
  <c r="N9"/>
  <c r="P9" s="1"/>
  <c r="P11" s="1"/>
  <c r="D13" i="8"/>
  <c r="T5"/>
  <c r="P11" i="16"/>
  <c r="K4" i="30"/>
  <c r="P11" i="28"/>
  <c r="K4" i="20"/>
  <c r="T13" i="17"/>
  <c r="P3" i="1"/>
  <c r="P12" i="12"/>
  <c r="P6" i="24"/>
  <c r="P12" i="17"/>
  <c r="P11" i="27"/>
  <c r="M58" i="2"/>
  <c r="M47" i="5"/>
  <c r="P11" i="36"/>
  <c r="P11" i="33"/>
  <c r="K4" i="39"/>
  <c r="P8" i="22"/>
  <c r="P11" s="1"/>
  <c r="S15" i="34"/>
  <c r="O24" s="1"/>
  <c r="S13"/>
  <c r="P20" i="27"/>
  <c r="P11" i="23"/>
  <c r="N3" i="37"/>
  <c r="P3" s="1"/>
  <c r="P11" i="32"/>
  <c r="T28" i="30"/>
  <c r="P9" i="24"/>
  <c r="K4" i="19"/>
  <c r="K4" i="9"/>
  <c r="P12" i="14"/>
  <c r="R39" i="26"/>
  <c r="P7" i="24"/>
  <c r="P8"/>
  <c r="P8" i="19"/>
  <c r="T45" i="34"/>
  <c r="W45" s="1"/>
  <c r="P9" i="29"/>
  <c r="P11" s="1"/>
  <c r="S20" i="2"/>
  <c r="P3" i="13"/>
  <c r="P26" i="1"/>
  <c r="P28"/>
  <c r="P34"/>
  <c r="P36"/>
  <c r="P3" i="9" l="1"/>
  <c r="S5" i="8"/>
  <c r="T13"/>
  <c r="N11" i="1"/>
  <c r="R32"/>
  <c r="O24" i="15"/>
  <c r="P24" s="1"/>
  <c r="O22"/>
  <c r="P22" s="1"/>
  <c r="O25"/>
  <c r="P25" s="1"/>
  <c r="O23"/>
  <c r="P23" s="1"/>
  <c r="N59" i="2"/>
  <c r="O59" s="1"/>
  <c r="N60"/>
  <c r="O60" s="1"/>
  <c r="N58"/>
  <c r="O58" s="1"/>
  <c r="O62" s="1"/>
  <c r="P24" i="34"/>
  <c r="P28" s="1"/>
  <c r="N3"/>
  <c r="O3"/>
  <c r="G12" i="8"/>
  <c r="K4"/>
  <c r="G42" i="1"/>
  <c r="G7"/>
  <c r="P11" i="24"/>
  <c r="O78" i="2"/>
  <c r="P39" i="1"/>
  <c r="P31"/>
  <c r="S18"/>
  <c r="P3" i="8"/>
  <c r="P3" i="19"/>
  <c r="P13"/>
  <c r="P3" i="18"/>
  <c r="P3" i="17"/>
  <c r="P6" i="1"/>
  <c r="P23"/>
  <c r="P3" i="23"/>
  <c r="J16" i="5"/>
  <c r="O12" i="1" l="1"/>
  <c r="P12" s="1"/>
  <c r="O11"/>
  <c r="P11" s="1"/>
  <c r="O13"/>
  <c r="P13" s="1"/>
  <c r="P3" i="34"/>
  <c r="P27" i="15"/>
  <c r="P15" i="1" l="1"/>
</calcChain>
</file>

<file path=xl/sharedStrings.xml><?xml version="1.0" encoding="utf-8"?>
<sst xmlns="http://schemas.openxmlformats.org/spreadsheetml/2006/main" count="884" uniqueCount="102">
  <si>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</si>
  <si>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</si>
  <si>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</si>
  <si>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</si>
  <si>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</si>
  <si>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</si>
  <si>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</si>
  <si>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</si>
  <si>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</si>
  <si>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</si>
  <si>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</si>
  <si>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</si>
  <si>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</si>
  <si>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</si>
  <si>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</si>
  <si>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</si>
  <si>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</si>
  <si>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</si>
  <si>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</si>
  <si>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</si>
  <si>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</si>
  <si>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</si>
  <si>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</si>
  <si>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</si>
  <si>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</si>
  <si>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</si>
  <si>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</si>
  <si>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</si>
  <si>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</si>
  <si>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</si>
  <si>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</si>
  <si>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</si>
  <si>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</si>
  <si>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</si>
  <si>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</si>
  <si>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</si>
  <si>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</si>
  <si>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</si>
  <si>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</si>
  <si>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</si>
  <si>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</si>
  <si>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</si>
  <si>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</si>
  <si>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</si>
  <si>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</si>
  <si>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</si>
  <si>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</si>
  <si>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</si>
  <si>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</si>
  <si>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</si>
  <si>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</si>
  <si>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</si>
  <si>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</si>
  <si>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</si>
  <si>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</si>
  <si>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</si>
  <si>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</si>
  <si>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</si>
  <si>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</si>
  <si>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</si>
  <si>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</si>
  <si>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</si>
  <si>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</si>
  <si>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</si>
  <si>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</si>
  <si>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</si>
  <si>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</si>
  <si>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</si>
  <si>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</si>
  <si>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</si>
  <si>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</si>
  <si>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</si>
  <si>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</si>
  <si>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</si>
  <si>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</si>
  <si>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</si>
  <si>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</si>
  <si>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</si>
  <si>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</si>
  <si>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</si>
  <si>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</si>
  <si>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</si>
  <si>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</si>
  <si>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</si>
  <si>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</si>
  <si>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</si>
  <si>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</si>
  <si>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</si>
  <si>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</si>
  <si>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</si>
  <si>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</si>
  <si>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</si>
  <si>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</si>
  <si>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</si>
  <si>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</si>
  <si>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</si>
  <si>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</si>
  <si>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</si>
  <si>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</si>
  <si>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</si>
  <si>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DCA2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</si>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</sst>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5927936"/>
        <c:axId val="75929856"/>
      </c:lineChart>
      <c:dateAx>
        <c:axId val="75927936"/>
        <c:scaling>
          <c:orientation val="minMax"/>
        </c:scaling>
        <c:axPos val="b"/>
        <c:numFmt formatCode="dd/mm/yy;@" sourceLinked="1"/>
        <c:majorTickMark val="none"/>
        <c:tickLblPos val="nextTo"/>
        <c:crossAx val="75929856"/>
        <c:crosses val="autoZero"/>
        <c:lblOffset val="100"/>
      </c:dateAx>
      <c:valAx>
        <c:axId val="759298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927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2238.3114901418239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1265.6786817023371</v>
      </c>
      <c r="K4" s="4">
        <f>(J4/D43-1)</f>
        <v>-0.1706028785102357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2698.7210735930284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6.5884200000000002E-3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6.5884200000000002E-3</v>
      </c>
      <c r="C12" s="28">
        <v>0</v>
      </c>
      <c r="D12" s="29">
        <f t="shared" si="0"/>
        <v>0</v>
      </c>
      <c r="E12" s="23">
        <f>(B12*J3)</f>
        <v>14.746936187880197</v>
      </c>
      <c r="I12" t="s">
        <v>13</v>
      </c>
      <c r="J12">
        <f>(J11-B43)</f>
        <v>3.4538630000000015E-2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77.308212382757134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0.54508177000000002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2698.7210735930284</v>
      </c>
    </row>
    <row r="43" spans="2:16">
      <c r="B43">
        <f>(SUM(B5:B42))</f>
        <v>0.56546136999999996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9" priority="37" operator="lessThan">
      <formula>$J$3</formula>
    </cfRule>
    <cfRule type="cellIs" dxfId="298" priority="38" operator="greaterThan">
      <formula>$J$3</formula>
    </cfRule>
  </conditionalFormatting>
  <conditionalFormatting sqref="G42">
    <cfRule type="cellIs" dxfId="297" priority="21" operator="lessThan">
      <formula>$J$3</formula>
    </cfRule>
    <cfRule type="cellIs" dxfId="296" priority="22" operator="greaterThan">
      <formula>$J$3</formula>
    </cfRule>
  </conditionalFormatting>
  <conditionalFormatting sqref="O3">
    <cfRule type="cellIs" dxfId="295" priority="9" operator="greaterThan">
      <formula>$J$3</formula>
    </cfRule>
    <cfRule type="cellIs" dxfId="294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0.23147953499068191</v>
      </c>
      <c r="M3" t="s">
        <v>4</v>
      </c>
      <c r="N3" s="26">
        <f>(INDEX(N5:N23,MATCH(MAX(O6),O5:O23,0))/0.9)</f>
        <v>14.066666666666666</v>
      </c>
      <c r="O3" s="24">
        <f>(MAX(O6)*0.85)</f>
        <v>0.18915125600315957</v>
      </c>
      <c r="P3" s="45">
        <f>(O3*N3)</f>
        <v>2.660727667777778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11.723885544519943</v>
      </c>
      <c r="K4" s="4">
        <f>(J4/D14-1)</f>
        <v>0.67278018019898567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0.56480189000000003</v>
      </c>
      <c r="C6" s="28">
        <v>0</v>
      </c>
      <c r="D6" s="28">
        <f>(B6*C6)</f>
        <v>0</v>
      </c>
      <c r="E6" s="23">
        <f>(B6*J3)</f>
        <v>0.13074007885905828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0.56480189000000003</v>
      </c>
      <c r="S6" s="28">
        <v>0</v>
      </c>
      <c r="T6" s="28">
        <f>(D6)</f>
        <v>0</v>
      </c>
      <c r="U6" s="23">
        <f>(E6)</f>
        <v>0.13074007885905828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12.663044576000001</v>
      </c>
      <c r="O7" s="23">
        <f>($C$5*[1]Params!K9)</f>
        <v>0.27003658131027602</v>
      </c>
      <c r="P7" s="23">
        <f>(O7*N7)</f>
        <v>3.419485266282674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12.661522288</v>
      </c>
      <c r="O8" s="23">
        <f>($C$5*[1]Params!K10)</f>
        <v>0.37130029930162955</v>
      </c>
      <c r="P8" s="23">
        <f>(O8*N8)</f>
        <v>4.7012270151486533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12.661522288</v>
      </c>
      <c r="O9" s="23">
        <f>($C$5*[1]Params!K11)</f>
        <v>0.84386431659461258</v>
      </c>
      <c r="P9" s="23">
        <f>(O9*N9)</f>
        <v>10.684606852610576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21.622560194041903</v>
      </c>
    </row>
    <row r="13" spans="2:21">
      <c r="F13" t="s">
        <v>9</v>
      </c>
      <c r="G13" s="23">
        <f>(D14/B14)</f>
        <v>0.13838012772434108</v>
      </c>
    </row>
    <row r="14" spans="2:21">
      <c r="B14" s="35">
        <f>(SUM(B5:B13))</f>
        <v>50.647611440000006</v>
      </c>
      <c r="D14" s="23">
        <f>(SUM(D5:D13))</f>
        <v>7.0086229399999986</v>
      </c>
    </row>
    <row r="17" spans="11:20">
      <c r="N17" s="35"/>
      <c r="R17" s="35">
        <f>(SUM(R5:R16))</f>
        <v>50.647611440000006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7" priority="15" operator="lessThan">
      <formula>$J$3</formula>
    </cfRule>
    <cfRule type="cellIs" dxfId="236" priority="16" operator="greaterThan">
      <formula>$J$3</formula>
    </cfRule>
  </conditionalFormatting>
  <conditionalFormatting sqref="C9:C10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O7:O9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S5 S7">
    <cfRule type="cellIs" dxfId="231" priority="7" operator="lessThan">
      <formula>$J$3</formula>
    </cfRule>
    <cfRule type="cellIs" dxfId="230" priority="8" operator="greaterThan">
      <formula>$J$3</formula>
    </cfRule>
  </conditionalFormatting>
  <conditionalFormatting sqref="G13">
    <cfRule type="cellIs" dxfId="229" priority="3" operator="lessThan">
      <formula>$J$3</formula>
    </cfRule>
    <cfRule type="cellIs" dxfId="228" priority="4" operator="greaterThan">
      <formula>$J$3</formula>
    </cfRule>
  </conditionalFormatting>
  <conditionalFormatting sqref="O3">
    <cfRule type="cellIs" dxfId="227" priority="1" operator="greaterThan">
      <formula>$J$3</formula>
    </cfRule>
    <cfRule type="cellIs" dxfId="226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1.750858505387406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24.2635081895965</v>
      </c>
      <c r="K4" s="4">
        <f>(J4/D14-1)</f>
        <v>-0.38898885579391462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0.57993165999999996</v>
      </c>
      <c r="S5" s="28">
        <v>0</v>
      </c>
      <c r="T5" s="29">
        <f>(D6)</f>
        <v>0</v>
      </c>
      <c r="U5" s="23">
        <f>(R5*J3)</f>
        <v>1.0153782794544373</v>
      </c>
    </row>
    <row r="6" spans="2:21">
      <c r="B6" s="47">
        <v>0.57993165999999996</v>
      </c>
      <c r="C6" s="28">
        <v>0</v>
      </c>
      <c r="D6" s="29">
        <f>(B6*C6)</f>
        <v>0</v>
      </c>
      <c r="E6" s="23">
        <f>(B6*J3)</f>
        <v>1.0153782794544373</v>
      </c>
      <c r="M6" t="s">
        <v>11</v>
      </c>
      <c r="N6" s="35">
        <f>(SUM(R5:R7)/5)</f>
        <v>2.7716126819999998</v>
      </c>
      <c r="O6" s="23">
        <f>($C$5*[1]Params!K8)</f>
        <v>3.9259199240050893</v>
      </c>
      <c r="P6" s="23">
        <f>(O6*N6)</f>
        <v>10.881129449888981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2.7716126819999998</v>
      </c>
      <c r="O7" s="23">
        <f>($C$5*[1]Params!K9)</f>
        <v>4.8319014449293407</v>
      </c>
      <c r="P7" s="23">
        <f>(O7*N7)</f>
        <v>13.392159322940284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0.30503624633904486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2.7716126819999998</v>
      </c>
      <c r="O8" s="23">
        <f>($C$5*[1]Params!K10)</f>
        <v>6.6438644867778436</v>
      </c>
      <c r="P8" s="23">
        <f>(O8*N8)</f>
        <v>18.41421906904289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2.7716126819999998</v>
      </c>
      <c r="O9" s="23">
        <f>($C$5*[1]Params!K11)</f>
        <v>15.099692015404189</v>
      </c>
      <c r="P9" s="23">
        <f>(O9*N9)</f>
        <v>41.850497884188385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84.538005726060533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2.8655099370771313</v>
      </c>
    </row>
    <row r="14" spans="2:21">
      <c r="B14" s="35">
        <f>(SUM(B5:B13))</f>
        <v>13.858063410000002</v>
      </c>
      <c r="D14" s="23">
        <f>(SUM(D5:D13))</f>
        <v>39.710418410000003</v>
      </c>
      <c r="R14" s="35">
        <f>(SUM(R5:R13))</f>
        <v>13.85806341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5" priority="7" operator="lessThan">
      <formula>$J$3</formula>
    </cfRule>
    <cfRule type="cellIs" dxfId="224" priority="8" operator="greaterThan">
      <formula>$J$3</formula>
    </cfRule>
  </conditionalFormatting>
  <conditionalFormatting sqref="O6:O9">
    <cfRule type="cellIs" dxfId="223" priority="5" operator="lessThan">
      <formula>$J$3</formula>
    </cfRule>
    <cfRule type="cellIs" dxfId="222" priority="6" operator="greaterThan">
      <formula>$J$3</formula>
    </cfRule>
  </conditionalFormatting>
  <conditionalFormatting sqref="S6:S7">
    <cfRule type="cellIs" dxfId="221" priority="3" operator="lessThan">
      <formula>$J$3</formula>
    </cfRule>
    <cfRule type="cellIs" dxfId="220" priority="4" operator="greaterThan">
      <formula>$J$3</formula>
    </cfRule>
  </conditionalFormatting>
  <conditionalFormatting sqref="G13">
    <cfRule type="cellIs" dxfId="219" priority="1" operator="lessThan">
      <formula>$J$3</formula>
    </cfRule>
    <cfRule type="cellIs" dxfId="21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12.06609312678532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14.774435720625771</v>
      </c>
      <c r="K4" s="4">
        <f>(J4/D14-1)</f>
        <v>0.35173245385414198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1.0610448098235128</v>
      </c>
      <c r="M6" t="s">
        <v>11</v>
      </c>
      <c r="N6" s="1">
        <f>(SUM($B$5:$B$7)/5)</f>
        <v>0.24489179</v>
      </c>
      <c r="O6" s="23">
        <f>($C$5*[1]Params!K8)</f>
        <v>12.800900900900901</v>
      </c>
      <c r="P6" s="23">
        <f>(O6*N6)</f>
        <v>3.1348355352342341</v>
      </c>
    </row>
    <row r="7" spans="2:16">
      <c r="B7" s="47">
        <v>2.6522879999999999E-2</v>
      </c>
      <c r="C7" s="28">
        <v>0</v>
      </c>
      <c r="D7" s="29">
        <f>(C7*B7)</f>
        <v>0</v>
      </c>
      <c r="E7" s="23">
        <f>(B7*J4)</f>
        <v>0.39186058568587084</v>
      </c>
      <c r="N7" s="1">
        <f>(SUM($B$5:$B$7)/5)</f>
        <v>0.24489179</v>
      </c>
      <c r="O7" s="23">
        <f>($C$5*[1]Params!K9)</f>
        <v>15.754954954954954</v>
      </c>
      <c r="P7" s="23">
        <f>(O7*N7)</f>
        <v>3.8582591202882881</v>
      </c>
    </row>
    <row r="8" spans="2:16">
      <c r="N8" s="1">
        <f>(SUM($B$5:$B$7)/5)</f>
        <v>0.24489179</v>
      </c>
      <c r="O8" s="23">
        <f>($C$5*[1]Params!K10)</f>
        <v>21.663063063063063</v>
      </c>
      <c r="P8" s="23">
        <f>(O8*N8)</f>
        <v>5.3051062903963961</v>
      </c>
    </row>
    <row r="9" spans="2:16">
      <c r="N9" s="1">
        <f>(SUM($B$5:$B$7)/5)</f>
        <v>0.24489179</v>
      </c>
      <c r="O9" s="23">
        <f>($C$5*[1]Params!K11)</f>
        <v>49.234234234234229</v>
      </c>
      <c r="P9" s="23">
        <f>(O9*N9)</f>
        <v>12.057059750900899</v>
      </c>
    </row>
    <row r="12" spans="2:16">
      <c r="P12" s="23">
        <f>(SUM(P6:P9))</f>
        <v>24.355260696819819</v>
      </c>
    </row>
    <row r="13" spans="2:16">
      <c r="F13" t="s">
        <v>9</v>
      </c>
      <c r="G13" s="23">
        <f>(D14/B14)</f>
        <v>8.9263915299079635</v>
      </c>
    </row>
    <row r="14" spans="2:16">
      <c r="B14" s="19">
        <f>(SUM(B5:B13))</f>
        <v>1.22445895</v>
      </c>
      <c r="D14" s="23">
        <f>(SUM(D5:D13))</f>
        <v>10.93</v>
      </c>
    </row>
  </sheetData>
  <conditionalFormatting sqref="C5">
    <cfRule type="cellIs" dxfId="217" priority="5" operator="lessThan">
      <formula>$J$3</formula>
    </cfRule>
    <cfRule type="cellIs" dxfId="216" priority="6" operator="greaterThan">
      <formula>$J$3</formula>
    </cfRule>
  </conditionalFormatting>
  <conditionalFormatting sqref="O6:O9">
    <cfRule type="cellIs" dxfId="215" priority="3" operator="lessThan">
      <formula>$J$3</formula>
    </cfRule>
    <cfRule type="cellIs" dxfId="214" priority="4" operator="greaterThan">
      <formula>$J$3</formula>
    </cfRule>
  </conditionalFormatting>
  <conditionalFormatting sqref="G13">
    <cfRule type="cellIs" dxfId="213" priority="1" operator="lessThan">
      <formula>$J$3</formula>
    </cfRule>
    <cfRule type="cellIs" dxfId="212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I23" sqref="I2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46.467342766515728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63.543722282508689</v>
      </c>
      <c r="K4" s="4">
        <f>(J4/D19-1)</f>
        <v>-50.563237490772657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1.601228E-2</v>
      </c>
      <c r="S5" s="28">
        <v>0</v>
      </c>
      <c r="T5" s="29">
        <f>(D6)</f>
        <v>0</v>
      </c>
      <c r="U5" s="23">
        <f>(R5*J3)</f>
        <v>0.74404810323342452</v>
      </c>
    </row>
    <row r="6" spans="2:22">
      <c r="B6" s="27">
        <v>1.601228E-2</v>
      </c>
      <c r="C6" s="28">
        <v>0</v>
      </c>
      <c r="D6" s="29">
        <f>(B6*C6)</f>
        <v>0</v>
      </c>
      <c r="E6" s="23">
        <f>(B6*J3)</f>
        <v>0.74404810323342452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1.704414376717579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0.54745422200000016</v>
      </c>
      <c r="O9" s="23">
        <f>($S$6*[1]Params!K11)</f>
        <v>83.365518065099849</v>
      </c>
      <c r="P9" s="23">
        <f>(O9*N9)</f>
        <v>45.638804833956193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86.534793308968545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-0.93753647096129855</v>
      </c>
    </row>
    <row r="19" spans="2:20">
      <c r="B19" s="26">
        <f>(SUM(B5:B18))</f>
        <v>1.36749206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1.36749206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-0.93753647096129855</v>
      </c>
    </row>
  </sheetData>
  <conditionalFormatting sqref="C5 C9:C11 G18 O9 O23 S6">
    <cfRule type="cellIs" dxfId="211" priority="19" operator="lessThan">
      <formula>$J$3</formula>
    </cfRule>
    <cfRule type="cellIs" dxfId="210" priority="20" operator="greaterThan">
      <formula>$J$3</formula>
    </cfRule>
  </conditionalFormatting>
  <conditionalFormatting sqref="S8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O3">
    <cfRule type="cellIs" dxfId="207" priority="1" operator="greaterThan">
      <formula>$J$3</formula>
    </cfRule>
    <cfRule type="cellIs" dxfId="20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3.8982487803400031E-3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3.7239434148878643</v>
      </c>
      <c r="K4" s="4">
        <f>(J4/D13-1)</f>
        <v>0.31487701966373516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5" priority="17" operator="lessThan">
      <formula>$J$3</formula>
    </cfRule>
    <cfRule type="cellIs" dxfId="204" priority="18" operator="greaterThan">
      <formula>$J$3</formula>
    </cfRule>
  </conditionalFormatting>
  <conditionalFormatting sqref="C9:C11">
    <cfRule type="cellIs" dxfId="203" priority="15" operator="lessThan">
      <formula>$J$3</formula>
    </cfRule>
    <cfRule type="cellIs" dxfId="202" priority="16" operator="greaterThan">
      <formula>$J$3</formula>
    </cfRule>
    <cfRule type="cellIs" dxfId="201" priority="13" operator="lessThan">
      <formula>$J$3</formula>
    </cfRule>
    <cfRule type="cellIs" dxfId="200" priority="14" operator="greaterThan">
      <formula>$J$3</formula>
    </cfRule>
  </conditionalFormatting>
  <conditionalFormatting sqref="O6:O9">
    <cfRule type="cellIs" dxfId="199" priority="11" operator="lessThan">
      <formula>$J$3</formula>
    </cfRule>
    <cfRule type="cellIs" dxfId="198" priority="12" operator="greaterThan">
      <formula>$J$3</formula>
    </cfRule>
    <cfRule type="cellIs" dxfId="197" priority="9" operator="lessThan">
      <formula>$J$3</formula>
    </cfRule>
    <cfRule type="cellIs" dxfId="196" priority="10" operator="greaterThan">
      <formula>$J$3</formula>
    </cfRule>
  </conditionalFormatting>
  <conditionalFormatting sqref="S5">
    <cfRule type="cellIs" dxfId="195" priority="7" operator="lessThan">
      <formula>$J$3</formula>
    </cfRule>
    <cfRule type="cellIs" dxfId="194" priority="8" operator="greaterThan">
      <formula>$J$3</formula>
    </cfRule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G12">
    <cfRule type="cellIs" dxfId="191" priority="3" operator="lessThan">
      <formula>$J$3</formula>
    </cfRule>
    <cfRule type="cellIs" dxfId="190" priority="4" operator="greaterThan">
      <formula>$J$3</formula>
    </cfRule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286.15448269812572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204.25802264434952</v>
      </c>
      <c r="K4" s="4">
        <f>(J4/D17-1)</f>
        <v>2.5639993768511005E-2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6.7246303434059546E-2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2.6512300000000001E-3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2.7178952766667982E-2</v>
      </c>
      <c r="I8" t="s">
        <v>13</v>
      </c>
      <c r="J8" s="49">
        <f>(J7-B17)</f>
        <v>0.28619667000000004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81.89646005377621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2.32125E-3</v>
      </c>
      <c r="C10" s="28">
        <v>0</v>
      </c>
      <c r="D10" s="29">
        <v>0</v>
      </c>
      <c r="E10" s="23">
        <f>(B10*J3)</f>
        <v>0.66423609296302433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0.71380332999999996</v>
      </c>
      <c r="D17" s="23">
        <f>(SUM(D5:D16))</f>
        <v>199.15177244</v>
      </c>
      <c r="F17" t="s">
        <v>9</v>
      </c>
      <c r="G17" s="23">
        <f>(SUM(D5:D16)/SUM(B5:B16))</f>
        <v>279.00090132670022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9.9379399999999988E-4</v>
      </c>
      <c r="O22" s="23">
        <f>($S$5*[1]Params!K8)</f>
        <v>323.96134165178148</v>
      </c>
      <c r="P22" s="23">
        <f>(O22*N22)</f>
        <v>0.32195083756549048</v>
      </c>
    </row>
    <row r="23" spans="2:16">
      <c r="N23" s="26">
        <f>(($R$5+$R$7)/5)</f>
        <v>9.9379399999999988E-4</v>
      </c>
      <c r="O23" s="23">
        <f>($S$5*[1]Params!K9)</f>
        <v>398.72165126373102</v>
      </c>
      <c r="P23" s="23">
        <f>(O23*N23)</f>
        <v>0.39624718469598824</v>
      </c>
    </row>
    <row r="24" spans="2:16">
      <c r="N24" s="26">
        <f>(($R$5+$R$7)/5)</f>
        <v>9.9379399999999988E-4</v>
      </c>
      <c r="O24" s="23">
        <f>($S$5*[1]Params!K10)</f>
        <v>548.24227048763021</v>
      </c>
      <c r="P24" s="23">
        <f>(O24*N24)</f>
        <v>0.54483987895698394</v>
      </c>
    </row>
    <row r="25" spans="2:16">
      <c r="N25" s="26">
        <f>(($R$5+$R$7)/5)</f>
        <v>9.9379399999999988E-4</v>
      </c>
      <c r="O25" s="23">
        <f>($S$5*[1]Params!K11)</f>
        <v>1246.0051601991595</v>
      </c>
      <c r="P25" s="23">
        <f>(O25*N25)</f>
        <v>1.2382724521749633</v>
      </c>
    </row>
    <row r="26" spans="2:16">
      <c r="P26" s="23"/>
    </row>
    <row r="27" spans="2:16">
      <c r="P27" s="23">
        <f>(SUM(P22:P25))</f>
        <v>2.5013103533934258</v>
      </c>
    </row>
    <row r="37" spans="18:20">
      <c r="R37" s="49">
        <f>(SUM(R5:R27))</f>
        <v>0.71380333000000007</v>
      </c>
      <c r="T37" s="23">
        <f>(SUM(T5:T27))</f>
        <v>199.15177244</v>
      </c>
    </row>
  </sheetData>
  <conditionalFormatting sqref="C5:C6 C9 C11:C14 O6:O9 O14 S5:S6 S8:S9">
    <cfRule type="cellIs" dxfId="187" priority="11" operator="lessThan">
      <formula>$J$3</formula>
    </cfRule>
    <cfRule type="cellIs" dxfId="186" priority="12" operator="greaterThan">
      <formula>$J$3</formula>
    </cfRule>
  </conditionalFormatting>
  <conditionalFormatting sqref="O15:O17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22:O2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G17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9.2579587231277016E-2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5.6840754756402152</v>
      </c>
      <c r="K4" s="4">
        <f>(J4/D13-1)</f>
        <v>0.13681509512804313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0.27752039000000001</v>
      </c>
      <c r="C6" s="28">
        <v>0</v>
      </c>
      <c r="D6" s="29">
        <f>(B6*C6)</f>
        <v>0</v>
      </c>
      <c r="E6" s="23">
        <f>(B6*J3)</f>
        <v>2.5692723154463019E-2</v>
      </c>
      <c r="M6" t="s">
        <v>11</v>
      </c>
      <c r="N6" s="35">
        <f>($B$13/5)</f>
        <v>12.279327755999999</v>
      </c>
      <c r="O6" s="23">
        <f>($C$5*[1]Params!K8)</f>
        <v>0.10634970155367125</v>
      </c>
      <c r="P6" s="23">
        <f>(O6*N6)</f>
        <v>1.3059028421303116</v>
      </c>
    </row>
    <row r="7" spans="2:16">
      <c r="N7" s="35">
        <f>($B$13/5)</f>
        <v>12.279327755999999</v>
      </c>
      <c r="O7" s="23">
        <f>($C$5*[1]Params!K9)</f>
        <v>0.13089194037374924</v>
      </c>
      <c r="P7" s="23">
        <f>(O7*N7)</f>
        <v>1.6072650364680758</v>
      </c>
    </row>
    <row r="8" spans="2:16">
      <c r="N8" s="35">
        <f>($B$13/5)</f>
        <v>12.279327755999999</v>
      </c>
      <c r="O8" s="23">
        <f>($C$5*[1]Params!K10)</f>
        <v>0.17997641801390521</v>
      </c>
      <c r="P8" s="23">
        <f>(O8*N8)</f>
        <v>2.2099894251436045</v>
      </c>
    </row>
    <row r="9" spans="2:16">
      <c r="N9" s="35">
        <f>($B$13/5)</f>
        <v>12.279327755999999</v>
      </c>
      <c r="O9" s="23">
        <f>($C$5*[1]Params!K11)</f>
        <v>0.40903731366796636</v>
      </c>
      <c r="P9" s="23">
        <f>(O9*N9)</f>
        <v>5.0227032389627375</v>
      </c>
    </row>
    <row r="11" spans="2:16">
      <c r="P11" s="23">
        <f>(SUM(P6:P9))</f>
        <v>10.14586054270473</v>
      </c>
    </row>
    <row r="12" spans="2:16">
      <c r="F12" t="s">
        <v>9</v>
      </c>
      <c r="G12" s="23">
        <f>(D13/B13)</f>
        <v>8.1437682898509972E-2</v>
      </c>
    </row>
    <row r="13" spans="2:16">
      <c r="B13" s="35">
        <f>(SUM(B5:B12))</f>
        <v>61.396638779999996</v>
      </c>
      <c r="D13" s="23">
        <f>(SUM(D5:D12))</f>
        <v>5</v>
      </c>
    </row>
  </sheetData>
  <conditionalFormatting sqref="O6:O9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C5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G12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N3" sqref="N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9.0828637939813852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39.68351530591579</v>
      </c>
      <c r="K4" s="4">
        <f>(J4/D14-1)</f>
        <v>1.402968344375692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7.3056460000000004E-2</v>
      </c>
      <c r="S5" s="28">
        <v>0</v>
      </c>
      <c r="T5" s="29">
        <f>(D6)</f>
        <v>0</v>
      </c>
      <c r="U5">
        <f>(R5*J3)</f>
        <v>0.66356187545044931</v>
      </c>
    </row>
    <row r="6" spans="2:21">
      <c r="B6" s="27">
        <v>7.3056460000000004E-2</v>
      </c>
      <c r="C6" s="28">
        <v>0</v>
      </c>
      <c r="D6" s="29">
        <f>(B6*C6)</f>
        <v>0</v>
      </c>
      <c r="E6" s="23">
        <f>(B6*J3)</f>
        <v>0.66356187545044931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4.2082153099999999</v>
      </c>
      <c r="S6" s="23">
        <f>(T6/R6)</f>
        <v>5.6338723552621648</v>
      </c>
      <c r="T6" s="23">
        <f>D5+B11*5.54+B12*5.61077</f>
        <v>23.708547899999999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1.4601919320000007</v>
      </c>
      <c r="O8" s="23">
        <f>($C$5*[1]Params!K10)</f>
        <v>12.343708044637387</v>
      </c>
      <c r="P8" s="23">
        <f>(O8*N8)</f>
        <v>18.024182897743017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1.1484306440000001</v>
      </c>
      <c r="O9" s="23">
        <f>($C$5*[1]Params!K11)</f>
        <v>28.05388191963042</v>
      </c>
      <c r="P9" s="23">
        <f>(O9*N9)</f>
        <v>32.217937679661119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73.922091087404141</v>
      </c>
    </row>
    <row r="13" spans="2:21">
      <c r="F13" t="s">
        <v>9</v>
      </c>
      <c r="G13" s="23">
        <f>(D14/B14)</f>
        <v>3.7798516219493421</v>
      </c>
      <c r="N13" s="26"/>
      <c r="P13" s="23"/>
      <c r="R13" s="26">
        <f>(SUM(R5:R12))</f>
        <v>4.3690532199999996</v>
      </c>
      <c r="T13" s="23">
        <f>(SUM(T5:T12))</f>
        <v>16.514372899999998</v>
      </c>
    </row>
    <row r="14" spans="2:21">
      <c r="B14">
        <f>(SUM(B5:B13))</f>
        <v>4.3690532200000005</v>
      </c>
      <c r="D14" s="23">
        <f>(SUM(D5:D13))</f>
        <v>16.514372899999998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O3">
    <cfRule type="cellIs" dxfId="171" priority="1" operator="greaterThan">
      <formula>$J$3</formula>
    </cfRule>
    <cfRule type="cellIs" dxfId="17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71.642344290547115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5.3261182643672305</v>
      </c>
      <c r="K4" s="4">
        <f>(J4/D13-1)</f>
        <v>1.5632540920880942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2.9454899999999998E-3</v>
      </c>
      <c r="C6" s="28">
        <v>0</v>
      </c>
      <c r="D6" s="29">
        <f>(B6*C6)</f>
        <v>0</v>
      </c>
      <c r="E6" s="23">
        <f>(B6*J3)</f>
        <v>0.2110218086843636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2.9454899999999998E-3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1.9818631999999996E-2</v>
      </c>
      <c r="O8" s="23">
        <f>($C$5*[1]Params!K10)</f>
        <v>94.666000000000011</v>
      </c>
      <c r="P8" s="23">
        <f>(O8*N8)</f>
        <v>1.8761506169119999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1.9818631999999996E-2</v>
      </c>
      <c r="O9" s="23">
        <f>($C$5*[1]Params!K11)</f>
        <v>215.15</v>
      </c>
      <c r="P9" s="23">
        <f>(O9*N9)</f>
        <v>4.2639786747999988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9.2622555917119982</v>
      </c>
      <c r="R11" s="1"/>
      <c r="S11" s="23"/>
      <c r="T11" s="24"/>
    </row>
    <row r="12" spans="2:20">
      <c r="F12" t="s">
        <v>9</v>
      </c>
      <c r="G12" s="23">
        <f>(D13/B13)</f>
        <v>27.949762964070949</v>
      </c>
    </row>
    <row r="13" spans="2:20">
      <c r="B13">
        <f>(SUM(B5:B12))</f>
        <v>7.4343159999999991E-2</v>
      </c>
      <c r="D13" s="23">
        <f>(SUM(D5:D12))</f>
        <v>2.0778737000000005</v>
      </c>
    </row>
    <row r="22" spans="18:20">
      <c r="R22">
        <f>(SUM(R5:R21))</f>
        <v>7.4343159999999991E-2</v>
      </c>
      <c r="T22" s="23">
        <f>(SUM(T5:T21))</f>
        <v>2.0778737000000005</v>
      </c>
    </row>
  </sheetData>
  <conditionalFormatting sqref="C5">
    <cfRule type="cellIs" dxfId="169" priority="11" operator="lessThan">
      <formula>$J$3</formula>
    </cfRule>
    <cfRule type="cellIs" dxfId="168" priority="12" operator="greaterThan">
      <formula>$J$3</formula>
    </cfRule>
  </conditionalFormatting>
  <conditionalFormatting sqref="O8:O9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G12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O3">
    <cfRule type="cellIs" dxfId="163" priority="3" operator="greaterThan">
      <formula>$J$3</formula>
    </cfRule>
    <cfRule type="cellIs" dxfId="162" priority="4" operator="lessThan">
      <formula>$J$3</formula>
    </cfRule>
  </conditionalFormatting>
  <conditionalFormatting sqref="S5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M41" sqref="M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0.190018123856634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5.1185803990584517</v>
      </c>
      <c r="K4" s="4">
        <f>(J4/D14-1)</f>
        <v>-8.8346857512416577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42631.521142208127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1242.9705988351802</v>
      </c>
      <c r="K4" s="4">
        <f>(J4/D38-1)</f>
        <v>0.81364001552265908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3.5049000000000001E-4</v>
      </c>
      <c r="C6" s="28">
        <v>0</v>
      </c>
      <c r="D6" s="29">
        <f>(B6*C6)</f>
        <v>0</v>
      </c>
      <c r="E6" s="23">
        <f>(B6*J3)</f>
        <v>14.941921845132526</v>
      </c>
      <c r="I6" t="s">
        <v>11</v>
      </c>
      <c r="J6">
        <v>0.03</v>
      </c>
      <c r="R6" s="26">
        <f t="shared" si="0"/>
        <v>3.5049000000000001E-4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8.4385999999999489E-4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35.975035431063532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23506.054551802812</v>
      </c>
      <c r="R37">
        <f>(SUM(R5:R25))</f>
        <v>2.9511939999999997E-2</v>
      </c>
      <c r="T37" s="23">
        <f>(SUM(T5:T25))</f>
        <v>547.68980017000001</v>
      </c>
    </row>
    <row r="38" spans="2:20">
      <c r="B38">
        <f>(SUM(B5:B37))</f>
        <v>2.9156140000000004E-2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3" priority="45" operator="lessThan">
      <formula>$J$3</formula>
    </cfRule>
    <cfRule type="cellIs" dxfId="292" priority="46" operator="greaterThan">
      <formula>$J$3</formula>
    </cfRule>
  </conditionalFormatting>
  <conditionalFormatting sqref="N36">
    <cfRule type="cellIs" dxfId="291" priority="19" operator="lessThan">
      <formula>$J$3</formula>
    </cfRule>
    <cfRule type="cellIs" dxfId="290" priority="20" operator="greaterThan">
      <formula>$J$3</formula>
    </cfRule>
  </conditionalFormatting>
  <conditionalFormatting sqref="N42:N44">
    <cfRule type="cellIs" dxfId="289" priority="17" operator="lessThan">
      <formula>$J$3</formula>
    </cfRule>
    <cfRule type="cellIs" dxfId="288" priority="18" operator="greaterThan">
      <formula>$J$3</formula>
    </cfRule>
  </conditionalFormatting>
  <conditionalFormatting sqref="N50:N52">
    <cfRule type="cellIs" dxfId="287" priority="15" operator="lessThan">
      <formula>$J$3</formula>
    </cfRule>
    <cfRule type="cellIs" dxfId="286" priority="16" operator="greaterThan">
      <formula>$J$3</formula>
    </cfRule>
  </conditionalFormatting>
  <conditionalFormatting sqref="N58:N60">
    <cfRule type="cellIs" dxfId="285" priority="13" operator="lessThan">
      <formula>$J$3</formula>
    </cfRule>
    <cfRule type="cellIs" dxfId="284" priority="14" operator="greaterThan">
      <formula>$J$3</formula>
    </cfRule>
  </conditionalFormatting>
  <conditionalFormatting sqref="N66:N68">
    <cfRule type="cellIs" dxfId="283" priority="11" operator="lessThan">
      <formula>$J$3</formula>
    </cfRule>
    <cfRule type="cellIs" dxfId="282" priority="12" operator="greaterThan">
      <formula>$J$3</formula>
    </cfRule>
  </conditionalFormatting>
  <conditionalFormatting sqref="N73:N76">
    <cfRule type="cellIs" dxfId="281" priority="9" operator="lessThan">
      <formula>$J$3</formula>
    </cfRule>
    <cfRule type="cellIs" dxfId="280" priority="10" operator="greaterThan">
      <formula>$J$3</formula>
    </cfRule>
  </conditionalFormatting>
  <conditionalFormatting sqref="N4">
    <cfRule type="cellIs" dxfId="279" priority="1" operator="greaterThan">
      <formula>$J$3</formula>
    </cfRule>
    <cfRule type="cellIs" dxfId="27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N8" sqref="N8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9.1924533798066346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13.406924467111152</v>
      </c>
      <c r="K4" s="4">
        <f>(J4/D12-1)</f>
        <v>2.7329315960671909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2.2730599999999999E-3</v>
      </c>
      <c r="C6" s="28">
        <v>0</v>
      </c>
      <c r="D6" s="29">
        <f>(B6*C6)</f>
        <v>0</v>
      </c>
      <c r="E6" s="23">
        <f>(B6*J3)</f>
        <v>2.0894998079503267E-2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2.2730599999999999E-3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0.50088245599999981</v>
      </c>
      <c r="O8" s="23">
        <f>($C$5*[1]Params!K10)</f>
        <v>10.281572794239395</v>
      </c>
      <c r="P8" s="23">
        <f>(O8*N8)</f>
        <v>5.1498594327214091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2.4625292864973183</v>
      </c>
      <c r="P11" s="23">
        <f>(SUM(P6:P9))</f>
        <v>23.108551902721409</v>
      </c>
      <c r="R11" s="1"/>
      <c r="S11" s="23"/>
      <c r="T11" s="23"/>
    </row>
    <row r="12" spans="2:21">
      <c r="B12">
        <f>(SUM(B5:B11))</f>
        <v>1.45847076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1.45847076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0.87189079536808733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2.5496868188200099</v>
      </c>
      <c r="K4" s="4">
        <f>(J4/D10-1)</f>
        <v>-0.1501043937266634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2.6283101156195432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14.790937602334166</v>
      </c>
      <c r="K4" s="4">
        <f>(J4/D10-1)</f>
        <v>0.21736111953367621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1.766819E-2</v>
      </c>
      <c r="C6" s="28">
        <v>0</v>
      </c>
      <c r="D6" s="29">
        <f>(B6*C6)</f>
        <v>0</v>
      </c>
      <c r="E6" s="23">
        <f>(B6*J3)</f>
        <v>4.6437482501688054E-2</v>
      </c>
      <c r="M6" t="s">
        <v>11</v>
      </c>
      <c r="N6" s="1">
        <f>($B$10/5)</f>
        <v>1.125509316</v>
      </c>
      <c r="O6" s="23">
        <f>($C$5*[1]Params!K8)</f>
        <v>2.8155690554996147</v>
      </c>
      <c r="P6" s="23">
        <f>(O6*N6)</f>
        <v>3.1689492018061376</v>
      </c>
    </row>
    <row r="7" spans="2:16">
      <c r="N7" s="1">
        <f>($B$10/5)</f>
        <v>1.125509316</v>
      </c>
      <c r="O7" s="23">
        <f>($C$5*[1]Params!K9)</f>
        <v>3.4653157606149101</v>
      </c>
      <c r="P7" s="23">
        <f>(O7*N7)</f>
        <v>3.9002451714537072</v>
      </c>
    </row>
    <row r="8" spans="2:16">
      <c r="N8" s="1">
        <f>($B$10/5)</f>
        <v>1.125509316</v>
      </c>
      <c r="O8" s="23">
        <f>($C$5*[1]Params!K10)</f>
        <v>4.7648091708455018</v>
      </c>
      <c r="P8" s="23">
        <f>(O8*N8)</f>
        <v>5.3628371107488482</v>
      </c>
    </row>
    <row r="9" spans="2:16">
      <c r="F9" t="s">
        <v>9</v>
      </c>
      <c r="G9" s="23">
        <f>(D10/B10)</f>
        <v>2.1590225557937539</v>
      </c>
      <c r="N9" s="1">
        <f>($B$10/5)</f>
        <v>1.125509316</v>
      </c>
      <c r="O9" s="23">
        <f>($C$5*[1]Params!K11)</f>
        <v>10.829111751921594</v>
      </c>
      <c r="P9" s="23">
        <f>(O9*N9)</f>
        <v>12.188266160792836</v>
      </c>
    </row>
    <row r="10" spans="2:16">
      <c r="B10" s="1">
        <f>(SUM(B5:B9))</f>
        <v>5.6275465800000006</v>
      </c>
      <c r="D10" s="23">
        <f>(SUM(D5:D9))</f>
        <v>12.15</v>
      </c>
    </row>
    <row r="11" spans="2:16">
      <c r="P11" s="23">
        <f>(SUM(P6:P9))</f>
        <v>24.620297644801528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P34" sqref="P34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15.33987346169693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8.4390494540533076</v>
      </c>
      <c r="K4" s="4">
        <f>(J4/D11-1)</f>
        <v>-27.244567062976209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2.3654000000000001E-3</v>
      </c>
      <c r="C6" s="28">
        <v>0</v>
      </c>
      <c r="D6" s="29">
        <f>(B6*C6)</f>
        <v>0</v>
      </c>
      <c r="E6" s="23">
        <f>(B6*J3)</f>
        <v>3.6284936686297918E-2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2.3654000000000001E-3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0.28379051199999994</v>
      </c>
      <c r="O9" s="23">
        <f>($C$5*[1]Params!K11)</f>
        <v>35.091738077914854</v>
      </c>
      <c r="P9" s="23">
        <f>(O9*N9)</f>
        <v>9.9587023161013501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-0.58449710467265548</v>
      </c>
      <c r="O10" s="23"/>
      <c r="P10" s="23"/>
      <c r="R10" s="1"/>
      <c r="S10" s="23"/>
      <c r="T10" s="23"/>
      <c r="U10" s="24"/>
    </row>
    <row r="11" spans="2:21">
      <c r="B11">
        <f>(SUM(B5:B10))</f>
        <v>0.55013813999999983</v>
      </c>
      <c r="C11" s="23"/>
      <c r="D11" s="23">
        <f>(SUM(D5:D10))</f>
        <v>-0.32155414999999987</v>
      </c>
      <c r="O11" s="23"/>
      <c r="P11" s="23">
        <f>(SUM(P6:P9))</f>
        <v>19.610256466101347</v>
      </c>
      <c r="R11" s="1"/>
      <c r="S11" s="23"/>
      <c r="T11" s="24"/>
    </row>
    <row r="22" spans="18:20">
      <c r="R22">
        <f>(SUM(R5:R21))</f>
        <v>0.55013813999999983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73.499704415137202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12.062637719150283</v>
      </c>
      <c r="K4" s="4">
        <f>(J4/D15-1)</f>
        <v>0.21368200386225711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1.16059E-3</v>
      </c>
      <c r="C6" s="28">
        <v>0</v>
      </c>
      <c r="D6" s="29">
        <f>(B6*C6)</f>
        <v>0</v>
      </c>
      <c r="E6" s="23">
        <f>(B6*J3)</f>
        <v>8.530302194716409E-2</v>
      </c>
      <c r="M6" t="s">
        <v>11</v>
      </c>
      <c r="N6" s="49">
        <f>(SUM(R$5:R$8)/5)</f>
        <v>3.2823636000000003E-2</v>
      </c>
      <c r="O6" s="23">
        <f>($C$7*[1]Params!K8)</f>
        <v>89.451451451451447</v>
      </c>
      <c r="P6" s="23">
        <f>(O6*N6)</f>
        <v>2.9361218821141142</v>
      </c>
      <c r="R6" s="2">
        <f>(B6)</f>
        <v>1.16059E-3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3.2823636000000003E-2</v>
      </c>
      <c r="O7" s="23">
        <f>($C$7*[1]Params!K9)</f>
        <v>110.09409409409409</v>
      </c>
      <c r="P7" s="23">
        <f>(O7*N7)</f>
        <v>3.6136884702942944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3.2823636000000003E-2</v>
      </c>
      <c r="O8" s="23">
        <f>($C$7*[1]Params!K10)</f>
        <v>151.37937937937937</v>
      </c>
      <c r="P8" s="23">
        <f>(O8*N8)</f>
        <v>4.9688216466546553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1.2998687275649277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3.2823636000000003E-2</v>
      </c>
      <c r="O9" s="23">
        <f>($C$7*[1]Params!K11)</f>
        <v>344.04404404404403</v>
      </c>
      <c r="P9" s="23">
        <f>(O9*N9)</f>
        <v>11.29277646966967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22.811408468732736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60.559276796757068</v>
      </c>
    </row>
    <row r="15" spans="2:21">
      <c r="B15" s="1">
        <f>(SUM(B5:B14))</f>
        <v>0.16411818</v>
      </c>
      <c r="D15" s="23">
        <f>(SUM(D5:D14))</f>
        <v>9.9388782899999999</v>
      </c>
    </row>
    <row r="21" spans="18:20">
      <c r="R21">
        <f>(SUM(R5:R20))</f>
        <v>0.16411818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0.95547304610457329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3.9774810712756667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5.605752E-2</v>
      </c>
      <c r="C6" s="28">
        <v>0</v>
      </c>
      <c r="D6" s="29">
        <f>(B6*C6)</f>
        <v>0</v>
      </c>
      <c r="E6" s="23">
        <f>(B6*J3)</f>
        <v>5.3561449391468036E-2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4.1628396400000014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R25" sqref="R25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1.5626383383606581E-4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20.004937691499059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32005.066688185121</v>
      </c>
      <c r="P9" s="23">
        <f>(O9*N9)</f>
        <v>16.002533344092562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4865.5240188099997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4865.5240188099997</v>
      </c>
      <c r="C18" s="28">
        <v>0</v>
      </c>
      <c r="D18" s="29">
        <f>(B18*C18)</f>
        <v>0</v>
      </c>
      <c r="E18" s="23">
        <f>(B18*J3)</f>
        <v>0.76030543680071294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-9.6883576978360804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-23.43957507540987</v>
      </c>
    </row>
    <row r="39" spans="2:20">
      <c r="B39">
        <f>(SUM(B5:B38))</f>
        <v>128020.26675274048</v>
      </c>
      <c r="D39" s="23">
        <f>(SUM(D5:D38))</f>
        <v>-76.307382291799911</v>
      </c>
      <c r="F39" t="s">
        <v>9</v>
      </c>
      <c r="G39" s="33">
        <f>(D39/B39)</f>
        <v>-5.9605704805459187E-4</v>
      </c>
      <c r="R39">
        <f>(SUM(R5:R38))</f>
        <v>128020.26675274048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H28" sqref="H2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0.8802791058075512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50.784859047845579</v>
      </c>
      <c r="K4" s="4">
        <f>(J4/D18-1)</f>
        <v>1.2329468072786565E-2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0.31968920000000001</v>
      </c>
      <c r="C6" s="28">
        <v>0</v>
      </c>
      <c r="D6" s="29">
        <f>(B6*C6)</f>
        <v>0</v>
      </c>
      <c r="E6" s="23">
        <f>(B6*J3)</f>
        <v>0.28141572311233143</v>
      </c>
      <c r="M6" t="s">
        <v>11</v>
      </c>
      <c r="N6" s="19">
        <f>($B$7+$R$9+$R$6)/5</f>
        <v>8.863658065777777</v>
      </c>
      <c r="O6" s="23">
        <f>($S$7*[1]Params!K8)</f>
        <v>1.1960515459367107</v>
      </c>
      <c r="P6" s="23">
        <f>(O6*N6)</f>
        <v>10.601391932227905</v>
      </c>
      <c r="R6" s="47">
        <f>(B6)</f>
        <v>0.31968920000000001</v>
      </c>
      <c r="S6" s="28">
        <v>0</v>
      </c>
      <c r="T6" s="29">
        <f>(D6)</f>
        <v>0</v>
      </c>
      <c r="U6" s="23">
        <f>(R6*J3)</f>
        <v>0.28141572311233143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($B$7+$R$9+$R$6)/5</f>
        <v>8.863658065777777</v>
      </c>
      <c r="O7" s="23">
        <f>($S$7*[1]Params!K9)</f>
        <v>1.4720634411528746</v>
      </c>
      <c r="P7" s="23">
        <f>(O7*N7)</f>
        <v>13.047866993511267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8.863658065777777</v>
      </c>
      <c r="O8" s="23">
        <f>($S$7*[1]Params!K10)</f>
        <v>2.0240872315852028</v>
      </c>
      <c r="P8" s="23">
        <f>(O8*N8)</f>
        <v>17.940817116077994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8.863658065777777</v>
      </c>
      <c r="O9" s="23">
        <f>($C$7*[1]Params!K11)</f>
        <v>4.6001982536027333</v>
      </c>
      <c r="P9" s="23">
        <f>(O9*N9)</f>
        <v>40.774584354722712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82.364660396539875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0.86955791920527103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57.69176925</v>
      </c>
      <c r="S17" s="23"/>
      <c r="T17" s="23">
        <f>(SUM(T5:T12))</f>
        <v>50.166334824300641</v>
      </c>
    </row>
    <row r="18" spans="2:20">
      <c r="B18" s="19">
        <f>(SUM(B5:B17))</f>
        <v>57.69176925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08" width="9.140625" style="14" customWidth="1"/>
    <col min="109" max="16384" width="9.140625" style="14"/>
  </cols>
  <sheetData>
    <row r="3" spans="2:16">
      <c r="I3" t="s">
        <v>3</v>
      </c>
      <c r="J3" s="45">
        <v>3.0381131752383519E-2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1.9686193974952431</v>
      </c>
      <c r="K4" s="4">
        <f>(J4/D10-1)</f>
        <v>-1.5690301252378469E-2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4.8701179999999997E-2</v>
      </c>
      <c r="C6" s="28">
        <v>0</v>
      </c>
      <c r="D6" s="29">
        <f>(B6*C6)</f>
        <v>0</v>
      </c>
      <c r="E6" s="23">
        <f>(B6*J3)</f>
        <v>1.4795969660765451E-3</v>
      </c>
      <c r="M6" t="s">
        <v>11</v>
      </c>
      <c r="N6" s="35">
        <f>($B$10/5)</f>
        <v>12.959486918</v>
      </c>
      <c r="O6" s="45">
        <f>($C$5*[1]Params!K8)</f>
        <v>4.0155225640266315E-2</v>
      </c>
      <c r="P6" s="23">
        <f>(O6*N6)</f>
        <v>0.52039112137436949</v>
      </c>
    </row>
    <row r="7" spans="2:16">
      <c r="B7" s="35"/>
      <c r="C7" s="23"/>
      <c r="D7" s="25"/>
      <c r="E7" s="23"/>
      <c r="N7" s="35">
        <f>($B$10/5)</f>
        <v>12.959486918</v>
      </c>
      <c r="O7" s="45">
        <f>($C$5*[1]Params!K9)</f>
        <v>4.9421816172635469E-2</v>
      </c>
      <c r="P7" s="23">
        <f>(O7*N7)</f>
        <v>0.64048138015307021</v>
      </c>
    </row>
    <row r="8" spans="2:16">
      <c r="N8" s="35">
        <f>($B$10/5)</f>
        <v>12.959486918</v>
      </c>
      <c r="O8" s="45">
        <f>($C$5*[1]Params!K10)</f>
        <v>6.7954997237373763E-2</v>
      </c>
      <c r="P8" s="23">
        <f>(O8*N8)</f>
        <v>0.88066189771047143</v>
      </c>
    </row>
    <row r="9" spans="2:16">
      <c r="F9" t="s">
        <v>9</v>
      </c>
      <c r="G9" s="23">
        <f>(D10/B10)</f>
        <v>3.0865419482342504E-2</v>
      </c>
      <c r="N9" s="35">
        <f>($B$10/5)</f>
        <v>12.959486918</v>
      </c>
      <c r="O9" s="45">
        <f>($C$5*[1]Params!K11)</f>
        <v>0.15444317553948583</v>
      </c>
      <c r="P9" s="23">
        <f>(O9*N9)</f>
        <v>2.0015043129783443</v>
      </c>
    </row>
    <row r="10" spans="2:16">
      <c r="B10" s="35">
        <f>(SUM(B5:B9))</f>
        <v>64.797434589999995</v>
      </c>
      <c r="D10" s="23">
        <f>(SUM(D5:D9))</f>
        <v>2</v>
      </c>
    </row>
    <row r="11" spans="2:16">
      <c r="P11" s="23">
        <f>(SUM(P6:P9))</f>
        <v>4.043038712216255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T41" sqref="T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1.1809007042234241</v>
      </c>
      <c r="M3" t="s">
        <v>4</v>
      </c>
      <c r="N3" s="26">
        <f>(INDEX(N5:N31,MATCH(MAX(O6:O7),O5:O31,0))/0.9)</f>
        <v>12.21111111111111</v>
      </c>
      <c r="O3" s="24">
        <f>(MAX(O6:O7)*0.85)</f>
        <v>1.0484724430391263</v>
      </c>
      <c r="P3" s="23">
        <f>(O3*N3)</f>
        <v>12.803013498888886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38.952862268264049</v>
      </c>
      <c r="K4" s="4">
        <f>(J4/D11-1)</f>
        <v>1.8604265541982525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0.33702194000000002</v>
      </c>
      <c r="C6" s="28">
        <v>0</v>
      </c>
      <c r="D6" s="29">
        <f>(B6*C6)</f>
        <v>0</v>
      </c>
      <c r="E6" s="23">
        <f>(B6*J3)</f>
        <v>0.39798944628474459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0.39798944628474459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2.8117245767559726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10.999433163999997</v>
      </c>
      <c r="O8" s="23">
        <f>($C$5*[1]Params!K10)</f>
        <v>1.6670207492387226</v>
      </c>
      <c r="P8" s="23">
        <f>(O8*N8)</f>
        <v>18.33628331425253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10.999433163999997</v>
      </c>
      <c r="O9" s="23">
        <f>($C$5*[1]Params!K11)</f>
        <v>3.7886835209970964</v>
      </c>
      <c r="P9" s="23">
        <f>(O9*N9)</f>
        <v>41.673371168755743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0.41284077106969036</v>
      </c>
      <c r="R10" s="1"/>
      <c r="S10" s="23"/>
      <c r="T10" s="23"/>
      <c r="V10" s="24"/>
    </row>
    <row r="11" spans="2:22">
      <c r="B11" s="35">
        <f>(SUM(B5:B10))</f>
        <v>32.985721939999998</v>
      </c>
      <c r="D11" s="23">
        <f>(SUM(D5:D10))</f>
        <v>13.617850880000002</v>
      </c>
      <c r="P11" s="23">
        <f>(SUM(P6:P9))</f>
        <v>85.981803603008274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81" priority="9" operator="lessThan">
      <formula>$J$3</formula>
    </cfRule>
    <cfRule type="cellIs" dxfId="80" priority="10" operator="greaterThan">
      <formula>$J$3</formula>
    </cfRule>
  </conditionalFormatting>
  <conditionalFormatting sqref="O9">
    <cfRule type="cellIs" dxfId="79" priority="7" operator="lessThan">
      <formula>$J$3</formula>
    </cfRule>
    <cfRule type="cellIs" dxfId="78" priority="8" operator="greaterThan">
      <formula>$J$3</formula>
    </cfRule>
  </conditionalFormatting>
  <conditionalFormatting sqref="O3">
    <cfRule type="cellIs" dxfId="77" priority="3" operator="greaterThan">
      <formula>$J$3</formula>
    </cfRule>
    <cfRule type="cellIs" dxfId="76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N17" sqref="N1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4.5865445972456493</v>
      </c>
      <c r="M3" t="s">
        <v>4</v>
      </c>
      <c r="N3" s="26">
        <f>(INDEX(N5:N31,MATCH(MAX(O6:O8,O14:O15),O5:O31,0))/0.9)</f>
        <v>0.42148686666666668</v>
      </c>
      <c r="O3" s="24">
        <f>(MAX(O6:O8,O14:O16)*0.85)</f>
        <v>3.3400280119294599</v>
      </c>
      <c r="P3" s="23">
        <f>(O3*N3)</f>
        <v>1.4077779413270441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45.327009581526831</v>
      </c>
      <c r="K4" s="4">
        <f>(J4/D25-1)</f>
        <v>-17.705360172983092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8.8687441999999983</v>
      </c>
      <c r="S6" s="23">
        <f>(T6/R6)</f>
        <v>1.787363536767697</v>
      </c>
      <c r="T6" s="23">
        <f>D6+B19*1.74+B21*1.7718+B23*1.7718</f>
        <v>15.851669999999997</v>
      </c>
      <c r="U6" s="23" t="str">
        <f>(E6)</f>
        <v>DCA2</v>
      </c>
    </row>
    <row r="7" spans="2:22">
      <c r="B7" s="2">
        <v>0.10065109</v>
      </c>
      <c r="C7" s="28">
        <v>0</v>
      </c>
      <c r="D7" s="29">
        <v>0</v>
      </c>
      <c r="E7" s="24">
        <f>B7*J3</f>
        <v>0.4616407130463856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0.10065109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0.75774366284195926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0.72247997706788913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4.5541684479999951</v>
      </c>
      <c r="O17" s="23">
        <f>($S$6*[1]Params!K11)</f>
        <v>8.9368176838384841</v>
      </c>
      <c r="P17" s="23">
        <f>(O17*N17)</f>
        <v>40.699773121265622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82.800361551265624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-0.27455526548079362</v>
      </c>
      <c r="S24" s="23"/>
      <c r="T24" s="23"/>
    </row>
    <row r="25" spans="2:20">
      <c r="B25" s="1">
        <f>(SUM(B5:B24))</f>
        <v>9.8826052206593591</v>
      </c>
      <c r="C25" s="23"/>
      <c r="D25" s="23">
        <f>(SUM(D5:D24))</f>
        <v>-2.7133213000000076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9.8826052206593626</v>
      </c>
      <c r="S28" s="23"/>
      <c r="T28" s="23">
        <f>(SUM(T5:T27))</f>
        <v>-2.7133213000000014</v>
      </c>
    </row>
  </sheetData>
  <conditionalFormatting sqref="C5:C6 C12:C14 C16:C17 O9 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V41" sqref="V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29" width="9.140625" style="14" customWidth="1"/>
    <col min="130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0.48081094010744152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2.7366126453936097</v>
      </c>
      <c r="K4" s="4">
        <f>(J4/D14-1)</f>
        <v>2.0226091415684007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7.5005820000000001E-2</v>
      </c>
      <c r="C6" s="28">
        <v>0</v>
      </c>
      <c r="D6" s="28">
        <f>(B6*C6)</f>
        <v>0</v>
      </c>
      <c r="E6" s="23">
        <f>(B6*J3)</f>
        <v>3.6063618827729536E-2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7.5005820000000001E-2</v>
      </c>
      <c r="S6" s="28">
        <v>0</v>
      </c>
      <c r="T6" s="28">
        <f>(D6)</f>
        <v>0</v>
      </c>
      <c r="U6" s="23">
        <f>(E6)</f>
        <v>3.6063618827729536E-2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1.896932104</v>
      </c>
      <c r="O8" s="23">
        <f>($C$5*[1]Params!K10)</f>
        <v>0.51436531459544421</v>
      </c>
      <c r="P8" s="23">
        <f>(O8*N8)</f>
        <v>0.97571607844015795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1.896932104</v>
      </c>
      <c r="O9" s="23">
        <f>($C$5*[1]Params!K11)</f>
        <v>1.1690120786260096</v>
      </c>
      <c r="P9" s="23">
        <f>(O9*N9)</f>
        <v>2.2175365419094497</v>
      </c>
      <c r="Q9" s="24"/>
    </row>
    <row r="10" spans="2:21">
      <c r="B10" s="35"/>
      <c r="C10" s="23"/>
      <c r="D10" s="23"/>
    </row>
    <row r="12" spans="2:21">
      <c r="P12" s="23">
        <f>(SUM(P6:P9))</f>
        <v>4.463907620349608</v>
      </c>
    </row>
    <row r="13" spans="2:21">
      <c r="F13" t="s">
        <v>9</v>
      </c>
      <c r="G13" s="23">
        <f>(D14/B14)</f>
        <v>0.15907149008950383</v>
      </c>
    </row>
    <row r="14" spans="2:21">
      <c r="B14" s="35">
        <f>(SUM(B5:B13))</f>
        <v>5.6916605200000001</v>
      </c>
      <c r="D14" s="23">
        <f>(SUM(D5:D13))</f>
        <v>0.90538092000000026</v>
      </c>
    </row>
    <row r="17" spans="11:20">
      <c r="N17" s="35"/>
      <c r="R17" s="35">
        <f>(SUM(R5:R16))</f>
        <v>9.4846605200000003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1.0705719032774231E-5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4.7082720274826304</v>
      </c>
      <c r="K4" s="4">
        <f>(J4/D13-1)</f>
        <v>-6.3961823562101339E-2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258.68</v>
      </c>
      <c r="C6" s="28">
        <v>0</v>
      </c>
      <c r="D6" s="29">
        <f>(B6*C6)</f>
        <v>0</v>
      </c>
      <c r="E6" s="23">
        <f>(B6*J3)</f>
        <v>2.7693553993980379E-3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1.1437267519915626E-5</v>
      </c>
    </row>
    <row r="13" spans="2:16">
      <c r="B13">
        <f>(SUM(B5:B12))</f>
        <v>439790.36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X41" sqref="X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4.8871862008945744E-3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2.929379408816208</v>
      </c>
      <c r="K4" s="4">
        <f>(J4/D10-1)</f>
        <v>-2.3540197061263979E-2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9"/>
  <sheetViews>
    <sheetView workbookViewId="0">
      <selection activeCell="K15" sqref="K1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114.3599066757757</v>
      </c>
      <c r="M3" t="s">
        <v>4</v>
      </c>
      <c r="N3" s="26">
        <f>(INDEX(N5:N26,MATCH(MAX(O6:O9,O23:O26,O14:O17),O5:O26,0))/0.9)</f>
        <v>0.41666666666666663</v>
      </c>
      <c r="O3" s="24">
        <f>(MAX(O14:O17,O23:O26,O6:O9)*0.85)</f>
        <v>104.56033881066666</v>
      </c>
      <c r="P3" s="23">
        <f>(O3*N3)</f>
        <v>43.566807837777773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(B45*J3)</f>
        <v>252.34698073719159</v>
      </c>
      <c r="K4" s="4">
        <f>(J4/D45-1)</f>
        <v>-2.8262927615620521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0.24015580401912898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1.2212787999999999</v>
      </c>
      <c r="S13" s="23">
        <f>(T13/R13)</f>
        <v>24.553238798544609</v>
      </c>
      <c r="T13" s="23">
        <f>(D17+11.97*B21+B37*19.42078-N16*19.42078-N17*20.2879)</f>
        <v>29.986350015999999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0.70457287170824645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6.2878600000000007E-2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6.0356642825528294E-2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B19+B22+B39-N25-N26</f>
        <v>0.39339725000000014</v>
      </c>
      <c r="S15" s="23">
        <f>(T15/R15)</f>
        <v>25.723104063386298</v>
      </c>
      <c r="T15" s="23">
        <f>(D19+12.6*B22+20.2393*B39-20.2393*N25-21.316*N26)</f>
        <v>10.1193984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6.2878600000000007E-2</v>
      </c>
      <c r="C18" s="28">
        <v>0</v>
      </c>
      <c r="D18" s="29">
        <v>0</v>
      </c>
      <c r="E18" s="24">
        <f>B18*J3</f>
        <v>7.1907908279034309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264.01526285023039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0.80000354897802306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4.925815618283611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5.6096525368327015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41.156966501418083</v>
      </c>
      <c r="P24" s="23">
        <f>(O24*N24)</f>
        <v>26.752028225921755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-B43</f>
        <v>0.375</v>
      </c>
      <c r="O26" s="23">
        <f>P26/N26</f>
        <v>123.01216330666666</v>
      </c>
      <c r="P26" s="23">
        <f>-D43</f>
        <v>46.129561240000001</v>
      </c>
      <c r="Q26" t="s">
        <v>12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91.945631825691379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>
        <f>B43-B43</f>
        <v>0</v>
      </c>
      <c r="S30" s="23">
        <v>0</v>
      </c>
      <c r="T30" s="23">
        <f>-P26+N26*21.316</f>
        <v>-38.136061240000004</v>
      </c>
      <c r="U30" t="s">
        <v>100</v>
      </c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3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C44" s="23"/>
      <c r="D44" s="23"/>
      <c r="E44" s="23"/>
      <c r="S44" s="23"/>
      <c r="T44" s="23"/>
    </row>
    <row r="45" spans="2:23">
      <c r="B45" s="26">
        <f>(SUM(B5:B44))</f>
        <v>2.2066035910000004</v>
      </c>
      <c r="C45" s="23"/>
      <c r="D45" s="23">
        <f>(SUM(D5:D44))</f>
        <v>-138.17444061999998</v>
      </c>
      <c r="E45" s="23"/>
      <c r="F45" t="s">
        <v>9</v>
      </c>
      <c r="G45" s="23">
        <f>(D45/B45)</f>
        <v>-62.618605889869578</v>
      </c>
      <c r="R45" s="26">
        <f>(SUM(R5:R36))</f>
        <v>2.2066035909999999</v>
      </c>
      <c r="S45" s="23"/>
      <c r="T45" s="23">
        <f>(SUM(T5:T36))</f>
        <v>-138.17644048976962</v>
      </c>
      <c r="V45" t="s">
        <v>9</v>
      </c>
      <c r="W45" s="23">
        <f>(T45/R45)</f>
        <v>-62.619512201169812</v>
      </c>
    </row>
    <row r="46" spans="2:23">
      <c r="M46" s="26"/>
      <c r="S46" s="23"/>
      <c r="T46" s="23"/>
    </row>
    <row r="49" spans="14:14">
      <c r="N49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5 W45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0.1045667415274399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0.97765217901601942</v>
      </c>
      <c r="K4" s="4">
        <f>(J4/D13-1)</f>
        <v>0.95530435803203884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0.24829355</v>
      </c>
      <c r="C6" s="28">
        <v>0</v>
      </c>
      <c r="D6" s="29">
        <f>(B6*C6)</f>
        <v>0</v>
      </c>
      <c r="E6" s="23">
        <f>(B6*J3)</f>
        <v>2.5963247465780475E-2</v>
      </c>
      <c r="G6" s="23"/>
      <c r="M6" t="s">
        <v>11</v>
      </c>
      <c r="N6" s="19">
        <f>($B$13/5)</f>
        <v>1.869910384</v>
      </c>
      <c r="O6" s="45">
        <f>($C$5*[1]Params!K8)</f>
        <v>7.1418695478700056E-2</v>
      </c>
      <c r="P6" s="23">
        <f>(O6*N6)</f>
        <v>0.13354656028735509</v>
      </c>
      <c r="Q6" s="23">
        <f>N6*$J$3</f>
        <v>0.19553043580320389</v>
      </c>
    </row>
    <row r="7" spans="2:17">
      <c r="C7" s="23"/>
      <c r="D7" s="23"/>
      <c r="E7" s="23"/>
      <c r="G7" s="23"/>
      <c r="N7" s="19">
        <f>($B$13/5)</f>
        <v>1.869910384</v>
      </c>
      <c r="O7" s="45">
        <f>($C$5*[1]Params!K9)</f>
        <v>8.7899932896861599E-2</v>
      </c>
      <c r="P7" s="23">
        <f>(O7*N7)</f>
        <v>0.1643649972767447</v>
      </c>
      <c r="Q7" s="23">
        <f>Q6*2</f>
        <v>0.39106087160640779</v>
      </c>
    </row>
    <row r="8" spans="2:17">
      <c r="C8" s="23"/>
      <c r="D8" s="23"/>
      <c r="E8" s="23"/>
      <c r="G8" s="23"/>
      <c r="N8" s="19">
        <f>($B$13/5)</f>
        <v>1.869910384</v>
      </c>
      <c r="O8" s="45">
        <f>($C$5*[1]Params!K10)</f>
        <v>0.12086240773318471</v>
      </c>
      <c r="P8" s="23">
        <f>(O8*N8)</f>
        <v>0.22600187125552398</v>
      </c>
      <c r="Q8" s="23">
        <f>Q6*3</f>
        <v>0.58659130740961163</v>
      </c>
    </row>
    <row r="9" spans="2:17">
      <c r="C9" s="23"/>
      <c r="D9" s="23"/>
      <c r="E9" s="23"/>
      <c r="G9" s="23"/>
      <c r="N9" s="19">
        <f>($B$13/5)</f>
        <v>1.869910384</v>
      </c>
      <c r="O9" s="45">
        <f>($C$5*[1]Params!K11)</f>
        <v>0.27468729030269251</v>
      </c>
      <c r="P9" s="23">
        <f>(O9*N9)</f>
        <v>0.51364061648982717</v>
      </c>
      <c r="Q9" s="23">
        <f>Q6*4</f>
        <v>0.78212174321281558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1.0375540453094509</v>
      </c>
    </row>
    <row r="12" spans="2:17">
      <c r="C12" s="23"/>
      <c r="D12" s="23"/>
      <c r="E12" s="23"/>
      <c r="F12" t="s">
        <v>9</v>
      </c>
      <c r="G12" s="23">
        <f>(D13/B13)</f>
        <v>5.3478498678683206E-2</v>
      </c>
    </row>
    <row r="13" spans="2:17">
      <c r="B13">
        <f>(SUM(B5:B12))</f>
        <v>9.3495519199999997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6.9109643949024919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14.174188385293288</v>
      </c>
      <c r="K4" s="4">
        <f>(J4/D10-1)</f>
        <v>0.25992785647051453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2.5987499999999999E-3</v>
      </c>
      <c r="C6" s="28">
        <v>0</v>
      </c>
      <c r="D6" s="28">
        <f>(B6*C6)</f>
        <v>0</v>
      </c>
      <c r="E6" s="23">
        <f>(B6*J3)</f>
        <v>1.7959868721252849E-2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5.4852064421072875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2.0509711200000003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O25" sqref="O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0.62179253758322217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19.25803741723842</v>
      </c>
      <c r="K4" s="4">
        <f>(J4/D14-1)</f>
        <v>7.2363278942903442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54.379079709999999</v>
      </c>
      <c r="S5" s="23">
        <f>(T5/R5)</f>
        <v>0.35123801472660121</v>
      </c>
      <c r="T5" s="23">
        <f>(SUM(D5:D7))</f>
        <v>19.100000000000001</v>
      </c>
    </row>
    <row r="6" spans="2:21">
      <c r="B6" s="20">
        <v>0.80406823999999999</v>
      </c>
      <c r="C6" s="28">
        <v>0</v>
      </c>
      <c r="D6" s="28">
        <f>(B6*C6)</f>
        <v>0</v>
      </c>
      <c r="E6" s="23">
        <f>(B6*J3)</f>
        <v>0.49996363133967531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10.323935103333335</v>
      </c>
      <c r="O8" s="23">
        <f>($C$5*[1]Params!K10)</f>
        <v>0.78521945271816052</v>
      </c>
      <c r="P8" s="23">
        <f>(O8*N8)</f>
        <v>8.1065546717372072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10.323935103333335</v>
      </c>
      <c r="O9" s="23">
        <f>($C$5*[1]Params!K11)</f>
        <v>1.7845896652685465</v>
      </c>
      <c r="P9" s="23">
        <f>(O9*N9)</f>
        <v>18.423987890311832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40.368838332049037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7.5493902812473798E-2</v>
      </c>
    </row>
    <row r="14" spans="2:21">
      <c r="B14" s="19">
        <f>(SUM(B5:B13))</f>
        <v>30.971805310000008</v>
      </c>
      <c r="D14" s="23">
        <f>(SUM(D5:D13))</f>
        <v>2.3381824600000005</v>
      </c>
    </row>
    <row r="18" spans="12:20">
      <c r="R18">
        <f>(SUM(R5:R17))</f>
        <v>30.971805310000008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M30" sqref="M3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92" width="9.140625" style="14" customWidth="1"/>
    <col min="93" max="16384" width="9.140625" style="14"/>
  </cols>
  <sheetData>
    <row r="3" spans="2:21">
      <c r="I3" t="s">
        <v>3</v>
      </c>
      <c r="J3" s="45">
        <v>13.48649824624369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10.456426535477942</v>
      </c>
      <c r="K4" s="4">
        <f>(J4/D14-1)</f>
        <v>4.5893668028120782E-2</v>
      </c>
      <c r="R4" t="s">
        <v>5</v>
      </c>
      <c r="S4" t="s">
        <v>6</v>
      </c>
      <c r="T4" t="s">
        <v>7</v>
      </c>
    </row>
    <row r="5" spans="2:21">
      <c r="B5" s="1">
        <v>0.77516381999999995</v>
      </c>
      <c r="C5" s="23">
        <f>(D5/B5)</f>
        <v>12.89740277093944</v>
      </c>
      <c r="D5" s="23">
        <v>9.9976000000000003</v>
      </c>
      <c r="E5" t="s">
        <v>101</v>
      </c>
      <c r="N5" t="s">
        <v>32</v>
      </c>
      <c r="O5" t="s">
        <v>1</v>
      </c>
      <c r="P5" t="s">
        <v>2</v>
      </c>
      <c r="R5" s="19">
        <f>B5</f>
        <v>0.77516381999999995</v>
      </c>
      <c r="S5" s="23">
        <f>(T5/R5)</f>
        <v>12.89740277093944</v>
      </c>
      <c r="T5" s="23">
        <f>D5</f>
        <v>9.9976000000000003</v>
      </c>
    </row>
    <row r="6" spans="2:21">
      <c r="B6" s="2">
        <v>1.6171999999999999E-4</v>
      </c>
      <c r="C6" s="28">
        <v>0</v>
      </c>
      <c r="D6" s="28">
        <f>(B6*C6)</f>
        <v>0</v>
      </c>
      <c r="E6" s="23">
        <f>(B6*J3)</f>
        <v>2.1810364963825292E-3</v>
      </c>
      <c r="M6" t="s">
        <v>11</v>
      </c>
      <c r="N6" s="19">
        <f>(B$14/5)</f>
        <v>0.15506510800000001</v>
      </c>
      <c r="O6" s="23">
        <f>($C$5*[1]Params!K8)</f>
        <v>16.766623602221273</v>
      </c>
      <c r="P6" s="23">
        <f>(O6*N6)</f>
        <v>2.5999182996737908</v>
      </c>
      <c r="R6" s="19">
        <f>(B6)</f>
        <v>1.6171999999999999E-4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0.15506510800000001</v>
      </c>
      <c r="O7" s="23">
        <f>($C$5*[1]Params!K9)</f>
        <v>20.635844433503106</v>
      </c>
      <c r="P7" s="23">
        <f>(O7*N7)</f>
        <v>3.199899445752358</v>
      </c>
      <c r="R7" s="19"/>
      <c r="S7" s="23"/>
      <c r="T7" s="24"/>
      <c r="U7" s="24"/>
    </row>
    <row r="8" spans="2:21">
      <c r="C8" s="23"/>
      <c r="D8" s="23"/>
      <c r="N8" s="19">
        <f>(B$14/5)</f>
        <v>0.15506510800000001</v>
      </c>
      <c r="O8" s="23">
        <f>($C$5*[1]Params!K10)</f>
        <v>28.374286096066768</v>
      </c>
      <c r="P8" s="23">
        <f>(O8*N8)</f>
        <v>4.3998617379094922</v>
      </c>
      <c r="R8" s="19"/>
      <c r="S8" s="24"/>
      <c r="T8" s="24"/>
    </row>
    <row r="9" spans="2:21">
      <c r="C9" s="24"/>
      <c r="D9" s="23"/>
      <c r="N9" s="19">
        <f>(B$14/5)</f>
        <v>0.15506510800000001</v>
      </c>
      <c r="O9" s="23">
        <f>($C$5*[1]Params!K11)</f>
        <v>64.487013854697196</v>
      </c>
      <c r="P9" s="23">
        <f>(O9*N9)</f>
        <v>9.9996857679761177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20.199365251311757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12.894712587437789</v>
      </c>
    </row>
    <row r="14" spans="2:21">
      <c r="B14" s="19">
        <f>(SUM(B5:B13))</f>
        <v>0.77532553999999998</v>
      </c>
      <c r="D14" s="23">
        <f>(SUM(D5:D13))</f>
        <v>9.9976000000000003</v>
      </c>
    </row>
    <row r="18" spans="12:20">
      <c r="R18">
        <f>(SUM(R5:R17))</f>
        <v>0.77532553999999998</v>
      </c>
      <c r="T18" s="23">
        <f>(SUM(T5:T17))</f>
        <v>9.9976000000000003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92" width="9.140625" style="14" customWidth="1"/>
    <col min="93" max="16384" width="9.140625" style="14"/>
  </cols>
  <sheetData>
    <row r="3" spans="2:21">
      <c r="I3" t="s">
        <v>3</v>
      </c>
      <c r="J3" s="45">
        <v>3.0660025177360581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8.1100940779967683</v>
      </c>
      <c r="K4" s="4">
        <f>(J4/D14-1)</f>
        <v>1.4116700594804188E-2</v>
      </c>
      <c r="R4" t="s">
        <v>5</v>
      </c>
      <c r="S4" t="s">
        <v>6</v>
      </c>
      <c r="T4" t="s">
        <v>7</v>
      </c>
    </row>
    <row r="5" spans="2:21">
      <c r="B5" s="35">
        <v>2.6451398300000002</v>
      </c>
      <c r="C5" s="23">
        <f>(D5/B5)</f>
        <v>3.0233562359536963</v>
      </c>
      <c r="D5" s="23">
        <v>7.9972000000000003</v>
      </c>
      <c r="E5" t="s">
        <v>101</v>
      </c>
      <c r="N5" t="s">
        <v>32</v>
      </c>
      <c r="O5" t="s">
        <v>1</v>
      </c>
      <c r="P5" t="s">
        <v>2</v>
      </c>
      <c r="R5" s="19">
        <f>B5</f>
        <v>2.6451398300000002</v>
      </c>
      <c r="S5" s="23">
        <f>(T5/R5)</f>
        <v>3.0233562359536963</v>
      </c>
      <c r="T5" s="23">
        <f>D5</f>
        <v>7.9972000000000003</v>
      </c>
    </row>
    <row r="6" spans="2:21">
      <c r="B6" s="47">
        <v>2.8929999999999999E-5</v>
      </c>
      <c r="C6" s="28">
        <v>0</v>
      </c>
      <c r="D6" s="28">
        <f>(B6*C6)</f>
        <v>0</v>
      </c>
      <c r="E6" s="23">
        <f>(B6*J3)</f>
        <v>8.8699452838104158E-5</v>
      </c>
      <c r="M6" t="s">
        <v>11</v>
      </c>
      <c r="N6" s="19">
        <f>(B$14/5)</f>
        <v>0.52903375200000002</v>
      </c>
      <c r="O6" s="23">
        <f>($C$5*[1]Params!K8)</f>
        <v>3.9303631067398053</v>
      </c>
      <c r="P6" s="23">
        <f>(O6*N6)</f>
        <v>2.0792947410809357</v>
      </c>
      <c r="R6" s="19">
        <f>(B6)</f>
        <v>2.8929999999999999E-5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0.52903375200000002</v>
      </c>
      <c r="O7" s="23">
        <f>($C$5*[1]Params!K9)</f>
        <v>4.8373699775259142</v>
      </c>
      <c r="P7" s="23">
        <f>(O7*N7)</f>
        <v>2.5591319890226902</v>
      </c>
      <c r="R7" s="19"/>
      <c r="S7" s="23"/>
      <c r="T7" s="24"/>
      <c r="U7" s="24"/>
    </row>
    <row r="8" spans="2:21">
      <c r="C8" s="23"/>
      <c r="D8" s="23"/>
      <c r="N8" s="19">
        <f>(B$14/5)</f>
        <v>0.52903375200000002</v>
      </c>
      <c r="O8" s="23">
        <f>($C$5*[1]Params!K10)</f>
        <v>6.6513837190981322</v>
      </c>
      <c r="P8" s="23">
        <f>(O8*N8)</f>
        <v>3.5188064849061993</v>
      </c>
      <c r="R8" s="19"/>
      <c r="S8" s="24"/>
      <c r="T8" s="24"/>
    </row>
    <row r="9" spans="2:21">
      <c r="C9" s="24"/>
      <c r="D9" s="23"/>
      <c r="N9" s="19">
        <f>(B$14/5)</f>
        <v>0.52903375200000002</v>
      </c>
      <c r="O9" s="23">
        <f>($C$5*[1]Params!K11)</f>
        <v>15.116781179768481</v>
      </c>
      <c r="P9" s="23">
        <f>(O9*N9)</f>
        <v>7.9972874656959059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16.15452068070573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3.0233231697474001</v>
      </c>
    </row>
    <row r="14" spans="2:21">
      <c r="B14" s="19">
        <f>(SUM(B5:B13))</f>
        <v>2.6451687600000002</v>
      </c>
      <c r="D14" s="23">
        <f>(SUM(D5:D13))</f>
        <v>7.9972000000000003</v>
      </c>
    </row>
    <row r="18" spans="12:20">
      <c r="R18">
        <f>(SUM(R5:R17))</f>
        <v>2.6451687600000002</v>
      </c>
      <c r="T18" s="23">
        <f>(SUM(T5:T17))</f>
        <v>7.9972000000000003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0.51543306509750819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3.1357916814402205</v>
      </c>
      <c r="K4" s="4">
        <f>(J4/D9-1)</f>
        <v>-0.89137304744144841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7" priority="9" operator="lessThan">
      <formula>$J$3</formula>
    </cfRule>
    <cfRule type="cellIs" dxfId="276" priority="10" operator="greaterThan">
      <formula>$J$3</formula>
    </cfRule>
  </conditionalFormatting>
  <conditionalFormatting sqref="O11:O14">
    <cfRule type="cellIs" dxfId="275" priority="7" operator="lessThan">
      <formula>$J$3</formula>
    </cfRule>
    <cfRule type="cellIs" dxfId="274" priority="8" operator="greaterThan">
      <formula>$J$3</formula>
    </cfRule>
  </conditionalFormatting>
  <conditionalFormatting sqref="O20:O23">
    <cfRule type="cellIs" dxfId="273" priority="5" operator="lessThan">
      <formula>$J$3</formula>
    </cfRule>
    <cfRule type="cellIs" dxfId="272" priority="6" operator="greaterThan">
      <formula>$J$3</formula>
    </cfRule>
  </conditionalFormatting>
  <conditionalFormatting sqref="O29:O32">
    <cfRule type="cellIs" dxfId="271" priority="3" operator="lessThan">
      <formula>$J$3</formula>
    </cfRule>
    <cfRule type="cellIs" dxfId="270" priority="4" operator="greaterThan">
      <formula>$J$3</formula>
    </cfRule>
  </conditionalFormatting>
  <conditionalFormatting sqref="N6">
    <cfRule type="cellIs" dxfId="269" priority="1" operator="lessThan">
      <formula>$J$3</formula>
    </cfRule>
    <cfRule type="cellIs" dxfId="26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739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6.5013931348408991E-3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10.123086233445207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-57.016639999999931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-250.89355376655473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-138.44355376655474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739</v>
      </c>
      <c r="E35">
        <f t="shared" ref="E35:E41" si="1">C35*D35</f>
        <v>4621.7059999999992</v>
      </c>
      <c r="F35" s="35">
        <f t="shared" ref="F35:F41" si="2">E35*$N$5</f>
        <v>3697.3647999999994</v>
      </c>
      <c r="G35" s="23">
        <v>3.5</v>
      </c>
      <c r="H35" s="36">
        <f>G51</f>
        <v>1.5615590400000001</v>
      </c>
      <c r="I35" s="24">
        <f t="shared" ref="I35:I42" si="3">((F35-H35*D35)*$J$3-G35)</f>
        <v>13.035465612439182</v>
      </c>
      <c r="J35">
        <v>1</v>
      </c>
      <c r="K35" s="37">
        <f t="shared" ref="K35:K41" si="4">I35*J35</f>
        <v>13.035465612439182</v>
      </c>
      <c r="L35" s="38">
        <v>31.2</v>
      </c>
      <c r="M35" s="38">
        <f t="shared" ref="M35:M41" si="5">L35*J35</f>
        <v>31.2</v>
      </c>
    </row>
    <row r="36" spans="2:22">
      <c r="B36" s="8" t="s">
        <v>45</v>
      </c>
      <c r="C36">
        <v>0.96599999999999997</v>
      </c>
      <c r="D36">
        <f>$H$2</f>
        <v>739</v>
      </c>
      <c r="E36">
        <f t="shared" si="1"/>
        <v>713.87400000000002</v>
      </c>
      <c r="F36" s="35">
        <f t="shared" si="2"/>
        <v>571.0992</v>
      </c>
      <c r="G36" s="23">
        <v>3.5</v>
      </c>
      <c r="H36" s="36">
        <f>G52</f>
        <v>0.21337130135885166</v>
      </c>
      <c r="I36" s="24">
        <f t="shared" si="3"/>
        <v>-0.81220829932465888</v>
      </c>
      <c r="J36">
        <v>1</v>
      </c>
      <c r="K36" s="37">
        <f t="shared" si="4"/>
        <v>-0.81220829932465888</v>
      </c>
      <c r="L36" s="38">
        <v>8.1999999999999993</v>
      </c>
      <c r="M36" s="38">
        <f t="shared" si="5"/>
        <v>8.1999999999999993</v>
      </c>
    </row>
    <row r="37" spans="2:22">
      <c r="B37" s="8" t="s">
        <v>47</v>
      </c>
      <c r="C37">
        <v>0.85099999999999998</v>
      </c>
      <c r="D37">
        <f>$H$2</f>
        <v>739</v>
      </c>
      <c r="E37">
        <f t="shared" si="1"/>
        <v>628.88900000000001</v>
      </c>
      <c r="F37" s="35">
        <f t="shared" si="2"/>
        <v>503.11120000000005</v>
      </c>
      <c r="G37" s="23">
        <v>3.5</v>
      </c>
      <c r="H37" s="36">
        <f>G53</f>
        <v>0.18479602162162162</v>
      </c>
      <c r="I37" s="24">
        <f t="shared" si="3"/>
        <v>-1.1169342405464899</v>
      </c>
      <c r="J37">
        <v>1</v>
      </c>
      <c r="K37" s="37">
        <f t="shared" si="4"/>
        <v>-1.1169342405464899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705</v>
      </c>
      <c r="E38">
        <f t="shared" si="1"/>
        <v>599.95500000000004</v>
      </c>
      <c r="F38" s="35">
        <f t="shared" si="2"/>
        <v>479.96400000000006</v>
      </c>
      <c r="G38" s="23">
        <v>0</v>
      </c>
      <c r="H38" s="36">
        <f>G53</f>
        <v>0.18479602162162162</v>
      </c>
      <c r="I38" s="24">
        <f t="shared" si="3"/>
        <v>2.2734253862174891</v>
      </c>
      <c r="J38">
        <v>3</v>
      </c>
      <c r="K38" s="37">
        <f t="shared" si="4"/>
        <v>6.8202761586524669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647</v>
      </c>
      <c r="E39">
        <f t="shared" si="1"/>
        <v>550.59699999999998</v>
      </c>
      <c r="F39" s="35">
        <f t="shared" si="2"/>
        <v>440.4776</v>
      </c>
      <c r="G39" s="23">
        <v>0</v>
      </c>
      <c r="H39" s="36">
        <f>H38</f>
        <v>0.18479602162162162</v>
      </c>
      <c r="I39" s="24">
        <f t="shared" si="3"/>
        <v>2.0863918083442772</v>
      </c>
      <c r="J39">
        <v>1</v>
      </c>
      <c r="K39" s="37">
        <f t="shared" si="4"/>
        <v>2.0863918083442772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599</v>
      </c>
      <c r="E40">
        <f t="shared" si="1"/>
        <v>509.74899999999997</v>
      </c>
      <c r="F40" s="35">
        <f t="shared" si="2"/>
        <v>407.79919999999998</v>
      </c>
      <c r="G40" s="23">
        <v>0</v>
      </c>
      <c r="H40" s="36">
        <f>H39</f>
        <v>0.18479602162162162</v>
      </c>
      <c r="I40" s="24">
        <f t="shared" si="3"/>
        <v>1.9316053990698947</v>
      </c>
      <c r="J40">
        <v>1</v>
      </c>
      <c r="K40" s="37">
        <f t="shared" si="4"/>
        <v>1.9316053990698947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0.25459461305449782</v>
      </c>
      <c r="J41" s="16">
        <v>1</v>
      </c>
      <c r="K41" s="41">
        <f t="shared" si="4"/>
        <v>0.25459461305449782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1.4188754183485039</v>
      </c>
      <c r="J42" s="16">
        <v>1</v>
      </c>
      <c r="K42" s="41">
        <f>(I42*J42)</f>
        <v>1.4188754183485039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13.5</v>
      </c>
      <c r="M43" s="38">
        <f>L43*J43</f>
        <v>27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112.44999999999999</v>
      </c>
      <c r="O47" s="38">
        <f>(J13+SUM(G35:G41)-D77)</f>
        <v>2.1433342334452092</v>
      </c>
      <c r="P47">
        <f>(O47/J3)</f>
        <v>329.67306990852518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7" priority="17" operator="lessThan">
      <formula>$C$5</formula>
    </cfRule>
    <cfRule type="cellIs" dxfId="266" priority="18" operator="greaterThan">
      <formula>$C$5</formula>
    </cfRule>
  </conditionalFormatting>
  <conditionalFormatting sqref="L36">
    <cfRule type="cellIs" dxfId="265" priority="15" operator="lessThan">
      <formula>$C$6</formula>
    </cfRule>
    <cfRule type="cellIs" dxfId="264" priority="16" operator="greaterThan">
      <formula>$C$6</formula>
    </cfRule>
  </conditionalFormatting>
  <conditionalFormatting sqref="L40">
    <cfRule type="cellIs" dxfId="263" priority="13" operator="lessThan">
      <formula>$C$20</formula>
    </cfRule>
    <cfRule type="cellIs" dxfId="262" priority="14" operator="greaterThan">
      <formula>$C$20</formula>
    </cfRule>
  </conditionalFormatting>
  <conditionalFormatting sqref="L39">
    <cfRule type="cellIs" dxfId="261" priority="11" operator="lessThan">
      <formula>$C$19</formula>
    </cfRule>
    <cfRule type="cellIs" dxfId="260" priority="12" operator="greaterThan">
      <formula>$C$19</formula>
    </cfRule>
  </conditionalFormatting>
  <conditionalFormatting sqref="L38">
    <cfRule type="cellIs" dxfId="259" priority="9" operator="lessThan">
      <formula>$C$17</formula>
    </cfRule>
    <cfRule type="cellIs" dxfId="258" priority="10" operator="greaterThan">
      <formula>$C$17</formula>
    </cfRule>
  </conditionalFormatting>
  <conditionalFormatting sqref="L37">
    <cfRule type="cellIs" dxfId="257" priority="7" operator="lessThan">
      <formula>$C$7</formula>
    </cfRule>
    <cfRule type="cellIs" dxfId="256" priority="8" operator="greaterThan">
      <formula>$C$7</formula>
    </cfRule>
  </conditionalFormatting>
  <conditionalFormatting sqref="L43">
    <cfRule type="cellIs" dxfId="255" priority="3" operator="lessThan">
      <formula>$C$27</formula>
    </cfRule>
    <cfRule type="cellIs" dxfId="254" priority="4" operator="greaterThan">
      <formula>$C$27</formula>
    </cfRule>
  </conditionalFormatting>
  <conditionalFormatting sqref="L44:L46">
    <cfRule type="cellIs" dxfId="253" priority="1" operator="lessThan">
      <formula>$C$7</formula>
    </cfRule>
    <cfRule type="cellIs" dxfId="25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(-318/3)</f>
        <v>-106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G40" sqref="G4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99" width="9.140625" style="14" customWidth="1"/>
    <col min="100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13.045923792133401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4.094455615525268</v>
      </c>
      <c r="K4" s="4">
        <f>(J4/D13-1)</f>
        <v>-3.5236634088231531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9.6299999999999993E-6</v>
      </c>
      <c r="C6" s="28">
        <v>0</v>
      </c>
      <c r="D6" s="28">
        <f>(B6*C6)</f>
        <v>0</v>
      </c>
      <c r="E6" s="23">
        <f>(B6*J3)</f>
        <v>1.2563224611824463E-4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9.6299999999999993E-6</v>
      </c>
      <c r="S6" s="28">
        <v>0</v>
      </c>
      <c r="T6" s="28">
        <f>(D6)</f>
        <v>0</v>
      </c>
      <c r="U6" s="23">
        <f>(R6*J3)</f>
        <v>1.2563224611824463E-4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0.118880656</v>
      </c>
      <c r="O9" s="23">
        <f>($C$5*[1]Params!K11)</f>
        <v>20</v>
      </c>
      <c r="P9" s="23">
        <f>(O9*N9)</f>
        <v>2.3776131199999999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4.8027392120000005</v>
      </c>
    </row>
    <row r="12" spans="2:21">
      <c r="F12" t="s">
        <v>9</v>
      </c>
      <c r="G12" s="45">
        <f>(D13/B13)</f>
        <v>-5.1694388984373463</v>
      </c>
    </row>
    <row r="13" spans="2:21">
      <c r="B13" s="1">
        <f>(SUM(B5:B12))</f>
        <v>0.31384941999999999</v>
      </c>
      <c r="D13" s="23">
        <f>(SUM(D5:D12))</f>
        <v>-1.6224254</v>
      </c>
      <c r="R13" s="1">
        <f>(SUM(R5:R12))</f>
        <v>0.59440327999999998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0.9925642791079452</v>
      </c>
    </row>
    <row r="21" spans="5:15">
      <c r="E21" s="46"/>
    </row>
  </sheetData>
  <conditionalFormatting sqref="C5 G12 S5">
    <cfRule type="cellIs" dxfId="251" priority="7" operator="lessThan">
      <formula>$J$3</formula>
    </cfRule>
    <cfRule type="cellIs" dxfId="250" priority="8" operator="greaterThan">
      <formula>$J$3</formula>
    </cfRule>
  </conditionalFormatting>
  <conditionalFormatting sqref="O9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O3">
    <cfRule type="cellIs" dxfId="247" priority="1" operator="greaterThan">
      <formula>$J$3</formula>
    </cfRule>
    <cfRule type="cellIs" dxfId="246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B10" sqref="B10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0.61029644671696326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44.338070957352819</v>
      </c>
      <c r="K4" s="4">
        <f>(J4/D13-1)</f>
        <v>1.4630061877414042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0.72811638999999995</v>
      </c>
      <c r="C6" s="28">
        <v>0</v>
      </c>
      <c r="D6" s="28">
        <f>(B6*C6)</f>
        <v>0</v>
      </c>
      <c r="E6" s="23">
        <f>(B6*J3)</f>
        <v>0.44436684561338263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0.72811638999999995</v>
      </c>
      <c r="S6" s="28">
        <v>0</v>
      </c>
      <c r="T6" s="28">
        <f>(D6)</f>
        <v>0</v>
      </c>
      <c r="U6" s="23">
        <f>(R6*J3)</f>
        <v>0.44436684561338263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25.562033527999994</v>
      </c>
      <c r="O8" s="23">
        <f>($C$7*[1]Params!K10)</f>
        <v>0.76762608072481497</v>
      </c>
      <c r="P8" s="23">
        <f>(O8*N8)</f>
        <v>19.622083612454951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14.530011175999999</v>
      </c>
      <c r="O9" s="23">
        <f>($C$7*[1]Params!K11)</f>
        <v>1.7446047289200339</v>
      </c>
      <c r="P9" s="23">
        <f>(O9*N9)</f>
        <v>25.34912620891054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67.359638791365484</v>
      </c>
    </row>
    <row r="12" spans="2:21">
      <c r="F12" t="s">
        <v>9</v>
      </c>
      <c r="G12" s="45">
        <f>(D13/B13)</f>
        <v>0.24778518614953612</v>
      </c>
    </row>
    <row r="13" spans="2:21">
      <c r="B13" s="1">
        <f>(SUM(B5:B12))</f>
        <v>72.650055879999996</v>
      </c>
      <c r="D13" s="23">
        <f>(SUM(D5:D12))</f>
        <v>18.001607620000001</v>
      </c>
      <c r="R13" s="1">
        <f>(SUM(R5:R12))</f>
        <v>95.150055879999982</v>
      </c>
      <c r="T13" s="23">
        <f>(SUM(T5:T12))</f>
        <v>30.307607620000002</v>
      </c>
    </row>
  </sheetData>
  <conditionalFormatting sqref="C5 C7 G12 S5 S7">
    <cfRule type="cellIs" dxfId="245" priority="19" operator="lessThan">
      <formula>$J$3</formula>
    </cfRule>
    <cfRule type="cellIs" dxfId="244" priority="20" operator="greaterThan">
      <formula>$J$3</formula>
    </cfRule>
  </conditionalFormatting>
  <conditionalFormatting sqref="O8:O9">
    <cfRule type="cellIs" dxfId="243" priority="15" operator="lessThan">
      <formula>$J$3</formula>
    </cfRule>
    <cfRule type="cellIs" dxfId="242" priority="16" operator="greaterThan">
      <formula>$J$3</formula>
    </cfRule>
  </conditionalFormatting>
  <conditionalFormatting sqref="C9">
    <cfRule type="cellIs" dxfId="241" priority="3" operator="lessThan">
      <formula>$J$3</formula>
    </cfRule>
    <cfRule type="cellIs" dxfId="240" priority="4" operator="greaterThan">
      <formula>$J$3</formula>
    </cfRule>
  </conditionalFormatting>
  <conditionalFormatting sqref="O3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2023-12-26T11:35:21Z</dcterms:modified>
</cp:coreProperties>
</file>