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7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/>
  <c r="O8"/>
  <c r="P8" s="1"/>
  <c r="N8"/>
  <c r="N7"/>
  <c r="S6"/>
  <c r="R6"/>
  <c r="N6"/>
  <c r="E6"/>
  <c r="D6"/>
  <c r="T6" s="1"/>
  <c r="T18" s="1"/>
  <c r="T5"/>
  <c r="S5"/>
  <c r="R5"/>
  <c r="R18" s="1"/>
  <c r="C5"/>
  <c r="J4"/>
  <c r="B14" i="38"/>
  <c r="O9"/>
  <c r="N8"/>
  <c r="O7"/>
  <c r="T6"/>
  <c r="S6"/>
  <c r="R6"/>
  <c r="O6"/>
  <c r="E6"/>
  <c r="D6"/>
  <c r="D14" s="1"/>
  <c r="T5"/>
  <c r="R5"/>
  <c r="R18" s="1"/>
  <c r="C5"/>
  <c r="O8" s="1"/>
  <c r="P8" s="1"/>
  <c r="D14" i="37"/>
  <c r="B14"/>
  <c r="G13"/>
  <c r="C12"/>
  <c r="C11"/>
  <c r="C10"/>
  <c r="O9"/>
  <c r="P9" s="1"/>
  <c r="N9"/>
  <c r="C9"/>
  <c r="T8"/>
  <c r="S8"/>
  <c r="R8"/>
  <c r="N8"/>
  <c r="C8"/>
  <c r="T7"/>
  <c r="R7"/>
  <c r="P7"/>
  <c r="N7"/>
  <c r="C7"/>
  <c r="T6"/>
  <c r="S6"/>
  <c r="R6"/>
  <c r="P6"/>
  <c r="O6"/>
  <c r="N6"/>
  <c r="E6"/>
  <c r="D6"/>
  <c r="T5"/>
  <c r="S5" s="1"/>
  <c r="R5"/>
  <c r="C5"/>
  <c r="O8" s="1"/>
  <c r="P8" s="1"/>
  <c r="K4"/>
  <c r="J4"/>
  <c r="N9" i="36"/>
  <c r="N8"/>
  <c r="O7"/>
  <c r="D7"/>
  <c r="B7"/>
  <c r="B10" s="1"/>
  <c r="S6"/>
  <c r="R6"/>
  <c r="P6"/>
  <c r="N6"/>
  <c r="E6"/>
  <c r="D6"/>
  <c r="T6" s="1"/>
  <c r="R5"/>
  <c r="C5"/>
  <c r="J4"/>
  <c r="D13" i="35"/>
  <c r="B13"/>
  <c r="G12"/>
  <c r="O9"/>
  <c r="P9" s="1"/>
  <c r="N9"/>
  <c r="N8"/>
  <c r="O7"/>
  <c r="P7" s="1"/>
  <c r="N7"/>
  <c r="Q6"/>
  <c r="Q9" s="1"/>
  <c r="N6"/>
  <c r="E6"/>
  <c r="D6"/>
  <c r="C5"/>
  <c r="O8" s="1"/>
  <c r="P8" s="1"/>
  <c r="J4"/>
  <c r="K4" s="1"/>
  <c r="C44" i="34"/>
  <c r="C43"/>
  <c r="C42"/>
  <c r="D41"/>
  <c r="C41" s="1"/>
  <c r="S28" s="1"/>
  <c r="C40"/>
  <c r="D39"/>
  <c r="C39" s="1"/>
  <c r="D38"/>
  <c r="C38" s="1"/>
  <c r="O8" s="1"/>
  <c r="C37"/>
  <c r="C36"/>
  <c r="C35"/>
  <c r="B34"/>
  <c r="D33"/>
  <c r="C33"/>
  <c r="C32"/>
  <c r="C31"/>
  <c r="C30"/>
  <c r="T29"/>
  <c r="R29"/>
  <c r="D29"/>
  <c r="C29" s="1"/>
  <c r="T28"/>
  <c r="R28"/>
  <c r="C28"/>
  <c r="B28"/>
  <c r="C27"/>
  <c r="C26"/>
  <c r="B26"/>
  <c r="T25"/>
  <c r="R25"/>
  <c r="N25"/>
  <c r="R27" s="1"/>
  <c r="C25"/>
  <c r="T24"/>
  <c r="S24" s="1"/>
  <c r="R24"/>
  <c r="N24"/>
  <c r="C24"/>
  <c r="T23"/>
  <c r="R23"/>
  <c r="N23"/>
  <c r="C23"/>
  <c r="T22"/>
  <c r="S22"/>
  <c r="R22"/>
  <c r="C22"/>
  <c r="O23" s="1"/>
  <c r="P23" s="1"/>
  <c r="T21"/>
  <c r="V21" s="1"/>
  <c r="R21"/>
  <c r="C21"/>
  <c r="O14" s="1"/>
  <c r="C20"/>
  <c r="T19"/>
  <c r="V19" s="1"/>
  <c r="R19"/>
  <c r="N26" s="1"/>
  <c r="C19"/>
  <c r="T18"/>
  <c r="R18"/>
  <c r="E18"/>
  <c r="T17"/>
  <c r="R17"/>
  <c r="P17"/>
  <c r="O17"/>
  <c r="N17"/>
  <c r="C17"/>
  <c r="T16"/>
  <c r="S16"/>
  <c r="R16"/>
  <c r="N16"/>
  <c r="C16"/>
  <c r="T15"/>
  <c r="O15"/>
  <c r="P15" s="1"/>
  <c r="N15"/>
  <c r="E15"/>
  <c r="B15"/>
  <c r="T14"/>
  <c r="S14"/>
  <c r="R14"/>
  <c r="N14"/>
  <c r="E14"/>
  <c r="B14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B8"/>
  <c r="C8" s="1"/>
  <c r="T7"/>
  <c r="R7"/>
  <c r="P7"/>
  <c r="O7"/>
  <c r="N7"/>
  <c r="C7"/>
  <c r="T6"/>
  <c r="R6"/>
  <c r="O6"/>
  <c r="N6"/>
  <c r="C6"/>
  <c r="B6"/>
  <c r="S5"/>
  <c r="B5"/>
  <c r="D5" s="1"/>
  <c r="D46" s="1"/>
  <c r="D10" i="33"/>
  <c r="B10"/>
  <c r="O9"/>
  <c r="P9" s="1"/>
  <c r="N9"/>
  <c r="G9"/>
  <c r="N8"/>
  <c r="N7"/>
  <c r="N6"/>
  <c r="C5"/>
  <c r="O7" s="1"/>
  <c r="P7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K4"/>
  <c r="D14" i="31"/>
  <c r="K4" s="1"/>
  <c r="B14"/>
  <c r="G13"/>
  <c r="N9"/>
  <c r="P8"/>
  <c r="O8"/>
  <c r="O3" s="1"/>
  <c r="N8"/>
  <c r="C8"/>
  <c r="N7"/>
  <c r="P7" s="1"/>
  <c r="D7"/>
  <c r="C7"/>
  <c r="T6"/>
  <c r="R6"/>
  <c r="P6"/>
  <c r="N6"/>
  <c r="E6"/>
  <c r="U6" s="1"/>
  <c r="D6"/>
  <c r="T5"/>
  <c r="S5" s="1"/>
  <c r="R5"/>
  <c r="R17" s="1"/>
  <c r="C5"/>
  <c r="O9" s="1"/>
  <c r="P9" s="1"/>
  <c r="J4"/>
  <c r="N3"/>
  <c r="B25" i="30"/>
  <c r="J4" s="1"/>
  <c r="D23"/>
  <c r="C23" s="1"/>
  <c r="C22"/>
  <c r="C21"/>
  <c r="D20"/>
  <c r="C20" s="1"/>
  <c r="C19"/>
  <c r="E18"/>
  <c r="C18"/>
  <c r="C17"/>
  <c r="P16"/>
  <c r="O16" s="1"/>
  <c r="N16"/>
  <c r="C16"/>
  <c r="T15"/>
  <c r="R15"/>
  <c r="P15"/>
  <c r="N15"/>
  <c r="N17" s="1"/>
  <c r="C15"/>
  <c r="T14"/>
  <c r="S14" s="1"/>
  <c r="R14"/>
  <c r="P14"/>
  <c r="O14"/>
  <c r="N14"/>
  <c r="C14"/>
  <c r="T13"/>
  <c r="R13"/>
  <c r="C13"/>
  <c r="R12"/>
  <c r="C12"/>
  <c r="T11"/>
  <c r="R11"/>
  <c r="C11"/>
  <c r="T10"/>
  <c r="S10" s="1"/>
  <c r="R10"/>
  <c r="C10"/>
  <c r="R9"/>
  <c r="D9"/>
  <c r="T8"/>
  <c r="R8"/>
  <c r="V8" s="1"/>
  <c r="P8"/>
  <c r="O8"/>
  <c r="N8"/>
  <c r="C8"/>
  <c r="T7"/>
  <c r="R7"/>
  <c r="E7"/>
  <c r="U6"/>
  <c r="T6"/>
  <c r="R6"/>
  <c r="R28" s="1"/>
  <c r="P6"/>
  <c r="O6"/>
  <c r="N6"/>
  <c r="C6"/>
  <c r="T5"/>
  <c r="S5"/>
  <c r="R5"/>
  <c r="C5"/>
  <c r="O9" s="1"/>
  <c r="B11" i="29"/>
  <c r="N9" s="1"/>
  <c r="T9"/>
  <c r="S9" s="1"/>
  <c r="R9"/>
  <c r="O9"/>
  <c r="P9" s="1"/>
  <c r="C9"/>
  <c r="R8"/>
  <c r="N8"/>
  <c r="D8"/>
  <c r="T8" s="1"/>
  <c r="S8" s="1"/>
  <c r="C8"/>
  <c r="R7"/>
  <c r="P7"/>
  <c r="O7"/>
  <c r="N7"/>
  <c r="E7"/>
  <c r="D7"/>
  <c r="T7" s="1"/>
  <c r="T28" s="1"/>
  <c r="U6"/>
  <c r="T6"/>
  <c r="P6"/>
  <c r="N6"/>
  <c r="E6"/>
  <c r="D6"/>
  <c r="D11" s="1"/>
  <c r="G10" s="1"/>
  <c r="T5"/>
  <c r="S5"/>
  <c r="R5"/>
  <c r="R28" s="1"/>
  <c r="C5"/>
  <c r="J4"/>
  <c r="K4" s="1"/>
  <c r="B10" i="28"/>
  <c r="N7"/>
  <c r="E6"/>
  <c r="D6"/>
  <c r="D10" s="1"/>
  <c r="G9" s="1"/>
  <c r="C5"/>
  <c r="O7" s="1"/>
  <c r="P7" s="1"/>
  <c r="J4"/>
  <c r="K4" s="1"/>
  <c r="N17" i="27"/>
  <c r="N16"/>
  <c r="B16"/>
  <c r="D16" s="1"/>
  <c r="T9" s="1"/>
  <c r="D15"/>
  <c r="T10" s="1"/>
  <c r="B15"/>
  <c r="N14"/>
  <c r="C14"/>
  <c r="C13"/>
  <c r="C12"/>
  <c r="C11"/>
  <c r="R10"/>
  <c r="N15" s="1"/>
  <c r="C10"/>
  <c r="R9"/>
  <c r="C9"/>
  <c r="T8"/>
  <c r="S8"/>
  <c r="R8"/>
  <c r="C8"/>
  <c r="T7"/>
  <c r="R7"/>
  <c r="C7"/>
  <c r="O9" s="1"/>
  <c r="R6"/>
  <c r="U6" s="1"/>
  <c r="N6"/>
  <c r="E6"/>
  <c r="D6"/>
  <c r="T6" s="1"/>
  <c r="T5"/>
  <c r="S5"/>
  <c r="R5"/>
  <c r="C5"/>
  <c r="E37" i="26"/>
  <c r="C37"/>
  <c r="E36"/>
  <c r="C36"/>
  <c r="C35"/>
  <c r="B35"/>
  <c r="C34"/>
  <c r="C33"/>
  <c r="C32"/>
  <c r="B32"/>
  <c r="C31"/>
  <c r="C30"/>
  <c r="C29"/>
  <c r="C28"/>
  <c r="T27"/>
  <c r="S27" s="1"/>
  <c r="R27"/>
  <c r="C27"/>
  <c r="T26"/>
  <c r="R26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O12"/>
  <c r="N12"/>
  <c r="P12" s="1"/>
  <c r="C12"/>
  <c r="S11"/>
  <c r="R11"/>
  <c r="C11"/>
  <c r="R10"/>
  <c r="S10" s="1"/>
  <c r="C10"/>
  <c r="C9"/>
  <c r="B9"/>
  <c r="S8"/>
  <c r="R8"/>
  <c r="C8"/>
  <c r="R7"/>
  <c r="T7" s="1"/>
  <c r="D7"/>
  <c r="T6"/>
  <c r="R6"/>
  <c r="N6"/>
  <c r="O6" s="1"/>
  <c r="P6" s="1"/>
  <c r="D6"/>
  <c r="T5"/>
  <c r="T39" s="1"/>
  <c r="R5"/>
  <c r="D5"/>
  <c r="D39" s="1"/>
  <c r="D20" i="25"/>
  <c r="D19"/>
  <c r="D18"/>
  <c r="D17"/>
  <c r="D16"/>
  <c r="D15"/>
  <c r="D14"/>
  <c r="D13"/>
  <c r="D12"/>
  <c r="D11"/>
  <c r="D10"/>
  <c r="D9"/>
  <c r="D8"/>
  <c r="C7"/>
  <c r="N12" s="1"/>
  <c r="B7"/>
  <c r="B22" s="1"/>
  <c r="J4" s="1"/>
  <c r="O6"/>
  <c r="N6"/>
  <c r="P6" s="1"/>
  <c r="E6"/>
  <c r="D6"/>
  <c r="D22" s="1"/>
  <c r="D5"/>
  <c r="R21" i="24"/>
  <c r="B15"/>
  <c r="C13"/>
  <c r="C12"/>
  <c r="C11"/>
  <c r="C10"/>
  <c r="C9"/>
  <c r="T8"/>
  <c r="R8"/>
  <c r="U8" s="1"/>
  <c r="N8"/>
  <c r="C8"/>
  <c r="T7"/>
  <c r="S7" s="1"/>
  <c r="R7"/>
  <c r="O7"/>
  <c r="C7"/>
  <c r="R6"/>
  <c r="N6"/>
  <c r="E6"/>
  <c r="D6"/>
  <c r="T5"/>
  <c r="S5"/>
  <c r="R5"/>
  <c r="N9" s="1"/>
  <c r="C5"/>
  <c r="J4"/>
  <c r="D11" i="23"/>
  <c r="B11"/>
  <c r="G10"/>
  <c r="R9"/>
  <c r="R22" s="1"/>
  <c r="O9"/>
  <c r="D9"/>
  <c r="T8"/>
  <c r="R8"/>
  <c r="P8"/>
  <c r="O8" s="1"/>
  <c r="N8"/>
  <c r="C8"/>
  <c r="T7"/>
  <c r="R7"/>
  <c r="P7"/>
  <c r="O7"/>
  <c r="N7"/>
  <c r="D7"/>
  <c r="C7"/>
  <c r="S6"/>
  <c r="R6"/>
  <c r="P6"/>
  <c r="N6"/>
  <c r="E6"/>
  <c r="D6"/>
  <c r="T6" s="1"/>
  <c r="T5"/>
  <c r="S5"/>
  <c r="R5"/>
  <c r="C5"/>
  <c r="J4"/>
  <c r="K4" s="1"/>
  <c r="B10" i="22"/>
  <c r="N7"/>
  <c r="D7"/>
  <c r="C7"/>
  <c r="P6"/>
  <c r="O6"/>
  <c r="N3" s="1"/>
  <c r="N6"/>
  <c r="E6"/>
  <c r="D6"/>
  <c r="D10" s="1"/>
  <c r="G9" s="1"/>
  <c r="C5"/>
  <c r="O7" s="1"/>
  <c r="P7" s="1"/>
  <c r="J4"/>
  <c r="K4" s="1"/>
  <c r="O3"/>
  <c r="P3" s="1"/>
  <c r="D10" i="21"/>
  <c r="B10"/>
  <c r="O9"/>
  <c r="P9" s="1"/>
  <c r="N9"/>
  <c r="G9"/>
  <c r="N8"/>
  <c r="N7"/>
  <c r="N6"/>
  <c r="C5"/>
  <c r="O7" s="1"/>
  <c r="P7" s="1"/>
  <c r="J4"/>
  <c r="K4" s="1"/>
  <c r="B13" i="20"/>
  <c r="J4" s="1"/>
  <c r="D11"/>
  <c r="C11"/>
  <c r="T10"/>
  <c r="R10"/>
  <c r="C10"/>
  <c r="T9"/>
  <c r="R9"/>
  <c r="N9"/>
  <c r="C9"/>
  <c r="T8"/>
  <c r="R8"/>
  <c r="P8"/>
  <c r="O8" s="1"/>
  <c r="N8"/>
  <c r="C8"/>
  <c r="T7"/>
  <c r="R7"/>
  <c r="P7"/>
  <c r="N7"/>
  <c r="C7"/>
  <c r="T6"/>
  <c r="S6" s="1"/>
  <c r="R6"/>
  <c r="P6"/>
  <c r="O6"/>
  <c r="N6"/>
  <c r="E6"/>
  <c r="D6"/>
  <c r="D13" s="1"/>
  <c r="G12" s="1"/>
  <c r="T5"/>
  <c r="R5"/>
  <c r="R25" s="1"/>
  <c r="C5"/>
  <c r="K4"/>
  <c r="D14" i="19"/>
  <c r="G13" s="1"/>
  <c r="B14"/>
  <c r="C12"/>
  <c r="D11"/>
  <c r="C11"/>
  <c r="C10"/>
  <c r="T9"/>
  <c r="R9"/>
  <c r="O9"/>
  <c r="C9"/>
  <c r="T8"/>
  <c r="S8"/>
  <c r="R8"/>
  <c r="C8"/>
  <c r="T7"/>
  <c r="R7"/>
  <c r="N8" s="1"/>
  <c r="P7"/>
  <c r="O7"/>
  <c r="N7"/>
  <c r="C7"/>
  <c r="S7" s="1"/>
  <c r="T6"/>
  <c r="S6"/>
  <c r="R6"/>
  <c r="N6"/>
  <c r="C6"/>
  <c r="O6" s="1"/>
  <c r="R5"/>
  <c r="C5"/>
  <c r="O8" s="1"/>
  <c r="K4"/>
  <c r="J4"/>
  <c r="O9" i="18"/>
  <c r="T8"/>
  <c r="O8"/>
  <c r="B8"/>
  <c r="R7"/>
  <c r="P7"/>
  <c r="D7"/>
  <c r="T7" s="1"/>
  <c r="T6"/>
  <c r="S6" s="1"/>
  <c r="R6"/>
  <c r="N6"/>
  <c r="E6"/>
  <c r="D6"/>
  <c r="T5"/>
  <c r="R5"/>
  <c r="C12" i="17"/>
  <c r="D11"/>
  <c r="C11"/>
  <c r="O6" s="1"/>
  <c r="T10"/>
  <c r="R10"/>
  <c r="C10"/>
  <c r="T9"/>
  <c r="R9"/>
  <c r="B9"/>
  <c r="D9" s="1"/>
  <c r="D8" s="1"/>
  <c r="B8"/>
  <c r="B14" s="1"/>
  <c r="T7"/>
  <c r="S7" s="1"/>
  <c r="R7"/>
  <c r="P7"/>
  <c r="O7"/>
  <c r="N7"/>
  <c r="C7"/>
  <c r="T6"/>
  <c r="S6"/>
  <c r="R6"/>
  <c r="P6"/>
  <c r="N6"/>
  <c r="E6"/>
  <c r="D6"/>
  <c r="D14" s="1"/>
  <c r="T5"/>
  <c r="R5"/>
  <c r="C5"/>
  <c r="O9" s="1"/>
  <c r="D13" i="16"/>
  <c r="B13"/>
  <c r="G12"/>
  <c r="N9"/>
  <c r="N8"/>
  <c r="N7"/>
  <c r="N6"/>
  <c r="E6"/>
  <c r="D6"/>
  <c r="C5"/>
  <c r="O9" s="1"/>
  <c r="P9" s="1"/>
  <c r="J4"/>
  <c r="K4" s="1"/>
  <c r="N17" i="15"/>
  <c r="B17"/>
  <c r="N16"/>
  <c r="C15"/>
  <c r="D14"/>
  <c r="C14" s="1"/>
  <c r="C13"/>
  <c r="C12"/>
  <c r="C11"/>
  <c r="T10"/>
  <c r="R10"/>
  <c r="E10"/>
  <c r="S9"/>
  <c r="O17" s="1"/>
  <c r="P17" s="1"/>
  <c r="R9"/>
  <c r="N15" s="1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R37" s="1"/>
  <c r="O6"/>
  <c r="P6" s="1"/>
  <c r="N6"/>
  <c r="D6"/>
  <c r="R5"/>
  <c r="D5"/>
  <c r="G17" s="1"/>
  <c r="J4"/>
  <c r="D13" i="14"/>
  <c r="B13"/>
  <c r="G12"/>
  <c r="C11"/>
  <c r="C10"/>
  <c r="C9"/>
  <c r="C8"/>
  <c r="C7"/>
  <c r="T6"/>
  <c r="R6"/>
  <c r="N9" s="1"/>
  <c r="C6"/>
  <c r="T5"/>
  <c r="T15" s="1"/>
  <c r="S5"/>
  <c r="R5"/>
  <c r="C5"/>
  <c r="O9" s="1"/>
  <c r="P9" s="1"/>
  <c r="J4"/>
  <c r="K4" s="1"/>
  <c r="P22" i="13"/>
  <c r="N22"/>
  <c r="N21"/>
  <c r="P20"/>
  <c r="O20"/>
  <c r="N20"/>
  <c r="N23" s="1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23" s="1"/>
  <c r="P23" s="1"/>
  <c r="R8"/>
  <c r="P8"/>
  <c r="O8" s="1"/>
  <c r="N8"/>
  <c r="C8"/>
  <c r="T7"/>
  <c r="R7"/>
  <c r="R19" s="1"/>
  <c r="P7"/>
  <c r="O7"/>
  <c r="N7"/>
  <c r="C7"/>
  <c r="T6"/>
  <c r="S6"/>
  <c r="O9" s="1"/>
  <c r="R6"/>
  <c r="N6"/>
  <c r="E6"/>
  <c r="D6"/>
  <c r="D19" s="1"/>
  <c r="T5"/>
  <c r="T19" s="1"/>
  <c r="R5"/>
  <c r="U5" s="1"/>
  <c r="C5"/>
  <c r="O6" s="1"/>
  <c r="P6" s="1"/>
  <c r="J4"/>
  <c r="K4" s="1"/>
  <c r="B14" i="12"/>
  <c r="N9"/>
  <c r="N8"/>
  <c r="N7"/>
  <c r="D7"/>
  <c r="D14" s="1"/>
  <c r="G13" s="1"/>
  <c r="N6"/>
  <c r="E6"/>
  <c r="D6"/>
  <c r="C5"/>
  <c r="O9" s="1"/>
  <c r="P9" s="1"/>
  <c r="J4"/>
  <c r="E7" s="1"/>
  <c r="B14" i="11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10"/>
  <c r="C11"/>
  <c r="O6" s="1"/>
  <c r="C10"/>
  <c r="N9"/>
  <c r="C9"/>
  <c r="T8"/>
  <c r="S8" s="1"/>
  <c r="R8"/>
  <c r="N8"/>
  <c r="C8"/>
  <c r="T7"/>
  <c r="R7"/>
  <c r="C7"/>
  <c r="R6"/>
  <c r="P6"/>
  <c r="N6"/>
  <c r="N7" s="1"/>
  <c r="E6"/>
  <c r="U6" s="1"/>
  <c r="D6"/>
  <c r="D14" s="1"/>
  <c r="G13" s="1"/>
  <c r="T5"/>
  <c r="S5"/>
  <c r="R5"/>
  <c r="R17" s="1"/>
  <c r="C5"/>
  <c r="O9" s="1"/>
  <c r="P9" s="1"/>
  <c r="J4"/>
  <c r="K4" s="1"/>
  <c r="B13" i="9"/>
  <c r="C11"/>
  <c r="C10"/>
  <c r="T9"/>
  <c r="R9"/>
  <c r="N9"/>
  <c r="C9"/>
  <c r="T8"/>
  <c r="R8"/>
  <c r="C8"/>
  <c r="T7"/>
  <c r="S7" s="1"/>
  <c r="O7" s="1"/>
  <c r="R7"/>
  <c r="P7"/>
  <c r="N7"/>
  <c r="C7"/>
  <c r="O9" s="1"/>
  <c r="P9" s="1"/>
  <c r="R6"/>
  <c r="U6" s="1"/>
  <c r="P6"/>
  <c r="N6"/>
  <c r="N8" s="1"/>
  <c r="E6"/>
  <c r="D6"/>
  <c r="D13" s="1"/>
  <c r="G12" s="1"/>
  <c r="T5"/>
  <c r="S5"/>
  <c r="R5"/>
  <c r="R13" s="1"/>
  <c r="C5"/>
  <c r="J4"/>
  <c r="K4" s="1"/>
  <c r="N7" i="8"/>
  <c r="C7"/>
  <c r="R6"/>
  <c r="U6" s="1"/>
  <c r="E6"/>
  <c r="D6"/>
  <c r="T6" s="1"/>
  <c r="R5"/>
  <c r="R13" s="1"/>
  <c r="C5"/>
  <c r="O9" s="1"/>
  <c r="B5"/>
  <c r="B13" s="1"/>
  <c r="E6" i="7"/>
  <c r="C6"/>
  <c r="E5"/>
  <c r="E9" s="1"/>
  <c r="C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E42"/>
  <c r="F42" s="1"/>
  <c r="D42"/>
  <c r="M41"/>
  <c r="F41"/>
  <c r="I41" s="1"/>
  <c r="K41" s="1"/>
  <c r="E41"/>
  <c r="E40"/>
  <c r="F40" s="1"/>
  <c r="D40"/>
  <c r="E39"/>
  <c r="F39" s="1"/>
  <c r="D39"/>
  <c r="M38"/>
  <c r="L38"/>
  <c r="L39" s="1"/>
  <c r="E38"/>
  <c r="F38" s="1"/>
  <c r="D38"/>
  <c r="M37"/>
  <c r="D37"/>
  <c r="E37" s="1"/>
  <c r="F37" s="1"/>
  <c r="M36"/>
  <c r="E36"/>
  <c r="F36" s="1"/>
  <c r="I36" s="1"/>
  <c r="K36" s="1"/>
  <c r="D36"/>
  <c r="M35"/>
  <c r="D35"/>
  <c r="E35" s="1"/>
  <c r="F35" s="1"/>
  <c r="I35" s="1"/>
  <c r="K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O31"/>
  <c r="P31" s="1"/>
  <c r="N31"/>
  <c r="O30"/>
  <c r="N30"/>
  <c r="O29"/>
  <c r="P29" s="1"/>
  <c r="N29"/>
  <c r="O23"/>
  <c r="P23" s="1"/>
  <c r="N23"/>
  <c r="O22"/>
  <c r="N22"/>
  <c r="O21"/>
  <c r="P21" s="1"/>
  <c r="N21"/>
  <c r="O20"/>
  <c r="N20"/>
  <c r="O14"/>
  <c r="N14"/>
  <c r="O13"/>
  <c r="P13" s="1"/>
  <c r="N13"/>
  <c r="O12"/>
  <c r="N12"/>
  <c r="O11"/>
  <c r="P11" s="1"/>
  <c r="N11"/>
  <c r="B9"/>
  <c r="D7"/>
  <c r="N6"/>
  <c r="O6" s="1"/>
  <c r="D6"/>
  <c r="D5"/>
  <c r="D9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N67"/>
  <c r="O67" s="1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D36"/>
  <c r="M35"/>
  <c r="C35"/>
  <c r="B35"/>
  <c r="M34"/>
  <c r="C34"/>
  <c r="N33"/>
  <c r="M33"/>
  <c r="O33" s="1"/>
  <c r="D33"/>
  <c r="C33"/>
  <c r="B33"/>
  <c r="C32"/>
  <c r="N49" s="1"/>
  <c r="O49" s="1"/>
  <c r="B31"/>
  <c r="M57" s="1"/>
  <c r="O57" s="1"/>
  <c r="D30"/>
  <c r="T21" s="1"/>
  <c r="B30"/>
  <c r="B38" s="1"/>
  <c r="D29"/>
  <c r="M28"/>
  <c r="D28"/>
  <c r="M27"/>
  <c r="D27"/>
  <c r="M26"/>
  <c r="D26"/>
  <c r="C26" s="1"/>
  <c r="N25"/>
  <c r="M25"/>
  <c r="O25" s="1"/>
  <c r="C25"/>
  <c r="N68" s="1"/>
  <c r="O68" s="1"/>
  <c r="T24"/>
  <c r="R24"/>
  <c r="M75" s="1"/>
  <c r="C24"/>
  <c r="T23"/>
  <c r="R23"/>
  <c r="C23"/>
  <c r="R22"/>
  <c r="C22"/>
  <c r="N43" s="1"/>
  <c r="O43" s="1"/>
  <c r="S21"/>
  <c r="R21"/>
  <c r="C21"/>
  <c r="M20"/>
  <c r="C20"/>
  <c r="N34" s="1"/>
  <c r="O34" s="1"/>
  <c r="T19"/>
  <c r="S19" s="1"/>
  <c r="R19"/>
  <c r="M50" s="1"/>
  <c r="N19"/>
  <c r="O19" s="1"/>
  <c r="M19"/>
  <c r="C19"/>
  <c r="N28" s="1"/>
  <c r="O28" s="1"/>
  <c r="T18"/>
  <c r="S18"/>
  <c r="R18"/>
  <c r="N18"/>
  <c r="M18"/>
  <c r="O18" s="1"/>
  <c r="D18"/>
  <c r="C18"/>
  <c r="N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O9" s="1"/>
  <c r="O14" s="1"/>
  <c r="M9"/>
  <c r="C9"/>
  <c r="R8"/>
  <c r="S8" s="1"/>
  <c r="C8"/>
  <c r="R7"/>
  <c r="S7" s="1"/>
  <c r="J7"/>
  <c r="J8" s="1"/>
  <c r="C7"/>
  <c r="R6"/>
  <c r="T6" s="1"/>
  <c r="E6"/>
  <c r="D6"/>
  <c r="R5"/>
  <c r="T5" s="1"/>
  <c r="D5"/>
  <c r="J4"/>
  <c r="D41" i="1"/>
  <c r="C40"/>
  <c r="B38"/>
  <c r="B39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B43" s="1"/>
  <c r="D22"/>
  <c r="R21"/>
  <c r="N21"/>
  <c r="D21"/>
  <c r="T20"/>
  <c r="S20"/>
  <c r="O29" s="1"/>
  <c r="R20"/>
  <c r="N29" s="1"/>
  <c r="N20"/>
  <c r="C20"/>
  <c r="T19"/>
  <c r="S19"/>
  <c r="O20" s="1"/>
  <c r="P20" s="1"/>
  <c r="R19"/>
  <c r="C19"/>
  <c r="D19" s="1"/>
  <c r="O18"/>
  <c r="N18"/>
  <c r="N19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"/>
  <c r="P8" i="19" l="1"/>
  <c r="P12" i="4"/>
  <c r="P14"/>
  <c r="P20"/>
  <c r="P22"/>
  <c r="P30"/>
  <c r="P32"/>
  <c r="O3" i="19"/>
  <c r="P3" i="31"/>
  <c r="O6" i="1"/>
  <c r="N52" i="2"/>
  <c r="O52" s="1"/>
  <c r="N50"/>
  <c r="O50" s="1"/>
  <c r="N51"/>
  <c r="O51" s="1"/>
  <c r="O37" i="1"/>
  <c r="P37" s="1"/>
  <c r="O36"/>
  <c r="O35"/>
  <c r="O34"/>
  <c r="J12"/>
  <c r="J13" s="1"/>
  <c r="J4"/>
  <c r="R22"/>
  <c r="D39"/>
  <c r="T22" s="1"/>
  <c r="T18"/>
  <c r="S18" s="1"/>
  <c r="R18"/>
  <c r="N10"/>
  <c r="O17" i="2"/>
  <c r="O22" s="1"/>
  <c r="N4"/>
  <c r="R32" i="1"/>
  <c r="P10"/>
  <c r="T10"/>
  <c r="S10" s="1"/>
  <c r="P29"/>
  <c r="O54" i="2"/>
  <c r="L40" i="5"/>
  <c r="M40" s="1"/>
  <c r="M39"/>
  <c r="J4" i="8"/>
  <c r="N9"/>
  <c r="R32" i="13"/>
  <c r="G18"/>
  <c r="N3"/>
  <c r="O3"/>
  <c r="T8" i="17"/>
  <c r="C8"/>
  <c r="N3"/>
  <c r="O3"/>
  <c r="P14" i="34"/>
  <c r="T5" i="1"/>
  <c r="O19"/>
  <c r="P19" s="1"/>
  <c r="O21"/>
  <c r="P21" s="1"/>
  <c r="O26"/>
  <c r="O27"/>
  <c r="O28"/>
  <c r="N34"/>
  <c r="N35"/>
  <c r="N36"/>
  <c r="D38"/>
  <c r="T21" s="1"/>
  <c r="S24" i="2"/>
  <c r="N27"/>
  <c r="O27" s="1"/>
  <c r="N36"/>
  <c r="O36" s="1"/>
  <c r="N42"/>
  <c r="O42" s="1"/>
  <c r="O46" s="1"/>
  <c r="N44"/>
  <c r="O44" s="1"/>
  <c r="P17" i="4"/>
  <c r="P35"/>
  <c r="M47" i="5"/>
  <c r="P25" i="13"/>
  <c r="G13" i="17"/>
  <c r="T17" i="27"/>
  <c r="M76" i="2"/>
  <c r="M74"/>
  <c r="D31"/>
  <c r="D38" s="1"/>
  <c r="T22"/>
  <c r="T20"/>
  <c r="T37" s="1"/>
  <c r="R20"/>
  <c r="M58" s="1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H37" i="5"/>
  <c r="I37" s="1"/>
  <c r="K37" s="1"/>
  <c r="H38"/>
  <c r="N3" i="10"/>
  <c r="O3"/>
  <c r="N9" i="17"/>
  <c r="N8"/>
  <c r="J4"/>
  <c r="K4" s="1"/>
  <c r="P18" i="1"/>
  <c r="P23" s="1"/>
  <c r="N26"/>
  <c r="N27"/>
  <c r="N28"/>
  <c r="R37" i="2"/>
  <c r="N26"/>
  <c r="O26" s="1"/>
  <c r="O30" s="1"/>
  <c r="N35"/>
  <c r="O35" s="1"/>
  <c r="O38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K14" i="5"/>
  <c r="I38"/>
  <c r="K38" s="1"/>
  <c r="P9" i="8"/>
  <c r="P7" i="11"/>
  <c r="P9"/>
  <c r="K4"/>
  <c r="P9" i="17"/>
  <c r="T13"/>
  <c r="R8" i="18"/>
  <c r="R22" s="1"/>
  <c r="C8"/>
  <c r="R33" i="19"/>
  <c r="N9"/>
  <c r="O6" i="23"/>
  <c r="O17" i="27"/>
  <c r="P17" s="1"/>
  <c r="O16"/>
  <c r="P16" s="1"/>
  <c r="O14"/>
  <c r="P14" s="1"/>
  <c r="N9"/>
  <c r="P9" s="1"/>
  <c r="N7"/>
  <c r="D25" i="30"/>
  <c r="G24" s="1"/>
  <c r="T9"/>
  <c r="V9" s="1"/>
  <c r="C9"/>
  <c r="N9"/>
  <c r="P9" s="1"/>
  <c r="N7"/>
  <c r="N39" i="34"/>
  <c r="T26"/>
  <c r="C34"/>
  <c r="R20"/>
  <c r="O25"/>
  <c r="P25" s="1"/>
  <c r="T27" s="1"/>
  <c r="O16"/>
  <c r="P16" s="1"/>
  <c r="N7" i="36"/>
  <c r="P7" s="1"/>
  <c r="T5"/>
  <c r="T18" i="38"/>
  <c r="S5"/>
  <c r="N9"/>
  <c r="P9" s="1"/>
  <c r="N7"/>
  <c r="N6"/>
  <c r="P6" s="1"/>
  <c r="J4"/>
  <c r="K4" s="1"/>
  <c r="P6" i="4"/>
  <c r="G8"/>
  <c r="O6" i="8"/>
  <c r="O8"/>
  <c r="T6" i="9"/>
  <c r="T13" s="1"/>
  <c r="T6" i="10"/>
  <c r="T17" s="1"/>
  <c r="O7"/>
  <c r="P7" s="1"/>
  <c r="P12" s="1"/>
  <c r="O8"/>
  <c r="P8" s="1"/>
  <c r="U5" i="11"/>
  <c r="N7"/>
  <c r="R14"/>
  <c r="O6" i="12"/>
  <c r="P6" s="1"/>
  <c r="O8"/>
  <c r="P8" s="1"/>
  <c r="V7" i="13"/>
  <c r="N9"/>
  <c r="P9" s="1"/>
  <c r="P11" s="1"/>
  <c r="O6" i="14"/>
  <c r="O7"/>
  <c r="P7" s="1"/>
  <c r="O8"/>
  <c r="R15"/>
  <c r="T6" i="15"/>
  <c r="O14"/>
  <c r="P14" s="1"/>
  <c r="O15"/>
  <c r="P15" s="1"/>
  <c r="D17"/>
  <c r="K4" s="1"/>
  <c r="O6" i="16"/>
  <c r="P6" s="1"/>
  <c r="O8"/>
  <c r="P8" s="1"/>
  <c r="T22" i="18"/>
  <c r="P6" i="19"/>
  <c r="O8" i="22"/>
  <c r="O9"/>
  <c r="T22" i="23"/>
  <c r="K4" i="24"/>
  <c r="P7"/>
  <c r="D18" i="27"/>
  <c r="O8" i="28"/>
  <c r="O9"/>
  <c r="P9" s="1"/>
  <c r="O7" i="30"/>
  <c r="P12" i="31"/>
  <c r="Q8" i="35"/>
  <c r="D10" i="36"/>
  <c r="G9" s="1"/>
  <c r="T18" i="37"/>
  <c r="K4" i="39"/>
  <c r="T25" i="20"/>
  <c r="S5"/>
  <c r="O9" s="1"/>
  <c r="P9" s="1"/>
  <c r="P12" s="1"/>
  <c r="N9" i="22"/>
  <c r="N8"/>
  <c r="T9" i="23"/>
  <c r="C9"/>
  <c r="D15" i="24"/>
  <c r="G14" s="1"/>
  <c r="T6"/>
  <c r="S6" s="1"/>
  <c r="O8"/>
  <c r="P8" s="1"/>
  <c r="O6"/>
  <c r="P6" s="1"/>
  <c r="N9" i="28"/>
  <c r="N8"/>
  <c r="N6"/>
  <c r="O8" i="29"/>
  <c r="P8" s="1"/>
  <c r="P11" s="1"/>
  <c r="O6"/>
  <c r="P6" i="34"/>
  <c r="O9" i="36"/>
  <c r="P9" s="1"/>
  <c r="O8"/>
  <c r="P8" s="1"/>
  <c r="O6"/>
  <c r="T7"/>
  <c r="C7"/>
  <c r="O9" i="39"/>
  <c r="P9" s="1"/>
  <c r="O7"/>
  <c r="P7" s="1"/>
  <c r="O6"/>
  <c r="P6" s="1"/>
  <c r="P11" s="1"/>
  <c r="N66" i="2"/>
  <c r="O66" s="1"/>
  <c r="O70" s="1"/>
  <c r="D5" i="8"/>
  <c r="N6"/>
  <c r="O7"/>
  <c r="P7" s="1"/>
  <c r="N8"/>
  <c r="O6" i="9"/>
  <c r="O8"/>
  <c r="P8" s="1"/>
  <c r="P11" s="1"/>
  <c r="N6" i="11"/>
  <c r="P6" s="1"/>
  <c r="N8"/>
  <c r="P8" s="1"/>
  <c r="K4" i="12"/>
  <c r="O7"/>
  <c r="P7" s="1"/>
  <c r="N6" i="14"/>
  <c r="N7"/>
  <c r="N8"/>
  <c r="T5" i="15"/>
  <c r="O7"/>
  <c r="P7" s="1"/>
  <c r="P11" s="1"/>
  <c r="O8"/>
  <c r="P8" s="1"/>
  <c r="T9"/>
  <c r="N14"/>
  <c r="O16"/>
  <c r="P16" s="1"/>
  <c r="O7" i="16"/>
  <c r="P7" s="1"/>
  <c r="U5" i="17"/>
  <c r="O8"/>
  <c r="P8" s="1"/>
  <c r="P12" s="1"/>
  <c r="R8"/>
  <c r="R13" s="1"/>
  <c r="S5" i="18"/>
  <c r="D13"/>
  <c r="G12" s="1"/>
  <c r="P6"/>
  <c r="C7"/>
  <c r="N7"/>
  <c r="O7" s="1"/>
  <c r="B13"/>
  <c r="N3" i="19"/>
  <c r="P3" s="1"/>
  <c r="P9"/>
  <c r="S9"/>
  <c r="O3" i="20"/>
  <c r="P3" s="1"/>
  <c r="O7"/>
  <c r="N3" s="1"/>
  <c r="O6" i="21"/>
  <c r="P6" s="1"/>
  <c r="P11" s="1"/>
  <c r="O8"/>
  <c r="P8" s="1"/>
  <c r="N9" i="23"/>
  <c r="P9" s="1"/>
  <c r="P11" s="1"/>
  <c r="O9" i="24"/>
  <c r="P9" s="1"/>
  <c r="B39" i="26"/>
  <c r="R21"/>
  <c r="S21" s="1"/>
  <c r="S26"/>
  <c r="R17" i="27"/>
  <c r="S7"/>
  <c r="N8"/>
  <c r="B18"/>
  <c r="J4" s="1"/>
  <c r="K4" s="1"/>
  <c r="O15"/>
  <c r="P15" s="1"/>
  <c r="O6" i="28"/>
  <c r="P6" s="1"/>
  <c r="S6" i="30"/>
  <c r="O17" s="1"/>
  <c r="P17" s="1"/>
  <c r="P19" s="1"/>
  <c r="T12"/>
  <c r="S12" s="1"/>
  <c r="O15"/>
  <c r="T17" i="31"/>
  <c r="O6" i="33"/>
  <c r="P6" s="1"/>
  <c r="O8"/>
  <c r="P8" s="1"/>
  <c r="R5" i="34"/>
  <c r="T13"/>
  <c r="S13" s="1"/>
  <c r="R15"/>
  <c r="S15" s="1"/>
  <c r="T20"/>
  <c r="V20" s="1"/>
  <c r="R26"/>
  <c r="B46"/>
  <c r="J4" s="1"/>
  <c r="K4" s="1"/>
  <c r="O6" i="35"/>
  <c r="P6" s="1"/>
  <c r="P11" s="1"/>
  <c r="Q7"/>
  <c r="R7" i="36"/>
  <c r="R18" s="1"/>
  <c r="R18" i="37"/>
  <c r="O7"/>
  <c r="N3" s="1"/>
  <c r="P11"/>
  <c r="G13" i="38"/>
  <c r="P7"/>
  <c r="D14" i="39"/>
  <c r="G13" s="1"/>
  <c r="S5" i="19"/>
  <c r="T5" s="1"/>
  <c r="T33" s="1"/>
  <c r="W33" s="1"/>
  <c r="N7" i="24"/>
  <c r="O12" i="25"/>
  <c r="P12" s="1"/>
  <c r="R9" i="26"/>
  <c r="O6" i="32"/>
  <c r="P6" s="1"/>
  <c r="P11" s="1"/>
  <c r="P11" i="24" l="1"/>
  <c r="P11" i="38"/>
  <c r="P11" i="36"/>
  <c r="P20" i="27"/>
  <c r="P26" i="4"/>
  <c r="O26" i="34"/>
  <c r="P26" s="1"/>
  <c r="O24"/>
  <c r="G37" i="2"/>
  <c r="K4"/>
  <c r="P11" i="11"/>
  <c r="O8" i="27"/>
  <c r="P8" s="1"/>
  <c r="O6"/>
  <c r="P6" s="1"/>
  <c r="O7"/>
  <c r="P7" s="1"/>
  <c r="O9" i="26"/>
  <c r="P9" s="1"/>
  <c r="J4"/>
  <c r="N3" i="9"/>
  <c r="O3"/>
  <c r="D13" i="8"/>
  <c r="G12" s="1"/>
  <c r="T5"/>
  <c r="P7" i="30"/>
  <c r="P11" s="1"/>
  <c r="O3"/>
  <c r="P6" i="8"/>
  <c r="O3"/>
  <c r="N3"/>
  <c r="R39" i="26"/>
  <c r="S9"/>
  <c r="R46" i="34"/>
  <c r="T5"/>
  <c r="T46" s="1"/>
  <c r="W46" s="1"/>
  <c r="N9" i="18"/>
  <c r="P9" s="1"/>
  <c r="N8"/>
  <c r="P8" s="1"/>
  <c r="J4"/>
  <c r="K4" s="1"/>
  <c r="P11"/>
  <c r="O6"/>
  <c r="T37" i="15"/>
  <c r="S5"/>
  <c r="N3" i="36"/>
  <c r="O3"/>
  <c r="N3" i="29"/>
  <c r="O3"/>
  <c r="T18" i="36"/>
  <c r="S5"/>
  <c r="N9" i="34"/>
  <c r="P9" s="1"/>
  <c r="N8"/>
  <c r="N3" i="23"/>
  <c r="O3"/>
  <c r="H42" i="5"/>
  <c r="I42" s="1"/>
  <c r="K42" s="1"/>
  <c r="H39"/>
  <c r="N75" i="2"/>
  <c r="O75" s="1"/>
  <c r="N73"/>
  <c r="O73" s="1"/>
  <c r="N74"/>
  <c r="O74" s="1"/>
  <c r="N76"/>
  <c r="O76" s="1"/>
  <c r="M4"/>
  <c r="O4" s="1"/>
  <c r="O13" i="1"/>
  <c r="P13" s="1"/>
  <c r="O12"/>
  <c r="P12" s="1"/>
  <c r="O11"/>
  <c r="P11" i="34"/>
  <c r="K4" i="36"/>
  <c r="G17" i="27"/>
  <c r="P8" i="22"/>
  <c r="P13" i="19"/>
  <c r="P19" i="15"/>
  <c r="P11" i="33"/>
  <c r="T28" i="30"/>
  <c r="N18" i="8"/>
  <c r="O18" s="1"/>
  <c r="O3" i="37"/>
  <c r="P3" s="1"/>
  <c r="N3" i="30"/>
  <c r="P8" i="28"/>
  <c r="P11" s="1"/>
  <c r="T21" i="24"/>
  <c r="P9" i="22"/>
  <c r="P11" i="16"/>
  <c r="P8" i="14"/>
  <c r="P6"/>
  <c r="P12" i="12"/>
  <c r="P8" i="8"/>
  <c r="P3" i="10"/>
  <c r="G46" i="34"/>
  <c r="G39" i="26"/>
  <c r="P27" i="1"/>
  <c r="T32"/>
  <c r="P19" i="34"/>
  <c r="S8" i="17"/>
  <c r="K4" i="8"/>
  <c r="P34" i="1"/>
  <c r="P36"/>
  <c r="N3"/>
  <c r="P3" s="1"/>
  <c r="S20" i="2"/>
  <c r="K4" i="30"/>
  <c r="P28" i="1"/>
  <c r="P26"/>
  <c r="O3" i="34"/>
  <c r="P3" i="17"/>
  <c r="P3" i="13"/>
  <c r="D43" i="1"/>
  <c r="N11"/>
  <c r="P35"/>
  <c r="P6"/>
  <c r="P31" l="1"/>
  <c r="G42"/>
  <c r="G7"/>
  <c r="H40" i="5"/>
  <c r="I40" s="1"/>
  <c r="K40" s="1"/>
  <c r="I39"/>
  <c r="K39" s="1"/>
  <c r="N3" i="18"/>
  <c r="O3"/>
  <c r="S5" i="8"/>
  <c r="T13"/>
  <c r="P39" i="1"/>
  <c r="P11" i="22"/>
  <c r="O78" i="2"/>
  <c r="P3" i="23"/>
  <c r="P3" i="29"/>
  <c r="P3" i="36"/>
  <c r="P3" i="8"/>
  <c r="P3" i="30"/>
  <c r="P3" i="9"/>
  <c r="N59" i="2"/>
  <c r="O59" s="1"/>
  <c r="N60"/>
  <c r="O60" s="1"/>
  <c r="N58"/>
  <c r="O58" s="1"/>
  <c r="P24" i="34"/>
  <c r="P28" s="1"/>
  <c r="N3"/>
  <c r="P3" s="1"/>
  <c r="K4" i="1"/>
  <c r="P12" i="14"/>
  <c r="P11" i="1"/>
  <c r="P15" s="1"/>
  <c r="P11" i="8"/>
  <c r="P11" i="27"/>
  <c r="O62" i="2" l="1"/>
  <c r="P3" i="18"/>
  <c r="J13" i="5"/>
  <c r="O47" l="1"/>
  <c r="P47" s="1"/>
  <c r="J15"/>
  <c r="J16" s="1"/>
</calcChain>
</file>

<file path=xl/sharedStrings.xml><?xml version="1.0" encoding="utf-8"?>
<sst xmlns="http://schemas.openxmlformats.org/spreadsheetml/2006/main" count="896" uniqueCount="102">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</sst>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8819712"/>
        <c:axId val="78821248"/>
      </c:lineChart>
      <c:dateAx>
        <c:axId val="78819712"/>
        <c:scaling>
          <c:orientation val="minMax"/>
        </c:scaling>
        <c:axPos val="b"/>
        <c:numFmt formatCode="dd/mm/yy;@" sourceLinked="1"/>
        <c:majorTickMark val="none"/>
        <c:tickLblPos val="nextTo"/>
        <c:crossAx val="78821248"/>
        <c:crosses val="autoZero"/>
        <c:lblOffset val="100"/>
      </c:dateAx>
      <c:valAx>
        <c:axId val="7882124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8819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U21" sqref="U2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2280.9978265775321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1294.9308830300447</v>
      </c>
      <c r="K4" s="4">
        <f>(J4/D43-1)</f>
        <v>-0.15425491601526864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2697.0275911396393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6.65433E-3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4.1803900000000005E-2</v>
      </c>
      <c r="O11" s="24">
        <f>($S$18*[1]Params!K16)</f>
        <v>3393.1103682589946</v>
      </c>
      <c r="P11" s="25">
        <f>(O11*N11)</f>
        <v>141.84524652366221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6.65433E-3</v>
      </c>
      <c r="C12" s="28">
        <v>0</v>
      </c>
      <c r="D12" s="29">
        <f t="shared" si="0"/>
        <v>0</v>
      </c>
      <c r="E12" s="23">
        <f>(B12*J3)</f>
        <v>15.178512267329669</v>
      </c>
      <c r="I12" t="s">
        <v>13</v>
      </c>
      <c r="J12">
        <f>(J11-B43)</f>
        <v>3.2296310000000106E-2</v>
      </c>
      <c r="N12">
        <f>($B$35/5)</f>
        <v>2.3224450000000001E-2</v>
      </c>
      <c r="O12" s="24">
        <f>($S$18*[1]Params!K17)</f>
        <v>6786.2207365179893</v>
      </c>
      <c r="P12" s="25">
        <f>(O12*N12)</f>
        <v>157.60624418422523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73.66781291647446</v>
      </c>
      <c r="N13">
        <f>($B$35/5)</f>
        <v>2.3224450000000001E-2</v>
      </c>
      <c r="O13" s="24">
        <f>($S$18*[1]Params!K18)</f>
        <v>13572.441473035979</v>
      </c>
      <c r="P13" s="25">
        <f>(O13*N13)</f>
        <v>315.21248836845047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622.11920407633784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0.11147725</v>
      </c>
      <c r="S18" s="24">
        <f>(T18/R18)</f>
        <v>1696.5551841294973</v>
      </c>
      <c r="T18" s="25">
        <f>(D35+1283.68*B39)</f>
        <v>189.12730640000001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8.6975679999999993E-3</v>
      </c>
      <c r="O19" s="24">
        <f>($S$19*[1]Params!K16)</f>
        <v>3456.3484423338546</v>
      </c>
      <c r="P19" s="25">
        <f>(O19*N19)</f>
        <v>30.061825608892775</v>
      </c>
      <c r="R19" s="26">
        <f>(B36+B38)</f>
        <v>2.2801419999999999E-2</v>
      </c>
      <c r="S19" s="24">
        <f>(T19/R19)</f>
        <v>1728.1742211669273</v>
      </c>
      <c r="T19" s="25">
        <f>(D36+1269.75*B38)</f>
        <v>39.404826249999999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4.701284E-3</v>
      </c>
      <c r="O20" s="24">
        <f>($S$19*[1]Params!K17)</f>
        <v>6912.6968846677091</v>
      </c>
      <c r="P20" s="25">
        <f>(O20*N20)</f>
        <v>32.498551260738147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4.701284E-3</v>
      </c>
      <c r="O21" s="24">
        <f>($S$19*[1]Params!K18)</f>
        <v>13825.393769335418</v>
      </c>
      <c r="P21" s="25">
        <f>(O21*N21)</f>
        <v>64.997102521476293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128.68900439110723</v>
      </c>
      <c r="R23" s="26">
        <f>(B40)</f>
        <v>5.3624520000000002E-2</v>
      </c>
      <c r="S23" s="24">
        <f>(T23/R23)</f>
        <v>1848.9675991505378</v>
      </c>
      <c r="T23" s="25">
        <f>(D40)</f>
        <v>99.15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0.54732408999999993</v>
      </c>
      <c r="T32" s="25">
        <f>(SUM(T5:T31))</f>
        <v>1484.7489255217843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1.0724904E-2</v>
      </c>
      <c r="O34" s="24">
        <f>($S$23*[1]Params!K15)</f>
        <v>2773.4513987258069</v>
      </c>
      <c r="P34" s="25">
        <f>(O34*N34)</f>
        <v>29.745000000000005</v>
      </c>
    </row>
    <row r="35" spans="2:16">
      <c r="B35" s="26">
        <v>0.11612225</v>
      </c>
      <c r="C35" s="24">
        <f>(D35/B35)</f>
        <v>1680.0397856569264</v>
      </c>
      <c r="D35" s="25">
        <v>195.09</v>
      </c>
      <c r="E35" t="s">
        <v>10</v>
      </c>
      <c r="N35">
        <f>($R$23/5)</f>
        <v>1.0724904E-2</v>
      </c>
      <c r="O35" s="24">
        <f>($S$23*[1]Params!K16)</f>
        <v>3697.9351983010756</v>
      </c>
      <c r="P35" s="25">
        <f>(O35*N35)</f>
        <v>39.660000000000004</v>
      </c>
    </row>
    <row r="36" spans="2:16">
      <c r="B36" s="26">
        <v>2.350642E-2</v>
      </c>
      <c r="C36" s="24">
        <f>(D36/B36)</f>
        <v>1714.4252506336566</v>
      </c>
      <c r="D36" s="25">
        <v>40.299999999999997</v>
      </c>
      <c r="E36" t="s">
        <v>15</v>
      </c>
      <c r="N36">
        <f>($R$23/5)</f>
        <v>1.0724904E-2</v>
      </c>
      <c r="O36" s="24">
        <f>($S$23*[1]Params!K17)</f>
        <v>7395.8703966021512</v>
      </c>
      <c r="P36" s="25">
        <f>(O36*N36)</f>
        <v>79.320000000000007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1.0724904E-2</v>
      </c>
      <c r="O37" s="24">
        <f>($S$23*[1]Params!K18)</f>
        <v>14791.740793204302</v>
      </c>
      <c r="P37" s="25">
        <f>(O37*N37)</f>
        <v>158.64000000000001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307.36500000000001</v>
      </c>
    </row>
    <row r="40" spans="2:16">
      <c r="B40" s="26">
        <v>5.3624520000000002E-2</v>
      </c>
      <c r="C40" s="24">
        <f>(D40/B40)</f>
        <v>1848.9675991505378</v>
      </c>
      <c r="D40" s="25">
        <v>99.15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2697.0275911396393</v>
      </c>
    </row>
    <row r="43" spans="2:16">
      <c r="B43">
        <f>(SUM(B5:B42))</f>
        <v>0.56770368999999987</v>
      </c>
      <c r="D43" s="25">
        <f>(SUM(D5:D42))</f>
        <v>1531.1125155217842</v>
      </c>
    </row>
  </sheetData>
  <conditionalFormatting sqref="C5:C7 C11 C18:C25 C27 C29 C31 C33 C35:C37 C40:C41 N6 O11:O13 O19:O21 O26:O29 O34:O37 S5:S7 S10:S15 S18:S20 S23">
    <cfRule type="cellIs" dxfId="317" priority="37" operator="lessThan">
      <formula>$J$3</formula>
    </cfRule>
    <cfRule type="cellIs" dxfId="316" priority="38" operator="greaterThan">
      <formula>$J$3</formula>
    </cfRule>
  </conditionalFormatting>
  <conditionalFormatting sqref="G42">
    <cfRule type="cellIs" dxfId="315" priority="21" operator="lessThan">
      <formula>$J$3</formula>
    </cfRule>
    <cfRule type="cellIs" dxfId="314" priority="22" operator="greaterThan">
      <formula>$J$3</formula>
    </cfRule>
  </conditionalFormatting>
  <conditionalFormatting sqref="O3">
    <cfRule type="cellIs" dxfId="313" priority="9" operator="greaterThan">
      <formula>$J$3</formula>
    </cfRule>
    <cfRule type="cellIs" dxfId="31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0.22298663841022209</v>
      </c>
      <c r="M3" t="s">
        <v>4</v>
      </c>
      <c r="N3" s="26">
        <f>(INDEX(N5:N23,MATCH(MAX(O6),O5:O23,0))/0.85)</f>
        <v>14.894117647058824</v>
      </c>
      <c r="O3" s="24">
        <f>(MAX(O6)*0.75)</f>
        <v>0.1668981670616114</v>
      </c>
      <c r="P3" s="45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11.294001617683371</v>
      </c>
      <c r="K4" s="4">
        <f>(J4/D14-1)</f>
        <v>0.6114437478474728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0.56597235999999995</v>
      </c>
      <c r="C6" s="28">
        <v>0</v>
      </c>
      <c r="D6" s="28">
        <f>(B6*C6)</f>
        <v>0</v>
      </c>
      <c r="E6" s="23">
        <f>(B6*J3)</f>
        <v>0.12620427398950004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0.56597235999999995</v>
      </c>
      <c r="S6" s="28">
        <v>0</v>
      </c>
      <c r="T6" s="28">
        <f>(D6)</f>
        <v>0</v>
      </c>
      <c r="U6" s="23">
        <f>(E6)</f>
        <v>0.12620427398950004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12.663512764000004</v>
      </c>
      <c r="O7" s="23">
        <f>($C$5*[1]Params!K9)</f>
        <v>0.27003658131027602</v>
      </c>
      <c r="P7" s="23">
        <f>(O7*N7)</f>
        <v>3.4196116941696051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12.661756382000002</v>
      </c>
      <c r="O8" s="23">
        <f>($C$5*[1]Params!K10)</f>
        <v>0.37130029930162955</v>
      </c>
      <c r="P8" s="23">
        <f>(O8*N8)</f>
        <v>4.7013139343209192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12.661756382000002</v>
      </c>
      <c r="O9" s="23">
        <f>($C$5*[1]Params!K11)</f>
        <v>0.84386431659461258</v>
      </c>
      <c r="P9" s="23">
        <f>(O9*N9)</f>
        <v>10.684804396183907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21.622971084674433</v>
      </c>
    </row>
    <row r="13" spans="2:21">
      <c r="F13" t="s">
        <v>9</v>
      </c>
      <c r="G13" s="23">
        <f>(D14/B14)</f>
        <v>0.1383769298233849</v>
      </c>
    </row>
    <row r="14" spans="2:21">
      <c r="B14" s="35">
        <f>(SUM(B5:B13))</f>
        <v>50.648781910000011</v>
      </c>
      <c r="D14" s="23">
        <f>(SUM(D5:D13))</f>
        <v>7.0086229399999986</v>
      </c>
    </row>
    <row r="17" spans="11:20">
      <c r="N17" s="35"/>
      <c r="R17" s="35">
        <f>(SUM(R5:R16))</f>
        <v>50.648781910000011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55" priority="15" operator="lessThan">
      <formula>$J$3</formula>
    </cfRule>
    <cfRule type="cellIs" dxfId="254" priority="16" operator="greaterThan">
      <formula>$J$3</formula>
    </cfRule>
  </conditionalFormatting>
  <conditionalFormatting sqref="C9:C10">
    <cfRule type="cellIs" dxfId="253" priority="13" operator="lessThan">
      <formula>$J$3</formula>
    </cfRule>
    <cfRule type="cellIs" dxfId="252" priority="14" operator="greaterThan">
      <formula>$J$3</formula>
    </cfRule>
  </conditionalFormatting>
  <conditionalFormatting sqref="O7:O9">
    <cfRule type="cellIs" dxfId="251" priority="11" operator="lessThan">
      <formula>$J$3</formula>
    </cfRule>
    <cfRule type="cellIs" dxfId="250" priority="12" operator="greaterThan">
      <formula>$J$3</formula>
    </cfRule>
  </conditionalFormatting>
  <conditionalFormatting sqref="S5 S7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G13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1.6200912770195779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22.820498640064365</v>
      </c>
      <c r="K4" s="4">
        <f>(J4/D14-1)</f>
        <v>-0.43105807556535125</v>
      </c>
      <c r="R4" t="s">
        <v>5</v>
      </c>
      <c r="S4" t="s">
        <v>6</v>
      </c>
      <c r="T4" t="s">
        <v>7</v>
      </c>
    </row>
    <row r="5" spans="2:21">
      <c r="B5" s="35">
        <v>13.438368199999999</v>
      </c>
      <c r="C5" s="23">
        <f>(D5/B5)</f>
        <v>2.9988760093654823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0.58162396000000005</v>
      </c>
      <c r="S5" s="28">
        <v>0</v>
      </c>
      <c r="T5" s="29">
        <f>(D6)</f>
        <v>0</v>
      </c>
      <c r="U5" s="23">
        <f>(R5*J3)</f>
        <v>0.94228390410158402</v>
      </c>
    </row>
    <row r="6" spans="2:21">
      <c r="B6" s="47">
        <v>0.58162396000000005</v>
      </c>
      <c r="C6" s="28">
        <v>0</v>
      </c>
      <c r="D6" s="29">
        <f>(B6*C6)</f>
        <v>0</v>
      </c>
      <c r="E6" s="23">
        <f>(B6*J3)</f>
        <v>0.94228390410158402</v>
      </c>
      <c r="M6" t="s">
        <v>11</v>
      </c>
      <c r="N6" s="35">
        <f>(SUM(R5:R7)/5)</f>
        <v>2.8171867799999997</v>
      </c>
      <c r="O6" s="23">
        <f>($C$5*[1]Params!K8)</f>
        <v>3.898538812175127</v>
      </c>
      <c r="P6" s="23">
        <f>(O6*N6)</f>
        <v>10.98291200297667</v>
      </c>
      <c r="R6" s="35">
        <f>(B5)</f>
        <v>13.438368199999999</v>
      </c>
      <c r="S6" s="23">
        <f>(T6/R6)</f>
        <v>2.9988760093654823</v>
      </c>
      <c r="T6" s="23">
        <f>(D5)</f>
        <v>40.299999999999997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2.8171867799999997</v>
      </c>
      <c r="O7" s="23">
        <f>($C$5*[1]Params!K9)</f>
        <v>4.7982016149847722</v>
      </c>
      <c r="P7" s="23">
        <f>(O7*N7)</f>
        <v>13.517430157509748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0.29641322776549289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2.8171867799999997</v>
      </c>
      <c r="O8" s="23">
        <f>($C$5*[1]Params!K10)</f>
        <v>6.5975272206040616</v>
      </c>
      <c r="P8" s="23">
        <f>(O8*N8)</f>
        <v>18.586466466575903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2.8171867799999997</v>
      </c>
      <c r="O9" s="23">
        <f>($C$5*[1]Params!K11)</f>
        <v>14.994380046827411</v>
      </c>
      <c r="P9" s="23">
        <f>(O9*N9)</f>
        <v>42.241969242217955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85.328777869280287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2.8475512305222446</v>
      </c>
    </row>
    <row r="14" spans="2:21">
      <c r="B14" s="35">
        <f>(SUM(B5:B13))</f>
        <v>14.085933900000001</v>
      </c>
      <c r="D14" s="23">
        <f>(SUM(D5:D13))</f>
        <v>40.110418410000001</v>
      </c>
      <c r="R14" s="35">
        <f>(SUM(R5:R13))</f>
        <v>14.085933899999999</v>
      </c>
      <c r="T14" s="23">
        <f>(SUM(T5:T13))</f>
        <v>40.110418409999994</v>
      </c>
    </row>
    <row r="22" spans="4:4">
      <c r="D22" s="35"/>
    </row>
  </sheetData>
  <conditionalFormatting sqref="C5 C7:C12">
    <cfRule type="cellIs" dxfId="243" priority="7" operator="lessThan">
      <formula>$J$3</formula>
    </cfRule>
    <cfRule type="cellIs" dxfId="242" priority="8" operator="greaterThan">
      <formula>$J$3</formula>
    </cfRule>
  </conditionalFormatting>
  <conditionalFormatting sqref="O6:O9">
    <cfRule type="cellIs" dxfId="241" priority="5" operator="lessThan">
      <formula>$J$3</formula>
    </cfRule>
    <cfRule type="cellIs" dxfId="240" priority="6" operator="greaterThan">
      <formula>$J$3</formula>
    </cfRule>
  </conditionalFormatting>
  <conditionalFormatting sqref="S6:S7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G13">
    <cfRule type="cellIs" dxfId="237" priority="1" operator="lessThan">
      <formula>$J$3</formula>
    </cfRule>
    <cfRule type="cellIs" dxfId="23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10.59277638592215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12.973740368704727</v>
      </c>
      <c r="K4" s="4">
        <f>(J4/D14-1)</f>
        <v>0.18698448021086245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0.93148712576679726</v>
      </c>
      <c r="M6" t="s">
        <v>11</v>
      </c>
      <c r="N6" s="1">
        <f>(SUM($B$5:$B$7)/5)</f>
        <v>0.24495448400000003</v>
      </c>
      <c r="O6" s="23">
        <f>($C$5*[1]Params!K8)</f>
        <v>12.800900900900901</v>
      </c>
      <c r="P6" s="23">
        <f>(O6*N6)</f>
        <v>3.1356380749153159</v>
      </c>
    </row>
    <row r="7" spans="2:16">
      <c r="B7" s="47">
        <v>2.6836349999999998E-2</v>
      </c>
      <c r="C7" s="28">
        <v>0</v>
      </c>
      <c r="D7" s="29">
        <f>(C7*B7)</f>
        <v>0</v>
      </c>
      <c r="E7" s="23">
        <f>(B7*J4)</f>
        <v>0.34816783734368906</v>
      </c>
      <c r="N7" s="1">
        <f>(SUM($B$5:$B$7)/5)</f>
        <v>0.24495448400000003</v>
      </c>
      <c r="O7" s="23">
        <f>($C$5*[1]Params!K9)</f>
        <v>15.754954954954954</v>
      </c>
      <c r="P7" s="23">
        <f>(O7*N7)</f>
        <v>3.8592468614342343</v>
      </c>
    </row>
    <row r="8" spans="2:16">
      <c r="N8" s="1">
        <f>(SUM($B$5:$B$7)/5)</f>
        <v>0.24495448400000003</v>
      </c>
      <c r="O8" s="23">
        <f>($C$5*[1]Params!K10)</f>
        <v>21.663063063063063</v>
      </c>
      <c r="P8" s="23">
        <f>(O8*N8)</f>
        <v>5.3064644344720726</v>
      </c>
    </row>
    <row r="9" spans="2:16">
      <c r="N9" s="1">
        <f>(SUM($B$5:$B$7)/5)</f>
        <v>0.24495448400000003</v>
      </c>
      <c r="O9" s="23">
        <f>($C$5*[1]Params!K11)</f>
        <v>49.234234234234229</v>
      </c>
      <c r="P9" s="23">
        <f>(O9*N9)</f>
        <v>12.060146441981981</v>
      </c>
    </row>
    <row r="12" spans="2:16">
      <c r="P12" s="23">
        <f>(SUM(P6:P9))</f>
        <v>24.361495812803604</v>
      </c>
    </row>
    <row r="13" spans="2:16">
      <c r="F13" t="s">
        <v>9</v>
      </c>
      <c r="G13" s="23">
        <f>(D14/B14)</f>
        <v>8.9241068965285812</v>
      </c>
    </row>
    <row r="14" spans="2:16">
      <c r="B14" s="19">
        <f>(SUM(B5:B13))</f>
        <v>1.2247724200000001</v>
      </c>
      <c r="D14" s="23">
        <f>(SUM(D5:D13))</f>
        <v>10.93</v>
      </c>
    </row>
  </sheetData>
  <conditionalFormatting sqref="C5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6:O9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G13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38.602168425161267</v>
      </c>
      <c r="M3" t="s">
        <v>4</v>
      </c>
      <c r="N3" s="26">
        <f>(INDEX(N5:N23,MATCH(MAX(O20:O22,O6:O8),O5:O23,0))/0.85)</f>
        <v>0.59400000000000008</v>
      </c>
      <c r="O3" s="24">
        <f>(MAX(O20:O22,O6:O8)*0.75)</f>
        <v>27.127959685086154</v>
      </c>
      <c r="P3" s="45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53.466906923957282</v>
      </c>
      <c r="K4" s="4">
        <f>(J4/D19-1)</f>
        <v>-103.41256928324265</v>
      </c>
      <c r="R4" t="s">
        <v>5</v>
      </c>
      <c r="S4" t="s">
        <v>6</v>
      </c>
      <c r="T4" t="s">
        <v>7</v>
      </c>
    </row>
    <row r="5" spans="2:22">
      <c r="B5" s="26">
        <v>2.5373158899999999</v>
      </c>
      <c r="C5" s="23">
        <f>(D5/B5)</f>
        <v>15.882925795258389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1.6153649999999999E-2</v>
      </c>
      <c r="S5" s="28">
        <v>0</v>
      </c>
      <c r="T5" s="29">
        <f>(D6)</f>
        <v>0</v>
      </c>
      <c r="U5" s="23">
        <f>(R5*J3)</f>
        <v>0.62356591798110628</v>
      </c>
    </row>
    <row r="6" spans="2:22">
      <c r="B6" s="27">
        <v>1.6153649999999999E-2</v>
      </c>
      <c r="C6" s="28">
        <v>0</v>
      </c>
      <c r="D6" s="29">
        <f>(B6*C6)</f>
        <v>0</v>
      </c>
      <c r="E6" s="23">
        <f>(B6*J3)</f>
        <v>0.62356591798110628</v>
      </c>
      <c r="M6" t="s">
        <v>11</v>
      </c>
      <c r="N6" s="26">
        <f>($B$5+$R$7)/5</f>
        <v>0.51392259400000007</v>
      </c>
      <c r="O6" s="23">
        <f>($C$5*[1]Params!K8)</f>
        <v>20.647803533835905</v>
      </c>
      <c r="P6" s="23">
        <f>(O6*N6)</f>
        <v>10.611372752511317</v>
      </c>
      <c r="Q6" t="s">
        <v>12</v>
      </c>
      <c r="R6" s="26">
        <f>B5+B13+B15+B17</f>
        <v>1.0390158899999999</v>
      </c>
      <c r="S6" s="23">
        <f>(T6/R6)</f>
        <v>16.910360244827437</v>
      </c>
      <c r="T6" s="23">
        <f>D5-(-B13-B15)*15.13+B17*15.25</f>
        <v>17.570132999999998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1.4503922118009069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0.29760859999999989</v>
      </c>
      <c r="S8" s="23">
        <f>(T8/R8)</f>
        <v>16.152507017606354</v>
      </c>
      <c r="T8" s="23">
        <f>(D10)-(-B12-B14-B16)*14.31</f>
        <v>4.8071250000000001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0.5530907020000001</v>
      </c>
      <c r="O9" s="23">
        <f>($S$6*[1]Params!K11)</f>
        <v>84.551801224137193</v>
      </c>
      <c r="P9" s="23">
        <f>(O9*N9)</f>
        <v>46.764815094422509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0.71010859999999998</v>
      </c>
      <c r="C10" s="23">
        <f t="shared" si="0"/>
        <v>15.082200102913838</v>
      </c>
      <c r="D10" s="23">
        <v>10.71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87.765646536933815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-0.37692803427672217</v>
      </c>
    </row>
    <row r="19" spans="2:20">
      <c r="B19" s="26">
        <f>(SUM(B5:B18))</f>
        <v>1.3850752199999996</v>
      </c>
      <c r="D19" s="23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1.3850752199999996</v>
      </c>
      <c r="T19" s="23">
        <f>(SUM(T5:T18))</f>
        <v>-0.5220736800000001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0.15558687999999993</v>
      </c>
      <c r="O23" s="23">
        <f>($S$8*[1]Params!K11)</f>
        <v>80.762535088031768</v>
      </c>
      <c r="P23" s="23">
        <f>(O23*N23)</f>
        <v>12.565590855237382</v>
      </c>
    </row>
    <row r="25" spans="2:20">
      <c r="P25" s="23">
        <f>(SUM(P20:P23))</f>
        <v>22.659473285237382</v>
      </c>
    </row>
    <row r="32" spans="2:20">
      <c r="R32" s="24">
        <f>D19/B19</f>
        <v>-0.37692803427672217</v>
      </c>
    </row>
  </sheetData>
  <conditionalFormatting sqref="C5 C9:C11 G18 O9 O23 S6">
    <cfRule type="cellIs" dxfId="229" priority="19" operator="lessThan">
      <formula>$J$3</formula>
    </cfRule>
    <cfRule type="cellIs" dxfId="228" priority="20" operator="greaterThan">
      <formula>$J$3</formula>
    </cfRule>
  </conditionalFormatting>
  <conditionalFormatting sqref="S8">
    <cfRule type="cellIs" dxfId="227" priority="13" operator="lessThan">
      <formula>$J$3</formula>
    </cfRule>
    <cfRule type="cellIs" dxfId="226" priority="14" operator="greaterThan">
      <formula>$J$3</formula>
    </cfRule>
  </conditionalFormatting>
  <conditionalFormatting sqref="O3">
    <cfRule type="cellIs" dxfId="225" priority="1" operator="greaterThan">
      <formula>$J$3</formula>
    </cfRule>
    <cfRule type="cellIs" dxfId="22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3.6802135214235722E-3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3.515657332493606</v>
      </c>
      <c r="K4" s="4">
        <f>(J4/D13-1)</f>
        <v>0.2413338551352151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  <row r="19" spans="11:11">
      <c r="K19" s="24"/>
    </row>
  </sheetData>
  <conditionalFormatting sqref="C5">
    <cfRule type="cellIs" dxfId="223" priority="17" operator="lessThan">
      <formula>$J$3</formula>
    </cfRule>
    <cfRule type="cellIs" dxfId="222" priority="18" operator="greaterThan">
      <formula>$J$3</formula>
    </cfRule>
  </conditionalFormatting>
  <conditionalFormatting sqref="C9:C11">
    <cfRule type="cellIs" dxfId="221" priority="15" operator="lessThan">
      <formula>$J$3</formula>
    </cfRule>
    <cfRule type="cellIs" dxfId="220" priority="16" operator="greaterThan">
      <formula>$J$3</formula>
    </cfRule>
    <cfRule type="cellIs" dxfId="219" priority="13" operator="lessThan">
      <formula>$J$3</formula>
    </cfRule>
    <cfRule type="cellIs" dxfId="218" priority="14" operator="greaterThan">
      <formula>$J$3</formula>
    </cfRule>
  </conditionalFormatting>
  <conditionalFormatting sqref="O6:O9">
    <cfRule type="cellIs" dxfId="217" priority="11" operator="lessThan">
      <formula>$J$3</formula>
    </cfRule>
    <cfRule type="cellIs" dxfId="216" priority="12" operator="greaterThan">
      <formula>$J$3</formula>
    </cfRule>
    <cfRule type="cellIs" dxfId="215" priority="9" operator="lessThan">
      <formula>$J$3</formula>
    </cfRule>
    <cfRule type="cellIs" dxfId="214" priority="10" operator="greaterThan">
      <formula>$J$3</formula>
    </cfRule>
  </conditionalFormatting>
  <conditionalFormatting sqref="S5">
    <cfRule type="cellIs" dxfId="213" priority="7" operator="lessThan">
      <formula>$J$3</formula>
    </cfRule>
    <cfRule type="cellIs" dxfId="212" priority="8" operator="greaterThan">
      <formula>$J$3</formula>
    </cfRule>
    <cfRule type="cellIs" dxfId="211" priority="5" operator="lessThan">
      <formula>$J$3</formula>
    </cfRule>
    <cfRule type="cellIs" dxfId="210" priority="6" operator="greaterThan">
      <formula>$J$3</formula>
    </cfRule>
  </conditionalFormatting>
  <conditionalFormatting sqref="G12">
    <cfRule type="cellIs" dxfId="209" priority="3" operator="lessThan">
      <formula>$J$3</formula>
    </cfRule>
    <cfRule type="cellIs" dxfId="208" priority="4" operator="greaterThan">
      <formula>$J$3</formula>
    </cfRule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34" sqref="I3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312.60652516825309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224.44184115950424</v>
      </c>
      <c r="K4" s="4">
        <f>(J4/D17-1)</f>
        <v>0.11968000296273273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0.112786494</v>
      </c>
      <c r="O6" s="23">
        <f>($S$8*[1]Params!K8)</f>
        <v>369.23037965875591</v>
      </c>
      <c r="P6" s="23">
        <f>(O6*N6)</f>
        <v>41.644199999999998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7.3462533414539469E-2</v>
      </c>
      <c r="I7" t="s">
        <v>11</v>
      </c>
      <c r="J7">
        <v>1</v>
      </c>
      <c r="N7" s="26">
        <f>($R$8/5)</f>
        <v>0.112786494</v>
      </c>
      <c r="O7" s="23">
        <f>($S$8*[1]Params!K9)</f>
        <v>454.43739034923806</v>
      </c>
      <c r="P7" s="23">
        <f>(O7*N7)</f>
        <v>51.254399999999997</v>
      </c>
      <c r="R7" s="49">
        <f>(B7+B8+B10)</f>
        <v>2.6901900000000003E-3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2.9691367760480678E-2</v>
      </c>
      <c r="I8" t="s">
        <v>13</v>
      </c>
      <c r="J8" s="49">
        <f>(J7-B17)</f>
        <v>0.28203085000000017</v>
      </c>
      <c r="N8" s="26">
        <f>($R$8/5)</f>
        <v>0.112786494</v>
      </c>
      <c r="O8" s="23">
        <f>($S$8*[1]Params!K10)</f>
        <v>624.85141173020236</v>
      </c>
      <c r="P8" s="23">
        <f>(O8*N8)</f>
        <v>70.474800000000002</v>
      </c>
      <c r="R8" s="49">
        <f>(B11)</f>
        <v>0.56393247000000002</v>
      </c>
      <c r="S8" s="23">
        <f>(C11)</f>
        <v>284.02336896827376</v>
      </c>
      <c r="T8" s="23">
        <f>(R8*S8)</f>
        <v>160.16999999999999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88.164684008748864</v>
      </c>
      <c r="N9" s="26">
        <f>($R$8/5)</f>
        <v>0.112786494</v>
      </c>
      <c r="O9" s="23">
        <f>($S$8*[1]Params!K11)</f>
        <v>1420.1168448413687</v>
      </c>
      <c r="P9" s="23">
        <f>(O9*N9)</f>
        <v>160.16999999999996</v>
      </c>
      <c r="R9" s="49">
        <f>(B12)</f>
        <v>0.14160212999999999</v>
      </c>
      <c r="S9" s="23">
        <f>(C12)</f>
        <v>284.60023871109848</v>
      </c>
      <c r="T9" s="23">
        <f>(R9*S9)</f>
        <v>40.299999999999997</v>
      </c>
      <c r="U9" t="s">
        <v>15</v>
      </c>
    </row>
    <row r="10" spans="2:21">
      <c r="B10" s="50">
        <v>2.3602100000000002E-3</v>
      </c>
      <c r="C10" s="28">
        <v>0</v>
      </c>
      <c r="D10" s="29">
        <v>0</v>
      </c>
      <c r="E10" s="23">
        <f>(B10*J3)</f>
        <v>0.73781704676736271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0.56393247000000002</v>
      </c>
      <c r="C11" s="23">
        <f>(D11/B11)</f>
        <v>284.02336896827376</v>
      </c>
      <c r="D11" s="23">
        <v>160.16999999999999</v>
      </c>
      <c r="E11" t="s">
        <v>10</v>
      </c>
      <c r="P11" s="23">
        <f>(SUM(P6:P9))</f>
        <v>323.54339999999996</v>
      </c>
    </row>
    <row r="12" spans="2:21">
      <c r="B12" s="49">
        <v>0.14160212999999999</v>
      </c>
      <c r="C12" s="23">
        <f>(D12/B12)</f>
        <v>284.60023871109848</v>
      </c>
      <c r="D12" s="23">
        <v>40.299999999999997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2.8320425999999999E-2</v>
      </c>
      <c r="O14" s="23">
        <f>($S$9*[1]Params!K8)</f>
        <v>369.98031032442805</v>
      </c>
      <c r="P14" s="23">
        <f>(O14*N14)</f>
        <v>10.478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2.8320425999999999E-2</v>
      </c>
      <c r="O15" s="23">
        <f>($S$9*[1]Params!K9)</f>
        <v>455.36038193775761</v>
      </c>
      <c r="P15" s="23">
        <f>(O15*N15)</f>
        <v>12.896000000000001</v>
      </c>
    </row>
    <row r="16" spans="2:21">
      <c r="N16" s="26">
        <f>($R$9/5)</f>
        <v>2.8320425999999999E-2</v>
      </c>
      <c r="O16" s="23">
        <f>($S$9*[1]Params!K10)</f>
        <v>626.12052516441668</v>
      </c>
      <c r="P16" s="23">
        <f>(O16*N16)</f>
        <v>17.731999999999999</v>
      </c>
    </row>
    <row r="17" spans="2:16">
      <c r="B17" s="49">
        <f>(SUM(B5:B16))</f>
        <v>0.71796914999999983</v>
      </c>
      <c r="D17" s="23">
        <f>(SUM(D5:D16))</f>
        <v>200.45177244000001</v>
      </c>
      <c r="F17" t="s">
        <v>9</v>
      </c>
      <c r="G17" s="23">
        <f>(SUM(D5:D16)/SUM(B5:B16))</f>
        <v>279.19273751525407</v>
      </c>
      <c r="N17" s="26">
        <f>($R$9/5)</f>
        <v>2.8320425999999999E-2</v>
      </c>
      <c r="O17" s="23">
        <f>($S$9*[1]Params!K11)</f>
        <v>1423.0011935554924</v>
      </c>
      <c r="P17" s="23">
        <f>(O17*N17)</f>
        <v>40.299999999999997</v>
      </c>
    </row>
    <row r="18" spans="2:16">
      <c r="P18" s="23"/>
    </row>
    <row r="19" spans="2:16">
      <c r="P19" s="23">
        <f>(SUM(P14:P17))</f>
        <v>81.406000000000006</v>
      </c>
    </row>
    <row r="22" spans="2:16">
      <c r="N22" s="26"/>
      <c r="O22" s="23"/>
      <c r="P22" s="23"/>
    </row>
    <row r="23" spans="2:16">
      <c r="N23" s="26"/>
      <c r="O23" s="23"/>
      <c r="P23" s="23"/>
    </row>
    <row r="24" spans="2:16">
      <c r="N24" s="26"/>
      <c r="O24" s="23"/>
      <c r="P24" s="23"/>
    </row>
    <row r="25" spans="2:16">
      <c r="N25" s="26"/>
      <c r="O25" s="23"/>
      <c r="P25" s="23"/>
    </row>
    <row r="26" spans="2:16">
      <c r="P26" s="23"/>
    </row>
    <row r="27" spans="2:16">
      <c r="P27" s="23"/>
    </row>
    <row r="37" spans="18:20">
      <c r="R37" s="49">
        <f>(SUM(R5:R27))</f>
        <v>0.71796915000000006</v>
      </c>
      <c r="T37" s="23">
        <f>(SUM(T5:T27))</f>
        <v>200.45177244000001</v>
      </c>
    </row>
  </sheetData>
  <conditionalFormatting sqref="C5:C6 C9 C11:C14 O6:O9 O14 S5:S6 S8:S9">
    <cfRule type="cellIs" dxfId="205" priority="11" operator="lessThan">
      <formula>$J$3</formula>
    </cfRule>
    <cfRule type="cellIs" dxfId="204" priority="12" operator="greaterThan">
      <formula>$J$3</formula>
    </cfRule>
  </conditionalFormatting>
  <conditionalFormatting sqref="O15:O17">
    <cfRule type="cellIs" dxfId="203" priority="7" operator="lessThan">
      <formula>$J$3</formula>
    </cfRule>
    <cfRule type="cellIs" dxfId="202" priority="8" operator="greaterThan">
      <formula>$J$3</formula>
    </cfRule>
  </conditionalFormatting>
  <conditionalFormatting sqref="G17">
    <cfRule type="cellIs" dxfId="201" priority="1" operator="lessThan">
      <formula>$J$3</formula>
    </cfRule>
    <cfRule type="cellIs" dxfId="20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8.9437886747846043E-2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5.4913099311509486</v>
      </c>
      <c r="K4" s="4">
        <f>(J4/D13-1)</f>
        <v>9.8261986230189668E-2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0.27891023999999998</v>
      </c>
      <c r="C6" s="28">
        <v>0</v>
      </c>
      <c r="D6" s="29">
        <f>(B6*C6)</f>
        <v>0</v>
      </c>
      <c r="E6" s="23">
        <f>(B6*J3)</f>
        <v>2.4945142457934558E-2</v>
      </c>
      <c r="M6" t="s">
        <v>11</v>
      </c>
      <c r="N6" s="35">
        <f>($B$13/5)</f>
        <v>12.279605726</v>
      </c>
      <c r="O6" s="23">
        <f>($C$5*[1]Params!K8)</f>
        <v>0.10634970155367125</v>
      </c>
      <c r="P6" s="23">
        <f>(O6*N6)</f>
        <v>1.3059324041568525</v>
      </c>
    </row>
    <row r="7" spans="2:16">
      <c r="N7" s="35">
        <f>($B$13/5)</f>
        <v>12.279605726</v>
      </c>
      <c r="O7" s="23">
        <f>($C$5*[1]Params!K9)</f>
        <v>0.13089194037374924</v>
      </c>
      <c r="P7" s="23">
        <f>(O7*N7)</f>
        <v>1.6073014205007417</v>
      </c>
    </row>
    <row r="8" spans="2:16">
      <c r="N8" s="35">
        <f>($B$13/5)</f>
        <v>12.279605726</v>
      </c>
      <c r="O8" s="23">
        <f>($C$5*[1]Params!K10)</f>
        <v>0.17997641801390521</v>
      </c>
      <c r="P8" s="23">
        <f>(O8*N8)</f>
        <v>2.2100394531885201</v>
      </c>
    </row>
    <row r="9" spans="2:16">
      <c r="N9" s="35">
        <f>($B$13/5)</f>
        <v>12.279605726</v>
      </c>
      <c r="O9" s="23">
        <f>($C$5*[1]Params!K11)</f>
        <v>0.40903731366796636</v>
      </c>
      <c r="P9" s="23">
        <f>(O9*N9)</f>
        <v>5.0228169390648176</v>
      </c>
    </row>
    <row r="11" spans="2:16">
      <c r="P11" s="23">
        <f>(SUM(P6:P9))</f>
        <v>10.146090216910931</v>
      </c>
    </row>
    <row r="12" spans="2:16">
      <c r="F12" t="s">
        <v>9</v>
      </c>
      <c r="G12" s="23">
        <f>(D13/B13)</f>
        <v>8.1435839416461736E-2</v>
      </c>
    </row>
    <row r="13" spans="2:16">
      <c r="B13" s="35">
        <f>(SUM(B5:B12))</f>
        <v>61.398028629999999</v>
      </c>
      <c r="D13" s="23">
        <f>(SUM(D5:D12))</f>
        <v>5</v>
      </c>
    </row>
  </sheetData>
  <conditionalFormatting sqref="O6:O9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C5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2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13" sqref="J1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8.1910389134255368</v>
      </c>
      <c r="M3" t="s">
        <v>4</v>
      </c>
      <c r="N3" s="26">
        <f>(INDEX(N5:N16,MATCH(MAX(O6:O7),O5:O16,0))/0.9)</f>
        <v>1.7</v>
      </c>
      <c r="O3" s="24">
        <f>(MAX(O6:O7)*0.85)</f>
        <v>7.6586823833333328</v>
      </c>
      <c r="P3" s="45">
        <f>(O3*N3)</f>
        <v>13.019760051666665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36.163627653980434</v>
      </c>
      <c r="K4" s="4">
        <f>(J4/D14-1)</f>
        <v>1.1380412899599985</v>
      </c>
      <c r="R4" t="s">
        <v>5</v>
      </c>
      <c r="S4" t="s">
        <v>6</v>
      </c>
      <c r="T4" t="s">
        <v>7</v>
      </c>
    </row>
    <row r="5" spans="2:21">
      <c r="B5" s="26">
        <v>7.1567479000000001</v>
      </c>
      <c r="C5" s="23">
        <f>(D5/B5)</f>
        <v>5.6310492647086248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7.3593950000000005E-2</v>
      </c>
      <c r="S5" s="28">
        <v>0</v>
      </c>
      <c r="T5" s="29">
        <f>(D6)</f>
        <v>0</v>
      </c>
      <c r="U5">
        <f>(R5*J3)</f>
        <v>0.60281090824269334</v>
      </c>
    </row>
    <row r="6" spans="2:21">
      <c r="B6" s="27">
        <v>7.3593950000000005E-2</v>
      </c>
      <c r="C6" s="28">
        <v>0</v>
      </c>
      <c r="D6" s="29">
        <f>(B6*C6)</f>
        <v>0</v>
      </c>
      <c r="E6" s="23">
        <f>(B6*J3)</f>
        <v>0.60281090824269334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B5+B11+B12</f>
        <v>4.2536478999999998</v>
      </c>
      <c r="S6" s="23">
        <f>(T6/R6)</f>
        <v>5.667734722471975</v>
      </c>
      <c r="T6" s="23">
        <f>D5+B11*5.54+B12*5.61077</f>
        <v>24.108547899999998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-B12</f>
        <v>1.53</v>
      </c>
      <c r="O7" s="23">
        <f>P7/N7</f>
        <v>9.0102145686274504</v>
      </c>
      <c r="P7" s="23">
        <f>-D12</f>
        <v>13.78562829</v>
      </c>
      <c r="Q7" t="s">
        <v>12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3*($B$14-$B$11-B12)/5+B12+B11</f>
        <v>1.4877739800000001</v>
      </c>
      <c r="O8" s="23">
        <f>($C$5*[1]Params!K10)</f>
        <v>12.388308382358975</v>
      </c>
      <c r="P8" s="23">
        <f>(O8*N8)</f>
        <v>18.431002867489575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1.1576246600000002</v>
      </c>
      <c r="O9" s="23">
        <f>($C$5*[1]Params!K11)</f>
        <v>28.155246323543125</v>
      </c>
      <c r="P9" s="23">
        <f>(O9*N9)</f>
        <v>32.593207452507862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  <c r="R10" s="26">
        <f>B12-B12</f>
        <v>0</v>
      </c>
      <c r="S10" s="23">
        <v>0</v>
      </c>
      <c r="T10" s="24">
        <f>D12-B12*5.61077</f>
        <v>-5.2011501899999999</v>
      </c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B12" s="26">
        <v>-1.53</v>
      </c>
      <c r="C12" s="23">
        <f>(D12/B12)</f>
        <v>9.0102145686274504</v>
      </c>
      <c r="D12" s="23">
        <v>-13.78562829</v>
      </c>
      <c r="N12" s="26"/>
      <c r="P12" s="23">
        <f>(SUM(P6:P9))</f>
        <v>74.704180829997426</v>
      </c>
    </row>
    <row r="13" spans="2:21">
      <c r="F13" t="s">
        <v>9</v>
      </c>
      <c r="G13" s="23">
        <f>(D14/B14)</f>
        <v>3.8310948211756877</v>
      </c>
      <c r="N13" s="26"/>
      <c r="P13" s="23"/>
      <c r="R13" s="26">
        <f>(SUM(R5:R12))</f>
        <v>4.4150232999999997</v>
      </c>
      <c r="T13" s="23">
        <f>(SUM(T5:T12))</f>
        <v>16.914372899999996</v>
      </c>
    </row>
    <row r="14" spans="2:21">
      <c r="B14">
        <f>(SUM(B5:B13))</f>
        <v>4.4150233000000005</v>
      </c>
      <c r="D14" s="23">
        <f>(SUM(D5:D13))</f>
        <v>16.914372899999996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8:O9 S6:S7">
    <cfRule type="cellIs" dxfId="193" priority="17" operator="lessThan">
      <formula>$J$3</formula>
    </cfRule>
    <cfRule type="cellIs" dxfId="192" priority="18" operator="greaterThan">
      <formula>$J$3</formula>
    </cfRule>
  </conditionalFormatting>
  <conditionalFormatting sqref="O3">
    <cfRule type="cellIs" dxfId="191" priority="1" operator="greaterThan">
      <formula>$J$3</formula>
    </cfRule>
    <cfRule type="cellIs" dxfId="190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68.035437417236196</v>
      </c>
      <c r="M3" t="s">
        <v>4</v>
      </c>
      <c r="N3" s="26">
        <f>(INDEX(N5:N16,MATCH(MAX(O6:O7),O5:O16,0))/0.9)</f>
        <v>2.7444444444444445E-2</v>
      </c>
      <c r="O3" s="24">
        <f>(MAX(O6:O7)*0.85)</f>
        <v>58.522055728744931</v>
      </c>
      <c r="P3" s="45">
        <f>(O3*N3)</f>
        <v>1.606105307222222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(B13*J3)</f>
        <v>5.0580292807645044</v>
      </c>
      <c r="K4" s="4">
        <f>(J4/D13-1)</f>
        <v>1.4342332648825109</v>
      </c>
      <c r="R4" t="s">
        <v>5</v>
      </c>
      <c r="S4" t="s">
        <v>6</v>
      </c>
      <c r="T4" t="s">
        <v>7</v>
      </c>
    </row>
    <row r="5" spans="2:20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3">
        <f>(T5/R5)</f>
        <v>43.029377397181094</v>
      </c>
      <c r="T5" s="23">
        <f>(D5)</f>
        <v>5.2</v>
      </c>
    </row>
    <row r="6" spans="2:20">
      <c r="B6" s="27">
        <v>2.9463699999999998E-3</v>
      </c>
      <c r="C6" s="28">
        <v>0</v>
      </c>
      <c r="D6" s="29">
        <f>(B6*C6)</f>
        <v>0</v>
      </c>
      <c r="E6" s="23">
        <f>(B6*J3)</f>
        <v>0.2004575717430222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  <c r="R6" s="2">
        <f>(B6)</f>
        <v>2.9463699999999998E-3</v>
      </c>
      <c r="S6" s="28">
        <f>(T6/R6)</f>
        <v>0</v>
      </c>
      <c r="T6" s="29">
        <f>(D6)</f>
        <v>0</v>
      </c>
    </row>
    <row r="7" spans="2:20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-B8</f>
        <v>2.47E-2</v>
      </c>
      <c r="O7" s="23">
        <f>P7/N7</f>
        <v>68.849477327935219</v>
      </c>
      <c r="P7" s="23">
        <f>-D8</f>
        <v>1.7005820899999999</v>
      </c>
      <c r="Q7" t="s">
        <v>12</v>
      </c>
      <c r="R7" s="1">
        <f>B7</f>
        <v>-2.4750000000000001E-2</v>
      </c>
      <c r="S7" s="23">
        <v>0</v>
      </c>
      <c r="T7" s="23">
        <f>(D7)</f>
        <v>-1.42154421</v>
      </c>
    </row>
    <row r="8" spans="2:20">
      <c r="B8" s="26">
        <f>-0.0247</f>
        <v>-2.47E-2</v>
      </c>
      <c r="C8" s="23">
        <f>D8/B8</f>
        <v>68.849477327935219</v>
      </c>
      <c r="D8" s="23">
        <v>-1.7005820899999999</v>
      </c>
      <c r="N8" s="26">
        <f>($B$13-$B$7)/5</f>
        <v>1.9818808E-2</v>
      </c>
      <c r="O8" s="23">
        <f>($C$5*[1]Params!K10)</f>
        <v>94.666000000000011</v>
      </c>
      <c r="P8" s="23">
        <f>(O8*N8)</f>
        <v>1.8761672781280003</v>
      </c>
      <c r="R8" s="1">
        <f>(B8)</f>
        <v>-2.47E-2</v>
      </c>
      <c r="S8" s="23">
        <v>0</v>
      </c>
      <c r="T8" s="23">
        <f>(D8)</f>
        <v>-1.7005820899999999</v>
      </c>
    </row>
    <row r="9" spans="2:20">
      <c r="N9" s="26">
        <f>($B$13-$B$7)/5</f>
        <v>1.9818808E-2</v>
      </c>
      <c r="O9" s="23">
        <f>($C$5*[1]Params!K11)</f>
        <v>215.15</v>
      </c>
      <c r="P9" s="23">
        <f>(O9*N9)</f>
        <v>4.2640165412000002</v>
      </c>
      <c r="R9" s="1"/>
      <c r="S9" s="23"/>
      <c r="T9" s="23"/>
    </row>
    <row r="10" spans="2:20">
      <c r="R10" s="1"/>
      <c r="S10" s="23"/>
      <c r="T10" s="23"/>
    </row>
    <row r="11" spans="2:20">
      <c r="P11" s="23">
        <f>(SUM(P6:P9))</f>
        <v>9.2623101193279993</v>
      </c>
      <c r="R11" s="1"/>
      <c r="S11" s="23"/>
      <c r="T11" s="24"/>
    </row>
    <row r="12" spans="2:20">
      <c r="F12" t="s">
        <v>9</v>
      </c>
      <c r="G12" s="23">
        <f>(D13/B13)</f>
        <v>27.949432126637191</v>
      </c>
    </row>
    <row r="13" spans="2:20">
      <c r="B13">
        <f>(SUM(B5:B12))</f>
        <v>7.434404E-2</v>
      </c>
      <c r="D13" s="23">
        <f>(SUM(D5:D12))</f>
        <v>2.0778737000000005</v>
      </c>
    </row>
    <row r="22" spans="18:20">
      <c r="R22">
        <f>(SUM(R5:R21))</f>
        <v>7.434404E-2</v>
      </c>
      <c r="T22" s="23">
        <f>(SUM(T5:T21))</f>
        <v>2.0778737000000005</v>
      </c>
    </row>
  </sheetData>
  <conditionalFormatting sqref="C5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O8:O9">
    <cfRule type="cellIs" dxfId="187" priority="9" operator="lessThan">
      <formula>$J$3</formula>
    </cfRule>
    <cfRule type="cellIs" dxfId="186" priority="10" operator="greaterThan">
      <formula>$J$3</formula>
    </cfRule>
  </conditionalFormatting>
  <conditionalFormatting sqref="G12">
    <cfRule type="cellIs" dxfId="185" priority="7" operator="lessThan">
      <formula>$J$3</formula>
    </cfRule>
    <cfRule type="cellIs" dxfId="184" priority="8" operator="greaterThan">
      <formula>$J$3</formula>
    </cfRule>
  </conditionalFormatting>
  <conditionalFormatting sqref="O3">
    <cfRule type="cellIs" dxfId="183" priority="3" operator="greaterThan">
      <formula>$J$3</formula>
    </cfRule>
    <cfRule type="cellIs" dxfId="182" priority="4" operator="lessThan">
      <formula>$J$3</formula>
    </cfRule>
  </conditionalFormatting>
  <conditionalFormatting sqref="S5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0.18434342702531811</v>
      </c>
      <c r="M3" t="s">
        <v>4</v>
      </c>
      <c r="N3" s="35">
        <f>(INDEX(N5:N29,MATCH(MAX(O6:O8),O5:O29,0))/0.85)</f>
        <v>18.528963141176472</v>
      </c>
      <c r="O3" s="52">
        <f>(MAX(O6:O8)*0.75)</f>
        <v>0.10405335099087169</v>
      </c>
      <c r="P3" s="23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4.9657192330715292</v>
      </c>
      <c r="K4" s="4">
        <f>(J4/D14-1)</f>
        <v>-8.6007108781897017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79" priority="23" operator="lessThan">
      <formula>$J$3</formula>
    </cfRule>
    <cfRule type="cellIs" dxfId="178" priority="24" operator="greaterThan">
      <formula>$J$3</formula>
    </cfRule>
  </conditionalFormatting>
  <conditionalFormatting sqref="O3">
    <cfRule type="cellIs" dxfId="177" priority="17" operator="greaterThan">
      <formula>$J$3</formula>
    </cfRule>
    <cfRule type="cellIs" dxfId="176" priority="18" operator="lessThan">
      <formula>$J$3</formula>
    </cfRule>
  </conditionalFormatting>
  <conditionalFormatting sqref="W33">
    <cfRule type="cellIs" dxfId="175" priority="1" operator="lessThan">
      <formula>$J$3</formula>
    </cfRule>
    <cfRule type="cellIs" dxfId="174" priority="2" operator="greaterThan">
      <formula>$J$3</formula>
    </cfRule>
    <cfRule type="cellIs" dxfId="173" priority="3" operator="lessThan">
      <formula>$J$3</formula>
    </cfRule>
    <cfRule type="cellIs" dxfId="172" priority="4" operator="greaterThan">
      <formula>$J$3</formula>
    </cfRule>
    <cfRule type="cellIs" dxfId="171" priority="5" operator="lessThan">
      <formula>$J$3</formula>
    </cfRule>
    <cfRule type="cellIs" dxfId="170" priority="6" operator="greaterThan">
      <formula>$J$3</formula>
    </cfRule>
    <cfRule type="cellIs" dxfId="169" priority="7" operator="lessThan">
      <formula>$J$3</formula>
    </cfRule>
    <cfRule type="cellIs" dxfId="16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42232.771701388549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1236.1819459844</v>
      </c>
      <c r="K4" s="4">
        <f>(J4/D38-1)</f>
        <v>0.7909040603415507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3.5101000000000002E-4</v>
      </c>
      <c r="C6" s="28">
        <v>0</v>
      </c>
      <c r="D6" s="29">
        <f>(B6*C6)</f>
        <v>0</v>
      </c>
      <c r="E6" s="23">
        <f>(B6*J3)</f>
        <v>14.824125194904395</v>
      </c>
      <c r="I6" t="s">
        <v>11</v>
      </c>
      <c r="J6">
        <v>0.03</v>
      </c>
      <c r="R6" s="26">
        <f t="shared" si="0"/>
        <v>3.5101000000000002E-4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7.2931999999999164E-4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30.801205057256343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6.6544799999999999E-3</v>
      </c>
      <c r="S19" s="23">
        <f t="shared" si="2"/>
        <v>24890.900385905432</v>
      </c>
      <c r="T19" s="23">
        <f>(D23+17438.6*B32)</f>
        <v>165.63599879999998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1.50746E-3</v>
      </c>
      <c r="S20" s="23">
        <f t="shared" si="2"/>
        <v>26139.306447932282</v>
      </c>
      <c r="T20" s="23">
        <f>(D24+17211.7*B31)</f>
        <v>39.403958897999999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6.9964800000000002E-3</v>
      </c>
      <c r="C23" s="23">
        <f t="shared" si="3"/>
        <v>24526.619099890228</v>
      </c>
      <c r="D23" s="23">
        <v>171.6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1.55952E-3</v>
      </c>
      <c r="C24" s="23">
        <f t="shared" si="3"/>
        <v>25841.28449779419</v>
      </c>
      <c r="D24" s="23">
        <v>40.299999999999997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1.80774E-3</v>
      </c>
      <c r="S24" s="23">
        <f>(T24/R24)</f>
        <v>27575.86821113656</v>
      </c>
      <c r="T24" s="23">
        <f>(D34)</f>
        <v>49.85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1.80774E-3</v>
      </c>
      <c r="C34" s="23">
        <f>(D34/B34)</f>
        <v>27575.86821113656</v>
      </c>
      <c r="D34" s="23">
        <v>49.85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23581.81693626523</v>
      </c>
      <c r="R37">
        <f>(SUM(R5:R25))</f>
        <v>2.9626479999999997E-2</v>
      </c>
      <c r="T37" s="23">
        <f>(SUM(T5:T25))</f>
        <v>552.59980016999998</v>
      </c>
    </row>
    <row r="38" spans="2:20">
      <c r="B38">
        <f>(SUM(B5:B37))</f>
        <v>2.9270680000000007E-2</v>
      </c>
      <c r="D38" s="23">
        <f>(SUM(D5:D37))</f>
        <v>690.25581736000015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2.4565920000000001E-3</v>
      </c>
      <c r="N50" s="23">
        <f>($S$19*[1]Params!K16)</f>
        <v>49781.800771810864</v>
      </c>
      <c r="O50" s="30">
        <f>(N50*M50)</f>
        <v>122.2935735216244</v>
      </c>
    </row>
    <row r="51" spans="12:16">
      <c r="M51">
        <f>($B$23/5)</f>
        <v>1.399296E-3</v>
      </c>
      <c r="N51" s="23">
        <f>($S$19*[1]Params!K17)</f>
        <v>99563.601543621728</v>
      </c>
      <c r="O51" s="30">
        <f>(N51*M51)</f>
        <v>139.31894938558369</v>
      </c>
    </row>
    <row r="52" spans="12:16">
      <c r="M52">
        <f>($B$23/5)</f>
        <v>1.399296E-3</v>
      </c>
      <c r="N52" s="23">
        <f>($S$19*[1]Params!K18)</f>
        <v>199127.20308724346</v>
      </c>
      <c r="O52" s="30">
        <f>(N52*M52)</f>
        <v>278.63789877116739</v>
      </c>
    </row>
    <row r="54" spans="12:16">
      <c r="O54" s="30">
        <f>(SUM(O49:O52))</f>
        <v>547.70602167837546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5.7174799999999996E-4</v>
      </c>
      <c r="N58" s="23">
        <f>($S$20*[1]Params!K16)</f>
        <v>52278.612895864564</v>
      </c>
      <c r="O58" s="30">
        <f>(N58*M58)</f>
        <v>29.89019236598477</v>
      </c>
    </row>
    <row r="59" spans="12:16">
      <c r="M59">
        <f>($B$24/5)</f>
        <v>3.11904E-4</v>
      </c>
      <c r="N59" s="23">
        <f>($S$20*[1]Params!K17)</f>
        <v>104557.22579172913</v>
      </c>
      <c r="O59" s="30">
        <f>(N59*M59)</f>
        <v>32.611816953343485</v>
      </c>
    </row>
    <row r="60" spans="12:16">
      <c r="M60">
        <f>($B$24/5)</f>
        <v>3.11904E-4</v>
      </c>
      <c r="N60" s="23">
        <f>($S$20*[1]Params!K18)</f>
        <v>209114.45158345826</v>
      </c>
      <c r="O60" s="30">
        <f>(N60*M60)</f>
        <v>65.22363390668697</v>
      </c>
    </row>
    <row r="62" spans="12:16">
      <c r="O62" s="30">
        <f>(SUM(O57:O60))</f>
        <v>128.84805682601524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3.61548E-4</v>
      </c>
      <c r="N73" s="23">
        <f>($S$24*[1]Params!K15)</f>
        <v>41363.802316704838</v>
      </c>
      <c r="O73" s="30">
        <f>(N73*M73)</f>
        <v>14.955</v>
      </c>
    </row>
    <row r="74" spans="12:16">
      <c r="M74">
        <f>($R$24/5)</f>
        <v>3.61548E-4</v>
      </c>
      <c r="N74" s="23">
        <f>($S$24*[1]Params!K16)</f>
        <v>55151.736422273119</v>
      </c>
      <c r="O74" s="30">
        <f>(N74*M74)</f>
        <v>19.940000000000001</v>
      </c>
    </row>
    <row r="75" spans="12:16">
      <c r="M75">
        <f>($R$24/5)</f>
        <v>3.61548E-4</v>
      </c>
      <c r="N75" s="23">
        <f>($S$24*[1]Params!K17)</f>
        <v>110303.47284454624</v>
      </c>
      <c r="O75" s="30">
        <f>(N75*M75)</f>
        <v>39.880000000000003</v>
      </c>
    </row>
    <row r="76" spans="12:16">
      <c r="M76">
        <f>($R$24/5)</f>
        <v>3.61548E-4</v>
      </c>
      <c r="N76" s="23">
        <f>($S$24*[1]Params!K18)</f>
        <v>220606.94568909248</v>
      </c>
      <c r="O76" s="30">
        <f>(N76*M76)</f>
        <v>79.760000000000005</v>
      </c>
    </row>
    <row r="78" spans="12:16">
      <c r="O78" s="30">
        <f>(SUM(O73:O76))</f>
        <v>154.53500000000003</v>
      </c>
    </row>
  </sheetData>
  <conditionalFormatting sqref="C5 C7:C17 C19:C20 C22:C25 C34:C36 G37 N10:N12 N20 N26:N28 N34:N35 S5 S7:S21 S24">
    <cfRule type="cellIs" dxfId="311" priority="45" operator="lessThan">
      <formula>$J$3</formula>
    </cfRule>
    <cfRule type="cellIs" dxfId="310" priority="46" operator="greaterThan">
      <formula>$J$3</formula>
    </cfRule>
  </conditionalFormatting>
  <conditionalFormatting sqref="N36">
    <cfRule type="cellIs" dxfId="309" priority="19" operator="lessThan">
      <formula>$J$3</formula>
    </cfRule>
    <cfRule type="cellIs" dxfId="308" priority="20" operator="greaterThan">
      <formula>$J$3</formula>
    </cfRule>
  </conditionalFormatting>
  <conditionalFormatting sqref="N42:N44">
    <cfRule type="cellIs" dxfId="307" priority="17" operator="lessThan">
      <formula>$J$3</formula>
    </cfRule>
    <cfRule type="cellIs" dxfId="306" priority="18" operator="greaterThan">
      <formula>$J$3</formula>
    </cfRule>
  </conditionalFormatting>
  <conditionalFormatting sqref="N50:N52">
    <cfRule type="cellIs" dxfId="305" priority="15" operator="lessThan">
      <formula>$J$3</formula>
    </cfRule>
    <cfRule type="cellIs" dxfId="304" priority="16" operator="greaterThan">
      <formula>$J$3</formula>
    </cfRule>
  </conditionalFormatting>
  <conditionalFormatting sqref="N58:N60">
    <cfRule type="cellIs" dxfId="303" priority="13" operator="lessThan">
      <formula>$J$3</formula>
    </cfRule>
    <cfRule type="cellIs" dxfId="302" priority="14" operator="greaterThan">
      <formula>$J$3</formula>
    </cfRule>
  </conditionalFormatting>
  <conditionalFormatting sqref="N66:N68">
    <cfRule type="cellIs" dxfId="301" priority="11" operator="lessThan">
      <formula>$J$3</formula>
    </cfRule>
    <cfRule type="cellIs" dxfId="300" priority="12" operator="greaterThan">
      <formula>$J$3</formula>
    </cfRule>
  </conditionalFormatting>
  <conditionalFormatting sqref="N73:N76">
    <cfRule type="cellIs" dxfId="299" priority="9" operator="lessThan">
      <formula>$J$3</formula>
    </cfRule>
    <cfRule type="cellIs" dxfId="298" priority="10" operator="greaterThan">
      <formula>$J$3</formula>
    </cfRule>
  </conditionalFormatting>
  <conditionalFormatting sqref="N4">
    <cfRule type="cellIs" dxfId="297" priority="1" operator="greaterThan">
      <formula>$J$3</formula>
    </cfRule>
    <cfRule type="cellIs" dxfId="29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T6" sqref="T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9" width="9.140625" style="14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13.37566903368225</v>
      </c>
      <c r="M3" t="s">
        <v>4</v>
      </c>
      <c r="N3" s="26">
        <f>(INDEX(N5:N19,MATCH(MAX(O6:O8),O5:O19,0))/0.85)</f>
        <v>0.62352941176470589</v>
      </c>
      <c r="O3" s="24">
        <f>(MAX(O6:O8)*0.75)</f>
        <v>8.0377360613207536</v>
      </c>
      <c r="P3" s="45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13.137021951863575</v>
      </c>
      <c r="K4" s="4">
        <f>(J4/D13-1)</f>
        <v>-9.1673863347785058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3">
        <f>(D5/B5)</f>
        <v>4.769313454065073</v>
      </c>
      <c r="D5" s="23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(B5)+B7+B8+B11</f>
        <v>0.92478113999999989</v>
      </c>
      <c r="S5" s="23">
        <f>(T5/R5)</f>
        <v>4.8943120206798332</v>
      </c>
      <c r="T5" s="23">
        <f>(D5)+(B7)*4.615+(B8)*4.6733+B11*4.7693</f>
        <v>4.5261674499999991</v>
      </c>
    </row>
    <row r="6" spans="2:21">
      <c r="B6" s="2">
        <v>2.28677E-3</v>
      </c>
      <c r="C6" s="28">
        <v>0</v>
      </c>
      <c r="D6" s="29">
        <f>(B6*C6)</f>
        <v>0</v>
      </c>
      <c r="E6" s="23">
        <f>(B6*J3)</f>
        <v>3.058707867615356E-2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2.28677E-3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-B11</f>
        <v>0.53</v>
      </c>
      <c r="O8" s="23">
        <f>P8/N8</f>
        <v>10.716981415094338</v>
      </c>
      <c r="P8" s="23">
        <f>-D11</f>
        <v>5.6800001499999997</v>
      </c>
      <c r="Q8" t="s">
        <v>12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B13/2</f>
        <v>0.49107906000000001</v>
      </c>
      <c r="O9" s="23">
        <f>($S$5*[1]Params!K11)</f>
        <v>24.471560103399167</v>
      </c>
      <c r="P9" s="23">
        <f>(O9*N9)</f>
        <v>12.017470732310766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>
        <f>B11-B11</f>
        <v>0</v>
      </c>
      <c r="S10" s="23">
        <v>0</v>
      </c>
      <c r="T10" s="23">
        <f>(D11)-B11*4.7693</f>
        <v>-3.1522711499999994</v>
      </c>
    </row>
    <row r="11" spans="2:21">
      <c r="B11" s="1">
        <v>-0.53</v>
      </c>
      <c r="C11" s="23">
        <f>(D11/B11)</f>
        <v>10.716981415094338</v>
      </c>
      <c r="D11" s="23">
        <f>-5.68000015</f>
        <v>-5.6800001499999997</v>
      </c>
      <c r="R11" s="1"/>
      <c r="S11" s="23"/>
      <c r="T11" s="23"/>
    </row>
    <row r="12" spans="2:21">
      <c r="F12" t="s">
        <v>9</v>
      </c>
      <c r="G12" s="23">
        <f>(D13/B13)</f>
        <v>-1.6376927067507194</v>
      </c>
      <c r="P12" s="23">
        <f>(SUM(P6:P9))</f>
        <v>24.736163352310765</v>
      </c>
      <c r="R12" s="1"/>
      <c r="S12" s="23"/>
      <c r="T12" s="23"/>
    </row>
    <row r="13" spans="2:21">
      <c r="B13">
        <f>(SUM(B5:B12))</f>
        <v>0.98215812000000002</v>
      </c>
      <c r="D13" s="23">
        <f>(SUM(D5:D12))</f>
        <v>-1.608473189999998</v>
      </c>
      <c r="R13" s="1"/>
      <c r="S13" s="23"/>
      <c r="T13" s="23"/>
    </row>
    <row r="14" spans="2:21">
      <c r="R14" s="1"/>
      <c r="S14" s="23"/>
      <c r="T14" s="24"/>
    </row>
    <row r="15" spans="2:21">
      <c r="P15" s="23"/>
    </row>
    <row r="25" spans="18:20">
      <c r="R25">
        <f>(SUM(R5:R24))</f>
        <v>0.98215811999999991</v>
      </c>
      <c r="T25" s="23">
        <f>(SUM(T5:T24))</f>
        <v>-1.6084731899999989</v>
      </c>
    </row>
  </sheetData>
  <conditionalFormatting sqref="C5 G12 O9 S5">
    <cfRule type="cellIs" dxfId="167" priority="11" operator="lessThan">
      <formula>$J$3</formula>
    </cfRule>
    <cfRule type="cellIs" dxfId="166" priority="12" operator="greaterThan">
      <formula>$J$3</formula>
    </cfRule>
  </conditionalFormatting>
  <conditionalFormatting sqref="O3">
    <cfRule type="cellIs" dxfId="165" priority="3" operator="greaterThan">
      <formula>$J$3</formula>
    </cfRule>
    <cfRule type="cellIs" dxfId="164" priority="4" operator="lessThan">
      <formula>$J$3</formula>
    </cfRule>
  </conditionalFormatting>
  <conditionalFormatting sqref="C10"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0.87230490664975546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2.5508978123091062</v>
      </c>
      <c r="K4" s="4">
        <f>(J4/D10-1)</f>
        <v>-0.14970072923029798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9">
    <cfRule type="cellIs" dxfId="159" priority="3" operator="lessThan">
      <formula>$J$3</formula>
    </cfRule>
    <cfRule type="cellIs" dxfId="158" priority="4" operator="greaterThan">
      <formula>$J$3</formula>
    </cfRule>
  </conditionalFormatting>
  <conditionalFormatting sqref="O6:O9"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D8" sqref="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2.6435206374746429</v>
      </c>
      <c r="M3" t="s">
        <v>4</v>
      </c>
      <c r="N3" s="26">
        <f>(INDEX(N5:N16,MATCH(MAX(O6),O5:O16,0))/0.85)</f>
        <v>1.4035294117647059</v>
      </c>
      <c r="O3" s="24">
        <f>(MAX(O6)*0.75)</f>
        <v>2.1284581056160938</v>
      </c>
      <c r="P3" s="45">
        <f>(O3*N3)</f>
        <v>2.9873535529411765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(B10*J3)</f>
        <v>12.614995580917553</v>
      </c>
      <c r="K4" s="4">
        <f>(J4/D10-1)</f>
        <v>0.31758484431741563</v>
      </c>
    </row>
    <row r="5" spans="2:17">
      <c r="B5" s="1">
        <v>5.9470306800000001</v>
      </c>
      <c r="C5" s="23">
        <f>(D5/B5)</f>
        <v>2.1792387995550078</v>
      </c>
      <c r="D5" s="23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7">
      <c r="B6" s="2">
        <v>1.8012859999999999E-2</v>
      </c>
      <c r="C6" s="28">
        <v>0</v>
      </c>
      <c r="D6" s="29">
        <f>(B6*C6)</f>
        <v>0</v>
      </c>
      <c r="E6" s="23">
        <f>(B6*J3)</f>
        <v>4.7617367149941491E-2</v>
      </c>
      <c r="M6" t="s">
        <v>11</v>
      </c>
      <c r="N6" s="1">
        <f>-B7</f>
        <v>1.1930000000000001</v>
      </c>
      <c r="O6" s="23">
        <f>P6/N6</f>
        <v>2.8379441408214583</v>
      </c>
      <c r="P6" s="23">
        <f>-D7</f>
        <v>3.3856673599999998</v>
      </c>
      <c r="Q6" t="s">
        <v>12</v>
      </c>
    </row>
    <row r="7" spans="2:17">
      <c r="B7" s="1">
        <v>-1.1930000000000001</v>
      </c>
      <c r="C7" s="24">
        <f>D7/B7</f>
        <v>2.8379441408214583</v>
      </c>
      <c r="D7" s="23">
        <f>-3.38566736</f>
        <v>-3.3856673599999998</v>
      </c>
      <c r="N7" s="1">
        <f>2*($B$10+$N$6)/5-$N$6</f>
        <v>1.193017416</v>
      </c>
      <c r="O7" s="23">
        <f>($C$5*[1]Params!K9)</f>
        <v>3.4867820792880124</v>
      </c>
      <c r="P7" s="23">
        <f>(O7*N7)</f>
        <v>4.1597917463872918</v>
      </c>
    </row>
    <row r="8" spans="2:17">
      <c r="N8" s="1">
        <f>2*($B$10+$N$6)/5-$N$6</f>
        <v>1.193017416</v>
      </c>
      <c r="O8" s="23">
        <f>($C$5*[1]Params!K10)</f>
        <v>4.7943253590210171</v>
      </c>
      <c r="P8" s="23">
        <f>(O8*N8)</f>
        <v>5.7197136512825262</v>
      </c>
    </row>
    <row r="9" spans="2:17">
      <c r="F9" t="s">
        <v>9</v>
      </c>
      <c r="G9" s="23">
        <f>(D10/B10)</f>
        <v>2.0063380729338443</v>
      </c>
      <c r="N9" s="1">
        <f>2*($B$10+$N$6)/5-$N$6</f>
        <v>1.193017416</v>
      </c>
      <c r="O9" s="23">
        <f>($C$5*[1]Params!K11)</f>
        <v>10.89619399777504</v>
      </c>
      <c r="P9" s="23">
        <f>(O9*N9)</f>
        <v>12.999349207460288</v>
      </c>
    </row>
    <row r="10" spans="2:17">
      <c r="B10" s="1">
        <f>(SUM(B5:B9))</f>
        <v>4.7720435400000003</v>
      </c>
      <c r="D10" s="23">
        <f>(SUM(D5:D9))</f>
        <v>9.5743326400000015</v>
      </c>
    </row>
    <row r="11" spans="2:17">
      <c r="P11" s="23">
        <f>(SUM(P6:P9))</f>
        <v>26.264521965130104</v>
      </c>
    </row>
  </sheetData>
  <conditionalFormatting sqref="C5">
    <cfRule type="cellIs" dxfId="155" priority="7" operator="lessThan">
      <formula>$J$3</formula>
    </cfRule>
    <cfRule type="cellIs" dxfId="154" priority="8" operator="greaterThan">
      <formula>$J$3</formula>
    </cfRule>
  </conditionalFormatting>
  <conditionalFormatting sqref="O7:O9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1" sqref="O3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14.95329599152589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8.8270284183535139</v>
      </c>
      <c r="K4" s="4">
        <f>(J4/D11-1)</f>
        <v>30.701059356257314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3">
        <f>(D5/B5)</f>
        <v>7.2506775659611229</v>
      </c>
      <c r="D5" s="23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3">
        <f>(T5/R5)</f>
        <v>7.7146140445488509</v>
      </c>
      <c r="T5" s="23">
        <f>(D5)+(B7+B8+B9)*6.9017</f>
        <v>4.5356312799999996</v>
      </c>
    </row>
    <row r="6" spans="2:21">
      <c r="B6" s="2">
        <v>2.3793600000000001E-3</v>
      </c>
      <c r="C6" s="28">
        <v>0</v>
      </c>
      <c r="D6" s="29">
        <f>(B6*C6)</f>
        <v>0</v>
      </c>
      <c r="E6" s="23">
        <f>(B6*J3)</f>
        <v>3.5579274350397039E-2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2.3793600000000001E-3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0.31592523199999989</v>
      </c>
      <c r="O9" s="23">
        <f>($C$5*[1]Params!K11)</f>
        <v>36.253387829805618</v>
      </c>
      <c r="P9" s="23">
        <f>(O9*N9)</f>
        <v>11.453359960917313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0.47169704404765678</v>
      </c>
      <c r="O10" s="23"/>
      <c r="P10" s="23"/>
      <c r="R10" s="1"/>
      <c r="S10" s="23"/>
      <c r="T10" s="23"/>
      <c r="U10" s="24"/>
    </row>
    <row r="11" spans="2:21">
      <c r="B11">
        <f>(SUM(B5:B10))</f>
        <v>0.59030653999999982</v>
      </c>
      <c r="C11" s="23"/>
      <c r="D11" s="23">
        <f>(SUM(D5:D10))</f>
        <v>0.27844584999999977</v>
      </c>
      <c r="O11" s="23"/>
      <c r="P11" s="23">
        <f>(SUM(P6:P9))</f>
        <v>21.104914110917314</v>
      </c>
      <c r="R11" s="1"/>
      <c r="S11" s="23"/>
      <c r="T11" s="24"/>
    </row>
    <row r="22" spans="18:20">
      <c r="R22">
        <f>(SUM(R5:R21))</f>
        <v>0.59030653999999994</v>
      </c>
      <c r="T22" s="23">
        <f>(SUM(T5:T21))</f>
        <v>0.27844584999999977</v>
      </c>
    </row>
  </sheetData>
  <conditionalFormatting sqref="C5 G10 O9 S5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72.822904452825398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11.952868984017483</v>
      </c>
      <c r="K4" s="4">
        <f>(J4/D15-1)</f>
        <v>0.20263762521811546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1.1785299999999999E-3</v>
      </c>
      <c r="C6" s="28">
        <v>0</v>
      </c>
      <c r="D6" s="29">
        <f>(B6*C6)</f>
        <v>0</v>
      </c>
      <c r="E6" s="23">
        <f>(B6*J3)</f>
        <v>8.5823977584788311E-2</v>
      </c>
      <c r="M6" t="s">
        <v>11</v>
      </c>
      <c r="N6" s="49">
        <f>(SUM(R$5:R$8)/5)</f>
        <v>3.2827224000000002E-2</v>
      </c>
      <c r="O6" s="23">
        <f>($C$7*[1]Params!K8)</f>
        <v>89.451451451451447</v>
      </c>
      <c r="P6" s="23">
        <f>(O6*N6)</f>
        <v>2.9364428339219222</v>
      </c>
      <c r="R6" s="2">
        <f>(B6)</f>
        <v>1.1785299999999999E-3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3.2827224000000002E-2</v>
      </c>
      <c r="O7" s="23">
        <f>($C$7*[1]Params!K9)</f>
        <v>110.09409409409409</v>
      </c>
      <c r="P7" s="23">
        <f>(O7*N7)</f>
        <v>3.6140834879039039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3.2827224000000002E-2</v>
      </c>
      <c r="O8" s="23">
        <f>($C$7*[1]Params!K10)</f>
        <v>151.37937937937937</v>
      </c>
      <c r="P8" s="23">
        <f>(O8*N8)</f>
        <v>4.9693647958678682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1.2927650893045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3.2827224000000002E-2</v>
      </c>
      <c r="O9" s="23">
        <f>($C$7*[1]Params!K11)</f>
        <v>344.04404404404403</v>
      </c>
      <c r="P9" s="23">
        <f>(O9*N9)</f>
        <v>11.2940108996997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22.813902017393396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60.552657696550888</v>
      </c>
    </row>
    <row r="15" spans="2:21">
      <c r="B15" s="1">
        <f>(SUM(B5:B14))</f>
        <v>0.16413612</v>
      </c>
      <c r="D15" s="23">
        <f>(SUM(D5:D14))</f>
        <v>9.9388782899999999</v>
      </c>
    </row>
    <row r="21" spans="18:20">
      <c r="R21">
        <f>(SUM(R5:R20))</f>
        <v>0.16413612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43" priority="21" operator="lessThan">
      <formula>$J$3</formula>
    </cfRule>
    <cfRule type="cellIs" dxfId="142" priority="22" operator="greaterThan">
      <formula>$J$3</formula>
    </cfRule>
  </conditionalFormatting>
  <conditionalFormatting sqref="C9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C12:C13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7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14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12" sqref="O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0.82882700447419244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3.4503743130309488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5.6178659999999998E-2</v>
      </c>
      <c r="C6" s="28">
        <v>0</v>
      </c>
      <c r="D6" s="29">
        <f>(B6*C6)</f>
        <v>0</v>
      </c>
      <c r="E6" s="23">
        <f>(B6*J3)</f>
        <v>4.6562390483174135E-2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4.1629607800000015</v>
      </c>
      <c r="D22" s="23">
        <f>(SUM(D5:D21))</f>
        <v>-5.3974319099999999</v>
      </c>
    </row>
  </sheetData>
  <conditionalFormatting sqref="N6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N12">
    <cfRule type="cellIs" dxfId="131" priority="1" operator="greaterThan">
      <formula>$J$3</formula>
    </cfRule>
    <cfRule type="cellIs" dxfId="13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B36" sqref="B36:E37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1.388366890384222E-4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17.774881966972565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32006.816948172607</v>
      </c>
      <c r="P9" s="23">
        <f>(O9*N9)</f>
        <v>16.003408474086303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C37/2.6</f>
        <v>9.8723527025641034E-5</v>
      </c>
      <c r="O12" s="36">
        <f>(-B37-B36)*1.2</f>
        <v>254400</v>
      </c>
      <c r="P12" s="23">
        <f>(O12*N12)</f>
        <v>25.115265275323079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4872.5250587600003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4872.5250587600003</v>
      </c>
      <c r="C18" s="28">
        <v>0</v>
      </c>
      <c r="D18" s="29">
        <f>(B18*C18)</f>
        <v>0</v>
      </c>
      <c r="E18" s="23">
        <f>(B18*J3)</f>
        <v>0.67648524641498198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-8.6078747203821759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-20.825503355763328</v>
      </c>
    </row>
    <row r="39" spans="2:20">
      <c r="B39">
        <f>(SUM(B5:B38))</f>
        <v>128027.26779269043</v>
      </c>
      <c r="D39" s="23">
        <f>(SUM(D5:D38))</f>
        <v>-76.307382291799911</v>
      </c>
      <c r="F39" t="s">
        <v>9</v>
      </c>
      <c r="G39" s="33">
        <f>(D39/B39)</f>
        <v>-5.9602445328569762E-4</v>
      </c>
      <c r="R39">
        <f>(SUM(R5:R38))</f>
        <v>128027.26779269043</v>
      </c>
      <c r="T39" s="23">
        <f>(SUM(T5:T38))</f>
        <v>-76.307382291799911</v>
      </c>
    </row>
  </sheetData>
  <conditionalFormatting sqref="C5:C9 C14:C16 C25:C26 C28 C30 C32 C35">
    <cfRule type="cellIs" dxfId="129" priority="15" operator="lessThan">
      <formula>$J$3</formula>
    </cfRule>
    <cfRule type="cellIs" dxfId="128" priority="16" operator="greaterThan">
      <formula>$J$3</formula>
    </cfRule>
  </conditionalFormatting>
  <conditionalFormatting sqref="N6">
    <cfRule type="cellIs" dxfId="127" priority="11" operator="lessThan">
      <formula>$J$3</formula>
    </cfRule>
    <cfRule type="cellIs" dxfId="126" priority="12" operator="greaterThan">
      <formula>$J$3</formula>
    </cfRule>
  </conditionalFormatting>
  <conditionalFormatting sqref="N9">
    <cfRule type="cellIs" dxfId="125" priority="7" operator="lessThan">
      <formula>$J$3</formula>
    </cfRule>
    <cfRule type="cellIs" dxfId="124" priority="8" operator="greaterThan">
      <formula>$J$3</formula>
    </cfRule>
  </conditionalFormatting>
  <conditionalFormatting sqref="S5:S9 S13">
    <cfRule type="cellIs" dxfId="123" priority="5" operator="lessThan">
      <formula>$J$3</formula>
    </cfRule>
    <cfRule type="cellIs" dxfId="122" priority="6" operator="greaterThan">
      <formula>$J$3</formula>
    </cfRule>
  </conditionalFormatting>
  <conditionalFormatting sqref="G39">
    <cfRule type="cellIs" dxfId="121" priority="3" operator="lessThan">
      <formula>$J$3</formula>
    </cfRule>
    <cfRule type="cellIs" dxfId="120" priority="4" operator="greaterThan">
      <formula>$J$3</formula>
    </cfRule>
  </conditionalFormatting>
  <conditionalFormatting sqref="N12">
    <cfRule type="cellIs" dxfId="119" priority="1" operator="greaterThan">
      <formula>$J$3</formula>
    </cfRule>
    <cfRule type="cellIs" dxfId="118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41" sqref="R41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0.97057997929584117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56.363454325290306</v>
      </c>
      <c r="K4" s="4">
        <f>(J4/D18-1)</f>
        <v>0.11464385388287512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0.32070289000000002</v>
      </c>
      <c r="C6" s="28">
        <v>0</v>
      </c>
      <c r="D6" s="29">
        <f>(B6*C6)</f>
        <v>0</v>
      </c>
      <c r="E6" s="23">
        <f>(B6*J3)</f>
        <v>0.31126780433631646</v>
      </c>
      <c r="M6" t="s">
        <v>11</v>
      </c>
      <c r="N6" s="19">
        <f>($B$7+$R$9+$R$6)/5</f>
        <v>8.9396905677777774</v>
      </c>
      <c r="O6" s="23">
        <f>($S$7*[1]Params!K8)</f>
        <v>1.1975720777093433</v>
      </c>
      <c r="P6" s="23">
        <f>(O6*N6)</f>
        <v>10.705923807332251</v>
      </c>
      <c r="R6" s="47">
        <f>(B6)</f>
        <v>0.32070289000000002</v>
      </c>
      <c r="S6" s="28">
        <v>0</v>
      </c>
      <c r="T6" s="29">
        <f>(D6)</f>
        <v>0</v>
      </c>
      <c r="U6" s="23">
        <f>(R6*J3)</f>
        <v>0.31126780433631646</v>
      </c>
    </row>
    <row r="7" spans="2:21">
      <c r="B7" s="19">
        <v>43.746844950000003</v>
      </c>
      <c r="C7" s="23">
        <f t="shared" ref="C7:C14" si="0">(D7/B7)</f>
        <v>0.92120929054564871</v>
      </c>
      <c r="D7" s="23">
        <v>40.299999999999997</v>
      </c>
      <c r="E7" t="s">
        <v>15</v>
      </c>
      <c r="N7" s="19">
        <f>($B$7+$R$9+$R$6)/5</f>
        <v>8.9396905677777774</v>
      </c>
      <c r="O7" s="23">
        <f>($S$7*[1]Params!K9)</f>
        <v>1.4739348648730379</v>
      </c>
      <c r="P7" s="23">
        <f>(O7*N7)</f>
        <v>13.176521609024309</v>
      </c>
      <c r="R7" s="19">
        <f>B7</f>
        <v>43.746844950000003</v>
      </c>
      <c r="S7" s="23">
        <f>(T7/R7)</f>
        <v>0.92120929054564871</v>
      </c>
      <c r="T7" s="23">
        <f>D7</f>
        <v>40.299999999999997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8.9396905677777774</v>
      </c>
      <c r="O8" s="23">
        <f>($S$7*[1]Params!K10)</f>
        <v>2.0266604392004273</v>
      </c>
      <c r="P8" s="23">
        <f>(O8*N8)</f>
        <v>18.117717212408426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8.9396905677777774</v>
      </c>
      <c r="O9" s="23">
        <f>($C$7*[1]Params!K11)</f>
        <v>4.6060464527282434</v>
      </c>
      <c r="P9" s="23">
        <f>(O9*N9)</f>
        <v>41.176630028200968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83.176792656965944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0.87075344821111622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58.071931760000005</v>
      </c>
      <c r="S17" s="23"/>
      <c r="T17" s="23">
        <f>(SUM(T5:T12))</f>
        <v>50.56633482430064</v>
      </c>
    </row>
    <row r="18" spans="2:20">
      <c r="B18" s="19">
        <f>(SUM(B5:B17))</f>
        <v>58.071931760000005</v>
      </c>
      <c r="D18" s="23">
        <f>(SUM(D5:D17))</f>
        <v>50.56633482430064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117" priority="25" operator="lessThan">
      <formula>$J$3</formula>
    </cfRule>
    <cfRule type="cellIs" dxfId="116" priority="26" operator="greaterThan">
      <formula>$J$3</formula>
    </cfRule>
  </conditionalFormatting>
  <conditionalFormatting sqref="S8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G17">
    <cfRule type="cellIs" dxfId="113" priority="1" operator="lessThan">
      <formula>$J$3</formula>
    </cfRule>
    <cfRule type="cellIs" dxfId="11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64" width="9.140625" style="14" customWidth="1"/>
    <col min="165" max="16384" width="9.140625" style="14"/>
  </cols>
  <sheetData>
    <row r="3" spans="2:16">
      <c r="I3" t="s">
        <v>3</v>
      </c>
      <c r="J3" s="45">
        <v>2.7275997453805031E-2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1.7675159582165221</v>
      </c>
      <c r="K4" s="4">
        <f>(J4/D10-1)</f>
        <v>-0.11624202089173896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5.2414969999999998E-2</v>
      </c>
      <c r="C6" s="28">
        <v>0</v>
      </c>
      <c r="D6" s="29">
        <f>(B6*C6)</f>
        <v>0</v>
      </c>
      <c r="E6" s="23">
        <f>(B6*J3)</f>
        <v>1.429670588261267E-3</v>
      </c>
      <c r="M6" t="s">
        <v>11</v>
      </c>
      <c r="N6" s="35">
        <f>($B$10/5)</f>
        <v>12.960229676000001</v>
      </c>
      <c r="O6" s="45">
        <f>($C$5*[1]Params!K8)</f>
        <v>4.0155225640266315E-2</v>
      </c>
      <c r="P6" s="23">
        <f>(O6*N6)</f>
        <v>0.52042094698945562</v>
      </c>
    </row>
    <row r="7" spans="2:16">
      <c r="B7" s="35"/>
      <c r="C7" s="23"/>
      <c r="D7" s="25"/>
      <c r="E7" s="23"/>
      <c r="N7" s="35">
        <f>($B$10/5)</f>
        <v>12.960229676000001</v>
      </c>
      <c r="O7" s="45">
        <f>($C$5*[1]Params!K9)</f>
        <v>4.9421816172635469E-2</v>
      </c>
      <c r="P7" s="23">
        <f>(O7*N7)</f>
        <v>0.640518088602407</v>
      </c>
    </row>
    <row r="8" spans="2:16">
      <c r="N8" s="35">
        <f>($B$10/5)</f>
        <v>12.960229676000001</v>
      </c>
      <c r="O8" s="45">
        <f>($C$5*[1]Params!K10)</f>
        <v>6.7954997237373763E-2</v>
      </c>
      <c r="P8" s="23">
        <f>(O8*N8)</f>
        <v>0.88071237182830953</v>
      </c>
    </row>
    <row r="9" spans="2:16">
      <c r="F9" t="s">
        <v>9</v>
      </c>
      <c r="G9" s="23">
        <f>(D10/B10)</f>
        <v>3.0863650567916061E-2</v>
      </c>
      <c r="N9" s="35">
        <f>($B$10/5)</f>
        <v>12.960229676000001</v>
      </c>
      <c r="O9" s="45">
        <f>($C$5*[1]Params!K11)</f>
        <v>0.15444317553948583</v>
      </c>
      <c r="P9" s="23">
        <f>(O9*N9)</f>
        <v>2.0016190268825218</v>
      </c>
    </row>
    <row r="10" spans="2:16">
      <c r="B10" s="35">
        <f>(SUM(B5:B9))</f>
        <v>64.801148380000001</v>
      </c>
      <c r="D10" s="23">
        <f>(SUM(D5:D9))</f>
        <v>2</v>
      </c>
    </row>
    <row r="11" spans="2:16">
      <c r="P11" s="23">
        <f>(SUM(P6:P9))</f>
        <v>4.0432704343026939</v>
      </c>
    </row>
    <row r="22" spans="10:10">
      <c r="J22" s="26"/>
    </row>
  </sheetData>
  <conditionalFormatting sqref="C5">
    <cfRule type="cellIs" dxfId="111" priority="11" operator="lessThan">
      <formula>$J$3</formula>
    </cfRule>
    <cfRule type="cellIs" dxfId="110" priority="12" operator="greaterThan">
      <formula>$J$3</formula>
    </cfRule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9" operator="lessThan">
      <formula>$J$3</formula>
    </cfRule>
    <cfRule type="cellIs" dxfId="106" priority="10" operator="greaterThan">
      <formula>$J$3</formula>
    </cfRule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9">
    <cfRule type="cellIs" dxfId="103" priority="7" operator="lessThan">
      <formula>$J$3</formula>
    </cfRule>
    <cfRule type="cellIs" dxfId="102" priority="8" operator="greaterThan">
      <formula>$J$3</formula>
    </cfRule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5">
        <v>1.3571995188264681</v>
      </c>
      <c r="M3" t="s">
        <v>4</v>
      </c>
      <c r="N3" s="26">
        <f>(INDEX(N5:N31,MATCH(MAX(O6:O7),O5:O31,0))/0.85)</f>
        <v>12.929411764705883</v>
      </c>
      <c r="O3" s="24">
        <f>(MAX(O6:O7)*0.75)</f>
        <v>0.92512274385805271</v>
      </c>
      <c r="P3" s="23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(B11*J3)</f>
        <v>44.76908228884097</v>
      </c>
      <c r="K4" s="4">
        <f>(J4/D11-1)</f>
        <v>2.287529191158316</v>
      </c>
      <c r="R4" t="s">
        <v>5</v>
      </c>
      <c r="S4" t="s">
        <v>6</v>
      </c>
      <c r="T4" t="s">
        <v>7</v>
      </c>
    </row>
    <row r="5" spans="2:22">
      <c r="B5" s="35">
        <v>52.247700000000002</v>
      </c>
      <c r="C5" s="23">
        <f>(D5/B5)</f>
        <v>0.7577367041994193</v>
      </c>
      <c r="D5" s="23">
        <v>39.590000000000003</v>
      </c>
      <c r="N5" t="s">
        <v>32</v>
      </c>
      <c r="O5" t="s">
        <v>1</v>
      </c>
      <c r="P5" t="s">
        <v>2</v>
      </c>
      <c r="R5" s="35">
        <f>(B5)</f>
        <v>52.247700000000002</v>
      </c>
      <c r="S5" s="23">
        <f>(T5/R5)</f>
        <v>0.7577367041994193</v>
      </c>
      <c r="T5" s="23">
        <f>(D5)</f>
        <v>39.590000000000003</v>
      </c>
    </row>
    <row r="6" spans="2:22">
      <c r="B6" s="47">
        <v>0.33766763999999999</v>
      </c>
      <c r="C6" s="28">
        <v>0</v>
      </c>
      <c r="D6" s="29">
        <f>(B6*C6)</f>
        <v>0</v>
      </c>
      <c r="E6" s="23">
        <f>(B6*J3)</f>
        <v>0.45828235853126903</v>
      </c>
      <c r="M6" t="s">
        <v>11</v>
      </c>
      <c r="N6" s="35">
        <f>-B8</f>
        <v>10.99</v>
      </c>
      <c r="O6" s="23">
        <f>($C$5*[1]Params!K8)</f>
        <v>0.98505771545924514</v>
      </c>
      <c r="P6" s="23">
        <f>-D8</f>
        <v>12.416017180000001</v>
      </c>
      <c r="Q6" t="s">
        <v>12</v>
      </c>
      <c r="R6" s="47">
        <v>0.33622554999999998</v>
      </c>
      <c r="S6" s="28">
        <v>0</v>
      </c>
      <c r="T6" s="29">
        <f>(R6*S6)</f>
        <v>0</v>
      </c>
      <c r="U6" s="23">
        <f>(E6)</f>
        <v>0.45828235853126903</v>
      </c>
    </row>
    <row r="7" spans="2:22">
      <c r="B7" s="35">
        <v>2.3809999999999998</v>
      </c>
      <c r="C7" s="23">
        <v>0</v>
      </c>
      <c r="D7" s="25">
        <f>(B7*C7)</f>
        <v>0</v>
      </c>
      <c r="E7" s="23">
        <f>(B7*J3)</f>
        <v>3.2314920543258201</v>
      </c>
      <c r="N7" s="35">
        <f>-B9</f>
        <v>10.99</v>
      </c>
      <c r="O7" s="23">
        <f>P7/N7</f>
        <v>1.233496991810737</v>
      </c>
      <c r="P7" s="23">
        <f>-D9</f>
        <v>13.55613194</v>
      </c>
      <c r="Q7" t="s">
        <v>12</v>
      </c>
      <c r="R7" s="35">
        <f>(B7)</f>
        <v>2.3809999999999998</v>
      </c>
      <c r="S7" s="23">
        <v>0</v>
      </c>
      <c r="T7" s="25">
        <f>(D7)</f>
        <v>0</v>
      </c>
    </row>
    <row r="8" spans="2:22">
      <c r="B8" s="35">
        <v>-10.99</v>
      </c>
      <c r="C8" s="24">
        <f>D8/B8</f>
        <v>1.1297558853503185</v>
      </c>
      <c r="D8" s="23">
        <f>-12.41601718</f>
        <v>-12.416017180000001</v>
      </c>
      <c r="N8" s="35">
        <f>3*($B$11-$B$8-$B$9)/5+$B$8+$B$9</f>
        <v>10.999820584</v>
      </c>
      <c r="O8" s="23">
        <f>($C$5*[1]Params!K10)</f>
        <v>1.6670207492387226</v>
      </c>
      <c r="P8" s="23">
        <f>(O8*N8)</f>
        <v>18.336929151431203</v>
      </c>
      <c r="R8" s="35">
        <f>B8</f>
        <v>-10.99</v>
      </c>
      <c r="S8" s="23">
        <f>T8/R8</f>
        <v>1.1297558853503185</v>
      </c>
      <c r="T8" s="23">
        <f>D8</f>
        <v>-12.416017180000001</v>
      </c>
      <c r="V8" s="24"/>
    </row>
    <row r="9" spans="2:22">
      <c r="B9" s="35">
        <v>-10.99</v>
      </c>
      <c r="C9" s="24">
        <f>D9/B9</f>
        <v>1.233496991810737</v>
      </c>
      <c r="D9" s="23">
        <v>-13.55613194</v>
      </c>
      <c r="N9" s="35">
        <f>3*($B$11-$B$8-$B$9)/5+$B$8+$B$9</f>
        <v>10.999820584</v>
      </c>
      <c r="O9" s="23">
        <f>($C$5*[1]Params!K11)</f>
        <v>3.7886835209970964</v>
      </c>
      <c r="P9" s="23">
        <f>(O9*N9)</f>
        <v>41.674838980525458</v>
      </c>
      <c r="R9" s="35">
        <f>B9</f>
        <v>-10.99</v>
      </c>
      <c r="S9" s="23">
        <f>T9/R9</f>
        <v>1.233496991810737</v>
      </c>
      <c r="T9" s="23">
        <f>D9</f>
        <v>-13.55613194</v>
      </c>
      <c r="V9" s="24"/>
    </row>
    <row r="10" spans="2:22">
      <c r="F10" t="s">
        <v>9</v>
      </c>
      <c r="G10" s="23">
        <f>(D11/B11)</f>
        <v>0.41283268981355487</v>
      </c>
      <c r="R10" s="1"/>
      <c r="S10" s="23"/>
      <c r="T10" s="23"/>
      <c r="V10" s="24"/>
    </row>
    <row r="11" spans="2:22">
      <c r="B11" s="35">
        <f>(SUM(B5:B10))</f>
        <v>32.986367639999997</v>
      </c>
      <c r="D11" s="23">
        <f>(SUM(D5:D10))</f>
        <v>13.617850880000002</v>
      </c>
      <c r="P11" s="23">
        <f>(SUM(P6:P9))</f>
        <v>85.983917251956655</v>
      </c>
      <c r="R11" s="1"/>
      <c r="S11" s="23"/>
      <c r="T11" s="23"/>
    </row>
    <row r="12" spans="2:22">
      <c r="R12" s="1"/>
      <c r="S12" s="23"/>
      <c r="T12" s="24"/>
    </row>
    <row r="13" spans="2:22">
      <c r="R13" s="1"/>
      <c r="S13" s="23"/>
      <c r="T13" s="23"/>
    </row>
    <row r="14" spans="2:22">
      <c r="R14" s="1"/>
      <c r="S14" s="23"/>
      <c r="T14" s="23"/>
    </row>
    <row r="15" spans="2:22">
      <c r="S15" s="23"/>
      <c r="T15" s="23"/>
    </row>
    <row r="16" spans="2:22">
      <c r="S16" s="23"/>
      <c r="T16" s="23"/>
    </row>
    <row r="17" spans="10:20">
      <c r="S17" s="23"/>
      <c r="T17" s="23"/>
    </row>
    <row r="18" spans="10:20">
      <c r="S18" s="23"/>
      <c r="T18" s="23"/>
    </row>
    <row r="19" spans="10:20">
      <c r="S19" s="23"/>
      <c r="T19" s="23"/>
    </row>
    <row r="20" spans="10:20">
      <c r="S20" s="23"/>
      <c r="T20" s="23"/>
    </row>
    <row r="21" spans="10:20">
      <c r="S21" s="23"/>
      <c r="T21" s="23"/>
    </row>
    <row r="22" spans="10:20">
      <c r="S22" s="23"/>
      <c r="T22" s="23"/>
    </row>
    <row r="23" spans="10:20">
      <c r="J23" s="26"/>
      <c r="S23" s="23"/>
      <c r="T23" s="23"/>
    </row>
    <row r="24" spans="10:20">
      <c r="S24" s="23"/>
      <c r="T24" s="23"/>
    </row>
    <row r="25" spans="10:20">
      <c r="S25" s="23"/>
      <c r="T25" s="23"/>
    </row>
    <row r="26" spans="10:20">
      <c r="S26" s="23"/>
      <c r="T26" s="23"/>
    </row>
    <row r="27" spans="10:20">
      <c r="S27" s="23"/>
      <c r="T27" s="23"/>
    </row>
    <row r="28" spans="10:20">
      <c r="R28" s="1">
        <f>(SUM(R5:R27))</f>
        <v>32.98492555</v>
      </c>
      <c r="S28" s="23"/>
      <c r="T28" s="23">
        <f>(SUM(T5:T27))</f>
        <v>13.617850880000002</v>
      </c>
    </row>
  </sheetData>
  <conditionalFormatting sqref="C5 G10 O8 S5">
    <cfRule type="cellIs" dxfId="99" priority="9" operator="lessThan">
      <formula>$J$3</formula>
    </cfRule>
    <cfRule type="cellIs" dxfId="98" priority="10" operator="greaterThan">
      <formula>$J$3</formula>
    </cfRule>
  </conditionalFormatting>
  <conditionalFormatting sqref="O9">
    <cfRule type="cellIs" dxfId="97" priority="7" operator="lessThan">
      <formula>$J$3</formula>
    </cfRule>
    <cfRule type="cellIs" dxfId="96" priority="8" operator="greaterThan">
      <formula>$J$3</formula>
    </cfRule>
  </conditionalFormatting>
  <conditionalFormatting sqref="O3">
    <cfRule type="cellIs" dxfId="95" priority="3" operator="greaterThan">
      <formula>$J$3</formula>
    </cfRule>
    <cfRule type="cellIs" dxfId="94" priority="4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3.6632733558574029</v>
      </c>
      <c r="M3" t="s">
        <v>4</v>
      </c>
      <c r="N3" s="26">
        <f>(INDEX(N5:N31,MATCH(MAX(O6:O8,O14:O15),O5:O31,0))/0.85)</f>
        <v>0.44628021176470595</v>
      </c>
      <c r="O3" s="24">
        <f>(MAX(O6:O8,O14:O16)*0.75)</f>
        <v>2.9470835399377591</v>
      </c>
      <c r="P3" s="23">
        <f>(O3*N3)</f>
        <v>1.3152250662917024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(B25*J3)</f>
        <v>36.551106709070282</v>
      </c>
      <c r="K4" s="4">
        <f>(J4/D25-1)</f>
        <v>-16.800272408796019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22.613660530000001</v>
      </c>
      <c r="C6" s="23">
        <f>(D6/B6)</f>
        <v>1.7821086482896804</v>
      </c>
      <c r="D6" s="23">
        <v>40.299999999999997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B6+B19+B21+B23</f>
        <v>8.9636605299999985</v>
      </c>
      <c r="S6" s="23">
        <f>(T6/R6)</f>
        <v>1.8130617447646693</v>
      </c>
      <c r="T6" s="23">
        <f>D6+B19*1.74+B21*1.7718+B23*1.7718</f>
        <v>16.251669999999997</v>
      </c>
      <c r="U6" s="23" t="str">
        <f>(E6)</f>
        <v>DCA2</v>
      </c>
    </row>
    <row r="7" spans="2:22">
      <c r="B7" s="2">
        <v>0.10084704999999999</v>
      </c>
      <c r="C7" s="28">
        <v>0</v>
      </c>
      <c r="D7" s="29">
        <v>0</v>
      </c>
      <c r="E7" s="24">
        <f>B7*J3</f>
        <v>0.3694303112818193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0.10084704999999999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-B22</f>
        <v>0.37933818000000002</v>
      </c>
      <c r="O8" s="23">
        <f>P8/N8</f>
        <v>3.640698650475942</v>
      </c>
      <c r="P8" s="23">
        <f>-D22</f>
        <v>1.3810560000000001</v>
      </c>
      <c r="Q8" t="s">
        <v>12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0.63234932990957937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0.61048171675154772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6.4315099179041884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R14" s="1">
        <f>B22</f>
        <v>-0.37933818000000002</v>
      </c>
      <c r="S14" s="23">
        <f>T14/R14</f>
        <v>3.640698650475942</v>
      </c>
      <c r="T14" s="23">
        <f>D22</f>
        <v>-1.3810560000000001</v>
      </c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R15" s="1">
        <f>B23-B23</f>
        <v>0</v>
      </c>
      <c r="S15" s="23">
        <v>0</v>
      </c>
      <c r="T15" s="23">
        <f>D23-B23*1.7718</f>
        <v>-10.399847549999999</v>
      </c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-B23</f>
        <v>4.82</v>
      </c>
      <c r="O16" s="23">
        <f>P16/N16</f>
        <v>3.9294447199170119</v>
      </c>
      <c r="P16" s="23">
        <f>-D23</f>
        <v>18.93992355</v>
      </c>
      <c r="Q16" t="s">
        <v>12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4*(($B$6+$R$8+$R$7)/5)-N15-N14-N16</f>
        <v>4.6302582799999961</v>
      </c>
      <c r="O17" s="23">
        <f>($S$6*[1]Params!K11)</f>
        <v>9.0653087238233461</v>
      </c>
      <c r="P17" s="23">
        <f>(O17*N17)</f>
        <v>41.974720779239249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84.075309209239251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B22" s="1">
        <v>-0.37933818000000002</v>
      </c>
      <c r="C22" s="23">
        <f>D22/B22</f>
        <v>3.640698650475942</v>
      </c>
      <c r="D22" s="23">
        <v>-1.3810560000000001</v>
      </c>
      <c r="O22" s="23"/>
      <c r="P22" s="23"/>
      <c r="S22" s="23"/>
      <c r="T22" s="23"/>
    </row>
    <row r="23" spans="2:20">
      <c r="B23" s="1">
        <v>-4.82</v>
      </c>
      <c r="C23" s="23">
        <f>D23/B23</f>
        <v>3.9294447199170119</v>
      </c>
      <c r="D23" s="23">
        <f>-18.93992355</f>
        <v>-18.93992355</v>
      </c>
      <c r="O23" s="23"/>
      <c r="P23" s="23"/>
      <c r="S23" s="23"/>
      <c r="T23" s="23"/>
    </row>
    <row r="24" spans="2:20">
      <c r="C24" s="23"/>
      <c r="D24" s="23"/>
      <c r="F24" t="s">
        <v>9</v>
      </c>
      <c r="G24" s="23">
        <f>(D25/B25)</f>
        <v>-0.23184874672274997</v>
      </c>
      <c r="S24" s="23"/>
      <c r="T24" s="23"/>
    </row>
    <row r="25" spans="2:20">
      <c r="B25" s="1">
        <f>(SUM(B5:B24))</f>
        <v>9.9777175106593585</v>
      </c>
      <c r="C25" s="23"/>
      <c r="D25" s="23">
        <f>(SUM(D5:D24))</f>
        <v>-2.313321300000009</v>
      </c>
      <c r="S25" s="23"/>
      <c r="T25" s="23"/>
    </row>
    <row r="26" spans="2:20">
      <c r="S26" s="23"/>
      <c r="T26" s="23"/>
    </row>
    <row r="27" spans="2:20">
      <c r="S27" s="23"/>
      <c r="T27" s="23"/>
    </row>
    <row r="28" spans="2:20">
      <c r="R28" s="1">
        <f>(SUM(R5:R27))</f>
        <v>9.9777175106593639</v>
      </c>
      <c r="S28" s="23"/>
      <c r="T28" s="23">
        <f>(SUM(T5:T27))</f>
        <v>-2.3133213000000037</v>
      </c>
    </row>
  </sheetData>
  <conditionalFormatting sqref="C5:C6 C12:C14 C16:C17 O9 O17 S5:S6">
    <cfRule type="cellIs" dxfId="93" priority="19" operator="lessThan">
      <formula>$J$3</formula>
    </cfRule>
    <cfRule type="cellIs" dxfId="92" priority="20" operator="greaterThan">
      <formula>$J$3</formula>
    </cfRule>
  </conditionalFormatting>
  <conditionalFormatting sqref="O3">
    <cfRule type="cellIs" dxfId="91" priority="1" operator="greaterThan">
      <formula>$J$3</formula>
    </cfRule>
    <cfRule type="cellIs" dxfId="9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N9" sqref="N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85" width="9.140625" style="14" customWidth="1"/>
    <col min="186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0.56411417125236007</v>
      </c>
      <c r="M3" t="s">
        <v>4</v>
      </c>
      <c r="N3" s="35">
        <f>(INDEX(N5:N22,MATCH(MAX(O6:O8),O5:O22,0))/0.85)</f>
        <v>2.223529411764706</v>
      </c>
      <c r="O3" s="24">
        <f>(MAX(O6:O8)*0.75)</f>
        <v>0.41447051190476192</v>
      </c>
      <c r="P3" s="23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2.1446759952789409</v>
      </c>
      <c r="K4" s="4">
        <f>(J4/D14-1)</f>
        <v>-16.419919774673708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7.5192700000000001E-2</v>
      </c>
      <c r="C6" s="28">
        <v>0</v>
      </c>
      <c r="D6" s="28">
        <f>(B6*C6)</f>
        <v>0</v>
      </c>
      <c r="E6" s="23">
        <f>(B6*J3)</f>
        <v>4.2417267644727336E-2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 t="s">
        <v>12</v>
      </c>
      <c r="R6" s="47">
        <f>(B6)</f>
        <v>7.5192700000000001E-2</v>
      </c>
      <c r="S6" s="28">
        <v>0</v>
      </c>
      <c r="T6" s="28">
        <f>(D6)</f>
        <v>0</v>
      </c>
      <c r="U6" s="23">
        <f>(E6)</f>
        <v>4.2417267644727336E-2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 t="s">
        <v>12</v>
      </c>
      <c r="R7" s="35"/>
      <c r="S7" s="23"/>
      <c r="T7" s="23"/>
      <c r="U7" s="24"/>
    </row>
    <row r="8" spans="2:21">
      <c r="B8" s="35">
        <v>-1.89</v>
      </c>
      <c r="C8" s="23">
        <f>D8/B8</f>
        <v>0.55262734920634926</v>
      </c>
      <c r="D8" s="23">
        <v>-1.04446569</v>
      </c>
      <c r="N8" s="35">
        <f>-B8</f>
        <v>1.89</v>
      </c>
      <c r="O8" s="23">
        <f>P8/N8</f>
        <v>0.55262734920634926</v>
      </c>
      <c r="P8" s="23">
        <f>-D8</f>
        <v>1.04446569</v>
      </c>
      <c r="Q8" s="24" t="s">
        <v>12</v>
      </c>
      <c r="R8" s="35"/>
      <c r="S8" s="23"/>
      <c r="T8" s="23"/>
    </row>
    <row r="9" spans="2:21">
      <c r="B9" s="35"/>
      <c r="C9" s="23"/>
      <c r="D9" s="23"/>
      <c r="N9" s="35">
        <f>4*($B$14-B7-B8)/5+B7+B8</f>
        <v>1.9048779200000012</v>
      </c>
      <c r="O9" s="23">
        <f>($C$5*[1]Params!K11)</f>
        <v>1.1690120786260096</v>
      </c>
      <c r="P9" s="23">
        <f>(O9*N9)</f>
        <v>2.2268252967879913</v>
      </c>
      <c r="Q9" s="24"/>
    </row>
    <row r="10" spans="2:21">
      <c r="B10" s="35"/>
      <c r="C10" s="23"/>
      <c r="D10" s="23"/>
    </row>
    <row r="12" spans="2:21">
      <c r="P12" s="23">
        <f>(SUM(P6:P9))</f>
        <v>4.5419459867879919</v>
      </c>
    </row>
    <row r="13" spans="2:21">
      <c r="F13" t="s">
        <v>9</v>
      </c>
      <c r="G13" s="23">
        <f>(D14/B14)</f>
        <v>-3.6583469920439121E-2</v>
      </c>
    </row>
    <row r="14" spans="2:21">
      <c r="B14" s="35">
        <f>(SUM(B5:B13))</f>
        <v>3.8018474000000015</v>
      </c>
      <c r="D14" s="23">
        <f>(SUM(D5:D13))</f>
        <v>-0.13908476999999975</v>
      </c>
    </row>
    <row r="17" spans="11:20">
      <c r="N17" s="35"/>
      <c r="R17" s="35">
        <f>(SUM(R5:R16))</f>
        <v>9.4848474000000014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89" priority="13" operator="lessThan">
      <formula>$J$3</formula>
    </cfRule>
    <cfRule type="cellIs" dxfId="88" priority="14" operator="greaterThan">
      <formula>$J$3</formula>
    </cfRule>
  </conditionalFormatting>
  <conditionalFormatting sqref="O9">
    <cfRule type="cellIs" dxfId="87" priority="9" operator="lessThan">
      <formula>$J$3</formula>
    </cfRule>
    <cfRule type="cellIs" dxfId="86" priority="10" operator="greaterThan">
      <formula>$J$3</formula>
    </cfRule>
  </conditionalFormatting>
  <conditionalFormatting sqref="S5">
    <cfRule type="cellIs" dxfId="85" priority="7" operator="lessThan">
      <formula>$J$3</formula>
    </cfRule>
    <cfRule type="cellIs" dxfId="84" priority="8" operator="greaterThan">
      <formula>$J$3</formula>
    </cfRule>
  </conditionalFormatting>
  <conditionalFormatting sqref="G13">
    <cfRule type="cellIs" dxfId="83" priority="3" operator="lessThan">
      <formula>$J$3</formula>
    </cfRule>
    <cfRule type="cellIs" dxfId="82" priority="4" operator="greaterThan">
      <formula>$J$3</formula>
    </cfRule>
  </conditionalFormatting>
  <conditionalFormatting sqref="O3">
    <cfRule type="cellIs" dxfId="81" priority="1" operator="greaterThan">
      <formula>$J$3</formula>
    </cfRule>
    <cfRule type="cellIs" dxfId="80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41" sqref="X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1.0339196814540829E-5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4.5470854994797891</v>
      </c>
      <c r="K4" s="4">
        <f>(J4/D13-1)</f>
        <v>-9.6006858950340224E-2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259.3</v>
      </c>
      <c r="C6" s="28">
        <v>0</v>
      </c>
      <c r="D6" s="29">
        <f>(B6*C6)</f>
        <v>0</v>
      </c>
      <c r="E6" s="23">
        <f>(B6*J3)</f>
        <v>2.6809537340104373E-3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1.1437251396106397E-5</v>
      </c>
    </row>
    <row r="13" spans="2:16">
      <c r="B13">
        <f>(SUM(B5:B12))</f>
        <v>439790.98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79" priority="5" operator="lessThan">
      <formula>$J$3</formula>
    </cfRule>
    <cfRule type="cellIs" dxfId="78" priority="6" operator="greaterThan">
      <formula>$J$3</formula>
    </cfRule>
  </conditionalFormatting>
  <conditionalFormatting sqref="J3">
    <cfRule type="cellIs" dxfId="77" priority="3" operator="lessThan">
      <formula>$J$3</formula>
    </cfRule>
    <cfRule type="cellIs" dxfId="76" priority="4" operator="greaterThan">
      <formula>$J$3</formula>
    </cfRule>
  </conditionalFormatting>
  <conditionalFormatting sqref="O6:O9">
    <cfRule type="cellIs" dxfId="75" priority="1" operator="lessThan">
      <formula>$J$3</formula>
    </cfRule>
    <cfRule type="cellIs" dxfId="74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4.7059709637987191E-3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2.820758995700952</v>
      </c>
      <c r="K4" s="4">
        <f>(J4/D10-1)</f>
        <v>-5.9747001433016034E-2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73" priority="5" operator="lessThan">
      <formula>$J$3</formula>
    </cfRule>
    <cfRule type="cellIs" dxfId="72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T29" sqref="T2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101.48861800763051</v>
      </c>
      <c r="M3" t="s">
        <v>4</v>
      </c>
      <c r="N3" s="26">
        <f>(INDEX(N5:N26,MATCH(MAX(O6:O9,O23:O25,O14:O17),O5:O26,0))/0.85)</f>
        <v>1.4470588235294117</v>
      </c>
      <c r="O3" s="24">
        <f>(MAX(O14:O17,O23:O25,O6:O9)*0.75)</f>
        <v>83.37837707926829</v>
      </c>
      <c r="P3" s="23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(B46*J3)</f>
        <v>268.64053434947544</v>
      </c>
      <c r="K4" s="4">
        <f>(J4/D46-1)</f>
        <v>-3.877024296646066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0.21312609781602404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(B17+B21+B37-N16-N17)</f>
        <v>1.2297094999999998</v>
      </c>
      <c r="S13" s="23">
        <f>(T13/R13)</f>
        <v>25.116785725409141</v>
      </c>
      <c r="T13" s="23">
        <f>(D17+11.97*B21+B37*19.42078-N16*19.42078-N17*20.2879)</f>
        <v>30.886350016000005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0.62527269489705062</v>
      </c>
      <c r="I14" s="26"/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6.3127210000000003E-2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5.3563459834831878E-2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0.77203299000000014</v>
      </c>
      <c r="S15" s="23">
        <f>(T15/R15)</f>
        <v>23.979413625834816</v>
      </c>
      <c r="T15" s="23">
        <f>(D19+12.6*B22+20.2393*B39-20.2393*N25)</f>
        <v>18.512898399999997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6.0534094999999999</v>
      </c>
      <c r="C17" s="23">
        <f>(D17/B17)</f>
        <v>20.408333518490696</v>
      </c>
      <c r="D17" s="23">
        <v>123.54</v>
      </c>
      <c r="E17" t="s">
        <v>10</v>
      </c>
      <c r="N17" s="26">
        <f>-B42</f>
        <v>1.23</v>
      </c>
      <c r="O17" s="23">
        <f>P17/N17</f>
        <v>111.1711694390244</v>
      </c>
      <c r="P17" s="23">
        <f>-D42</f>
        <v>136.74053841</v>
      </c>
      <c r="Q17" t="s">
        <v>12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6.3127210000000003E-2</v>
      </c>
      <c r="C18" s="28">
        <v>0</v>
      </c>
      <c r="D18" s="29">
        <v>0</v>
      </c>
      <c r="E18" s="24">
        <f>B18*J3</f>
        <v>6.406693301577473</v>
      </c>
      <c r="N18" s="26"/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1.87547299</v>
      </c>
      <c r="C19" s="23">
        <f t="shared" ref="C19:C32" si="1">(D19/B19)</f>
        <v>21.487912763808982</v>
      </c>
      <c r="D19" s="23">
        <v>40.299999999999997</v>
      </c>
      <c r="E19" t="s">
        <v>15</v>
      </c>
      <c r="O19" s="23"/>
      <c r="P19" s="23">
        <f>(SUM(P14:P17))</f>
        <v>264.01526285023039</v>
      </c>
      <c r="R19" s="26">
        <f>(B26+B27)+B43+B44</f>
        <v>5.9467390000000009E-2</v>
      </c>
      <c r="S19" s="23">
        <v>0</v>
      </c>
      <c r="T19" s="23">
        <f>(D26+D27)+D43+D44</f>
        <v>-2.6994419700000023</v>
      </c>
      <c r="U19" t="s">
        <v>86</v>
      </c>
      <c r="V19" s="24">
        <f>-T19+R19*$J$3</f>
        <v>8.7347051976207908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4.4178673298091891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5.0295098337830861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38.367061801335709</v>
      </c>
      <c r="P24" s="23">
        <f>(O24*N24)</f>
        <v>24.93859017086821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4*($B$19+R19)/5-$N$25-N24-N23</f>
        <v>0.44451230400000014</v>
      </c>
      <c r="O26" s="23">
        <f>($S$15*[1]Params!K11)</f>
        <v>119.89706812917407</v>
      </c>
      <c r="P26" s="23">
        <f>O26*N26</f>
        <v>53.295721996944152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97.298354527581992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R29" s="26">
        <f>B42-B42</f>
        <v>0</v>
      </c>
      <c r="S29" s="23">
        <v>0</v>
      </c>
      <c r="T29" s="23">
        <f>-P17+N17*20.2879</f>
        <v>-111.78642141</v>
      </c>
      <c r="U29" t="s">
        <v>99</v>
      </c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R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4" si="2">D33/B33</f>
        <v>28.47092</v>
      </c>
      <c r="D33" s="23">
        <f>-2.8715+0.024408</f>
        <v>-2.847092</v>
      </c>
      <c r="E33" s="23"/>
      <c r="S33" s="23"/>
      <c r="T33" s="23"/>
      <c r="U33" s="24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B42" s="26">
        <v>-1.23</v>
      </c>
      <c r="C42" s="23">
        <f t="shared" si="2"/>
        <v>111.1711694390244</v>
      </c>
      <c r="D42" s="23">
        <v>-136.74053841</v>
      </c>
      <c r="E42" s="23"/>
      <c r="S42" s="23"/>
      <c r="T42" s="23"/>
    </row>
    <row r="43" spans="2:23">
      <c r="B43" s="26">
        <v>-0.375</v>
      </c>
      <c r="C43" s="23">
        <f t="shared" si="2"/>
        <v>123.01216330666666</v>
      </c>
      <c r="D43" s="23">
        <v>-46.129561240000001</v>
      </c>
      <c r="E43" s="23"/>
      <c r="S43" s="23"/>
      <c r="T43" s="23"/>
    </row>
    <row r="44" spans="2:23">
      <c r="B44" s="26">
        <v>0.42808296000000001</v>
      </c>
      <c r="C44" s="23">
        <f t="shared" si="2"/>
        <v>101.61581764431828</v>
      </c>
      <c r="D44" s="23">
        <v>43.5</v>
      </c>
      <c r="E44" s="23"/>
      <c r="S44" s="23"/>
      <c r="T44" s="23"/>
    </row>
    <row r="45" spans="2:23">
      <c r="C45" s="23"/>
      <c r="D45" s="23"/>
      <c r="E45" s="23"/>
      <c r="S45" s="23"/>
      <c r="T45" s="23"/>
    </row>
    <row r="46" spans="2:23">
      <c r="B46" s="26">
        <f>(SUM(B5:B45))</f>
        <v>2.6470016010000004</v>
      </c>
      <c r="C46" s="23"/>
      <c r="D46" s="23">
        <f>(SUM(D5:D45))</f>
        <v>-93.37444062000003</v>
      </c>
      <c r="E46" s="23"/>
      <c r="F46" t="s">
        <v>9</v>
      </c>
      <c r="G46" s="23">
        <f>(D46/B46)</f>
        <v>-35.275551244368145</v>
      </c>
      <c r="R46" s="26">
        <f>(SUM(R5:R36))</f>
        <v>2.6470016009999999</v>
      </c>
      <c r="S46" s="23"/>
      <c r="T46" s="23">
        <f>(SUM(T5:T36))</f>
        <v>-93.376440489769621</v>
      </c>
      <c r="V46" t="s">
        <v>9</v>
      </c>
      <c r="W46" s="23">
        <f>(T46/R46)</f>
        <v>-35.276306767057989</v>
      </c>
    </row>
    <row r="47" spans="2:23">
      <c r="M47" s="26"/>
      <c r="S47" s="23"/>
      <c r="T47" s="23"/>
    </row>
    <row r="50" spans="14:14">
      <c r="N50" s="26"/>
    </row>
  </sheetData>
  <conditionalFormatting sqref="C5 C8:C10 S5">
    <cfRule type="cellIs" dxfId="71" priority="109" operator="lessThan">
      <formula>$J$3</formula>
    </cfRule>
    <cfRule type="cellIs" dxfId="70" priority="110" operator="greaterThan">
      <formula>$J$3</formula>
    </cfRule>
  </conditionalFormatting>
  <conditionalFormatting sqref="C16:C17">
    <cfRule type="cellIs" dxfId="69" priority="93" operator="lessThan">
      <formula>$J$3</formula>
    </cfRule>
    <cfRule type="cellIs" dxfId="68" priority="94" operator="greaterThan">
      <formula>$J$3</formula>
    </cfRule>
    <cfRule type="cellIs" dxfId="67" priority="95" operator="lessThan">
      <formula>$J$3</formula>
    </cfRule>
    <cfRule type="cellIs" dxfId="66" priority="96" operator="greaterThan">
      <formula>$J$3</formula>
    </cfRule>
    <cfRule type="cellIs" dxfId="65" priority="103" operator="lessThan">
      <formula>$J$3</formula>
    </cfRule>
    <cfRule type="cellIs" dxfId="64" priority="104" operator="greaterThan">
      <formula>$J$3</formula>
    </cfRule>
  </conditionalFormatting>
  <conditionalFormatting sqref="C19:C20 G46 W46">
    <cfRule type="cellIs" dxfId="63" priority="87" operator="lessThan">
      <formula>$J$3</formula>
    </cfRule>
    <cfRule type="cellIs" dxfId="62" priority="88" operator="greaterThan">
      <formula>$J$3</formula>
    </cfRule>
    <cfRule type="cellIs" dxfId="61" priority="89" operator="lessThan">
      <formula>$J$3</formula>
    </cfRule>
    <cfRule type="cellIs" dxfId="60" priority="90" operator="greaterThan">
      <formula>$J$3</formula>
    </cfRule>
    <cfRule type="cellIs" dxfId="59" priority="91" operator="lessThan">
      <formula>$J$3</formula>
    </cfRule>
    <cfRule type="cellIs" dxfId="58" priority="92" operator="greaterThan">
      <formula>$J$3</formula>
    </cfRule>
    <cfRule type="cellIs" dxfId="57" priority="101" operator="lessThan">
      <formula>$J$3</formula>
    </cfRule>
    <cfRule type="cellIs" dxfId="56" priority="102" operator="greaterThan">
      <formula>$J$3</formula>
    </cfRule>
  </conditionalFormatting>
  <conditionalFormatting sqref="C27:C28 C30:C31 C34:C35">
    <cfRule type="cellIs" dxfId="55" priority="79" operator="lessThan">
      <formula>$J$3</formula>
    </cfRule>
    <cfRule type="cellIs" dxfId="54" priority="80" operator="greaterThan">
      <formula>$J$3</formula>
    </cfRule>
    <cfRule type="cellIs" dxfId="53" priority="81" operator="lessThan">
      <formula>$J$3</formula>
    </cfRule>
    <cfRule type="cellIs" dxfId="52" priority="82" operator="greaterThan">
      <formula>$J$3</formula>
    </cfRule>
    <cfRule type="cellIs" dxfId="51" priority="83" operator="lessThan">
      <formula>$J$3</formula>
    </cfRule>
    <cfRule type="cellIs" dxfId="50" priority="84" operator="greaterThan">
      <formula>$J$3</formula>
    </cfRule>
    <cfRule type="cellIs" dxfId="49" priority="85" operator="lessThan">
      <formula>$J$3</formula>
    </cfRule>
    <cfRule type="cellIs" dxfId="48" priority="86" operator="greaterThan">
      <formula>$J$3</formula>
    </cfRule>
    <cfRule type="cellIs" dxfId="47" priority="99" operator="lessThan">
      <formula>$J$3</formula>
    </cfRule>
    <cfRule type="cellIs" dxfId="46" priority="100" operator="greaterThan">
      <formula>$J$3</formula>
    </cfRule>
  </conditionalFormatting>
  <conditionalFormatting sqref="S12:S13 S15:S16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</conditionalFormatting>
  <conditionalFormatting sqref="O3">
    <cfRule type="cellIs" dxfId="41" priority="55" operator="greaterThan">
      <formula>$J$3</formula>
    </cfRule>
    <cfRule type="cellIs" dxfId="40" priority="56" operator="lessThan">
      <formula>$J$3</formula>
    </cfRule>
  </conditionalFormatting>
  <conditionalFormatting sqref="C44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7" operator="lessThan">
      <formula>$J$3</formula>
    </cfRule>
    <cfRule type="cellIs" dxfId="36" priority="8" operator="greaterThan">
      <formula>$J$3</formula>
    </cfRule>
    <cfRule type="cellIs" dxfId="35" priority="9" operator="lessThan">
      <formula>$J$3</formula>
    </cfRule>
    <cfRule type="cellIs" dxfId="34" priority="10" operator="greaterThan">
      <formula>$J$3</formula>
    </cfRule>
    <cfRule type="cellIs" dxfId="33" priority="11" operator="lessThan">
      <formula>$J$3</formula>
    </cfRule>
    <cfRule type="cellIs" dxfId="32" priority="12" operator="greaterThan">
      <formula>$J$3</formula>
    </cfRule>
    <cfRule type="cellIs" dxfId="31" priority="13" operator="lessThan">
      <formula>$J$3</formula>
    </cfRule>
    <cfRule type="cellIs" dxfId="30" priority="14" operator="greaterThan">
      <formula>$J$3</formula>
    </cfRule>
  </conditionalFormatting>
  <conditionalFormatting sqref="O26">
    <cfRule type="cellIs" dxfId="29" priority="1" operator="lessThan">
      <formula>$J$3</formula>
    </cfRule>
    <cfRule type="cellIs" dxfId="28" priority="2" operator="greaterThan">
      <formula>$J$3</formula>
    </cfRule>
    <cfRule type="cellIs" dxfId="27" priority="3" operator="lessThan">
      <formula>$J$3</formula>
    </cfRule>
    <cfRule type="cellIs" dxfId="26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0.10775079281486651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1.0075894752537251</v>
      </c>
      <c r="K4" s="4">
        <f>(J4/D13-1)</f>
        <v>1.0151789505074502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0.24985125</v>
      </c>
      <c r="C6" s="28">
        <v>0</v>
      </c>
      <c r="D6" s="29">
        <f>(B6*C6)</f>
        <v>0</v>
      </c>
      <c r="E6" s="23">
        <f>(B6*J3)</f>
        <v>2.6921670273285413E-2</v>
      </c>
      <c r="G6" s="23"/>
      <c r="M6" t="s">
        <v>11</v>
      </c>
      <c r="N6" s="19">
        <f>($B$13/5)</f>
        <v>1.8702219240000002</v>
      </c>
      <c r="O6" s="45">
        <f>($C$5*[1]Params!K8)</f>
        <v>7.1418695478700056E-2</v>
      </c>
      <c r="P6" s="23">
        <f>(O6*N6)</f>
        <v>0.13356881006774454</v>
      </c>
      <c r="Q6" s="23">
        <f>N6*$J$3</f>
        <v>0.20151789505074502</v>
      </c>
    </row>
    <row r="7" spans="2:17">
      <c r="C7" s="23"/>
      <c r="D7" s="23"/>
      <c r="E7" s="23"/>
      <c r="G7" s="23"/>
      <c r="N7" s="19">
        <f>($B$13/5)</f>
        <v>1.8702219240000002</v>
      </c>
      <c r="O7" s="45">
        <f>($C$5*[1]Params!K9)</f>
        <v>8.7899932896861599E-2</v>
      </c>
      <c r="P7" s="23">
        <f>(O7*N7)</f>
        <v>0.16439238162183942</v>
      </c>
      <c r="Q7" s="23">
        <f>Q6*2</f>
        <v>0.40303579010149004</v>
      </c>
    </row>
    <row r="8" spans="2:17">
      <c r="C8" s="23"/>
      <c r="D8" s="23"/>
      <c r="E8" s="23"/>
      <c r="G8" s="23"/>
      <c r="N8" s="19">
        <f>($B$13/5)</f>
        <v>1.8702219240000002</v>
      </c>
      <c r="O8" s="45">
        <f>($C$5*[1]Params!K10)</f>
        <v>0.12086240773318471</v>
      </c>
      <c r="P8" s="23">
        <f>(O8*N8)</f>
        <v>0.22603952473002922</v>
      </c>
      <c r="Q8" s="23">
        <f>Q6*3</f>
        <v>0.60455368515223507</v>
      </c>
    </row>
    <row r="9" spans="2:17">
      <c r="C9" s="23"/>
      <c r="D9" s="23"/>
      <c r="E9" s="23"/>
      <c r="G9" s="23"/>
      <c r="N9" s="19">
        <f>($B$13/5)</f>
        <v>1.8702219240000002</v>
      </c>
      <c r="O9" s="45">
        <f>($C$5*[1]Params!K11)</f>
        <v>0.27468729030269251</v>
      </c>
      <c r="P9" s="23">
        <f>(O9*N9)</f>
        <v>0.51372619256824814</v>
      </c>
      <c r="Q9" s="23">
        <f>Q6*4</f>
        <v>0.80607158020298009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1.0377269089878614</v>
      </c>
    </row>
    <row r="12" spans="2:17">
      <c r="C12" s="23"/>
      <c r="D12" s="23"/>
      <c r="E12" s="23"/>
      <c r="F12" t="s">
        <v>9</v>
      </c>
      <c r="G12" s="23">
        <f>(D13/B13)</f>
        <v>5.3469590275212704E-2</v>
      </c>
    </row>
    <row r="13" spans="2:17">
      <c r="B13">
        <f>(SUM(B5:B12))</f>
        <v>9.3511096200000008</v>
      </c>
      <c r="C13" s="23"/>
      <c r="D13" s="23">
        <f>(SUM(D5:D12))</f>
        <v>0.5</v>
      </c>
      <c r="E13" s="23"/>
      <c r="G13" s="23"/>
    </row>
  </sheetData>
  <conditionalFormatting sqref="C5">
    <cfRule type="cellIs" dxfId="25" priority="7" operator="lessThan">
      <formula>$J$3</formula>
    </cfRule>
    <cfRule type="cellIs" dxfId="24" priority="8" operator="greaterThan">
      <formula>$J$3</formula>
    </cfRule>
  </conditionalFormatting>
  <conditionalFormatting sqref="O6:O9">
    <cfRule type="cellIs" dxfId="23" priority="5" operator="lessThan">
      <formula>$J$3</formula>
    </cfRule>
    <cfRule type="cellIs" dxfId="22" priority="6" operator="greaterThan">
      <formula>$J$3</formula>
    </cfRule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3"/>
      <c r="D3" s="23"/>
      <c r="E3" s="23"/>
      <c r="G3" s="23"/>
      <c r="H3" s="23"/>
      <c r="I3" t="s">
        <v>3</v>
      </c>
      <c r="J3" s="23">
        <v>7.234676842797521</v>
      </c>
      <c r="M3" t="s">
        <v>4</v>
      </c>
      <c r="N3" s="19">
        <f>(INDEX(N5:N14,MATCH(MAX(O6),O5:O14,0))/0.85)</f>
        <v>0.48117647058823526</v>
      </c>
      <c r="O3" s="52">
        <f>(MAX(O6)*0.75)</f>
        <v>5.677519621026895</v>
      </c>
      <c r="P3" s="23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12.635315863506088</v>
      </c>
      <c r="K4" s="4">
        <f>(J4/D10-1)</f>
        <v>0.41908305576056071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3">
        <f>(D5/B5)</f>
        <v>5.5739207211501469</v>
      </c>
      <c r="D5" s="23">
        <v>12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3">
        <f>(T5/R5)</f>
        <v>4.5305303587888641</v>
      </c>
      <c r="T5" s="23">
        <f>D5-5.49217*N6</f>
        <v>9.7537024700000003</v>
      </c>
    </row>
    <row r="6" spans="2:21">
      <c r="B6" s="2">
        <v>2.6103200000000002E-3</v>
      </c>
      <c r="C6" s="28">
        <v>0</v>
      </c>
      <c r="D6" s="28">
        <f>(B6*C6)</f>
        <v>0</v>
      </c>
      <c r="E6" s="23">
        <f>(B6*J3)</f>
        <v>1.8884821656291226E-2</v>
      </c>
      <c r="G6" s="23"/>
      <c r="H6" s="23"/>
      <c r="J6" s="23"/>
      <c r="M6" t="s">
        <v>11</v>
      </c>
      <c r="N6" s="1">
        <f>-B7</f>
        <v>0.40899999999999997</v>
      </c>
      <c r="O6" s="45">
        <f>P6/N6</f>
        <v>7.570026161369193</v>
      </c>
      <c r="P6" s="23">
        <f>-D7</f>
        <v>3.0961406999999999</v>
      </c>
      <c r="Q6" t="s">
        <v>12</v>
      </c>
      <c r="R6" s="2">
        <f>(B6)</f>
        <v>2.6103200000000002E-3</v>
      </c>
      <c r="S6" s="28">
        <f>0</f>
        <v>0</v>
      </c>
      <c r="T6" s="28">
        <f>(D6)</f>
        <v>0</v>
      </c>
    </row>
    <row r="7" spans="2:21">
      <c r="B7">
        <f>-0.409</f>
        <v>-0.40899999999999997</v>
      </c>
      <c r="C7" s="23">
        <f>D7/B7</f>
        <v>7.570026161369193</v>
      </c>
      <c r="D7" s="23">
        <f>-3.0961407</f>
        <v>-3.0961406999999999</v>
      </c>
      <c r="E7" s="23"/>
      <c r="G7" s="23"/>
      <c r="H7" s="23"/>
      <c r="J7" s="23"/>
      <c r="N7" s="1">
        <f>2*($B$5+$B$6)/5-$N$6</f>
        <v>0.45319738800000003</v>
      </c>
      <c r="O7" s="45">
        <f>($C$5*[1]Params!K9)</f>
        <v>8.9182731538402358</v>
      </c>
      <c r="P7" s="23">
        <f>(O7*N7)</f>
        <v>4.0417380987909173</v>
      </c>
      <c r="R7" s="26">
        <f>B7-B7</f>
        <v>0</v>
      </c>
      <c r="S7" s="23">
        <v>0</v>
      </c>
      <c r="T7" s="23">
        <f>D7-B7*5.49217</f>
        <v>-0.8498431700000002</v>
      </c>
      <c r="U7" t="s">
        <v>100</v>
      </c>
    </row>
    <row r="8" spans="2:21">
      <c r="C8" s="23"/>
      <c r="D8" s="23"/>
      <c r="E8" s="23"/>
      <c r="G8" s="23"/>
      <c r="H8" s="23"/>
      <c r="J8" s="23"/>
      <c r="N8" s="1">
        <f>($B$5/5)</f>
        <v>0.43057663000000002</v>
      </c>
      <c r="O8" s="45">
        <f>($C$5*[1]Params!K10)</f>
        <v>12.262625586530325</v>
      </c>
      <c r="P8" s="23">
        <f>(O8*N8)</f>
        <v>5.2800000000000011</v>
      </c>
      <c r="R8" s="19"/>
      <c r="S8" s="24"/>
      <c r="T8" s="24"/>
    </row>
    <row r="9" spans="2:21">
      <c r="C9" s="23"/>
      <c r="D9" s="23"/>
      <c r="E9" s="23"/>
      <c r="F9" t="s">
        <v>9</v>
      </c>
      <c r="G9" s="23">
        <f>(D10/B10)</f>
        <v>5.0981348931124257</v>
      </c>
      <c r="H9" s="23"/>
      <c r="J9" s="23"/>
      <c r="N9" s="1">
        <f>($B$5/5)</f>
        <v>0.43057663000000002</v>
      </c>
      <c r="O9" s="45">
        <f>($C$5*[1]Params!K11)</f>
        <v>27.869603605750733</v>
      </c>
      <c r="P9" s="23">
        <f>(O9*N9)</f>
        <v>12</v>
      </c>
    </row>
    <row r="10" spans="2:21">
      <c r="B10" s="1">
        <f>(SUM(B5:B9))</f>
        <v>1.7464934700000001</v>
      </c>
      <c r="C10" s="23"/>
      <c r="D10" s="23">
        <f>(SUM(D5:D9))</f>
        <v>8.9038593000000006</v>
      </c>
      <c r="E10" s="23"/>
      <c r="G10" s="23"/>
      <c r="H10" s="23"/>
      <c r="J10" s="23"/>
      <c r="O10" s="23"/>
      <c r="P10" s="23"/>
    </row>
    <row r="11" spans="2:21">
      <c r="O11" s="23"/>
      <c r="P11" s="23">
        <f>(SUM(P6:P9))</f>
        <v>24.417878798790916</v>
      </c>
    </row>
    <row r="12" spans="2:21">
      <c r="O12" s="23"/>
      <c r="P12" s="23"/>
    </row>
    <row r="13" spans="2:21">
      <c r="O13" s="23"/>
      <c r="P13" s="23"/>
    </row>
    <row r="18" spans="18:20">
      <c r="R18">
        <f>(SUM(R5:R17))</f>
        <v>2.1554934700000001</v>
      </c>
      <c r="T18" s="23">
        <f>(SUM(T5:T17))</f>
        <v>8.9038593000000006</v>
      </c>
    </row>
  </sheetData>
  <conditionalFormatting sqref="C5">
    <cfRule type="cellIs" dxfId="19" priority="9" operator="lessThan">
      <formula>$J$3</formula>
    </cfRule>
    <cfRule type="cellIs" dxfId="18" priority="10" operator="greaterThan">
      <formula>$J$3</formula>
    </cfRule>
  </conditionalFormatting>
  <conditionalFormatting sqref="O7:O9">
    <cfRule type="cellIs" dxfId="17" priority="7" operator="lessThan">
      <formula>$J$3</formula>
    </cfRule>
    <cfRule type="cellIs" dxfId="16" priority="8" operator="greaterThan">
      <formula>$J$3</formula>
    </cfRule>
  </conditionalFormatting>
  <conditionalFormatting sqref="G9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3">
    <cfRule type="cellIs" dxfId="13" priority="3" operator="greaterThan">
      <formula>$J$3</formula>
    </cfRule>
    <cfRule type="cellIs" dxfId="12" priority="4" operator="lessThan">
      <formula>$J$3</formula>
    </cfRule>
  </conditionalFormatting>
  <conditionalFormatting sqref="S5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0.61455322364634024</v>
      </c>
      <c r="M3" t="s">
        <v>4</v>
      </c>
      <c r="N3" s="19">
        <f>(INDEX(N5:N14,MATCH(MAX(O6:O7),O5:O14,0))/0.9)</f>
        <v>17.155555555555555</v>
      </c>
      <c r="O3" s="52">
        <f>(MAX(O6:O7)*0.85)</f>
        <v>0.48366312490284974</v>
      </c>
      <c r="P3" s="23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19.037974975098653</v>
      </c>
      <c r="K4" s="4">
        <f>(J4/D14-1)</f>
        <v>7.1422110125223703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54.385836130000001</v>
      </c>
      <c r="S5" s="23">
        <f>(T5/R5)</f>
        <v>0.35119437999159803</v>
      </c>
      <c r="T5" s="23">
        <f>(SUM(D5:D7))</f>
        <v>19.100000000000001</v>
      </c>
    </row>
    <row r="6" spans="2:21">
      <c r="B6" s="20">
        <v>0.81082465999999997</v>
      </c>
      <c r="C6" s="28">
        <v>0</v>
      </c>
      <c r="D6" s="28">
        <f>(B6*C6)</f>
        <v>0</v>
      </c>
      <c r="E6" s="23">
        <f>(B6*J3)</f>
        <v>0.4982949086149478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-B12</f>
        <v>15.44</v>
      </c>
      <c r="O7" s="23">
        <f>P7/N7</f>
        <v>0.56901544106217616</v>
      </c>
      <c r="P7" s="23">
        <f>-D12</f>
        <v>8.7855984100000004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10.326187243333337</v>
      </c>
      <c r="O8" s="23">
        <f>($C$5*[1]Params!K10)</f>
        <v>0.78521945271816052</v>
      </c>
      <c r="P8" s="23">
        <f>(O8*N8)</f>
        <v>8.1083230958754537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10.326187243333337</v>
      </c>
      <c r="O9" s="23">
        <f>($C$5*[1]Params!K11)</f>
        <v>1.7845896652685465</v>
      </c>
      <c r="P9" s="23">
        <f>(O9*N9)</f>
        <v>18.428007036080572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40.374625901956023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7.5477437602781819E-2</v>
      </c>
    </row>
    <row r="14" spans="2:21">
      <c r="B14" s="19">
        <f>(SUM(B5:B13))</f>
        <v>30.97856173000001</v>
      </c>
      <c r="D14" s="23">
        <f>(SUM(D5:D13))</f>
        <v>2.3381824600000005</v>
      </c>
    </row>
    <row r="18" spans="12:20">
      <c r="R18">
        <f>(SUM(R5:R17))</f>
        <v>30.97856173000001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48" width="9.140625" style="14" customWidth="1"/>
    <col min="149" max="16384" width="9.140625" style="14"/>
  </cols>
  <sheetData>
    <row r="3" spans="2:21">
      <c r="I3" t="s">
        <v>3</v>
      </c>
      <c r="J3" s="45">
        <v>11.85009304583661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14.004746760478664</v>
      </c>
      <c r="K4" s="4">
        <f>(J4/D14-1)</f>
        <v>-6.630664361145755E-2</v>
      </c>
      <c r="R4" t="s">
        <v>5</v>
      </c>
      <c r="S4" t="s">
        <v>6</v>
      </c>
      <c r="T4" t="s">
        <v>7</v>
      </c>
    </row>
    <row r="5" spans="2:21">
      <c r="B5" s="1">
        <v>1.1813393400000001</v>
      </c>
      <c r="C5" s="23">
        <f>(D5/B5)</f>
        <v>12.696859820142787</v>
      </c>
      <c r="D5" s="23">
        <v>14.9993</v>
      </c>
      <c r="E5" t="s">
        <v>101</v>
      </c>
      <c r="N5" t="s">
        <v>32</v>
      </c>
      <c r="O5" t="s">
        <v>1</v>
      </c>
      <c r="P5" t="s">
        <v>2</v>
      </c>
      <c r="R5" s="19">
        <f>B5</f>
        <v>1.1813393400000001</v>
      </c>
      <c r="S5" s="23">
        <f>(T5/R5)</f>
        <v>12.696859820142787</v>
      </c>
      <c r="T5" s="23">
        <f>D5</f>
        <v>14.9993</v>
      </c>
    </row>
    <row r="6" spans="2:21">
      <c r="B6" s="2">
        <v>4.8654999999999998E-4</v>
      </c>
      <c r="C6" s="28">
        <v>0</v>
      </c>
      <c r="D6" s="28">
        <f>(B6*C6)</f>
        <v>0</v>
      </c>
      <c r="E6" s="23">
        <f>(B6*J3)</f>
        <v>5.7656627714518021E-3</v>
      </c>
      <c r="M6" t="s">
        <v>11</v>
      </c>
      <c r="N6" s="19">
        <f>(B$14/5)</f>
        <v>0.23636517800000001</v>
      </c>
      <c r="O6" s="23">
        <f>($C$5*[1]Params!K8)</f>
        <v>16.505917766185625</v>
      </c>
      <c r="P6" s="23">
        <f>(O6*N6)</f>
        <v>3.9014241908578278</v>
      </c>
      <c r="R6" s="19">
        <f>(B6)</f>
        <v>4.8654999999999998E-4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0.23636517800000001</v>
      </c>
      <c r="O7" s="23">
        <f>($C$5*[1]Params!K9)</f>
        <v>20.31497571222846</v>
      </c>
      <c r="P7" s="23">
        <f>(O7*N7)</f>
        <v>4.8017528502865572</v>
      </c>
      <c r="R7" s="19"/>
      <c r="S7" s="23"/>
      <c r="T7" s="24"/>
      <c r="U7" s="24"/>
    </row>
    <row r="8" spans="2:21">
      <c r="C8" s="23"/>
      <c r="D8" s="23"/>
      <c r="N8" s="19">
        <f>(B$14/5)</f>
        <v>0.23636517800000001</v>
      </c>
      <c r="O8" s="23">
        <f>($C$5*[1]Params!K10)</f>
        <v>27.933091604314136</v>
      </c>
      <c r="P8" s="23">
        <f>(O8*N8)</f>
        <v>6.6024101691440169</v>
      </c>
      <c r="R8" s="19"/>
      <c r="S8" s="24"/>
      <c r="T8" s="24"/>
    </row>
    <row r="9" spans="2:21">
      <c r="C9" s="24"/>
      <c r="D9" s="23"/>
      <c r="N9" s="19">
        <f>(B$14/5)</f>
        <v>0.23636517800000001</v>
      </c>
      <c r="O9" s="23">
        <f>($C$5*[1]Params!K11)</f>
        <v>63.48429910071394</v>
      </c>
      <c r="P9" s="23">
        <f>(O9*N9)</f>
        <v>15.005477657145491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30.311064867433892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12.691632605882411</v>
      </c>
    </row>
    <row r="14" spans="2:21">
      <c r="B14" s="19">
        <f>(SUM(B5:B13))</f>
        <v>1.18182589</v>
      </c>
      <c r="D14" s="23">
        <f>(SUM(D5:D13))</f>
        <v>14.9993</v>
      </c>
    </row>
    <row r="18" spans="12:20">
      <c r="R18">
        <f>(SUM(R5:R17))</f>
        <v>1.18182589</v>
      </c>
      <c r="T18" s="23">
        <f>(SUM(T5:T17))</f>
        <v>14.9993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48" width="9.140625" style="14" customWidth="1"/>
    <col min="149" max="16384" width="9.140625" style="14"/>
  </cols>
  <sheetData>
    <row r="3" spans="2:21">
      <c r="I3" t="s">
        <v>3</v>
      </c>
      <c r="J3" s="45">
        <v>2.935429862201655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12.346343763398947</v>
      </c>
      <c r="K4" s="4">
        <f>(J4/D14-1)</f>
        <v>-5.0200881351580073E-2</v>
      </c>
      <c r="R4" t="s">
        <v>5</v>
      </c>
      <c r="S4" t="s">
        <v>6</v>
      </c>
      <c r="T4" t="s">
        <v>7</v>
      </c>
    </row>
    <row r="5" spans="2:21">
      <c r="B5" s="35">
        <v>4.2058891300000001</v>
      </c>
      <c r="C5" s="23">
        <f>(D5/B5)</f>
        <v>3.0906425724065629</v>
      </c>
      <c r="D5" s="23">
        <v>12.998900000000001</v>
      </c>
      <c r="E5" t="s">
        <v>101</v>
      </c>
      <c r="N5" t="s">
        <v>32</v>
      </c>
      <c r="O5" t="s">
        <v>1</v>
      </c>
      <c r="P5" t="s">
        <v>2</v>
      </c>
      <c r="R5" s="19">
        <f>B5</f>
        <v>4.2058891300000001</v>
      </c>
      <c r="S5" s="23">
        <f>(T5/R5)</f>
        <v>3.0906425724065629</v>
      </c>
      <c r="T5" s="23">
        <f>D5</f>
        <v>12.998900000000001</v>
      </c>
    </row>
    <row r="6" spans="2:21">
      <c r="B6" s="47">
        <v>8.5580000000000004E-5</v>
      </c>
      <c r="C6" s="28">
        <v>0</v>
      </c>
      <c r="D6" s="28">
        <f>(B6*C6)</f>
        <v>0</v>
      </c>
      <c r="E6" s="23">
        <f>(B6*J3)</f>
        <v>2.5121408760721763E-4</v>
      </c>
      <c r="M6" t="s">
        <v>11</v>
      </c>
      <c r="N6" s="19">
        <f>(B$14/5)</f>
        <v>0.84119494200000011</v>
      </c>
      <c r="O6" s="23">
        <f>($C$5*[1]Params!K8)</f>
        <v>4.0178353441285317</v>
      </c>
      <c r="P6" s="23">
        <f>(O6*N6)</f>
        <v>3.3797827692697506</v>
      </c>
      <c r="R6" s="19">
        <f>(B6)</f>
        <v>8.5580000000000004E-5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0.84119494200000011</v>
      </c>
      <c r="O7" s="23">
        <f>($C$5*[1]Params!K9)</f>
        <v>4.9450281158505014</v>
      </c>
      <c r="P7" s="23">
        <f>(O7*N7)</f>
        <v>4.1597326391012324</v>
      </c>
      <c r="R7" s="19"/>
      <c r="S7" s="23"/>
      <c r="T7" s="24"/>
      <c r="U7" s="24"/>
    </row>
    <row r="8" spans="2:21">
      <c r="C8" s="23"/>
      <c r="D8" s="23"/>
      <c r="N8" s="19">
        <f>(B$14/5)</f>
        <v>0.84119494200000011</v>
      </c>
      <c r="O8" s="23">
        <f>($C$5*[1]Params!K10)</f>
        <v>6.799413659294439</v>
      </c>
      <c r="P8" s="23">
        <f>(O8*N8)</f>
        <v>5.7196323787641941</v>
      </c>
      <c r="R8" s="19"/>
      <c r="S8" s="24"/>
      <c r="T8" s="24"/>
    </row>
    <row r="9" spans="2:21">
      <c r="C9" s="24"/>
      <c r="D9" s="23"/>
      <c r="N9" s="19">
        <f>(B$14/5)</f>
        <v>0.84119494200000011</v>
      </c>
      <c r="O9" s="23">
        <f>($C$5*[1]Params!K11)</f>
        <v>15.453212862032814</v>
      </c>
      <c r="P9" s="23">
        <f>(O9*N9)</f>
        <v>12.999164497191348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26.258312284326525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3.0905796863433825</v>
      </c>
    </row>
    <row r="14" spans="2:21">
      <c r="B14" s="19">
        <f>(SUM(B5:B13))</f>
        <v>4.2059747100000004</v>
      </c>
      <c r="D14" s="23">
        <f>(SUM(D5:D13))</f>
        <v>12.998900000000001</v>
      </c>
    </row>
    <row r="18" spans="12:20">
      <c r="R18">
        <f>(SUM(R5:R17))</f>
        <v>4.2059747100000004</v>
      </c>
      <c r="T18" s="23">
        <f>(SUM(T5:T17))</f>
        <v>12.998900000000001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0.41348396157645301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2.5155537254388247</v>
      </c>
      <c r="K4" s="4">
        <f>(J4/D9-1)</f>
        <v>-0.91285870907526989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95" priority="9" operator="lessThan">
      <formula>$J$3</formula>
    </cfRule>
    <cfRule type="cellIs" dxfId="294" priority="10" operator="greaterThan">
      <formula>$J$3</formula>
    </cfRule>
  </conditionalFormatting>
  <conditionalFormatting sqref="O11:O14">
    <cfRule type="cellIs" dxfId="293" priority="7" operator="lessThan">
      <formula>$J$3</formula>
    </cfRule>
    <cfRule type="cellIs" dxfId="292" priority="8" operator="greaterThan">
      <formula>$J$3</formula>
    </cfRule>
  </conditionalFormatting>
  <conditionalFormatting sqref="O20:O23">
    <cfRule type="cellIs" dxfId="291" priority="5" operator="lessThan">
      <formula>$J$3</formula>
    </cfRule>
    <cfRule type="cellIs" dxfId="290" priority="6" operator="greaterThan">
      <formula>$J$3</formula>
    </cfRule>
  </conditionalFormatting>
  <conditionalFormatting sqref="O29:O32">
    <cfRule type="cellIs" dxfId="289" priority="3" operator="lessThan">
      <formula>$J$3</formula>
    </cfRule>
    <cfRule type="cellIs" dxfId="288" priority="4" operator="greaterThan">
      <formula>$J$3</formula>
    </cfRule>
  </conditionalFormatting>
  <conditionalFormatting sqref="N6">
    <cfRule type="cellIs" dxfId="287" priority="1" operator="lessThan">
      <formula>$J$3</formula>
    </cfRule>
    <cfRule type="cellIs" dxfId="28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745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5.5822784416089113E-3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10.053767343678579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-56.516639999999931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-250.96287265632137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-139.21287265632137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745</v>
      </c>
      <c r="E35">
        <f t="shared" ref="E35:E41" si="1">C35*D35</f>
        <v>4659.2299999999996</v>
      </c>
      <c r="F35" s="35">
        <f t="shared" ref="F35:F41" si="2">E35*$N$5</f>
        <v>3727.384</v>
      </c>
      <c r="G35" s="23">
        <v>3.5</v>
      </c>
      <c r="H35" s="36">
        <f>G51</f>
        <v>1.5615590400000001</v>
      </c>
      <c r="I35" s="24">
        <f t="shared" ref="I35:I42" si="3">((F35-H35*D35)*$J$3-G35)</f>
        <v>10.813087610400816</v>
      </c>
      <c r="J35">
        <v>1</v>
      </c>
      <c r="K35" s="37">
        <f t="shared" ref="K35:K41" si="4">I35*J35</f>
        <v>10.813087610400816</v>
      </c>
      <c r="L35" s="38">
        <v>31</v>
      </c>
      <c r="M35" s="38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745</v>
      </c>
      <c r="E36">
        <f t="shared" si="1"/>
        <v>719.67</v>
      </c>
      <c r="F36" s="35">
        <f t="shared" si="2"/>
        <v>575.73599999999999</v>
      </c>
      <c r="G36" s="23">
        <v>3.5</v>
      </c>
      <c r="H36" s="36">
        <f>G52</f>
        <v>0.21337130135885166</v>
      </c>
      <c r="I36" s="24">
        <f t="shared" si="3"/>
        <v>-1.1734493607888505</v>
      </c>
      <c r="J36">
        <v>1</v>
      </c>
      <c r="K36" s="37">
        <f t="shared" si="4"/>
        <v>-1.1734493607888505</v>
      </c>
      <c r="L36" s="38">
        <v>8.6999999999999993</v>
      </c>
      <c r="M36" s="38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745</v>
      </c>
      <c r="E37">
        <f t="shared" si="1"/>
        <v>633.995</v>
      </c>
      <c r="F37" s="35">
        <f t="shared" si="2"/>
        <v>507.19600000000003</v>
      </c>
      <c r="G37" s="23">
        <v>3.5</v>
      </c>
      <c r="H37" s="36">
        <f>G53</f>
        <v>0.18479602162162162</v>
      </c>
      <c r="I37" s="24">
        <f t="shared" si="3"/>
        <v>-1.4372199249868638</v>
      </c>
      <c r="J37">
        <v>1</v>
      </c>
      <c r="K37" s="37">
        <f t="shared" si="4"/>
        <v>-1.4372199249868638</v>
      </c>
      <c r="L37" s="38">
        <v>7.3</v>
      </c>
      <c r="M37" s="38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711</v>
      </c>
      <c r="E38">
        <f t="shared" si="1"/>
        <v>605.06100000000004</v>
      </c>
      <c r="F38" s="35">
        <f t="shared" si="2"/>
        <v>484.04880000000003</v>
      </c>
      <c r="G38" s="23">
        <v>0</v>
      </c>
      <c r="H38" s="36">
        <f>G53</f>
        <v>0.18479602162162162</v>
      </c>
      <c r="I38" s="24">
        <f t="shared" si="3"/>
        <v>1.9686397762877046</v>
      </c>
      <c r="J38">
        <v>3</v>
      </c>
      <c r="K38" s="37">
        <f t="shared" si="4"/>
        <v>5.9059193288631135</v>
      </c>
      <c r="L38" s="38">
        <f>L37</f>
        <v>7.3</v>
      </c>
      <c r="M38" s="38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653</v>
      </c>
      <c r="E39">
        <f t="shared" si="1"/>
        <v>555.70299999999997</v>
      </c>
      <c r="F39" s="35">
        <f t="shared" si="2"/>
        <v>444.56240000000003</v>
      </c>
      <c r="G39" s="23">
        <v>0</v>
      </c>
      <c r="H39" s="36">
        <f>H38</f>
        <v>0.18479602162162162</v>
      </c>
      <c r="I39" s="24">
        <f t="shared" si="3"/>
        <v>1.8080475019913802</v>
      </c>
      <c r="J39">
        <v>1</v>
      </c>
      <c r="K39" s="37">
        <f t="shared" si="4"/>
        <v>1.8080475019913802</v>
      </c>
      <c r="L39" s="38">
        <f>L38</f>
        <v>7.3</v>
      </c>
      <c r="M39" s="38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605</v>
      </c>
      <c r="E40">
        <f t="shared" si="1"/>
        <v>514.85500000000002</v>
      </c>
      <c r="F40" s="35">
        <f t="shared" si="2"/>
        <v>411.88400000000001</v>
      </c>
      <c r="G40" s="23">
        <v>0</v>
      </c>
      <c r="H40" s="36">
        <f>H39</f>
        <v>0.18479602162162162</v>
      </c>
      <c r="I40" s="24">
        <f t="shared" si="3"/>
        <v>1.675143550849594</v>
      </c>
      <c r="J40">
        <v>1</v>
      </c>
      <c r="K40" s="37">
        <f t="shared" si="4"/>
        <v>1.675143550849594</v>
      </c>
      <c r="L40" s="38">
        <f>L39</f>
        <v>7.3</v>
      </c>
      <c r="M40" s="38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0.21860207348292676</v>
      </c>
      <c r="J41" s="16">
        <v>1</v>
      </c>
      <c r="K41" s="41">
        <f t="shared" si="4"/>
        <v>0.21860207348292676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1.2182862187997048</v>
      </c>
      <c r="J42" s="16">
        <v>1</v>
      </c>
      <c r="K42" s="41">
        <f>(I42*J42)</f>
        <v>1.2182862187997048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</v>
      </c>
      <c r="M43" s="38">
        <f>L43*J43</f>
        <v>26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111.75</v>
      </c>
      <c r="O47" s="38">
        <f>(J13+SUM(G35:G41)-D77)</f>
        <v>2.0740153436785818</v>
      </c>
      <c r="P47">
        <f>(O47/J3)</f>
        <v>371.53563108199489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85" priority="17" operator="lessThan">
      <formula>$C$5</formula>
    </cfRule>
    <cfRule type="cellIs" dxfId="284" priority="18" operator="greaterThan">
      <formula>$C$5</formula>
    </cfRule>
  </conditionalFormatting>
  <conditionalFormatting sqref="L36">
    <cfRule type="cellIs" dxfId="283" priority="15" operator="lessThan">
      <formula>$C$6</formula>
    </cfRule>
    <cfRule type="cellIs" dxfId="282" priority="16" operator="greaterThan">
      <formula>$C$6</formula>
    </cfRule>
  </conditionalFormatting>
  <conditionalFormatting sqref="L40">
    <cfRule type="cellIs" dxfId="281" priority="13" operator="lessThan">
      <formula>$C$20</formula>
    </cfRule>
    <cfRule type="cellIs" dxfId="280" priority="14" operator="greaterThan">
      <formula>$C$20</formula>
    </cfRule>
  </conditionalFormatting>
  <conditionalFormatting sqref="L39">
    <cfRule type="cellIs" dxfId="279" priority="11" operator="lessThan">
      <formula>$C$19</formula>
    </cfRule>
    <cfRule type="cellIs" dxfId="278" priority="12" operator="greaterThan">
      <formula>$C$19</formula>
    </cfRule>
  </conditionalFormatting>
  <conditionalFormatting sqref="L38">
    <cfRule type="cellIs" dxfId="277" priority="9" operator="lessThan">
      <formula>$C$17</formula>
    </cfRule>
    <cfRule type="cellIs" dxfId="276" priority="10" operator="greaterThan">
      <formula>$C$17</formula>
    </cfRule>
  </conditionalFormatting>
  <conditionalFormatting sqref="L37">
    <cfRule type="cellIs" dxfId="275" priority="7" operator="lessThan">
      <formula>$C$7</formula>
    </cfRule>
    <cfRule type="cellIs" dxfId="274" priority="8" operator="greaterThan">
      <formula>$C$7</formula>
    </cfRule>
  </conditionalFormatting>
  <conditionalFormatting sqref="L43">
    <cfRule type="cellIs" dxfId="273" priority="3" operator="lessThan">
      <formula>$C$27</formula>
    </cfRule>
    <cfRule type="cellIs" dxfId="272" priority="4" operator="greaterThan">
      <formula>$C$27</formula>
    </cfRule>
  </conditionalFormatting>
  <conditionalFormatting sqref="L44:L46">
    <cfRule type="cellIs" dxfId="271" priority="1" operator="lessThan">
      <formula>$C$7</formula>
    </cfRule>
    <cfRule type="cellIs" dxfId="27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(-270/3)</f>
        <v>-90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tabSelected="1" workbookViewId="0">
      <selection activeCell="N4" sqref="N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55" width="9.140625" style="14" customWidth="1"/>
    <col min="156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9.3466893054548823</v>
      </c>
      <c r="M3" t="s">
        <v>4</v>
      </c>
      <c r="N3" s="26">
        <f>(INDEX(N5:N21,MATCH(MAX(O6:O8),O5:O21,0))/0.85)</f>
        <v>0.13985732941176471</v>
      </c>
      <c r="O3" s="24">
        <f>(MAX(O6:O8)*0.75)</f>
        <v>6.6000000000000005</v>
      </c>
      <c r="P3" s="45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2.9334681590738927</v>
      </c>
      <c r="K4" s="4">
        <f>(J4/D13-1)</f>
        <v>-2.8080758345338359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1.1250000000000001E-5</v>
      </c>
      <c r="C6" s="28">
        <v>0</v>
      </c>
      <c r="D6" s="28">
        <f>(B6*C6)</f>
        <v>0</v>
      </c>
      <c r="E6" s="23">
        <f>(B6*J3)</f>
        <v>1.0515025468636744E-4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1.1250000000000001E-5</v>
      </c>
      <c r="S6" s="28">
        <v>0</v>
      </c>
      <c r="T6" s="28">
        <f>(D6)</f>
        <v>0</v>
      </c>
      <c r="U6" s="23">
        <f>(R6*J3)</f>
        <v>1.0515025468636744E-4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0.11888098</v>
      </c>
      <c r="O9" s="23">
        <f>($C$5*[1]Params!K11)</f>
        <v>20</v>
      </c>
      <c r="P9" s="23">
        <f>(O9*N9)</f>
        <v>2.3776196000000001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4.8027456920000002</v>
      </c>
    </row>
    <row r="12" spans="2:21">
      <c r="F12" t="s">
        <v>9</v>
      </c>
      <c r="G12" s="45">
        <f>(D13/B13)</f>
        <v>-5.1694122154255089</v>
      </c>
    </row>
    <row r="13" spans="2:21">
      <c r="B13" s="1">
        <f>(SUM(B5:B12))</f>
        <v>0.31385104000000003</v>
      </c>
      <c r="D13" s="23">
        <f>(SUM(D5:D12))</f>
        <v>-1.6224254</v>
      </c>
      <c r="R13" s="1">
        <f>(SUM(R5:R12))</f>
        <v>0.59440490000000001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0.71111790014508947</v>
      </c>
    </row>
    <row r="21" spans="5:15">
      <c r="E21" s="46"/>
    </row>
  </sheetData>
  <conditionalFormatting sqref="C5 G12 S5">
    <cfRule type="cellIs" dxfId="269" priority="7" operator="lessThan">
      <formula>$J$3</formula>
    </cfRule>
    <cfRule type="cellIs" dxfId="268" priority="8" operator="greaterThan">
      <formula>$J$3</formula>
    </cfRule>
  </conditionalFormatting>
  <conditionalFormatting sqref="O9">
    <cfRule type="cellIs" dxfId="267" priority="5" operator="lessThan">
      <formula>$J$3</formula>
    </cfRule>
    <cfRule type="cellIs" dxfId="266" priority="6" operator="greaterThan">
      <formula>$J$3</formula>
    </cfRule>
  </conditionalFormatting>
  <conditionalFormatting sqref="O3">
    <cfRule type="cellIs" dxfId="265" priority="1" operator="greaterThan">
      <formula>$J$3</formula>
    </cfRule>
    <cfRule type="cellIs" dxfId="26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0.59324604020411231</v>
      </c>
      <c r="M3" t="s">
        <v>4</v>
      </c>
      <c r="N3" s="26">
        <f>(INDEX(N5:N21,MATCH(MAX(O6:O7),O5:O21,0))/0.9)</f>
        <v>25</v>
      </c>
      <c r="O3" s="24">
        <f>(MAX(O6:O7)*0.85)</f>
        <v>0.48053107087131575</v>
      </c>
      <c r="P3" s="45">
        <f>(O3*N3)</f>
        <v>12.013276771782893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43.47802822402106</v>
      </c>
      <c r="K4" s="4">
        <f>(J4/D13-1)</f>
        <v>1.3627298832720713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0.73357905000000001</v>
      </c>
      <c r="C6" s="28">
        <v>0</v>
      </c>
      <c r="D6" s="28">
        <f>(B6*C6)</f>
        <v>0</v>
      </c>
      <c r="E6" s="23">
        <f>(B6*J3)</f>
        <v>0.43519286658919454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0.73357905000000001</v>
      </c>
      <c r="S6" s="28">
        <v>0</v>
      </c>
      <c r="T6" s="28">
        <f>(D6)</f>
        <v>0</v>
      </c>
      <c r="U6" s="23">
        <f>(R6*J3)</f>
        <v>0.43519286658919454</v>
      </c>
    </row>
    <row r="7" spans="2:21">
      <c r="B7" s="1">
        <v>114.98538983</v>
      </c>
      <c r="C7" s="23">
        <f>(D7/B7)</f>
        <v>0.35047930923729942</v>
      </c>
      <c r="D7" s="23">
        <v>40.299999999999997</v>
      </c>
      <c r="E7" t="s">
        <v>15</v>
      </c>
      <c r="N7" s="1">
        <f>-B11</f>
        <v>22.5</v>
      </c>
      <c r="O7" s="23">
        <f>($S$7*[1]Params!K9)</f>
        <v>0.56533067161331263</v>
      </c>
      <c r="P7" s="23">
        <f>-D11</f>
        <v>12.305999999999999</v>
      </c>
      <c r="Q7" t="s">
        <v>12</v>
      </c>
      <c r="R7" s="35">
        <f>B7+B10</f>
        <v>92.415389830000009</v>
      </c>
      <c r="S7" s="23">
        <f>(T7/R7)</f>
        <v>0.35333166975832037</v>
      </c>
      <c r="T7" s="23">
        <f>D7+B10*0.3388</f>
        <v>32.653283999999999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25.945014847999992</v>
      </c>
      <c r="O8" s="23">
        <f>($C$7*[1]Params!K10)</f>
        <v>0.77105448032205881</v>
      </c>
      <c r="P8" s="23">
        <f>(O8*N8)</f>
        <v>20.005019940572733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14.657671615999998</v>
      </c>
      <c r="O9" s="23">
        <f>($C$7*[1]Params!K11)</f>
        <v>1.752396546186497</v>
      </c>
      <c r="P9" s="23">
        <f>(O9*N9)</f>
        <v>25.686053115014246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68.079502025586976</v>
      </c>
    </row>
    <row r="12" spans="2:21">
      <c r="F12" t="s">
        <v>9</v>
      </c>
      <c r="G12" s="45">
        <f>(D13/B13)</f>
        <v>0.25108500315852622</v>
      </c>
    </row>
    <row r="13" spans="2:21">
      <c r="B13" s="1">
        <f>(SUM(B5:B12))</f>
        <v>73.288358079999995</v>
      </c>
      <c r="D13" s="23">
        <f>(SUM(D5:D12))</f>
        <v>18.40160762</v>
      </c>
      <c r="R13" s="1">
        <f>(SUM(R5:R12))</f>
        <v>95.788358080000009</v>
      </c>
      <c r="T13" s="23">
        <f>(SUM(T5:T12))</f>
        <v>30.707607620000001</v>
      </c>
    </row>
  </sheetData>
  <conditionalFormatting sqref="C5 C7 G12 S5 S7">
    <cfRule type="cellIs" dxfId="263" priority="19" operator="lessThan">
      <formula>$J$3</formula>
    </cfRule>
    <cfRule type="cellIs" dxfId="262" priority="20" operator="greaterThan">
      <formula>$J$3</formula>
    </cfRule>
  </conditionalFormatting>
  <conditionalFormatting sqref="O8:O9">
    <cfRule type="cellIs" dxfId="261" priority="15" operator="lessThan">
      <formula>$J$3</formula>
    </cfRule>
    <cfRule type="cellIs" dxfId="260" priority="16" operator="greaterThan">
      <formula>$J$3</formula>
    </cfRule>
  </conditionalFormatting>
  <conditionalFormatting sqref="C9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O3">
    <cfRule type="cellIs" dxfId="257" priority="1" operator="greaterThan">
      <formula>$J$3</formula>
    </cfRule>
    <cfRule type="cellIs" dxfId="25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2024-01-01T00:48:05Z</dcterms:modified>
</cp:coreProperties>
</file>