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33" activeTab="26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HIB" sheetId="27" r:id="rId27"/>
    <sheet name="SOL" sheetId="28" r:id="rId28"/>
    <sheet name="TRX" sheetId="29" r:id="rId29"/>
    <sheet name="UNI" sheetId="30" r:id="rId30"/>
    <sheet name="XRP" sheetId="31" r:id="rId31"/>
    <sheet name="GRT" sheetId="32" r:id="rId32"/>
    <sheet name="KAVA" sheetId="33" r:id="rId33"/>
    <sheet name="SHPING" sheetId="34" r:id="rId34"/>
    <sheet name="Params" sheetId="35" r:id="rId35"/>
  </sheets>
  <calcPr calcId="124519"/>
</workbook>
</file>

<file path=xl/calcChain.xml><?xml version="1.0" encoding="utf-8"?>
<calcChain xmlns="http://schemas.openxmlformats.org/spreadsheetml/2006/main">
  <c r="N26" i="35"/>
  <c r="N25"/>
  <c r="N24"/>
  <c r="N23"/>
  <c r="N22"/>
  <c r="N27" s="1"/>
  <c r="O27" s="1"/>
  <c r="P27" s="1"/>
  <c r="N19"/>
  <c r="N18"/>
  <c r="N17"/>
  <c r="N16"/>
  <c r="N15"/>
  <c r="N20" s="1"/>
  <c r="O20" s="1"/>
  <c r="P20" s="1"/>
  <c r="N12"/>
  <c r="N11"/>
  <c r="N10"/>
  <c r="N9"/>
  <c r="N8"/>
  <c r="N13" s="1"/>
  <c r="O13" s="1"/>
  <c r="P13" s="1"/>
  <c r="D10" i="34"/>
  <c r="B10"/>
  <c r="N9"/>
  <c r="G9"/>
  <c r="N8"/>
  <c r="N7"/>
  <c r="N6"/>
  <c r="C5"/>
  <c r="O7" s="1"/>
  <c r="P7" s="1"/>
  <c r="J4"/>
  <c r="K4" s="1"/>
  <c r="D10" i="33"/>
  <c r="B10"/>
  <c r="N9"/>
  <c r="G9"/>
  <c r="N8"/>
  <c r="N7"/>
  <c r="N6"/>
  <c r="C5"/>
  <c r="O9" s="1"/>
  <c r="P9" s="1"/>
  <c r="J4"/>
  <c r="K4" s="1"/>
  <c r="D10" i="32"/>
  <c r="B10"/>
  <c r="N9"/>
  <c r="G9"/>
  <c r="N8"/>
  <c r="C8"/>
  <c r="O8" s="1"/>
  <c r="P8" s="1"/>
  <c r="N7"/>
  <c r="C7"/>
  <c r="O7" s="1"/>
  <c r="P7" s="1"/>
  <c r="N6"/>
  <c r="C6"/>
  <c r="O6" s="1"/>
  <c r="C5"/>
  <c r="O9" s="1"/>
  <c r="P9" s="1"/>
  <c r="J4"/>
  <c r="K4" s="1"/>
  <c r="B13" i="31"/>
  <c r="N9"/>
  <c r="N8"/>
  <c r="C8"/>
  <c r="C7"/>
  <c r="T6"/>
  <c r="S6"/>
  <c r="R6"/>
  <c r="P6"/>
  <c r="N6"/>
  <c r="N7" s="1"/>
  <c r="E6"/>
  <c r="D6"/>
  <c r="D13" s="1"/>
  <c r="G12" s="1"/>
  <c r="R5"/>
  <c r="R17" s="1"/>
  <c r="C5"/>
  <c r="O8" s="1"/>
  <c r="P8" s="1"/>
  <c r="J4"/>
  <c r="B10" i="30"/>
  <c r="N9"/>
  <c r="N8"/>
  <c r="N7"/>
  <c r="N6"/>
  <c r="E6"/>
  <c r="D6"/>
  <c r="D10" s="1"/>
  <c r="G9" s="1"/>
  <c r="C5"/>
  <c r="O9" s="1"/>
  <c r="P9" s="1"/>
  <c r="J4"/>
  <c r="K4" s="1"/>
  <c r="B13" i="29"/>
  <c r="N9"/>
  <c r="N8"/>
  <c r="N7"/>
  <c r="N6"/>
  <c r="E6"/>
  <c r="D6"/>
  <c r="D13" s="1"/>
  <c r="G12" s="1"/>
  <c r="C5"/>
  <c r="O9" s="1"/>
  <c r="P9" s="1"/>
  <c r="J4"/>
  <c r="K4" s="1"/>
  <c r="D29" i="28"/>
  <c r="C29"/>
  <c r="C28"/>
  <c r="B28"/>
  <c r="C27"/>
  <c r="C26"/>
  <c r="B26"/>
  <c r="C25"/>
  <c r="C24"/>
  <c r="N23"/>
  <c r="C23"/>
  <c r="C22"/>
  <c r="O23" s="1"/>
  <c r="T21"/>
  <c r="R21"/>
  <c r="C21"/>
  <c r="T20"/>
  <c r="R20"/>
  <c r="C20"/>
  <c r="T19"/>
  <c r="R19"/>
  <c r="C19"/>
  <c r="T18"/>
  <c r="R18"/>
  <c r="E18"/>
  <c r="T17"/>
  <c r="R17"/>
  <c r="C17"/>
  <c r="T16"/>
  <c r="S16" s="1"/>
  <c r="R16"/>
  <c r="C16"/>
  <c r="T15"/>
  <c r="S15" s="1"/>
  <c r="R15"/>
  <c r="N25" s="1"/>
  <c r="P15"/>
  <c r="O15"/>
  <c r="N15"/>
  <c r="B15"/>
  <c r="E15" s="1"/>
  <c r="T14"/>
  <c r="S14"/>
  <c r="R14"/>
  <c r="O14"/>
  <c r="P14" s="1"/>
  <c r="N14"/>
  <c r="B14"/>
  <c r="E14" s="1"/>
  <c r="T13"/>
  <c r="S13" s="1"/>
  <c r="R13"/>
  <c r="N17" s="1"/>
  <c r="B13"/>
  <c r="D13" s="1"/>
  <c r="T12"/>
  <c r="S12"/>
  <c r="R12"/>
  <c r="E12"/>
  <c r="T11"/>
  <c r="S11"/>
  <c r="R11"/>
  <c r="C11"/>
  <c r="T10"/>
  <c r="S10"/>
  <c r="R10"/>
  <c r="C10"/>
  <c r="R9"/>
  <c r="S9" s="1"/>
  <c r="O9"/>
  <c r="P9" s="1"/>
  <c r="N9"/>
  <c r="C9"/>
  <c r="B9"/>
  <c r="T8"/>
  <c r="R8"/>
  <c r="O8"/>
  <c r="N8"/>
  <c r="P8" s="1"/>
  <c r="B8"/>
  <c r="C8" s="1"/>
  <c r="T7"/>
  <c r="R7"/>
  <c r="O7"/>
  <c r="P7" s="1"/>
  <c r="N7"/>
  <c r="C7"/>
  <c r="T6"/>
  <c r="R6"/>
  <c r="O6"/>
  <c r="P6" s="1"/>
  <c r="P11" s="1"/>
  <c r="N6"/>
  <c r="C6"/>
  <c r="B6"/>
  <c r="S5"/>
  <c r="B5"/>
  <c r="B31" s="1"/>
  <c r="J4" s="1"/>
  <c r="B13" i="27"/>
  <c r="N9"/>
  <c r="N8"/>
  <c r="N7"/>
  <c r="N6"/>
  <c r="E6"/>
  <c r="D6"/>
  <c r="D13" s="1"/>
  <c r="G12" s="1"/>
  <c r="C5"/>
  <c r="O8" s="1"/>
  <c r="P8" s="1"/>
  <c r="J4"/>
  <c r="K4" s="1"/>
  <c r="B17" i="26"/>
  <c r="C15"/>
  <c r="P14"/>
  <c r="N14"/>
  <c r="C14"/>
  <c r="C13"/>
  <c r="C12"/>
  <c r="C11"/>
  <c r="R10"/>
  <c r="C10"/>
  <c r="T9"/>
  <c r="R9"/>
  <c r="N17" s="1"/>
  <c r="N9"/>
  <c r="D9"/>
  <c r="D17" s="1"/>
  <c r="C9"/>
  <c r="T8"/>
  <c r="R8"/>
  <c r="N8"/>
  <c r="C8"/>
  <c r="O14" s="1"/>
  <c r="T7"/>
  <c r="R7"/>
  <c r="N7"/>
  <c r="E7"/>
  <c r="U6"/>
  <c r="T6"/>
  <c r="S6"/>
  <c r="R6"/>
  <c r="N15" s="1"/>
  <c r="O6"/>
  <c r="N6"/>
  <c r="P6" s="1"/>
  <c r="C6"/>
  <c r="O16" s="1"/>
  <c r="T5"/>
  <c r="S5" s="1"/>
  <c r="R5"/>
  <c r="R20" s="1"/>
  <c r="C5"/>
  <c r="O8" s="1"/>
  <c r="P8" s="1"/>
  <c r="J4"/>
  <c r="B10" i="25"/>
  <c r="N9"/>
  <c r="N8"/>
  <c r="N7"/>
  <c r="D7"/>
  <c r="N6"/>
  <c r="E6"/>
  <c r="D6"/>
  <c r="D10" s="1"/>
  <c r="C5"/>
  <c r="O9" s="1"/>
  <c r="P9" s="1"/>
  <c r="J4"/>
  <c r="E7" s="1"/>
  <c r="B16" i="24"/>
  <c r="N14"/>
  <c r="C14"/>
  <c r="C13"/>
  <c r="C12"/>
  <c r="T11"/>
  <c r="R11"/>
  <c r="N17" s="1"/>
  <c r="C11"/>
  <c r="T10"/>
  <c r="R10"/>
  <c r="C10"/>
  <c r="O14" s="1"/>
  <c r="T9"/>
  <c r="S9" s="1"/>
  <c r="R9"/>
  <c r="N9"/>
  <c r="C9"/>
  <c r="N8"/>
  <c r="C8"/>
  <c r="C7"/>
  <c r="O9" s="1"/>
  <c r="P9" s="1"/>
  <c r="R6"/>
  <c r="U6" s="1"/>
  <c r="O6"/>
  <c r="P6" s="1"/>
  <c r="N6"/>
  <c r="E6"/>
  <c r="D6"/>
  <c r="D16" s="1"/>
  <c r="T5"/>
  <c r="R5"/>
  <c r="C5"/>
  <c r="O16" s="1"/>
  <c r="J4"/>
  <c r="C35" i="23"/>
  <c r="B35"/>
  <c r="E35" s="1"/>
  <c r="C34"/>
  <c r="C33"/>
  <c r="C32"/>
  <c r="B32"/>
  <c r="C31"/>
  <c r="C30"/>
  <c r="C29"/>
  <c r="C28"/>
  <c r="C27"/>
  <c r="B26"/>
  <c r="D26" s="1"/>
  <c r="T25"/>
  <c r="R25"/>
  <c r="B25"/>
  <c r="D25" s="1"/>
  <c r="T21" s="1"/>
  <c r="S21" s="1"/>
  <c r="T24"/>
  <c r="R24"/>
  <c r="C24"/>
  <c r="T23"/>
  <c r="R23"/>
  <c r="C23"/>
  <c r="T22"/>
  <c r="R22"/>
  <c r="C22"/>
  <c r="R21"/>
  <c r="C21"/>
  <c r="R20"/>
  <c r="S20" s="1"/>
  <c r="D20"/>
  <c r="R19"/>
  <c r="S19" s="1"/>
  <c r="D19"/>
  <c r="R18"/>
  <c r="S18" s="1"/>
  <c r="E18"/>
  <c r="D18"/>
  <c r="R17"/>
  <c r="T17" s="1"/>
  <c r="D17"/>
  <c r="R16"/>
  <c r="T16" s="1"/>
  <c r="C16"/>
  <c r="R15"/>
  <c r="T15" s="1"/>
  <c r="C15"/>
  <c r="R14"/>
  <c r="T14" s="1"/>
  <c r="C14"/>
  <c r="T13"/>
  <c r="S13" s="1"/>
  <c r="R13"/>
  <c r="C13"/>
  <c r="R12"/>
  <c r="S12" s="1"/>
  <c r="C12"/>
  <c r="R11"/>
  <c r="S11" s="1"/>
  <c r="C11"/>
  <c r="R10"/>
  <c r="S10" s="1"/>
  <c r="C10"/>
  <c r="O9"/>
  <c r="P9" s="1"/>
  <c r="N9"/>
  <c r="C9"/>
  <c r="B9"/>
  <c r="B37" s="1"/>
  <c r="J4" s="1"/>
  <c r="S8"/>
  <c r="R8"/>
  <c r="C8"/>
  <c r="R7"/>
  <c r="T7" s="1"/>
  <c r="D7"/>
  <c r="T6"/>
  <c r="R6"/>
  <c r="N6"/>
  <c r="O6" s="1"/>
  <c r="P6" s="1"/>
  <c r="D6"/>
  <c r="T5"/>
  <c r="T37" s="1"/>
  <c r="R5"/>
  <c r="D5"/>
  <c r="D37" s="1"/>
  <c r="G37" s="1"/>
  <c r="B14" i="22"/>
  <c r="D12"/>
  <c r="D11"/>
  <c r="D10"/>
  <c r="D9"/>
  <c r="D8"/>
  <c r="C7"/>
  <c r="E6"/>
  <c r="D6"/>
  <c r="D5"/>
  <c r="D14" s="1"/>
  <c r="J4"/>
  <c r="B13" i="21"/>
  <c r="N9"/>
  <c r="T8"/>
  <c r="S8" s="1"/>
  <c r="R8"/>
  <c r="N8"/>
  <c r="C8"/>
  <c r="T7"/>
  <c r="R7"/>
  <c r="S7" s="1"/>
  <c r="N7"/>
  <c r="C7"/>
  <c r="O7" s="1"/>
  <c r="P7" s="1"/>
  <c r="R6"/>
  <c r="P6"/>
  <c r="O6"/>
  <c r="N6"/>
  <c r="E6"/>
  <c r="D6"/>
  <c r="D13" s="1"/>
  <c r="T5"/>
  <c r="R5"/>
  <c r="R19" s="1"/>
  <c r="C5"/>
  <c r="J4"/>
  <c r="O3"/>
  <c r="P3" s="1"/>
  <c r="N3"/>
  <c r="B10" i="20"/>
  <c r="N9" s="1"/>
  <c r="N7"/>
  <c r="E6"/>
  <c r="D6"/>
  <c r="D10" s="1"/>
  <c r="G9" s="1"/>
  <c r="C5"/>
  <c r="O9" s="1"/>
  <c r="P9" s="1"/>
  <c r="J4"/>
  <c r="K4" s="1"/>
  <c r="B10" i="19"/>
  <c r="N9"/>
  <c r="N8"/>
  <c r="O7"/>
  <c r="P7" s="1"/>
  <c r="N7"/>
  <c r="N6"/>
  <c r="E6"/>
  <c r="D6"/>
  <c r="D10" s="1"/>
  <c r="C5"/>
  <c r="O9" s="1"/>
  <c r="P9" s="1"/>
  <c r="J4"/>
  <c r="B10" i="18"/>
  <c r="N9" s="1"/>
  <c r="N7"/>
  <c r="E6"/>
  <c r="D6"/>
  <c r="D10" s="1"/>
  <c r="G9" s="1"/>
  <c r="C5"/>
  <c r="O9" s="1"/>
  <c r="P9" s="1"/>
  <c r="J4"/>
  <c r="K4" s="1"/>
  <c r="B13" i="17"/>
  <c r="N9" s="1"/>
  <c r="O9"/>
  <c r="O8"/>
  <c r="N8"/>
  <c r="P8" s="1"/>
  <c r="O7"/>
  <c r="P7" s="1"/>
  <c r="N7"/>
  <c r="O6"/>
  <c r="N6"/>
  <c r="P6" s="1"/>
  <c r="E6"/>
  <c r="D6"/>
  <c r="D13" s="1"/>
  <c r="G12" s="1"/>
  <c r="J4"/>
  <c r="K4" s="1"/>
  <c r="N18" i="16"/>
  <c r="N17"/>
  <c r="N16"/>
  <c r="O15"/>
  <c r="P15" s="1"/>
  <c r="N15"/>
  <c r="N9"/>
  <c r="B9"/>
  <c r="D9" s="1"/>
  <c r="N8"/>
  <c r="B8"/>
  <c r="B14" s="1"/>
  <c r="J4" s="1"/>
  <c r="C7"/>
  <c r="O17" s="1"/>
  <c r="P17" s="1"/>
  <c r="N6"/>
  <c r="E6"/>
  <c r="D6"/>
  <c r="T5"/>
  <c r="R5"/>
  <c r="U5" s="1"/>
  <c r="C5"/>
  <c r="O9" s="1"/>
  <c r="P9" s="1"/>
  <c r="B13" i="15"/>
  <c r="N9"/>
  <c r="N8"/>
  <c r="N7"/>
  <c r="N6"/>
  <c r="E6"/>
  <c r="D6"/>
  <c r="D13" s="1"/>
  <c r="G12" s="1"/>
  <c r="C5"/>
  <c r="O9" s="1"/>
  <c r="P9" s="1"/>
  <c r="J4"/>
  <c r="K4" s="1"/>
  <c r="B15" i="14"/>
  <c r="C13"/>
  <c r="C12"/>
  <c r="C11"/>
  <c r="E10"/>
  <c r="S9"/>
  <c r="O16" s="1"/>
  <c r="R9"/>
  <c r="N17" s="1"/>
  <c r="D9"/>
  <c r="S8"/>
  <c r="O9" s="1"/>
  <c r="R8"/>
  <c r="N8" s="1"/>
  <c r="O8"/>
  <c r="P8" s="1"/>
  <c r="E8"/>
  <c r="S7"/>
  <c r="R7"/>
  <c r="T7" s="1"/>
  <c r="O7"/>
  <c r="N7"/>
  <c r="P7" s="1"/>
  <c r="E7"/>
  <c r="S6"/>
  <c r="R6"/>
  <c r="T6" s="1"/>
  <c r="O6"/>
  <c r="P6" s="1"/>
  <c r="N6"/>
  <c r="D6"/>
  <c r="R5"/>
  <c r="N24" s="1"/>
  <c r="D5"/>
  <c r="D15" s="1"/>
  <c r="J4"/>
  <c r="K4" s="1"/>
  <c r="D13" i="13"/>
  <c r="B13"/>
  <c r="G12"/>
  <c r="C11"/>
  <c r="C10"/>
  <c r="C9"/>
  <c r="C8"/>
  <c r="C7"/>
  <c r="T6"/>
  <c r="R6"/>
  <c r="N9" s="1"/>
  <c r="C6"/>
  <c r="O6" s="1"/>
  <c r="T5"/>
  <c r="T15" s="1"/>
  <c r="S5"/>
  <c r="R5"/>
  <c r="R15" s="1"/>
  <c r="C5"/>
  <c r="O9" s="1"/>
  <c r="J4"/>
  <c r="K4" s="1"/>
  <c r="N17" i="12"/>
  <c r="N16"/>
  <c r="N15"/>
  <c r="N14"/>
  <c r="B13"/>
  <c r="C10"/>
  <c r="O17" s="1"/>
  <c r="P17" s="1"/>
  <c r="U9"/>
  <c r="T9"/>
  <c r="S9"/>
  <c r="R9"/>
  <c r="N9"/>
  <c r="C9"/>
  <c r="T8"/>
  <c r="R8"/>
  <c r="N8"/>
  <c r="C8"/>
  <c r="R7"/>
  <c r="C7"/>
  <c r="O6"/>
  <c r="P6" s="1"/>
  <c r="N6"/>
  <c r="T7" s="1"/>
  <c r="E6"/>
  <c r="D6"/>
  <c r="D13" s="1"/>
  <c r="G12" s="1"/>
  <c r="T5"/>
  <c r="R5"/>
  <c r="C5"/>
  <c r="O9" s="1"/>
  <c r="P9" s="1"/>
  <c r="J4"/>
  <c r="K4" s="1"/>
  <c r="O3"/>
  <c r="P3" s="1"/>
  <c r="N3"/>
  <c r="B14" i="11"/>
  <c r="J4" s="1"/>
  <c r="O9"/>
  <c r="P9" s="1"/>
  <c r="N9"/>
  <c r="N8"/>
  <c r="O7"/>
  <c r="P7" s="1"/>
  <c r="N7"/>
  <c r="E7"/>
  <c r="D7"/>
  <c r="N6"/>
  <c r="E6"/>
  <c r="D6"/>
  <c r="D14" s="1"/>
  <c r="G13" s="1"/>
  <c r="C5"/>
  <c r="O8" s="1"/>
  <c r="P8" s="1"/>
  <c r="K4"/>
  <c r="D14" i="10"/>
  <c r="B14"/>
  <c r="G13"/>
  <c r="D12"/>
  <c r="C12"/>
  <c r="C11"/>
  <c r="C10"/>
  <c r="C9"/>
  <c r="C8"/>
  <c r="T7"/>
  <c r="R7"/>
  <c r="C7"/>
  <c r="T6"/>
  <c r="S6" s="1"/>
  <c r="R6"/>
  <c r="O6"/>
  <c r="E6"/>
  <c r="D6"/>
  <c r="T5"/>
  <c r="R5"/>
  <c r="C5"/>
  <c r="O9" s="1"/>
  <c r="K4"/>
  <c r="J4"/>
  <c r="B14" i="9"/>
  <c r="C10"/>
  <c r="N9"/>
  <c r="C9"/>
  <c r="T8"/>
  <c r="R8"/>
  <c r="N8"/>
  <c r="C8"/>
  <c r="T7"/>
  <c r="R7"/>
  <c r="N7"/>
  <c r="C7"/>
  <c r="R6"/>
  <c r="N6"/>
  <c r="E6"/>
  <c r="U6" s="1"/>
  <c r="D6"/>
  <c r="D14" s="1"/>
  <c r="T5"/>
  <c r="R5"/>
  <c r="R17" s="1"/>
  <c r="C5"/>
  <c r="O6" s="1"/>
  <c r="P6" s="1"/>
  <c r="J4"/>
  <c r="B13" i="8"/>
  <c r="N9"/>
  <c r="N8"/>
  <c r="C8"/>
  <c r="O14" s="1"/>
  <c r="N7"/>
  <c r="C7"/>
  <c r="O17" s="1"/>
  <c r="R6"/>
  <c r="N16" s="1"/>
  <c r="O6"/>
  <c r="N6"/>
  <c r="N14" s="1"/>
  <c r="E6"/>
  <c r="D6"/>
  <c r="T6" s="1"/>
  <c r="R5"/>
  <c r="C5"/>
  <c r="O9" s="1"/>
  <c r="P9" s="1"/>
  <c r="J4"/>
  <c r="C6" i="7"/>
  <c r="E6" s="1"/>
  <c r="C5"/>
  <c r="E5" s="1"/>
  <c r="C4" i="6"/>
  <c r="C74" i="5"/>
  <c r="E72"/>
  <c r="E71"/>
  <c r="E70"/>
  <c r="E69"/>
  <c r="E68"/>
  <c r="E67"/>
  <c r="E66"/>
  <c r="E65"/>
  <c r="E64"/>
  <c r="E63"/>
  <c r="E62"/>
  <c r="D62"/>
  <c r="D74" s="1"/>
  <c r="E61"/>
  <c r="E60"/>
  <c r="E59"/>
  <c r="E52"/>
  <c r="D52"/>
  <c r="C52"/>
  <c r="G52" s="1"/>
  <c r="E51"/>
  <c r="D51"/>
  <c r="C51"/>
  <c r="G51" s="1"/>
  <c r="H35" s="1"/>
  <c r="H40" s="1"/>
  <c r="F50"/>
  <c r="E50"/>
  <c r="D50"/>
  <c r="C50"/>
  <c r="G50" s="1"/>
  <c r="H34" s="1"/>
  <c r="M45"/>
  <c r="M44"/>
  <c r="M43"/>
  <c r="M42"/>
  <c r="D41"/>
  <c r="E41" s="1"/>
  <c r="F41" s="1"/>
  <c r="M40"/>
  <c r="E40"/>
  <c r="F40" s="1"/>
  <c r="D39"/>
  <c r="E39" s="1"/>
  <c r="F39" s="1"/>
  <c r="D38"/>
  <c r="E38" s="1"/>
  <c r="F38" s="1"/>
  <c r="L37"/>
  <c r="L38" s="1"/>
  <c r="D37"/>
  <c r="E37" s="1"/>
  <c r="F37" s="1"/>
  <c r="M36"/>
  <c r="E36"/>
  <c r="F36" s="1"/>
  <c r="D36"/>
  <c r="M35"/>
  <c r="D35"/>
  <c r="E35" s="1"/>
  <c r="F35" s="1"/>
  <c r="I35" s="1"/>
  <c r="K35" s="1"/>
  <c r="M34"/>
  <c r="E34"/>
  <c r="F34" s="1"/>
  <c r="I34" s="1"/>
  <c r="K34" s="1"/>
  <c r="D34"/>
  <c r="E30"/>
  <c r="E29"/>
  <c r="E28"/>
  <c r="E27"/>
  <c r="E26"/>
  <c r="E25"/>
  <c r="E24"/>
  <c r="E23"/>
  <c r="E22"/>
  <c r="E21"/>
  <c r="E20"/>
  <c r="E19"/>
  <c r="E18"/>
  <c r="E17"/>
  <c r="D16"/>
  <c r="E16" s="1"/>
  <c r="E15"/>
  <c r="D14"/>
  <c r="E14" s="1"/>
  <c r="E13"/>
  <c r="D12"/>
  <c r="E12" s="1"/>
  <c r="E11"/>
  <c r="D10"/>
  <c r="E10" s="1"/>
  <c r="E9"/>
  <c r="E8"/>
  <c r="E7"/>
  <c r="E6"/>
  <c r="E5"/>
  <c r="J12" s="1"/>
  <c r="O32" i="4"/>
  <c r="P32" s="1"/>
  <c r="N32"/>
  <c r="O31"/>
  <c r="P31" s="1"/>
  <c r="N31"/>
  <c r="O30"/>
  <c r="P30" s="1"/>
  <c r="N30"/>
  <c r="O29"/>
  <c r="P29" s="1"/>
  <c r="P35" s="1"/>
  <c r="N29"/>
  <c r="O23"/>
  <c r="P23" s="1"/>
  <c r="N23"/>
  <c r="O22"/>
  <c r="P22" s="1"/>
  <c r="N22"/>
  <c r="O21"/>
  <c r="P21" s="1"/>
  <c r="N21"/>
  <c r="O20"/>
  <c r="P20" s="1"/>
  <c r="P26" s="1"/>
  <c r="N20"/>
  <c r="O14"/>
  <c r="P14" s="1"/>
  <c r="N14"/>
  <c r="O13"/>
  <c r="P13" s="1"/>
  <c r="N13"/>
  <c r="O12"/>
  <c r="P12" s="1"/>
  <c r="N12"/>
  <c r="O11"/>
  <c r="P11" s="1"/>
  <c r="P17" s="1"/>
  <c r="N11"/>
  <c r="B9"/>
  <c r="D7"/>
  <c r="N6"/>
  <c r="O6" s="1"/>
  <c r="D6"/>
  <c r="D5"/>
  <c r="D9" s="1"/>
  <c r="J4"/>
  <c r="D222" i="3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Y2"/>
  <c r="M68" i="2"/>
  <c r="M67"/>
  <c r="M66"/>
  <c r="N65"/>
  <c r="O65" s="1"/>
  <c r="M65"/>
  <c r="M60"/>
  <c r="M59"/>
  <c r="N57"/>
  <c r="M52"/>
  <c r="M51"/>
  <c r="N49"/>
  <c r="O49" s="1"/>
  <c r="M49"/>
  <c r="M44"/>
  <c r="M43"/>
  <c r="M42"/>
  <c r="N41"/>
  <c r="M41"/>
  <c r="O41" s="1"/>
  <c r="M36"/>
  <c r="M35"/>
  <c r="B35"/>
  <c r="C35" s="1"/>
  <c r="M34"/>
  <c r="C34"/>
  <c r="N33"/>
  <c r="O33" s="1"/>
  <c r="M33"/>
  <c r="D33"/>
  <c r="C33" s="1"/>
  <c r="N19" s="1"/>
  <c r="O19" s="1"/>
  <c r="B33"/>
  <c r="C32"/>
  <c r="B30"/>
  <c r="D29"/>
  <c r="M28"/>
  <c r="D28"/>
  <c r="M27"/>
  <c r="D27"/>
  <c r="M26"/>
  <c r="D26"/>
  <c r="C26"/>
  <c r="N25"/>
  <c r="O25" s="1"/>
  <c r="M25"/>
  <c r="C25"/>
  <c r="T24"/>
  <c r="S24"/>
  <c r="N74" s="1"/>
  <c r="R24"/>
  <c r="C24"/>
  <c r="T23"/>
  <c r="R23"/>
  <c r="C23"/>
  <c r="C22"/>
  <c r="N44" s="1"/>
  <c r="O44" s="1"/>
  <c r="R21"/>
  <c r="C21"/>
  <c r="M20"/>
  <c r="C20"/>
  <c r="N34" s="1"/>
  <c r="O34" s="1"/>
  <c r="T19"/>
  <c r="S19"/>
  <c r="N51" s="1"/>
  <c r="O51" s="1"/>
  <c r="R19"/>
  <c r="M50" s="1"/>
  <c r="M19"/>
  <c r="C19"/>
  <c r="N28" s="1"/>
  <c r="O28" s="1"/>
  <c r="T18"/>
  <c r="S18" s="1"/>
  <c r="R18"/>
  <c r="N18"/>
  <c r="O18" s="1"/>
  <c r="M18"/>
  <c r="D18"/>
  <c r="C18" s="1"/>
  <c r="N17" s="1"/>
  <c r="T17"/>
  <c r="S17" s="1"/>
  <c r="R17"/>
  <c r="M17"/>
  <c r="C17"/>
  <c r="N20" s="1"/>
  <c r="O20" s="1"/>
  <c r="T16"/>
  <c r="S16"/>
  <c r="R16"/>
  <c r="D16"/>
  <c r="T14" s="1"/>
  <c r="S14" s="1"/>
  <c r="R15"/>
  <c r="D15"/>
  <c r="R14"/>
  <c r="D14"/>
  <c r="T13"/>
  <c r="R13"/>
  <c r="D13"/>
  <c r="T12" s="1"/>
  <c r="S12" s="1"/>
  <c r="R12"/>
  <c r="N12"/>
  <c r="M12"/>
  <c r="O12" s="1"/>
  <c r="D12"/>
  <c r="T11"/>
  <c r="R11"/>
  <c r="N11"/>
  <c r="M11"/>
  <c r="O11" s="1"/>
  <c r="D11"/>
  <c r="T10"/>
  <c r="R10"/>
  <c r="N10"/>
  <c r="M10"/>
  <c r="O10" s="1"/>
  <c r="D10"/>
  <c r="S9"/>
  <c r="R9"/>
  <c r="N9"/>
  <c r="M9"/>
  <c r="O9" s="1"/>
  <c r="C9"/>
  <c r="S8"/>
  <c r="R8"/>
  <c r="C8"/>
  <c r="S7"/>
  <c r="R7"/>
  <c r="C7"/>
  <c r="T6"/>
  <c r="R6"/>
  <c r="E6"/>
  <c r="D6"/>
  <c r="T5"/>
  <c r="R5"/>
  <c r="D5"/>
  <c r="C40" i="1"/>
  <c r="B38"/>
  <c r="B39" s="1"/>
  <c r="C37"/>
  <c r="C36"/>
  <c r="C35"/>
  <c r="C34"/>
  <c r="D33"/>
  <c r="D32"/>
  <c r="D31"/>
  <c r="D30"/>
  <c r="D29"/>
  <c r="C28"/>
  <c r="D27"/>
  <c r="D26"/>
  <c r="D25"/>
  <c r="D24"/>
  <c r="T23"/>
  <c r="S23" s="1"/>
  <c r="R23"/>
  <c r="N37" s="1"/>
  <c r="D23"/>
  <c r="C23" s="1"/>
  <c r="N6" s="1"/>
  <c r="B23"/>
  <c r="B42" s="1"/>
  <c r="D22"/>
  <c r="R21"/>
  <c r="N21"/>
  <c r="D21"/>
  <c r="T20"/>
  <c r="S20"/>
  <c r="O29" s="1"/>
  <c r="R20"/>
  <c r="N29" s="1"/>
  <c r="N20"/>
  <c r="C20"/>
  <c r="T19"/>
  <c r="S19"/>
  <c r="O20" s="1"/>
  <c r="P20" s="1"/>
  <c r="R19"/>
  <c r="C19"/>
  <c r="D19" s="1"/>
  <c r="O18"/>
  <c r="N18"/>
  <c r="N19" s="1"/>
  <c r="C18"/>
  <c r="D18" s="1"/>
  <c r="R17"/>
  <c r="S17" s="1"/>
  <c r="D17"/>
  <c r="T16"/>
  <c r="R16"/>
  <c r="D16"/>
  <c r="R15"/>
  <c r="T15" s="1"/>
  <c r="D15"/>
  <c r="R14"/>
  <c r="T14" s="1"/>
  <c r="D14"/>
  <c r="T13"/>
  <c r="S13" s="1"/>
  <c r="R13"/>
  <c r="N13"/>
  <c r="D13"/>
  <c r="T12"/>
  <c r="R12"/>
  <c r="N12"/>
  <c r="E12"/>
  <c r="D12"/>
  <c r="T11"/>
  <c r="R11"/>
  <c r="D11"/>
  <c r="R10"/>
  <c r="O10"/>
  <c r="D10"/>
  <c r="R9"/>
  <c r="T9" s="1"/>
  <c r="D9"/>
  <c r="R8"/>
  <c r="D8"/>
  <c r="T8" s="1"/>
  <c r="R7"/>
  <c r="T7" s="1"/>
  <c r="D7"/>
  <c r="R6"/>
  <c r="T6" s="1"/>
  <c r="D6"/>
  <c r="R5"/>
  <c r="D5"/>
  <c r="O3"/>
  <c r="J12" l="1"/>
  <c r="J13" s="1"/>
  <c r="J4"/>
  <c r="R22"/>
  <c r="D39"/>
  <c r="T22"/>
  <c r="T18"/>
  <c r="R18"/>
  <c r="N11" s="1"/>
  <c r="N10"/>
  <c r="R32"/>
  <c r="P10"/>
  <c r="T10"/>
  <c r="S10" s="1"/>
  <c r="P29"/>
  <c r="O14" i="2"/>
  <c r="O6" i="1"/>
  <c r="N3" s="1"/>
  <c r="P3" s="1"/>
  <c r="O37"/>
  <c r="P37" s="1"/>
  <c r="O36"/>
  <c r="O35"/>
  <c r="O34"/>
  <c r="N4" i="2"/>
  <c r="O17"/>
  <c r="O22" s="1"/>
  <c r="M76"/>
  <c r="M74"/>
  <c r="O74" s="1"/>
  <c r="E222" i="3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H36" i="5"/>
  <c r="H37"/>
  <c r="P14" i="8"/>
  <c r="O3"/>
  <c r="G13" i="9"/>
  <c r="K4"/>
  <c r="T5" i="1"/>
  <c r="T32" s="1"/>
  <c r="O19"/>
  <c r="P19" s="1"/>
  <c r="O21"/>
  <c r="P21" s="1"/>
  <c r="O26"/>
  <c r="O27"/>
  <c r="O28"/>
  <c r="N34"/>
  <c r="N35"/>
  <c r="N36"/>
  <c r="D38"/>
  <c r="T21" s="1"/>
  <c r="T15" i="2"/>
  <c r="S15" s="1"/>
  <c r="N26"/>
  <c r="O26" s="1"/>
  <c r="O30" s="1"/>
  <c r="N27"/>
  <c r="O27" s="1"/>
  <c r="D30"/>
  <c r="T21" s="1"/>
  <c r="S21" s="1"/>
  <c r="B31"/>
  <c r="B37" s="1"/>
  <c r="N35"/>
  <c r="O35" s="1"/>
  <c r="O38" s="1"/>
  <c r="N36"/>
  <c r="O36" s="1"/>
  <c r="N43"/>
  <c r="O43" s="1"/>
  <c r="N50"/>
  <c r="O50" s="1"/>
  <c r="O54" s="1"/>
  <c r="N52"/>
  <c r="O52" s="1"/>
  <c r="M73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K4" i="4"/>
  <c r="J14" i="5"/>
  <c r="I36"/>
  <c r="K36" s="1"/>
  <c r="I37"/>
  <c r="K37" s="1"/>
  <c r="I40"/>
  <c r="K40" s="1"/>
  <c r="E9" i="7"/>
  <c r="N75" i="2"/>
  <c r="N73"/>
  <c r="O73" s="1"/>
  <c r="N68"/>
  <c r="O68" s="1"/>
  <c r="N66"/>
  <c r="O66" s="1"/>
  <c r="L39" i="5"/>
  <c r="M38"/>
  <c r="T8" i="8"/>
  <c r="T7"/>
  <c r="R7"/>
  <c r="N15" s="1"/>
  <c r="R8"/>
  <c r="P18" i="1"/>
  <c r="P23" s="1"/>
  <c r="N26"/>
  <c r="N27"/>
  <c r="N28"/>
  <c r="N42" i="2"/>
  <c r="O42" s="1"/>
  <c r="O46" s="1"/>
  <c r="N67"/>
  <c r="O67" s="1"/>
  <c r="O70" s="1"/>
  <c r="M75"/>
  <c r="N76"/>
  <c r="O76" s="1"/>
  <c r="R14" i="10"/>
  <c r="N6"/>
  <c r="T8" i="16"/>
  <c r="D8"/>
  <c r="C8" s="1"/>
  <c r="O6" s="1"/>
  <c r="K4" i="19"/>
  <c r="G9"/>
  <c r="G12" i="21"/>
  <c r="K4"/>
  <c r="G9" i="25"/>
  <c r="K4"/>
  <c r="G16" i="26"/>
  <c r="K4"/>
  <c r="O16" i="28"/>
  <c r="O17"/>
  <c r="P17" s="1"/>
  <c r="O26"/>
  <c r="O25"/>
  <c r="P25" s="1"/>
  <c r="O24"/>
  <c r="P6" i="32"/>
  <c r="P11" s="1"/>
  <c r="O3"/>
  <c r="P3" s="1"/>
  <c r="N3"/>
  <c r="P6" i="4"/>
  <c r="G8"/>
  <c r="M37" i="5"/>
  <c r="U6" i="8"/>
  <c r="O8"/>
  <c r="P8" s="1"/>
  <c r="D13"/>
  <c r="G12" s="1"/>
  <c r="O16"/>
  <c r="P16" s="1"/>
  <c r="N17"/>
  <c r="P17" s="1"/>
  <c r="S5" i="9"/>
  <c r="T6"/>
  <c r="T17" s="1"/>
  <c r="O7"/>
  <c r="P7" s="1"/>
  <c r="P12" s="1"/>
  <c r="O8"/>
  <c r="P8" s="1"/>
  <c r="O9"/>
  <c r="P9" s="1"/>
  <c r="U5" i="10"/>
  <c r="N8"/>
  <c r="T14"/>
  <c r="P9" i="13"/>
  <c r="D14" i="16"/>
  <c r="G13" s="1"/>
  <c r="K4"/>
  <c r="P9" i="17"/>
  <c r="P11" s="1"/>
  <c r="G15" i="24"/>
  <c r="K4"/>
  <c r="P14"/>
  <c r="O3"/>
  <c r="O3" i="26"/>
  <c r="P3" s="1"/>
  <c r="N3"/>
  <c r="P23" i="28"/>
  <c r="O3"/>
  <c r="N3"/>
  <c r="P6" i="8"/>
  <c r="O7"/>
  <c r="P7" s="1"/>
  <c r="P6" i="10"/>
  <c r="N7"/>
  <c r="N9"/>
  <c r="P9" s="1"/>
  <c r="T8" i="24"/>
  <c r="K4" i="31"/>
  <c r="O7" i="10"/>
  <c r="O8"/>
  <c r="P8" s="1"/>
  <c r="O6" i="11"/>
  <c r="P6" s="1"/>
  <c r="P12" s="1"/>
  <c r="O7" i="12"/>
  <c r="O8"/>
  <c r="P8" s="1"/>
  <c r="O14"/>
  <c r="P14" s="1"/>
  <c r="O16"/>
  <c r="P16" s="1"/>
  <c r="O7" i="13"/>
  <c r="O8"/>
  <c r="T8" i="14"/>
  <c r="N9"/>
  <c r="P9" s="1"/>
  <c r="P11" s="1"/>
  <c r="O14"/>
  <c r="G15"/>
  <c r="O15"/>
  <c r="N16"/>
  <c r="P16" s="1"/>
  <c r="O17"/>
  <c r="P17" s="1"/>
  <c r="N23"/>
  <c r="N25"/>
  <c r="R35"/>
  <c r="O6" i="15"/>
  <c r="P6" s="1"/>
  <c r="O8"/>
  <c r="P8" s="1"/>
  <c r="R7" i="16"/>
  <c r="O8"/>
  <c r="P8" s="1"/>
  <c r="R8"/>
  <c r="O16"/>
  <c r="P16" s="1"/>
  <c r="P21" s="1"/>
  <c r="O18"/>
  <c r="P18" s="1"/>
  <c r="N6" i="18"/>
  <c r="O7"/>
  <c r="P7" s="1"/>
  <c r="N8"/>
  <c r="O6" i="19"/>
  <c r="P6" s="1"/>
  <c r="O8"/>
  <c r="P8" s="1"/>
  <c r="N6" i="20"/>
  <c r="O7"/>
  <c r="P7" s="1"/>
  <c r="N8"/>
  <c r="T6" i="21"/>
  <c r="S6" s="1"/>
  <c r="O8"/>
  <c r="P8" s="1"/>
  <c r="P11" s="1"/>
  <c r="O9"/>
  <c r="P9" s="1"/>
  <c r="R8" i="24"/>
  <c r="O15"/>
  <c r="N16"/>
  <c r="P16" s="1"/>
  <c r="O17"/>
  <c r="P17" s="1"/>
  <c r="O7" i="25"/>
  <c r="P7" s="1"/>
  <c r="O9" i="26"/>
  <c r="P9" s="1"/>
  <c r="T10"/>
  <c r="N16"/>
  <c r="P16" s="1"/>
  <c r="O17"/>
  <c r="P17" s="1"/>
  <c r="T20"/>
  <c r="O7" i="27"/>
  <c r="P7" s="1"/>
  <c r="O9"/>
  <c r="P9" s="1"/>
  <c r="D5" i="28"/>
  <c r="D31" s="1"/>
  <c r="G31" s="1"/>
  <c r="N16"/>
  <c r="N26"/>
  <c r="O6" i="29"/>
  <c r="P6" s="1"/>
  <c r="O8"/>
  <c r="P8" s="1"/>
  <c r="O7" i="30"/>
  <c r="P7" s="1"/>
  <c r="T5" i="31"/>
  <c r="O6"/>
  <c r="O9"/>
  <c r="P9" s="1"/>
  <c r="O7" i="33"/>
  <c r="P7" s="1"/>
  <c r="O6" i="34"/>
  <c r="P6" s="1"/>
  <c r="O8"/>
  <c r="P8" s="1"/>
  <c r="O9"/>
  <c r="P9" s="1"/>
  <c r="U5" i="12"/>
  <c r="R6"/>
  <c r="N7" s="1"/>
  <c r="T6"/>
  <c r="S6" s="1"/>
  <c r="O15"/>
  <c r="P15" s="1"/>
  <c r="N6" i="13"/>
  <c r="P6" s="1"/>
  <c r="N7"/>
  <c r="N8"/>
  <c r="T5" i="14"/>
  <c r="T9"/>
  <c r="N14"/>
  <c r="N15"/>
  <c r="N22"/>
  <c r="O7" i="15"/>
  <c r="P7" s="1"/>
  <c r="R6" i="16"/>
  <c r="N7" s="1"/>
  <c r="T6"/>
  <c r="S6" s="1"/>
  <c r="O7" s="1"/>
  <c r="P7" s="1"/>
  <c r="O6" i="18"/>
  <c r="P6" s="1"/>
  <c r="O8"/>
  <c r="P8" s="1"/>
  <c r="O6" i="20"/>
  <c r="P6" s="1"/>
  <c r="O8"/>
  <c r="P8" s="1"/>
  <c r="S5" i="21"/>
  <c r="R9" i="23"/>
  <c r="S9" s="1"/>
  <c r="S5" i="24"/>
  <c r="T6"/>
  <c r="T15" s="1"/>
  <c r="R7"/>
  <c r="N7" s="1"/>
  <c r="T7"/>
  <c r="S7" s="1"/>
  <c r="N15"/>
  <c r="O6" i="25"/>
  <c r="P6" s="1"/>
  <c r="P11" s="1"/>
  <c r="O8"/>
  <c r="P8" s="1"/>
  <c r="O7" i="26"/>
  <c r="P7" s="1"/>
  <c r="P11" s="1"/>
  <c r="O15"/>
  <c r="P15" s="1"/>
  <c r="P19" s="1"/>
  <c r="O6" i="27"/>
  <c r="P6" s="1"/>
  <c r="P11" s="1"/>
  <c r="R5" i="28"/>
  <c r="N24"/>
  <c r="O7" i="29"/>
  <c r="P7" s="1"/>
  <c r="O6" i="30"/>
  <c r="P6" s="1"/>
  <c r="P11" s="1"/>
  <c r="O8"/>
  <c r="P8" s="1"/>
  <c r="O7" i="31"/>
  <c r="P7" s="1"/>
  <c r="P11" s="1"/>
  <c r="O6" i="33"/>
  <c r="P6" s="1"/>
  <c r="O8"/>
  <c r="P8" s="1"/>
  <c r="J7" i="2" l="1"/>
  <c r="J8" s="1"/>
  <c r="J4"/>
  <c r="T5" i="28"/>
  <c r="T33" s="1"/>
  <c r="R33"/>
  <c r="T35" i="14"/>
  <c r="S5"/>
  <c r="T17" i="31"/>
  <c r="S5"/>
  <c r="P11" i="8"/>
  <c r="T5"/>
  <c r="N3" i="16"/>
  <c r="P6"/>
  <c r="O3"/>
  <c r="P3" s="1"/>
  <c r="N3" i="8"/>
  <c r="P3" s="1"/>
  <c r="H41" i="5"/>
  <c r="I41" s="1"/>
  <c r="K41" s="1"/>
  <c r="H38"/>
  <c r="P11" i="33"/>
  <c r="P11" i="20"/>
  <c r="P11" i="18"/>
  <c r="P11" i="34"/>
  <c r="P11" i="19"/>
  <c r="R13" i="16"/>
  <c r="P8" i="13"/>
  <c r="P7" i="10"/>
  <c r="P11" s="1"/>
  <c r="K4" i="28"/>
  <c r="R15" i="24"/>
  <c r="P3" i="28"/>
  <c r="S7" i="8"/>
  <c r="O15" s="1"/>
  <c r="P15" s="1"/>
  <c r="R13"/>
  <c r="P28" i="1"/>
  <c r="P26"/>
  <c r="P34"/>
  <c r="P36"/>
  <c r="P6"/>
  <c r="D42"/>
  <c r="O7" i="24"/>
  <c r="O8"/>
  <c r="P8" s="1"/>
  <c r="O3" i="31"/>
  <c r="N3"/>
  <c r="L41" i="5"/>
  <c r="M41" s="1"/>
  <c r="M39"/>
  <c r="M46" s="1"/>
  <c r="M57" i="2"/>
  <c r="O57" s="1"/>
  <c r="D31"/>
  <c r="T22" s="1"/>
  <c r="T20"/>
  <c r="S20" s="1"/>
  <c r="R20"/>
  <c r="R22"/>
  <c r="M4"/>
  <c r="O4" s="1"/>
  <c r="P11" i="29"/>
  <c r="P15" i="24"/>
  <c r="P20" s="1"/>
  <c r="P11" i="15"/>
  <c r="P15" i="14"/>
  <c r="P14"/>
  <c r="P7" i="13"/>
  <c r="P12" s="1"/>
  <c r="P19" i="12"/>
  <c r="P7"/>
  <c r="P11" s="1"/>
  <c r="T19" i="21"/>
  <c r="R13" i="12"/>
  <c r="R37" i="23"/>
  <c r="T13" i="12"/>
  <c r="P24" i="28"/>
  <c r="P28" s="1"/>
  <c r="P26"/>
  <c r="P16"/>
  <c r="P19" s="1"/>
  <c r="S8" i="16"/>
  <c r="O75" i="2"/>
  <c r="O78" s="1"/>
  <c r="K4" i="8"/>
  <c r="P27" i="1"/>
  <c r="P19" i="8"/>
  <c r="P35" i="1"/>
  <c r="D37" i="2"/>
  <c r="G36" s="1"/>
  <c r="S18" i="1"/>
  <c r="K4"/>
  <c r="N60" i="2" l="1"/>
  <c r="O60" s="1"/>
  <c r="N58"/>
  <c r="N59"/>
  <c r="O59" s="1"/>
  <c r="I42" i="1"/>
  <c r="G7"/>
  <c r="H39" i="5"/>
  <c r="I39" s="1"/>
  <c r="K39" s="1"/>
  <c r="I38"/>
  <c r="K38" s="1"/>
  <c r="P39" i="1"/>
  <c r="O13"/>
  <c r="P13" s="1"/>
  <c r="O12"/>
  <c r="P12" s="1"/>
  <c r="O11"/>
  <c r="P11" s="1"/>
  <c r="P15" s="1"/>
  <c r="M58" i="2"/>
  <c r="R36"/>
  <c r="P7" i="24"/>
  <c r="P11" s="1"/>
  <c r="N3"/>
  <c r="P3" s="1"/>
  <c r="P12" i="16"/>
  <c r="T7"/>
  <c r="T13" s="1"/>
  <c r="S5" i="8"/>
  <c r="T13"/>
  <c r="O25" i="14"/>
  <c r="P25" s="1"/>
  <c r="O23"/>
  <c r="P23" s="1"/>
  <c r="O24"/>
  <c r="P24" s="1"/>
  <c r="O22"/>
  <c r="P22" s="1"/>
  <c r="P27" s="1"/>
  <c r="P19"/>
  <c r="P3" i="31"/>
  <c r="T36" i="2"/>
  <c r="P31" i="1"/>
  <c r="K14" i="5"/>
  <c r="K4" i="2"/>
  <c r="J13" i="5" l="1"/>
  <c r="O58" i="2"/>
  <c r="O62" s="1"/>
  <c r="O46" i="5" l="1"/>
  <c r="P46" s="1"/>
  <c r="J15"/>
  <c r="J16" s="1"/>
</calcChain>
</file>

<file path=xl/sharedStrings.xml><?xml version="1.0" encoding="utf-8"?>
<sst xmlns="http://schemas.openxmlformats.org/spreadsheetml/2006/main" count="760" uniqueCount="96">
  <si>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</si>
  <si>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</si>
  <si>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</si>
  <si>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</si>
  <si>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</si>
  <si>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</si>
  <si>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</si>
  <si>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</si>
  <si>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</si>
  <si>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</si>
  <si>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</si>
  <si>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</si>
  <si>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</si>
  <si>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</si>
  <si>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</si>
  <si>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</si>
  <si>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</si>
  <si>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</si>
  <si>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</si>
  <si>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</si>
  <si>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</si>
  <si>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</si>
  <si>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</si>
  <si>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</si>
  <si>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</si>
  <si>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</si>
  <si>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</si>
  <si>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</si>
  <si>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</si>
  <si>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</si>
  <si>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</si>
  <si>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</si>
  <si>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</si>
  <si>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</si>
  <si>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</si>
  <si>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</si>
  <si>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</si>
  <si>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</si>
  <si>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</si>
  <si>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</si>
  <si>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</si>
  <si>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</si>
  <si>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</si>
  <si>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</si>
  <si>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</si>
  <si>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</si>
  <si>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</si>
  <si>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</si>
  <si>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</si>
  <si>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</si>
  <si>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</si>
  <si>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</si>
  <si>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</si>
  <si>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</si>
  <si>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</si>
  <si>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</si>
  <si>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</si>
  <si>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</si>
  <si>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</si>
  <si>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</si>
  <si>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</si>
  <si>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</si>
  <si>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</si>
  <si>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</si>
  <si>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</si>
  <si>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</si>
  <si>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</si>
  <si>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</si>
  <si>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</si>
  <si>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</si>
  <si>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</si>
  <si>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</si>
  <si>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</si>
  <si>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</si>
  <si>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</si>
  <si>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</si>
  <si>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</si>
  <si>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</si>
  <si>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</si>
  <si>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</si>
  <si>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DCA4</t>
  </si>
  <si>
    <t>Learn</t>
  </si>
  <si>
    <t>NFT Burn</t>
  </si>
  <si>
    <t>DCA1 2/5</t>
  </si>
  <si>
    <t>0.06</t>
  </si>
  <si>
    <t>1.3</t>
  </si>
  <si>
    <t>0.2</t>
  </si>
  <si>
    <t>1.6</t>
  </si>
  <si>
    <t>2.2</t>
  </si>
  <si>
    <t>4</t>
  </si>
  <si>
    <t>8</t>
  </si>
  <si>
    <t>1.5</t>
  </si>
  <si>
    <t>2</t>
  </si>
  <si>
    <t>16</t>
  </si>
  <si>
    <t>0.1</t>
  </si>
  <si>
    <t>0.25</t>
  </si>
</sst>
</file>

<file path=xl/styles.xml><?xml version="1.0" encoding="utf-8"?>
<styleSheet xmlns="http://schemas.openxmlformats.org/spreadsheetml/2006/main">
  <numFmts count="12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000_);_(&quot;$&quot;* \(#,##0.00000\);_(&quot;$&quot;* &quot;-&quot;??_);_(@_)"/>
    <numFmt numFmtId="172" formatCode="0.000000"/>
    <numFmt numFmtId="173" formatCode="_(&quot;$&quot;* #,##0.0000_);_(&quot;$&quot;* \(#,##0.0000\);_(&quot;$&quot;* &quot;-&quot;??_);_(@_)"/>
    <numFmt numFmtId="174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49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1" fontId="0" fillId="0" borderId="0" xfId="1" applyNumberFormat="1" applyFont="1"/>
    <xf numFmtId="172" fontId="0" fillId="0" borderId="0" xfId="0" applyNumberFormat="1"/>
    <xf numFmtId="173" fontId="0" fillId="0" borderId="0" xfId="1" applyNumberFormat="1" applyFont="1"/>
    <xf numFmtId="174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35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</c:numCache>
            </c:numRef>
          </c:val>
        </c:ser>
        <c:marker val="1"/>
        <c:axId val="74950144"/>
        <c:axId val="74952064"/>
      </c:lineChart>
      <c:dateAx>
        <c:axId val="74950144"/>
        <c:scaling>
          <c:orientation val="minMax"/>
        </c:scaling>
        <c:axPos val="b"/>
        <c:numFmt formatCode="dd/mm/yy;@" sourceLinked="1"/>
        <c:majorTickMark val="none"/>
        <c:tickLblPos val="nextTo"/>
        <c:crossAx val="74952064"/>
        <c:crosses val="autoZero"/>
        <c:lblOffset val="100"/>
      </c:dateAx>
      <c:valAx>
        <c:axId val="74952064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7495014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2"/>
  <sheetViews>
    <sheetView workbookViewId="0">
      <selection activeCell="B12" sqref="B12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7">
        <v>1907.9940989060169</v>
      </c>
      <c r="M3" t="s">
        <v>4</v>
      </c>
      <c r="N3">
        <f>(INDEX(N5:N29,MATCH(MAX(O18,O10),O5:O29,0))/0.9)</f>
        <v>5.1611111111111111E-3</v>
      </c>
      <c r="O3" s="38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7">
        <f>(B42*J3)</f>
        <v>884.10043315108874</v>
      </c>
      <c r="K4" s="4">
        <f>(J4/D42-1)</f>
        <v>-0.33572179627359433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8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8">
        <v>4000</v>
      </c>
      <c r="T5" s="23">
        <f>(R5*S5)</f>
        <v>1000</v>
      </c>
    </row>
    <row r="6" spans="2:20">
      <c r="B6" s="24">
        <v>5.9999999999999995E-4</v>
      </c>
      <c r="C6" s="38">
        <v>3950</v>
      </c>
      <c r="D6" s="23">
        <f t="shared" si="0"/>
        <v>2.3699999999999997</v>
      </c>
      <c r="M6" t="s">
        <v>4</v>
      </c>
      <c r="N6" s="38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8">
        <v>3950</v>
      </c>
      <c r="T6" s="23">
        <f>(R6*S6)</f>
        <v>2.3699999999999997</v>
      </c>
    </row>
    <row r="7" spans="2:20">
      <c r="B7" s="24">
        <v>3.3999999999999998E-3</v>
      </c>
      <c r="C7" s="38">
        <v>3428</v>
      </c>
      <c r="D7" s="23">
        <f t="shared" si="0"/>
        <v>11.655199999999999</v>
      </c>
      <c r="F7" t="s">
        <v>9</v>
      </c>
      <c r="G7" s="37">
        <f>(D42/B42)</f>
        <v>2872.2816557923029</v>
      </c>
      <c r="R7" s="24">
        <f>(B7)</f>
        <v>3.3999999999999998E-3</v>
      </c>
      <c r="S7" s="38">
        <v>3428</v>
      </c>
      <c r="T7" s="23">
        <f>(R7*S7)</f>
        <v>11.655199999999999</v>
      </c>
    </row>
    <row r="8" spans="2:20">
      <c r="B8" s="24">
        <v>-7.6E-3</v>
      </c>
      <c r="C8" s="37">
        <v>3216.89</v>
      </c>
      <c r="D8" s="23">
        <f t="shared" si="0"/>
        <v>-24.448363999999998</v>
      </c>
      <c r="R8" s="24">
        <f>(B11+B10+B9+B8)</f>
        <v>1.5000000000000005E-3</v>
      </c>
      <c r="S8" s="37">
        <v>0</v>
      </c>
      <c r="T8" s="23">
        <f>(D11+D10+D9+D8)</f>
        <v>-0.15687200000000345</v>
      </c>
    </row>
    <row r="9" spans="2:20">
      <c r="B9" s="24">
        <v>-7.6E-3</v>
      </c>
      <c r="C9" s="37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3.6398699999999999E-3</v>
      </c>
      <c r="S9" s="37">
        <v>0</v>
      </c>
      <c r="T9" s="23">
        <f>(R9*S9)</f>
        <v>0</v>
      </c>
    </row>
    <row r="10" spans="2:20">
      <c r="B10" s="24">
        <v>-7.6E-3</v>
      </c>
      <c r="C10" s="37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8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8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8">
        <v>3010</v>
      </c>
      <c r="D11" s="23">
        <f t="shared" si="0"/>
        <v>73.143000000000001</v>
      </c>
      <c r="I11" t="s">
        <v>11</v>
      </c>
      <c r="J11">
        <v>0.5</v>
      </c>
      <c r="N11">
        <f>(2*($R$18+N10)/5-N10)</f>
        <v>2.7119000000000001E-2</v>
      </c>
      <c r="O11" s="38">
        <f>($S$18*Params!K16)</f>
        <v>3164.5103029492411</v>
      </c>
      <c r="P11" s="23">
        <f>(O11*N11)</f>
        <v>85.818354905680479</v>
      </c>
      <c r="R11" s="24">
        <f>(B21)</f>
        <v>0.01</v>
      </c>
      <c r="S11" s="38">
        <v>1895</v>
      </c>
      <c r="T11" s="23">
        <f>(R11*S11)</f>
        <v>18.95</v>
      </c>
    </row>
    <row r="12" spans="2:20">
      <c r="B12" s="25">
        <v>3.6398699999999999E-3</v>
      </c>
      <c r="C12" s="39">
        <v>0</v>
      </c>
      <c r="D12" s="26">
        <f t="shared" si="0"/>
        <v>0</v>
      </c>
      <c r="E12" s="37">
        <f>(B12*J3)</f>
        <v>6.9448504807850435</v>
      </c>
      <c r="I12" t="s">
        <v>13</v>
      </c>
      <c r="J12">
        <f>(J11-B42)</f>
        <v>3.663356000000012E-2</v>
      </c>
      <c r="N12">
        <f>($B$35/5)</f>
        <v>1.5882E-2</v>
      </c>
      <c r="O12" s="38">
        <f>($S$18*Params!K17)</f>
        <v>6329.0206058984822</v>
      </c>
      <c r="P12" s="23">
        <f>(O12*N12)</f>
        <v>100.51750526287969</v>
      </c>
      <c r="R12" s="24">
        <f>(B22)</f>
        <v>0.01</v>
      </c>
      <c r="S12" s="38">
        <v>1890.15</v>
      </c>
      <c r="T12" s="23">
        <f>(R12*S12)</f>
        <v>18.901500000000002</v>
      </c>
    </row>
    <row r="13" spans="2:20">
      <c r="B13" s="24">
        <v>-8.0000000000000002E-3</v>
      </c>
      <c r="C13" s="37">
        <v>2340</v>
      </c>
      <c r="D13" s="23">
        <f t="shared" si="0"/>
        <v>-18.72</v>
      </c>
      <c r="I13" t="s">
        <v>14</v>
      </c>
      <c r="J13">
        <f>(J12*J3)</f>
        <v>69.896616301919735</v>
      </c>
      <c r="N13">
        <f>($B$35/5)</f>
        <v>1.5882E-2</v>
      </c>
      <c r="O13" s="38">
        <f>($S$18*Params!K18)</f>
        <v>12658.041211796964</v>
      </c>
      <c r="P13" s="23">
        <f>(O13*N13)</f>
        <v>201.03501052575939</v>
      </c>
      <c r="R13" s="24">
        <f>(B23)</f>
        <v>4.9950000000000001E-2</v>
      </c>
      <c r="S13" s="38">
        <f>(T13/R13)</f>
        <v>1643.6436436436434</v>
      </c>
      <c r="T13" s="23">
        <f>(82.1)</f>
        <v>82.1</v>
      </c>
    </row>
    <row r="14" spans="2:20">
      <c r="B14" s="24">
        <v>-0.01</v>
      </c>
      <c r="C14" s="37">
        <v>2263</v>
      </c>
      <c r="D14" s="23">
        <f t="shared" si="0"/>
        <v>-22.63</v>
      </c>
      <c r="R14" s="24">
        <f>(B24)</f>
        <v>0.01</v>
      </c>
      <c r="S14" s="38">
        <v>1709</v>
      </c>
      <c r="T14" s="23">
        <f>(S14*R14)</f>
        <v>17.09</v>
      </c>
    </row>
    <row r="15" spans="2:20">
      <c r="B15" s="24">
        <v>-8.9999999999999993E-3</v>
      </c>
      <c r="C15" s="37">
        <v>2114</v>
      </c>
      <c r="D15" s="23">
        <f t="shared" si="0"/>
        <v>-19.026</v>
      </c>
      <c r="P15" s="23">
        <f>(SUM(P10:P13))</f>
        <v>394.82609569431958</v>
      </c>
      <c r="R15" s="24">
        <f>(B25)</f>
        <v>0.01</v>
      </c>
      <c r="S15" s="38">
        <v>1617.3</v>
      </c>
      <c r="T15" s="23">
        <f>(S15*R15)</f>
        <v>16.172999999999998</v>
      </c>
    </row>
    <row r="16" spans="2:20">
      <c r="B16" s="24">
        <v>-8.0000000000000002E-3</v>
      </c>
      <c r="C16" s="37">
        <v>2027.47</v>
      </c>
      <c r="D16" s="23">
        <f t="shared" si="0"/>
        <v>-16.219760000000001</v>
      </c>
      <c r="R16" s="24">
        <f>(SUM(B26:B33))</f>
        <v>0</v>
      </c>
      <c r="S16" s="37">
        <v>0</v>
      </c>
      <c r="T16" s="23">
        <f>(SUM(D26:D33))</f>
        <v>-1.1127000000000002</v>
      </c>
    </row>
    <row r="17" spans="2:21">
      <c r="B17" s="24">
        <v>-8.2000000000000007E-3</v>
      </c>
      <c r="C17" s="37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7">
        <f>(T17/R17)</f>
        <v>1219.326523</v>
      </c>
      <c r="T17" s="23">
        <v>-12.19326523</v>
      </c>
    </row>
    <row r="18" spans="2:21">
      <c r="B18" s="24">
        <v>1.6E-2</v>
      </c>
      <c r="C18" s="38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8">
        <f>(C38)</f>
        <v>1605</v>
      </c>
      <c r="P18" s="23">
        <f>(O18*N18)</f>
        <v>1.1315250000000001</v>
      </c>
      <c r="Q18" t="s">
        <v>12</v>
      </c>
      <c r="R18" s="24">
        <f>(B35+B39)</f>
        <v>7.4764999999999998E-2</v>
      </c>
      <c r="S18" s="38">
        <f>(T18/R18)</f>
        <v>1582.2551514746206</v>
      </c>
      <c r="T18" s="23">
        <f>(D35+1283.68*B39)</f>
        <v>118.29730640000001</v>
      </c>
      <c r="U18" t="s">
        <v>10</v>
      </c>
    </row>
    <row r="19" spans="2:21">
      <c r="B19" s="24">
        <v>1.2E-2</v>
      </c>
      <c r="C19" s="38">
        <f>1/0.0008564</f>
        <v>1167.6786548341897</v>
      </c>
      <c r="D19" s="23">
        <f t="shared" si="0"/>
        <v>14.012143858010276</v>
      </c>
      <c r="N19">
        <f>(2*($R$19+N18)/5-N18)</f>
        <v>5.1150000000000006E-3</v>
      </c>
      <c r="O19" s="38">
        <f>($S$19*Params!K16)</f>
        <v>3236.5223907547852</v>
      </c>
      <c r="P19" s="23">
        <f>(O19*N19)</f>
        <v>16.554812028710728</v>
      </c>
      <c r="R19" s="24">
        <f>(B36+B38)</f>
        <v>1.3845E-2</v>
      </c>
      <c r="S19" s="38">
        <f>(T19/R19)</f>
        <v>1618.2611953773926</v>
      </c>
      <c r="T19" s="23">
        <f>(D36+1269.75*B38)</f>
        <v>22.404826249999999</v>
      </c>
      <c r="U19" t="s">
        <v>15</v>
      </c>
    </row>
    <row r="20" spans="2:21">
      <c r="B20" s="24">
        <v>3.2104290000000001E-2</v>
      </c>
      <c r="C20" s="38">
        <f>D20/B20</f>
        <v>1557.4242570073968</v>
      </c>
      <c r="D20" s="23">
        <v>50</v>
      </c>
      <c r="N20">
        <f>($B$36/5)</f>
        <v>2.9100000000000003E-3</v>
      </c>
      <c r="O20" s="38">
        <f>($S$19*Params!K17)</f>
        <v>6473.0447815095704</v>
      </c>
      <c r="P20" s="23">
        <f>(O20*N20)</f>
        <v>18.836560314192852</v>
      </c>
      <c r="R20" s="24">
        <f>(B37)</f>
        <v>4.1228E-4</v>
      </c>
      <c r="S20" s="38">
        <f>(C37)</f>
        <v>1212.7680217328029</v>
      </c>
      <c r="T20" s="23">
        <f>(D37)</f>
        <v>0.5</v>
      </c>
    </row>
    <row r="21" spans="2:21">
      <c r="B21" s="24">
        <v>0.01</v>
      </c>
      <c r="C21" s="38">
        <v>1895</v>
      </c>
      <c r="D21" s="23">
        <f>B21*C21</f>
        <v>18.95</v>
      </c>
      <c r="N21">
        <f>($B$36/5)</f>
        <v>2.9100000000000003E-3</v>
      </c>
      <c r="O21" s="38">
        <f>($S$19*Params!K18)</f>
        <v>12946.089563019141</v>
      </c>
      <c r="P21" s="23">
        <f>(O21*N21)</f>
        <v>37.673120628385703</v>
      </c>
      <c r="R21" s="24">
        <f>(B38-B38)</f>
        <v>0</v>
      </c>
      <c r="S21" s="37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8">
        <v>1890.15</v>
      </c>
      <c r="D22" s="23">
        <f>B22*C22</f>
        <v>18.901500000000002</v>
      </c>
      <c r="R22" s="24">
        <f>(B39-B39)</f>
        <v>0</v>
      </c>
      <c r="S22" s="37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8">
        <f>D23/B23</f>
        <v>1643.6436436436434</v>
      </c>
      <c r="D23" s="23">
        <f>82.1</f>
        <v>82.1</v>
      </c>
      <c r="P23" s="23">
        <f>(SUM(P18:P21))</f>
        <v>74.19601797128928</v>
      </c>
      <c r="R23" s="24">
        <f>(B40)</f>
        <v>1.8350000000000002E-2</v>
      </c>
      <c r="S23" s="38">
        <f>(T23/R23)</f>
        <v>1806.5395095367844</v>
      </c>
      <c r="T23" s="23">
        <f>(D40)</f>
        <v>33.15</v>
      </c>
      <c r="U23" t="s">
        <v>18</v>
      </c>
    </row>
    <row r="24" spans="2:21">
      <c r="B24" s="24">
        <v>0.01</v>
      </c>
      <c r="C24" s="38">
        <v>1709</v>
      </c>
      <c r="D24" s="23">
        <f>C24*B24</f>
        <v>17.09</v>
      </c>
    </row>
    <row r="25" spans="2:21">
      <c r="B25" s="24">
        <v>0.01</v>
      </c>
      <c r="C25" s="38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7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8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8">
        <v>1500</v>
      </c>
      <c r="D27" s="23">
        <f>(C27*B27)</f>
        <v>15</v>
      </c>
      <c r="N27" s="24">
        <f>($R$20/5)</f>
        <v>8.2455999999999998E-5</v>
      </c>
      <c r="O27" s="38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7">
        <f>(D28/B28)</f>
        <v>1443</v>
      </c>
      <c r="D28" s="23">
        <v>-14.43</v>
      </c>
      <c r="N28" s="24">
        <f>($R$20/5)</f>
        <v>8.2455999999999998E-5</v>
      </c>
      <c r="O28" s="38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8">
        <v>1428.89</v>
      </c>
      <c r="D29" s="23">
        <f>(C29*B29)</f>
        <v>14.288900000000002</v>
      </c>
      <c r="N29" s="24">
        <f>($R$20/5)</f>
        <v>8.2455999999999998E-5</v>
      </c>
      <c r="O29" s="38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7">
        <v>1402.5</v>
      </c>
      <c r="D30" s="23">
        <f>(C30*B30)</f>
        <v>-14.025</v>
      </c>
    </row>
    <row r="31" spans="2:21">
      <c r="B31" s="24">
        <v>0.01</v>
      </c>
      <c r="C31" s="38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7">
        <v>1286.6600000000001</v>
      </c>
      <c r="D32" s="23">
        <f>(C32*B32)</f>
        <v>-12.866600000000002</v>
      </c>
      <c r="R32">
        <f>(SUM(R5:R31))</f>
        <v>0.46336643999999999</v>
      </c>
      <c r="T32" s="23">
        <f>(SUM(T5:T31))</f>
        <v>1330.9189255217843</v>
      </c>
    </row>
    <row r="33" spans="2:16">
      <c r="B33" s="24">
        <v>0.01</v>
      </c>
      <c r="C33" s="38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7">
        <f>(D34/B34)</f>
        <v>1219.326523</v>
      </c>
      <c r="D34" s="23">
        <v>-12.19326523</v>
      </c>
      <c r="M34" t="s">
        <v>11</v>
      </c>
      <c r="N34">
        <f>($R$23/5)</f>
        <v>3.6700000000000005E-3</v>
      </c>
      <c r="O34" s="38">
        <f>($S$23*Params!K15)</f>
        <v>2709.8092643051768</v>
      </c>
      <c r="P34" s="23">
        <f>(O34*N34)</f>
        <v>9.9450000000000003</v>
      </c>
    </row>
    <row r="35" spans="2:16">
      <c r="B35" s="24">
        <v>7.9409999999999994E-2</v>
      </c>
      <c r="C35" s="38">
        <f>(D35/B35)</f>
        <v>1564.7903286739706</v>
      </c>
      <c r="D35" s="23">
        <v>124.26</v>
      </c>
      <c r="E35" t="s">
        <v>10</v>
      </c>
      <c r="N35">
        <f>($R$23/5)</f>
        <v>3.6700000000000005E-3</v>
      </c>
      <c r="O35" s="38">
        <f>($S$23*Params!K16)</f>
        <v>3613.0790190735688</v>
      </c>
      <c r="P35" s="23">
        <f>(O35*N35)</f>
        <v>13.26</v>
      </c>
    </row>
    <row r="36" spans="2:16">
      <c r="B36" s="24">
        <v>1.455E-2</v>
      </c>
      <c r="C36" s="38">
        <f>(D36/B36)</f>
        <v>1601.3745704467353</v>
      </c>
      <c r="D36" s="23">
        <v>23.3</v>
      </c>
      <c r="E36" t="s">
        <v>15</v>
      </c>
      <c r="N36">
        <f>($R$23/5)</f>
        <v>3.6700000000000005E-3</v>
      </c>
      <c r="O36" s="38">
        <f>($S$23*Params!K17)</f>
        <v>7226.1580381471376</v>
      </c>
      <c r="P36" s="23">
        <f>(O36*N36)</f>
        <v>26.52</v>
      </c>
    </row>
    <row r="37" spans="2:16">
      <c r="B37" s="24">
        <v>4.1228E-4</v>
      </c>
      <c r="C37" s="38">
        <f>(D37/B37)</f>
        <v>1212.7680217328029</v>
      </c>
      <c r="D37" s="23">
        <v>0.5</v>
      </c>
      <c r="N37">
        <f>($R$23/5)</f>
        <v>3.6700000000000005E-3</v>
      </c>
      <c r="O37" s="38">
        <f>($S$23*Params!K18)</f>
        <v>14452.316076294275</v>
      </c>
      <c r="P37" s="23">
        <f>(O37*N37)</f>
        <v>53.04</v>
      </c>
    </row>
    <row r="38" spans="2:16">
      <c r="B38" s="24">
        <f>(-0.000705)</f>
        <v>-7.0500000000000001E-4</v>
      </c>
      <c r="C38" s="37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7">
        <v>1605</v>
      </c>
      <c r="D39" s="23">
        <f>(C39*B39)</f>
        <v>-7.4552249999999995</v>
      </c>
      <c r="P39" s="23">
        <f>(SUM(P34:P37))</f>
        <v>102.76499999999999</v>
      </c>
    </row>
    <row r="40" spans="2:16">
      <c r="B40" s="24">
        <v>1.8350000000000002E-2</v>
      </c>
      <c r="C40" s="38">
        <f>(D40/B40)</f>
        <v>1806.5395095367844</v>
      </c>
      <c r="D40" s="23">
        <v>33.15</v>
      </c>
      <c r="E40" t="s">
        <v>18</v>
      </c>
    </row>
    <row r="42" spans="2:16">
      <c r="B42">
        <f>(SUM(B5:B41))</f>
        <v>0.46336643999999988</v>
      </c>
      <c r="D42" s="23">
        <f>(SUM(D5:D41))</f>
        <v>1330.9189255217843</v>
      </c>
      <c r="H42" t="s">
        <v>9</v>
      </c>
      <c r="I42" s="38">
        <f>D42/B42</f>
        <v>2872.2816557923029</v>
      </c>
    </row>
  </sheetData>
  <conditionalFormatting sqref="C5:C7 C11 C18:C24">
    <cfRule type="cellIs" dxfId="357" priority="37" operator="lessThan">
      <formula>$J$3</formula>
    </cfRule>
    <cfRule type="cellIs" dxfId="356" priority="38" operator="greaterThan">
      <formula>$J$3</formula>
    </cfRule>
  </conditionalFormatting>
  <conditionalFormatting sqref="C25">
    <cfRule type="cellIs" dxfId="355" priority="35" operator="lessThan">
      <formula>$J$3</formula>
    </cfRule>
    <cfRule type="cellIs" dxfId="354" priority="36" operator="greaterThan">
      <formula>$J$3</formula>
    </cfRule>
  </conditionalFormatting>
  <conditionalFormatting sqref="C27">
    <cfRule type="cellIs" dxfId="353" priority="33" operator="lessThan">
      <formula>$J$3</formula>
    </cfRule>
    <cfRule type="cellIs" dxfId="352" priority="34" operator="greaterThan">
      <formula>$J$3</formula>
    </cfRule>
  </conditionalFormatting>
  <conditionalFormatting sqref="C29">
    <cfRule type="cellIs" dxfId="351" priority="31" operator="lessThan">
      <formula>$J$3</formula>
    </cfRule>
    <cfRule type="cellIs" dxfId="350" priority="32" operator="greaterThan">
      <formula>$J$3</formula>
    </cfRule>
  </conditionalFormatting>
  <conditionalFormatting sqref="C31">
    <cfRule type="cellIs" dxfId="349" priority="29" operator="lessThan">
      <formula>$J$3</formula>
    </cfRule>
    <cfRule type="cellIs" dxfId="348" priority="30" operator="greaterThan">
      <formula>$J$3</formula>
    </cfRule>
  </conditionalFormatting>
  <conditionalFormatting sqref="C33">
    <cfRule type="cellIs" dxfId="347" priority="27" operator="lessThan">
      <formula>$J$3</formula>
    </cfRule>
    <cfRule type="cellIs" dxfId="346" priority="28" operator="greaterThan">
      <formula>$J$3</formula>
    </cfRule>
  </conditionalFormatting>
  <conditionalFormatting sqref="C35:C37">
    <cfRule type="cellIs" dxfId="345" priority="25" operator="lessThan">
      <formula>$J$3</formula>
    </cfRule>
    <cfRule type="cellIs" dxfId="344" priority="26" operator="greaterThan">
      <formula>$J$3</formula>
    </cfRule>
  </conditionalFormatting>
  <conditionalFormatting sqref="C40">
    <cfRule type="cellIs" dxfId="343" priority="23" operator="lessThan">
      <formula>$J$3</formula>
    </cfRule>
    <cfRule type="cellIs" dxfId="342" priority="24" operator="greaterThan">
      <formula>$J$3</formula>
    </cfRule>
  </conditionalFormatting>
  <conditionalFormatting sqref="I42">
    <cfRule type="cellIs" dxfId="341" priority="21" operator="lessThan">
      <formula>$J$3</formula>
    </cfRule>
    <cfRule type="cellIs" dxfId="340" priority="22" operator="greaterThan">
      <formula>$J$3</formula>
    </cfRule>
  </conditionalFormatting>
  <conditionalFormatting sqref="O11:O13">
    <cfRule type="cellIs" dxfId="339" priority="19" operator="lessThan">
      <formula>$J$3</formula>
    </cfRule>
    <cfRule type="cellIs" dxfId="338" priority="20" operator="greaterThan">
      <formula>$J$3</formula>
    </cfRule>
  </conditionalFormatting>
  <conditionalFormatting sqref="O19:O21">
    <cfRule type="cellIs" dxfId="337" priority="17" operator="lessThan">
      <formula>$J$3</formula>
    </cfRule>
    <cfRule type="cellIs" dxfId="336" priority="18" operator="greaterThan">
      <formula>$J$3</formula>
    </cfRule>
  </conditionalFormatting>
  <conditionalFormatting sqref="O26:O29">
    <cfRule type="cellIs" dxfId="335" priority="15" operator="lessThan">
      <formula>$J$3</formula>
    </cfRule>
    <cfRule type="cellIs" dxfId="334" priority="16" operator="greaterThan">
      <formula>$J$3</formula>
    </cfRule>
  </conditionalFormatting>
  <conditionalFormatting sqref="O34:O37">
    <cfRule type="cellIs" dxfId="333" priority="13" operator="lessThan">
      <formula>$J$3</formula>
    </cfRule>
    <cfRule type="cellIs" dxfId="332" priority="14" operator="greaterThan">
      <formula>$J$3</formula>
    </cfRule>
  </conditionalFormatting>
  <conditionalFormatting sqref="N6">
    <cfRule type="cellIs" dxfId="331" priority="11" operator="lessThan">
      <formula>$J$3</formula>
    </cfRule>
    <cfRule type="cellIs" dxfId="330" priority="12" operator="greaterThan">
      <formula>$J$3</formula>
    </cfRule>
  </conditionalFormatting>
  <conditionalFormatting sqref="O3">
    <cfRule type="cellIs" dxfId="329" priority="9" operator="greaterThan">
      <formula>$J$3</formula>
    </cfRule>
    <cfRule type="cellIs" dxfId="328" priority="10" operator="lessThan">
      <formula>$J$3</formula>
    </cfRule>
  </conditionalFormatting>
  <conditionalFormatting sqref="S5:S7">
    <cfRule type="cellIs" dxfId="327" priority="7" operator="lessThan">
      <formula>$J$3</formula>
    </cfRule>
    <cfRule type="cellIs" dxfId="326" priority="8" operator="greaterThan">
      <formula>$J$3</formula>
    </cfRule>
  </conditionalFormatting>
  <conditionalFormatting sqref="S10:S15">
    <cfRule type="cellIs" dxfId="325" priority="5" operator="lessThan">
      <formula>$J$3</formula>
    </cfRule>
    <cfRule type="cellIs" dxfId="324" priority="6" operator="greaterThan">
      <formula>$J$3</formula>
    </cfRule>
  </conditionalFormatting>
  <conditionalFormatting sqref="S18:S20">
    <cfRule type="cellIs" dxfId="323" priority="3" operator="lessThan">
      <formula>$J$3</formula>
    </cfRule>
    <cfRule type="cellIs" dxfId="322" priority="4" operator="greaterThan">
      <formula>$J$3</formula>
    </cfRule>
  </conditionalFormatting>
  <conditionalFormatting sqref="S23">
    <cfRule type="cellIs" dxfId="321" priority="1" operator="lessThan">
      <formula>$J$3</formula>
    </cfRule>
    <cfRule type="cellIs" dxfId="320" priority="2" operator="greaterThan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G13" sqref="G1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5" max="15" width="11.28515625" style="14" bestFit="1" customWidth="1"/>
  </cols>
  <sheetData>
    <row r="3" spans="2:21">
      <c r="I3" t="s">
        <v>3</v>
      </c>
      <c r="J3" s="37">
        <v>4.0200609832323861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7">
        <f>(B14*J3)</f>
        <v>21.491639540129988</v>
      </c>
      <c r="K4" s="4">
        <f>(J4/D14-1)</f>
        <v>-5.3666068491866614E-2</v>
      </c>
      <c r="R4" t="s">
        <v>5</v>
      </c>
      <c r="S4" t="s">
        <v>6</v>
      </c>
      <c r="T4" t="s">
        <v>7</v>
      </c>
    </row>
    <row r="5" spans="2:21">
      <c r="B5" s="29">
        <v>5.0681200000000004</v>
      </c>
      <c r="C5" s="37">
        <f>(D5/B5)</f>
        <v>4.5184407630442838</v>
      </c>
      <c r="D5" s="37">
        <v>22.9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0">
        <f>(B6)</f>
        <v>0.21203615000000001</v>
      </c>
      <c r="S5" s="39">
        <v>0</v>
      </c>
      <c r="T5" s="26">
        <f>(D6)</f>
        <v>0</v>
      </c>
      <c r="U5" s="37">
        <f>(R5*J3)</f>
        <v>0.8523982536498097</v>
      </c>
    </row>
    <row r="6" spans="2:21">
      <c r="B6" s="36">
        <v>0.21203615000000001</v>
      </c>
      <c r="C6" s="39">
        <v>0</v>
      </c>
      <c r="D6" s="26">
        <f>(B6*C6)</f>
        <v>0</v>
      </c>
      <c r="E6" s="37">
        <f>(B6*J3)</f>
        <v>0.8523982536498097</v>
      </c>
      <c r="M6" t="s">
        <v>11</v>
      </c>
      <c r="N6" s="29">
        <f>(SUM(R5:R7)/5)</f>
        <v>1.0692195780000002</v>
      </c>
      <c r="O6" s="37">
        <f>($C$5*Params!K8)</f>
        <v>5.8739729919575687</v>
      </c>
      <c r="P6" s="37">
        <f>(O6*N6)</f>
        <v>6.2805669236442707</v>
      </c>
      <c r="R6" s="29">
        <f>(B5)</f>
        <v>5.0681200000000004</v>
      </c>
      <c r="S6" s="37">
        <f>(T6/R6)</f>
        <v>4.5184407630442838</v>
      </c>
      <c r="T6" s="37">
        <f>(D5)</f>
        <v>22.9</v>
      </c>
      <c r="U6" t="s">
        <v>15</v>
      </c>
    </row>
    <row r="7" spans="2:21">
      <c r="B7" s="29">
        <v>-0.2273</v>
      </c>
      <c r="C7" s="37">
        <f t="shared" ref="C7:C12" si="0">(D7/B7)</f>
        <v>4.95</v>
      </c>
      <c r="D7" s="37">
        <v>-1.125135</v>
      </c>
      <c r="N7" s="29">
        <f>(SUM(R5:R7)/5)</f>
        <v>1.0692195780000002</v>
      </c>
      <c r="O7" s="37">
        <f>($C$5*Params!K9)</f>
        <v>7.2295052208708546</v>
      </c>
      <c r="P7" s="37">
        <f>(O7*N7)</f>
        <v>7.7299285214083335</v>
      </c>
      <c r="R7" s="29">
        <f>(SUM(B7:B12))</f>
        <v>6.5941739999999971E-2</v>
      </c>
      <c r="S7" s="37">
        <v>0</v>
      </c>
      <c r="T7" s="37">
        <f>(SUM(D7:D12))</f>
        <v>-0.18958158999999997</v>
      </c>
    </row>
    <row r="8" spans="2:21">
      <c r="B8" s="29">
        <v>-0.30499999999999999</v>
      </c>
      <c r="C8" s="37">
        <f t="shared" si="0"/>
        <v>6.2656189508196727</v>
      </c>
      <c r="D8" s="37">
        <v>-1.91101378</v>
      </c>
      <c r="N8" s="29">
        <f>(SUM(R5:R7)/5)</f>
        <v>1.0692195780000002</v>
      </c>
      <c r="O8" s="37">
        <f>($C$5*Params!K10)</f>
        <v>9.9405696786974254</v>
      </c>
      <c r="P8" s="37">
        <f>(O8*N8)</f>
        <v>10.628651716936458</v>
      </c>
    </row>
    <row r="9" spans="2:21">
      <c r="B9" s="29">
        <v>0.34203370999999999</v>
      </c>
      <c r="C9" s="37">
        <f t="shared" si="0"/>
        <v>5.2626391708583347</v>
      </c>
      <c r="D9" s="37">
        <v>1.8</v>
      </c>
      <c r="N9" s="29">
        <f>(SUM(R5:R7)/5)</f>
        <v>1.0692195780000002</v>
      </c>
      <c r="O9" s="37">
        <f>($C$5*Params!K11)</f>
        <v>18.073763052177135</v>
      </c>
      <c r="P9" s="37">
        <f>(O9*N9)</f>
        <v>19.324821303520832</v>
      </c>
    </row>
    <row r="10" spans="2:21">
      <c r="B10" s="29">
        <v>0.25620802999999998</v>
      </c>
      <c r="C10" s="37">
        <f t="shared" si="0"/>
        <v>4.1372629889859427</v>
      </c>
      <c r="D10" s="37">
        <v>1.06</v>
      </c>
    </row>
    <row r="11" spans="2:21">
      <c r="B11" s="29">
        <v>-0.4</v>
      </c>
      <c r="C11" s="37">
        <f t="shared" si="0"/>
        <v>4.1562849000000002</v>
      </c>
      <c r="D11" s="37">
        <v>-1.6625139600000001</v>
      </c>
      <c r="P11" s="37">
        <f>(SUM(P6:P9))</f>
        <v>43.963968465509893</v>
      </c>
    </row>
    <row r="12" spans="2:21">
      <c r="B12" s="29">
        <v>0.4</v>
      </c>
      <c r="C12" s="37">
        <f t="shared" si="0"/>
        <v>4.1227028749999999</v>
      </c>
      <c r="D12" s="37">
        <f>(1.64908115)</f>
        <v>1.64908115</v>
      </c>
    </row>
    <row r="13" spans="2:21">
      <c r="F13" t="s">
        <v>9</v>
      </c>
      <c r="G13" s="37">
        <f>(D14/B14)</f>
        <v>4.2480363953829494</v>
      </c>
    </row>
    <row r="14" spans="2:21">
      <c r="B14" s="29">
        <f>(SUM(B5:B13))</f>
        <v>5.3460978900000011</v>
      </c>
      <c r="D14" s="37">
        <f>(SUM(D5:D13))</f>
        <v>22.710418409999996</v>
      </c>
      <c r="R14" s="29">
        <f>(SUM(R5:R13))</f>
        <v>5.3460978900000011</v>
      </c>
      <c r="T14" s="37">
        <f>(SUM(T5:T13))</f>
        <v>22.710418409999999</v>
      </c>
    </row>
    <row r="22" spans="4:4">
      <c r="D22" s="29"/>
    </row>
  </sheetData>
  <conditionalFormatting sqref="C5 C7:C12">
    <cfRule type="cellIs" dxfId="249" priority="7" operator="lessThan">
      <formula>$J$3</formula>
    </cfRule>
    <cfRule type="cellIs" dxfId="248" priority="8" operator="greaterThan">
      <formula>$J$3</formula>
    </cfRule>
  </conditionalFormatting>
  <conditionalFormatting sqref="O6:O9">
    <cfRule type="cellIs" dxfId="247" priority="5" operator="lessThan">
      <formula>$J$3</formula>
    </cfRule>
    <cfRule type="cellIs" dxfId="246" priority="6" operator="greaterThan">
      <formula>$J$3</formula>
    </cfRule>
  </conditionalFormatting>
  <conditionalFormatting sqref="S6:S7">
    <cfRule type="cellIs" dxfId="245" priority="3" operator="lessThan">
      <formula>$J$3</formula>
    </cfRule>
    <cfRule type="cellIs" dxfId="244" priority="4" operator="greaterThan">
      <formula>$J$3</formula>
    </cfRule>
  </conditionalFormatting>
  <conditionalFormatting sqref="G13">
    <cfRule type="cellIs" dxfId="243" priority="1" operator="lessThan">
      <formula>$J$3</formula>
    </cfRule>
    <cfRule type="cellIs" dxfId="242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G13" sqref="G1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7">
        <v>11.413903581786871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(B14*J3)</f>
        <v>13.720147060764074</v>
      </c>
      <c r="K4" s="4">
        <f>(J4/D14-1)</f>
        <v>0.25527420501043685</v>
      </c>
    </row>
    <row r="5" spans="2:16">
      <c r="B5" s="29">
        <v>1.1100000000000001</v>
      </c>
      <c r="C5" s="37">
        <f>(D5/B5)</f>
        <v>9.8468468468468462</v>
      </c>
      <c r="D5" s="37">
        <v>10.93</v>
      </c>
      <c r="N5" t="s">
        <v>29</v>
      </c>
      <c r="O5" t="s">
        <v>1</v>
      </c>
      <c r="P5" t="s">
        <v>2</v>
      </c>
    </row>
    <row r="6" spans="2:16">
      <c r="B6" s="29">
        <v>8.7936070000000005E-2</v>
      </c>
      <c r="C6" s="37">
        <v>0</v>
      </c>
      <c r="D6" s="37">
        <f>(B6*C6)</f>
        <v>0</v>
      </c>
      <c r="E6" s="37">
        <f>(B6*J3)</f>
        <v>1.003693824341261</v>
      </c>
      <c r="M6" t="s">
        <v>11</v>
      </c>
      <c r="N6" s="1">
        <f>(SUM($B$5:$B$7)/5)</f>
        <v>0.240411126</v>
      </c>
      <c r="O6" s="37">
        <f>($C$5*Params!K8)</f>
        <v>12.800900900900901</v>
      </c>
      <c r="P6" s="37">
        <f>(O6*N6)</f>
        <v>3.0774789994000002</v>
      </c>
    </row>
    <row r="7" spans="2:16">
      <c r="B7" s="36">
        <v>4.1195600000000004E-3</v>
      </c>
      <c r="C7" s="39">
        <v>0</v>
      </c>
      <c r="D7" s="26">
        <f>(C7*B7)</f>
        <v>0</v>
      </c>
      <c r="E7" s="37">
        <f>(B7*J4)</f>
        <v>5.652096902564125E-2</v>
      </c>
      <c r="N7" s="1">
        <f>(SUM($B$5:$B$7)/5)</f>
        <v>0.240411126</v>
      </c>
      <c r="O7" s="37">
        <f>($C$5*Params!K9)</f>
        <v>15.754954954954954</v>
      </c>
      <c r="P7" s="37">
        <f>(O7*N7)</f>
        <v>3.7876664607999997</v>
      </c>
    </row>
    <row r="8" spans="2:16">
      <c r="N8" s="1">
        <f>(SUM($B$5:$B$7)/5)</f>
        <v>0.240411126</v>
      </c>
      <c r="O8" s="37">
        <f>($C$5*Params!K10)</f>
        <v>21.663063063063063</v>
      </c>
      <c r="P8" s="37">
        <f>(O8*N8)</f>
        <v>5.2080413836000004</v>
      </c>
    </row>
    <row r="9" spans="2:16">
      <c r="N9" s="1">
        <f>(SUM($B$5:$B$7)/5)</f>
        <v>0.240411126</v>
      </c>
      <c r="O9" s="37">
        <f>($C$5*Params!K11)</f>
        <v>39.387387387387385</v>
      </c>
      <c r="P9" s="37">
        <f>(O9*N9)</f>
        <v>9.4691661519999997</v>
      </c>
    </row>
    <row r="12" spans="2:16">
      <c r="P12" s="37">
        <f>(SUM(P6:P9))</f>
        <v>21.542352995800002</v>
      </c>
    </row>
    <row r="13" spans="2:16">
      <c r="F13" t="s">
        <v>9</v>
      </c>
      <c r="G13" s="37">
        <f>(D14/B14)</f>
        <v>9.0927572129086904</v>
      </c>
    </row>
    <row r="14" spans="2:16">
      <c r="B14" s="19">
        <f>(SUM(B5:B13))</f>
        <v>1.20205563</v>
      </c>
      <c r="D14" s="37">
        <f>(SUM(D5:D13))</f>
        <v>10.93</v>
      </c>
    </row>
  </sheetData>
  <conditionalFormatting sqref="C5">
    <cfRule type="cellIs" dxfId="241" priority="5" operator="lessThan">
      <formula>$J$3</formula>
    </cfRule>
    <cfRule type="cellIs" dxfId="240" priority="6" operator="greaterThan">
      <formula>$J$3</formula>
    </cfRule>
  </conditionalFormatting>
  <conditionalFormatting sqref="O6:O9">
    <cfRule type="cellIs" dxfId="239" priority="3" operator="lessThan">
      <formula>$J$3</formula>
    </cfRule>
    <cfRule type="cellIs" dxfId="238" priority="4" operator="greaterThan">
      <formula>$J$3</formula>
    </cfRule>
  </conditionalFormatting>
  <conditionalFormatting sqref="G13">
    <cfRule type="cellIs" dxfId="237" priority="1" operator="lessThan">
      <formula>$J$3</formula>
    </cfRule>
    <cfRule type="cellIs" dxfId="236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2:U19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2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7">
        <v>17.619289645810149</v>
      </c>
      <c r="M3" t="s">
        <v>4</v>
      </c>
      <c r="N3" s="24">
        <f>(INDEX(N6:N15,MATCH(MAX(O6),O6:O15,0))/0.9)</f>
        <v>7.9666666666666663E-2</v>
      </c>
      <c r="O3" s="38">
        <f>(MAX(O6)*0.85)</f>
        <v>13.421499999999998</v>
      </c>
      <c r="P3" s="37">
        <f>(O3*N3)</f>
        <v>1.0692461666666664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7">
        <f>(B13*J3)</f>
        <v>26.895509820668543</v>
      </c>
      <c r="K4" s="4">
        <f>(J4/D13-1)</f>
        <v>8.2473486607243851E-2</v>
      </c>
      <c r="R4" t="s">
        <v>5</v>
      </c>
      <c r="S4" t="s">
        <v>6</v>
      </c>
      <c r="T4" t="s">
        <v>7</v>
      </c>
    </row>
    <row r="5" spans="2:21">
      <c r="B5">
        <v>1.39368</v>
      </c>
      <c r="C5" s="37">
        <f>(D5/B5)</f>
        <v>16.431318523620916</v>
      </c>
      <c r="D5" s="37">
        <v>22.9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7.08824E-3</v>
      </c>
      <c r="S5" s="39">
        <v>0</v>
      </c>
      <c r="T5" s="26">
        <f>(D6)</f>
        <v>0</v>
      </c>
      <c r="U5" s="37">
        <f>(R5*J3)</f>
        <v>0.12488975363901733</v>
      </c>
    </row>
    <row r="6" spans="2:21">
      <c r="B6" s="25">
        <v>7.08824E-3</v>
      </c>
      <c r="C6" s="39">
        <v>0</v>
      </c>
      <c r="D6" s="26">
        <f>(B6*C6)</f>
        <v>0</v>
      </c>
      <c r="E6" s="37">
        <f>(B6*J3)</f>
        <v>0.12488975363901733</v>
      </c>
      <c r="M6" t="s">
        <v>11</v>
      </c>
      <c r="N6" s="24">
        <f>(-B7)</f>
        <v>7.17E-2</v>
      </c>
      <c r="O6" s="37">
        <f>(C7)</f>
        <v>15.79</v>
      </c>
      <c r="P6" s="37">
        <f>(O6*N6)</f>
        <v>1.1321429999999999</v>
      </c>
      <c r="Q6" t="s">
        <v>12</v>
      </c>
      <c r="R6" s="24">
        <f>(B5-N6)</f>
        <v>1.3219799999999999</v>
      </c>
      <c r="S6" s="37">
        <f>(T6/R6)</f>
        <v>16.642371291547526</v>
      </c>
      <c r="T6" s="37">
        <f>(D5+12.54*-N6)</f>
        <v>22.000881999999997</v>
      </c>
      <c r="U6" t="s">
        <v>15</v>
      </c>
    </row>
    <row r="7" spans="2:21">
      <c r="B7" s="24">
        <v>-7.17E-2</v>
      </c>
      <c r="C7" s="37">
        <f>(D7/B7)</f>
        <v>15.79</v>
      </c>
      <c r="D7" s="37">
        <v>-1.1321429999999999</v>
      </c>
      <c r="N7" s="24">
        <f>(2*($R$6+N6)/5-N6)</f>
        <v>0.48577199999999998</v>
      </c>
      <c r="O7" s="37">
        <f>($C$5*Params!K9)</f>
        <v>26.290109637793467</v>
      </c>
      <c r="P7" s="37">
        <f>(O7*N7)</f>
        <v>12.770999138970208</v>
      </c>
      <c r="R7" s="24">
        <f>(N14-N14)</f>
        <v>0</v>
      </c>
      <c r="S7" s="37">
        <v>0</v>
      </c>
      <c r="T7" s="37">
        <f>(12.54*N6-P6)</f>
        <v>-0.23302499999999993</v>
      </c>
      <c r="U7" t="s">
        <v>16</v>
      </c>
    </row>
    <row r="8" spans="2:21">
      <c r="B8">
        <v>-0.114356</v>
      </c>
      <c r="C8" s="37">
        <f>(D8/B8)</f>
        <v>20.563082741613908</v>
      </c>
      <c r="D8" s="37">
        <v>-2.3515118899999998</v>
      </c>
      <c r="N8" s="24">
        <f>($B$5/5)</f>
        <v>0.27873599999999998</v>
      </c>
      <c r="O8" s="37">
        <f>($C$5*Params!K10)</f>
        <v>36.148900751966018</v>
      </c>
      <c r="P8" s="37">
        <f>(O8*N8)</f>
        <v>10.075999999999999</v>
      </c>
      <c r="R8" s="24">
        <f>(B8+B9)</f>
        <v>1.2922699999999995E-2</v>
      </c>
      <c r="S8" s="37">
        <v>0</v>
      </c>
      <c r="T8" s="37">
        <f>(D8+D9)</f>
        <v>-0.13151188999999963</v>
      </c>
    </row>
    <row r="9" spans="2:21">
      <c r="B9" s="24">
        <v>0.12727869999999999</v>
      </c>
      <c r="C9" s="37">
        <f>(D9/B9)</f>
        <v>17.442038612902241</v>
      </c>
      <c r="D9" s="37">
        <v>2.2200000000000002</v>
      </c>
      <c r="N9" s="24">
        <f>($B$5/5)</f>
        <v>0.27873599999999998</v>
      </c>
      <c r="O9" s="37">
        <f>($C$5*Params!K11)</f>
        <v>65.725274094483666</v>
      </c>
      <c r="P9" s="37">
        <f>(O9*N9)</f>
        <v>18.319999999999997</v>
      </c>
      <c r="R9" s="24">
        <f>(B10)</f>
        <v>0.18448999999999999</v>
      </c>
      <c r="S9" s="37">
        <f>(T9/R9)</f>
        <v>17.399317036153722</v>
      </c>
      <c r="T9" s="37">
        <f>(D10)</f>
        <v>3.21</v>
      </c>
      <c r="U9" t="str">
        <f>E10</f>
        <v>DCA4</v>
      </c>
    </row>
    <row r="10" spans="2:21">
      <c r="B10">
        <v>0.18448999999999999</v>
      </c>
      <c r="C10" s="37">
        <f>(D10/B10)</f>
        <v>17.399317036153722</v>
      </c>
      <c r="D10" s="37">
        <v>3.21</v>
      </c>
      <c r="E10" t="s">
        <v>80</v>
      </c>
    </row>
    <row r="11" spans="2:21">
      <c r="P11" s="37">
        <f>(SUM(P6:P9))</f>
        <v>42.299142138970197</v>
      </c>
    </row>
    <row r="12" spans="2:21">
      <c r="F12" t="s">
        <v>9</v>
      </c>
      <c r="G12" s="37">
        <f>(D13/B13)</f>
        <v>16.276878707702696</v>
      </c>
    </row>
    <row r="13" spans="2:21">
      <c r="B13" s="24">
        <f>(SUM(B5:B12))</f>
        <v>1.5264809400000001</v>
      </c>
      <c r="D13" s="37">
        <f>(SUM(D5:D12))</f>
        <v>24.846345109999998</v>
      </c>
      <c r="M13" t="s">
        <v>80</v>
      </c>
      <c r="N13" t="s">
        <v>29</v>
      </c>
      <c r="O13" t="s">
        <v>1</v>
      </c>
      <c r="P13" t="s">
        <v>2</v>
      </c>
      <c r="R13" s="24">
        <f>(SUM(R5:R12))</f>
        <v>1.5264809400000001</v>
      </c>
      <c r="T13" s="37">
        <f>(SUM(T5:T12))</f>
        <v>24.846345109999998</v>
      </c>
    </row>
    <row r="14" spans="2:21">
      <c r="M14" t="s">
        <v>11</v>
      </c>
      <c r="N14" s="24">
        <f>($B$10/5)</f>
        <v>3.6898E-2</v>
      </c>
      <c r="O14" s="37">
        <f>($C$10*Params!K8)</f>
        <v>22.619112146999839</v>
      </c>
      <c r="P14" s="37">
        <f>(O14*N14)</f>
        <v>0.83460000000000012</v>
      </c>
    </row>
    <row r="15" spans="2:21">
      <c r="N15" s="24">
        <f>($B$10/5)</f>
        <v>3.6898E-2</v>
      </c>
      <c r="O15" s="37">
        <f>($C$10*Params!K9)</f>
        <v>27.838907257845957</v>
      </c>
      <c r="P15" s="37">
        <f>(O15*N15)</f>
        <v>1.0272000000000001</v>
      </c>
    </row>
    <row r="16" spans="2:21">
      <c r="N16" s="24">
        <f>($B$10/5)</f>
        <v>3.6898E-2</v>
      </c>
      <c r="O16" s="37">
        <f>($C$10*Params!K10)</f>
        <v>38.278497479538188</v>
      </c>
      <c r="P16" s="37">
        <f>(O16*N16)</f>
        <v>1.4124000000000001</v>
      </c>
    </row>
    <row r="17" spans="14:16">
      <c r="N17" s="24">
        <f>($B$10/5)</f>
        <v>3.6898E-2</v>
      </c>
      <c r="O17" s="37">
        <f>($C$10*Params!K11)</f>
        <v>69.597268144614887</v>
      </c>
      <c r="P17" s="37">
        <f>(O17*N17)</f>
        <v>2.5680000000000001</v>
      </c>
    </row>
    <row r="19" spans="14:16">
      <c r="P19" s="37">
        <f>(SUM(P14:P17))</f>
        <v>5.8422000000000001</v>
      </c>
    </row>
  </sheetData>
  <conditionalFormatting sqref="C5">
    <cfRule type="cellIs" dxfId="235" priority="15" operator="lessThan">
      <formula>$J$3</formula>
    </cfRule>
    <cfRule type="cellIs" dxfId="234" priority="16" operator="greaterThan">
      <formula>$J$3</formula>
    </cfRule>
  </conditionalFormatting>
  <conditionalFormatting sqref="C9:C10">
    <cfRule type="cellIs" dxfId="233" priority="13" operator="lessThan">
      <formula>$J$3</formula>
    </cfRule>
    <cfRule type="cellIs" dxfId="232" priority="14" operator="greaterThan">
      <formula>$J$3</formula>
    </cfRule>
  </conditionalFormatting>
  <conditionalFormatting sqref="S6">
    <cfRule type="cellIs" dxfId="231" priority="11" operator="lessThan">
      <formula>$J$3</formula>
    </cfRule>
    <cfRule type="cellIs" dxfId="230" priority="12" operator="greaterThan">
      <formula>$J$3</formula>
    </cfRule>
  </conditionalFormatting>
  <conditionalFormatting sqref="S9">
    <cfRule type="cellIs" dxfId="229" priority="9" operator="lessThan">
      <formula>$J$3</formula>
    </cfRule>
    <cfRule type="cellIs" dxfId="228" priority="10" operator="greaterThan">
      <formula>$J$3</formula>
    </cfRule>
  </conditionalFormatting>
  <conditionalFormatting sqref="O7:O9">
    <cfRule type="cellIs" dxfId="227" priority="7" operator="lessThan">
      <formula>$J$3</formula>
    </cfRule>
    <cfRule type="cellIs" dxfId="226" priority="8" operator="greaterThan">
      <formula>$J$3</formula>
    </cfRule>
  </conditionalFormatting>
  <conditionalFormatting sqref="O14:O17">
    <cfRule type="cellIs" dxfId="225" priority="5" operator="lessThan">
      <formula>$J$3</formula>
    </cfRule>
    <cfRule type="cellIs" dxfId="224" priority="6" operator="greaterThan">
      <formula>$J$3</formula>
    </cfRule>
  </conditionalFormatting>
  <conditionalFormatting sqref="O3">
    <cfRule type="cellIs" dxfId="223" priority="3" operator="greaterThan">
      <formula>$J$3</formula>
    </cfRule>
    <cfRule type="cellIs" dxfId="222" priority="4" operator="lessThan">
      <formula>$J$3</formula>
    </cfRule>
  </conditionalFormatting>
  <conditionalFormatting sqref="G12">
    <cfRule type="cellIs" dxfId="221" priority="1" operator="lessThan">
      <formula>$J$3</formula>
    </cfRule>
    <cfRule type="cellIs" dxfId="220" priority="2" operator="greaterThan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J3" sqref="J3"/>
    </sheetView>
  </sheetViews>
  <sheetFormatPr baseColWidth="10" defaultColWidth="9.140625" defaultRowHeight="15"/>
  <cols>
    <col min="3" max="3" width="12.28515625" style="14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45">
        <v>3.5034066822929302E-3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(B13*J3)</f>
        <v>3.3467561921640594</v>
      </c>
      <c r="K4" s="4">
        <f>(J4/D13-1)</f>
        <v>0.18169701233936175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45">
        <f t="shared" ref="C5:C11" si="0">(D5/B5)</f>
        <v>3.3950093362756749E-3</v>
      </c>
      <c r="D5" s="37">
        <v>3</v>
      </c>
      <c r="E5" t="s">
        <v>81</v>
      </c>
      <c r="N5" t="s">
        <v>29</v>
      </c>
      <c r="O5" t="s">
        <v>1</v>
      </c>
      <c r="P5" t="s">
        <v>2</v>
      </c>
      <c r="R5" s="19">
        <f>(B5)</f>
        <v>883.65</v>
      </c>
      <c r="S5" s="45">
        <f>(T5/R5)</f>
        <v>3.3950093362756749E-3</v>
      </c>
      <c r="T5" s="38">
        <f>(D5)</f>
        <v>3</v>
      </c>
    </row>
    <row r="6" spans="2:20">
      <c r="B6" s="19">
        <v>-170.21276596000001</v>
      </c>
      <c r="C6" s="45">
        <f t="shared" si="0"/>
        <v>4.5729766249314055E-3</v>
      </c>
      <c r="D6" s="37">
        <v>-0.77837900000000004</v>
      </c>
      <c r="M6" t="s">
        <v>11</v>
      </c>
      <c r="N6" s="19">
        <f>(($B$5+$R$6)/5)</f>
        <v>191.05724773999998</v>
      </c>
      <c r="O6" s="45">
        <f>(C6)</f>
        <v>4.5729766249314055E-3</v>
      </c>
      <c r="P6" s="37">
        <f>(O6*N6)</f>
        <v>0.87370032793874852</v>
      </c>
      <c r="R6" s="19">
        <f>(SUM(B6:B11))</f>
        <v>71.63623869999995</v>
      </c>
      <c r="S6" s="45">
        <v>0</v>
      </c>
      <c r="T6" s="38">
        <f>(SUM(D6:D11))</f>
        <v>-0.16783900000000007</v>
      </c>
    </row>
    <row r="7" spans="2:20">
      <c r="B7" s="19">
        <v>-175.57251908000001</v>
      </c>
      <c r="C7" s="45">
        <f t="shared" si="0"/>
        <v>5.0894468262020218E-3</v>
      </c>
      <c r="D7" s="37">
        <v>-0.893567</v>
      </c>
      <c r="N7" s="19">
        <f>(($B$5+$R$6)/5)</f>
        <v>191.05724773999998</v>
      </c>
      <c r="O7" s="45">
        <f>($C$5*Params!K9)</f>
        <v>5.4320149380410803E-3</v>
      </c>
      <c r="P7" s="37">
        <f>(O7*N7)</f>
        <v>1.0378258237446953</v>
      </c>
      <c r="S7" s="45"/>
    </row>
    <row r="8" spans="2:20">
      <c r="B8" s="19">
        <v>-167.78523490000001</v>
      </c>
      <c r="C8" s="45">
        <f t="shared" si="0"/>
        <v>7.2337771599710653E-3</v>
      </c>
      <c r="D8" s="37">
        <v>-1.213721</v>
      </c>
      <c r="N8" s="19">
        <f>(($B$5+$R$6)/5)</f>
        <v>191.05724773999998</v>
      </c>
      <c r="O8" s="45">
        <f>($C$5*Params!K10)</f>
        <v>7.4690205398064849E-3</v>
      </c>
      <c r="P8" s="37">
        <f>(O8*N8)</f>
        <v>1.4270105076489559</v>
      </c>
    </row>
    <row r="9" spans="2:20">
      <c r="B9" s="19">
        <v>196.03891277</v>
      </c>
      <c r="C9" s="45">
        <f t="shared" si="0"/>
        <v>5.7642178485542315E-3</v>
      </c>
      <c r="D9" s="37">
        <v>1.1300110000000001</v>
      </c>
      <c r="N9" s="19">
        <f>(($B$5+$R$6)/5)</f>
        <v>191.05724773999998</v>
      </c>
      <c r="O9" s="45">
        <f>($C$5*Params!K11)</f>
        <v>1.35800373451027E-2</v>
      </c>
      <c r="P9" s="37">
        <f>(O9*N9)</f>
        <v>2.5945645593617379</v>
      </c>
    </row>
    <row r="10" spans="2:20">
      <c r="B10" s="19">
        <v>197.79050007999999</v>
      </c>
      <c r="C10" s="45">
        <f t="shared" si="0"/>
        <v>4.2977797197346571E-3</v>
      </c>
      <c r="D10" s="37">
        <v>0.85006000000000004</v>
      </c>
    </row>
    <row r="11" spans="2:20">
      <c r="B11" s="19">
        <v>191.37734578999999</v>
      </c>
      <c r="C11" s="45">
        <f t="shared" si="0"/>
        <v>3.8549860588491342E-3</v>
      </c>
      <c r="D11" s="37">
        <v>0.737757</v>
      </c>
    </row>
    <row r="12" spans="2:20">
      <c r="F12" t="s">
        <v>9</v>
      </c>
      <c r="G12" s="45">
        <f>(D13/B13)</f>
        <v>2.9647250062495851E-3</v>
      </c>
      <c r="P12" s="37">
        <f>(SUM(P6:P9))</f>
        <v>5.9331012186941372</v>
      </c>
    </row>
    <row r="13" spans="2:20">
      <c r="B13">
        <f>(SUM(B5:B12))</f>
        <v>955.28623870000001</v>
      </c>
      <c r="D13" s="38">
        <f>(SUM(D5:D12))</f>
        <v>2.8321610000000002</v>
      </c>
    </row>
    <row r="15" spans="2:20">
      <c r="R15">
        <f>(SUM(R5:R14))</f>
        <v>955.2862386999999</v>
      </c>
      <c r="T15" s="38">
        <f>(SUM(T5:T14))</f>
        <v>2.8321610000000002</v>
      </c>
    </row>
  </sheetData>
  <conditionalFormatting sqref="C5">
    <cfRule type="cellIs" dxfId="219" priority="17" operator="lessThan">
      <formula>$J$3</formula>
    </cfRule>
    <cfRule type="cellIs" dxfId="218" priority="18" operator="greaterThan">
      <formula>$J$3</formula>
    </cfRule>
  </conditionalFormatting>
  <conditionalFormatting sqref="C9:C11">
    <cfRule type="cellIs" dxfId="217" priority="15" operator="lessThan">
      <formula>$J$3</formula>
    </cfRule>
    <cfRule type="cellIs" dxfId="216" priority="16" operator="greaterThan">
      <formula>$J$3</formula>
    </cfRule>
    <cfRule type="cellIs" dxfId="215" priority="13" operator="lessThan">
      <formula>$J$3</formula>
    </cfRule>
    <cfRule type="cellIs" dxfId="214" priority="14" operator="greaterThan">
      <formula>$J$3</formula>
    </cfRule>
  </conditionalFormatting>
  <conditionalFormatting sqref="O6:O9">
    <cfRule type="cellIs" dxfId="213" priority="11" operator="lessThan">
      <formula>$J$3</formula>
    </cfRule>
    <cfRule type="cellIs" dxfId="212" priority="12" operator="greaterThan">
      <formula>$J$3</formula>
    </cfRule>
    <cfRule type="cellIs" dxfId="211" priority="9" operator="lessThan">
      <formula>$J$3</formula>
    </cfRule>
    <cfRule type="cellIs" dxfId="210" priority="10" operator="greaterThan">
      <formula>$J$3</formula>
    </cfRule>
  </conditionalFormatting>
  <conditionalFormatting sqref="S5:S6">
    <cfRule type="cellIs" dxfId="209" priority="7" operator="lessThan">
      <formula>$J$3</formula>
    </cfRule>
    <cfRule type="cellIs" dxfId="208" priority="8" operator="greaterThan">
      <formula>$J$3</formula>
    </cfRule>
    <cfRule type="cellIs" dxfId="207" priority="5" operator="lessThan">
      <formula>$J$3</formula>
    </cfRule>
    <cfRule type="cellIs" dxfId="206" priority="6" operator="greaterThan">
      <formula>$J$3</formula>
    </cfRule>
  </conditionalFormatting>
  <conditionalFormatting sqref="G12">
    <cfRule type="cellIs" dxfId="205" priority="3" operator="lessThan">
      <formula>$J$3</formula>
    </cfRule>
    <cfRule type="cellIs" dxfId="204" priority="4" operator="greaterThan">
      <formula>$J$3</formula>
    </cfRule>
    <cfRule type="cellIs" dxfId="203" priority="1" operator="lessThan">
      <formula>$J$3</formula>
    </cfRule>
    <cfRule type="cellIs" dxfId="202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5"/>
  <sheetViews>
    <sheetView workbookViewId="0">
      <selection activeCell="J4" sqref="J4"/>
    </sheetView>
  </sheetViews>
  <sheetFormatPr baseColWidth="10" defaultColWidth="9.140625" defaultRowHeight="15"/>
  <cols>
    <col min="2" max="2" width="11" style="14" bestFit="1" customWidth="1"/>
    <col min="4" max="4" width="10.28515625" style="14" bestFit="1" customWidth="1"/>
    <col min="9" max="9" width="12.425781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7">
        <v>320.00287439048122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7">
        <f>(B15*J3)</f>
        <v>101.39694598687004</v>
      </c>
      <c r="K4" s="4">
        <f>(J4/D15-1)</f>
        <v>7.5062664722983063E-2</v>
      </c>
      <c r="R4" t="s">
        <v>5</v>
      </c>
      <c r="S4" t="s">
        <v>6</v>
      </c>
      <c r="T4" t="s">
        <v>7</v>
      </c>
    </row>
    <row r="5" spans="2:21">
      <c r="B5" s="46">
        <v>2.1511999999999999E-4</v>
      </c>
      <c r="C5" s="37">
        <v>244</v>
      </c>
      <c r="D5" s="37">
        <f>(B5*C5)</f>
        <v>5.2489279999999999E-2</v>
      </c>
      <c r="M5" t="s">
        <v>10</v>
      </c>
      <c r="N5" t="s">
        <v>29</v>
      </c>
      <c r="O5" t="s">
        <v>1</v>
      </c>
      <c r="P5" t="s">
        <v>2</v>
      </c>
      <c r="R5" s="46">
        <f>(B5+B13+B9)</f>
        <v>2.31774E-3</v>
      </c>
      <c r="S5" s="37">
        <f>(T5/R5)</f>
        <v>249.20103203983189</v>
      </c>
      <c r="T5" s="37">
        <f>(D5+D13+D9)</f>
        <v>0.57758319999999996</v>
      </c>
    </row>
    <row r="6" spans="2:21">
      <c r="B6" s="46">
        <v>6.6478800000000001E-3</v>
      </c>
      <c r="C6" s="37">
        <v>373</v>
      </c>
      <c r="D6" s="37">
        <f>(C6*B6)</f>
        <v>2.4796592400000002</v>
      </c>
      <c r="M6" t="s">
        <v>11</v>
      </c>
      <c r="N6">
        <f>($R$8/5)</f>
        <v>4.7530000000000003E-2</v>
      </c>
      <c r="O6" s="37">
        <f>($S$8*Params!K8)</f>
        <v>385.97938144329902</v>
      </c>
      <c r="P6" s="37">
        <f>(O6*N6)</f>
        <v>18.345600000000005</v>
      </c>
      <c r="R6" s="46">
        <f>(B6)</f>
        <v>6.6478800000000001E-3</v>
      </c>
      <c r="S6" s="37">
        <f>(C6)</f>
        <v>373</v>
      </c>
      <c r="T6" s="37">
        <f>(R6*S6)</f>
        <v>2.4796592400000002</v>
      </c>
    </row>
    <row r="7" spans="2:21">
      <c r="B7" s="46">
        <v>2.3499999999999999E-4</v>
      </c>
      <c r="C7" s="37">
        <v>0</v>
      </c>
      <c r="D7" s="37">
        <v>0</v>
      </c>
      <c r="E7" s="37">
        <f>(B7*J3)</f>
        <v>7.5200675481763082E-2</v>
      </c>
      <c r="N7">
        <f>($R$8/5)</f>
        <v>4.7530000000000003E-2</v>
      </c>
      <c r="O7" s="37">
        <f>($S$8*Params!K9)</f>
        <v>475.05154639175265</v>
      </c>
      <c r="P7" s="37">
        <f>(O7*N7)</f>
        <v>22.579200000000004</v>
      </c>
      <c r="R7" s="46">
        <f>(B7+B8+B10)</f>
        <v>6.3699000000000004E-4</v>
      </c>
      <c r="S7" s="37">
        <f>(C7)</f>
        <v>0</v>
      </c>
      <c r="T7" s="37">
        <f>(R7*S7)</f>
        <v>0</v>
      </c>
    </row>
    <row r="8" spans="2:21">
      <c r="B8" s="46">
        <v>9.4980000000000002E-5</v>
      </c>
      <c r="C8" s="37">
        <v>0</v>
      </c>
      <c r="D8" s="37">
        <v>0</v>
      </c>
      <c r="E8" s="37">
        <f>(B8*J3)</f>
        <v>3.0393873009607907E-2</v>
      </c>
      <c r="N8">
        <f>($R$8/5)</f>
        <v>4.7530000000000003E-2</v>
      </c>
      <c r="O8" s="37">
        <f>($S$8*Params!K10)</f>
        <v>653.19587628865986</v>
      </c>
      <c r="P8" s="37">
        <f>(O8*N8)</f>
        <v>31.046400000000006</v>
      </c>
      <c r="R8" s="46">
        <f>(B11)</f>
        <v>0.23765</v>
      </c>
      <c r="S8" s="37">
        <f>(C11)</f>
        <v>296.90721649484539</v>
      </c>
      <c r="T8" s="37">
        <f>(R8*S8)</f>
        <v>70.56</v>
      </c>
      <c r="U8" t="s">
        <v>10</v>
      </c>
    </row>
    <row r="9" spans="2:21">
      <c r="B9" s="46">
        <v>9.0920000000000004E-5</v>
      </c>
      <c r="C9" s="37">
        <v>276</v>
      </c>
      <c r="D9" s="37">
        <f>(B9*C9)</f>
        <v>2.5093920000000002E-2</v>
      </c>
      <c r="E9" s="37"/>
      <c r="N9">
        <f>($R$8/5)</f>
        <v>4.7530000000000003E-2</v>
      </c>
      <c r="O9" s="37">
        <f>($S$8*Params!K11)</f>
        <v>1187.6288659793815</v>
      </c>
      <c r="P9" s="37">
        <f>(O9*N9)</f>
        <v>56.448000000000008</v>
      </c>
      <c r="R9" s="46">
        <f>(B12)</f>
        <v>6.9610000000000005E-2</v>
      </c>
      <c r="S9" s="37">
        <f>(C12)</f>
        <v>297.37106737537709</v>
      </c>
      <c r="T9" s="37">
        <f>(R9*S9)</f>
        <v>20.700000000000003</v>
      </c>
      <c r="U9" t="s">
        <v>15</v>
      </c>
    </row>
    <row r="10" spans="2:21">
      <c r="B10" s="46">
        <v>3.0700999999999998E-4</v>
      </c>
      <c r="C10" s="37">
        <v>0</v>
      </c>
      <c r="D10" s="37">
        <v>0</v>
      </c>
      <c r="E10" s="37">
        <f>(B10*J3)</f>
        <v>9.8244082466621627E-2</v>
      </c>
      <c r="P10" s="37"/>
      <c r="R10" s="46"/>
    </row>
    <row r="11" spans="2:21">
      <c r="B11" s="46">
        <v>0.23765</v>
      </c>
      <c r="C11" s="37">
        <f>(D11/B11)</f>
        <v>296.90721649484539</v>
      </c>
      <c r="D11" s="37">
        <v>70.56</v>
      </c>
      <c r="E11" t="s">
        <v>10</v>
      </c>
      <c r="P11" s="37">
        <f>(SUM(P6:P9))</f>
        <v>128.41920000000002</v>
      </c>
    </row>
    <row r="12" spans="2:21">
      <c r="B12" s="46">
        <v>6.9610000000000005E-2</v>
      </c>
      <c r="C12" s="37">
        <f>(D12/B12)</f>
        <v>297.37106737537709</v>
      </c>
      <c r="D12" s="37">
        <v>20.7</v>
      </c>
      <c r="E12" t="s">
        <v>15</v>
      </c>
    </row>
    <row r="13" spans="2:21">
      <c r="B13" s="46">
        <v>2.0116999999999999E-3</v>
      </c>
      <c r="C13" s="37">
        <f>(D13/B13)</f>
        <v>248.54600586568574</v>
      </c>
      <c r="D13" s="37">
        <v>0.5</v>
      </c>
      <c r="M13" t="s">
        <v>15</v>
      </c>
      <c r="N13" t="s">
        <v>29</v>
      </c>
      <c r="O13" t="s">
        <v>1</v>
      </c>
      <c r="P13" t="s">
        <v>2</v>
      </c>
    </row>
    <row r="14" spans="2:21">
      <c r="M14" t="s">
        <v>11</v>
      </c>
      <c r="N14">
        <f>($R$9/5)</f>
        <v>1.3922E-2</v>
      </c>
      <c r="O14" s="37">
        <f>($S$9*Params!K8)</f>
        <v>386.58238758799024</v>
      </c>
      <c r="P14" s="37">
        <f>(O14*N14)</f>
        <v>5.3820000000000006</v>
      </c>
    </row>
    <row r="15" spans="2:21">
      <c r="B15" s="46">
        <f>(SUM(B5:B14))</f>
        <v>0.31686260999999999</v>
      </c>
      <c r="D15" s="37">
        <f>(SUM(D5:D14))</f>
        <v>94.317242440000001</v>
      </c>
      <c r="F15" t="s">
        <v>9</v>
      </c>
      <c r="G15" s="37">
        <f>(SUM(D5:D14)/SUM(B5:B14))</f>
        <v>297.65974104675843</v>
      </c>
      <c r="N15">
        <f>($R$9/5)</f>
        <v>1.3922E-2</v>
      </c>
      <c r="O15" s="37">
        <f>($S$9*Params!K9)</f>
        <v>475.79370780060339</v>
      </c>
      <c r="P15" s="37">
        <f>(O15*N15)</f>
        <v>6.6240000000000006</v>
      </c>
    </row>
    <row r="16" spans="2:21">
      <c r="N16">
        <f>($R$9/5)</f>
        <v>1.3922E-2</v>
      </c>
      <c r="O16" s="37">
        <f>($S$9*Params!K10)</f>
        <v>654.21634822582962</v>
      </c>
      <c r="P16" s="37">
        <f>(O16*N16)</f>
        <v>9.1080000000000005</v>
      </c>
    </row>
    <row r="17" spans="13:16">
      <c r="N17">
        <f>($R$9/5)</f>
        <v>1.3922E-2</v>
      </c>
      <c r="O17" s="37">
        <f>($S$9*Params!K11)</f>
        <v>1189.4842695015084</v>
      </c>
      <c r="P17" s="37">
        <f>(O17*N17)</f>
        <v>16.559999999999999</v>
      </c>
    </row>
    <row r="18" spans="13:16">
      <c r="P18" s="37"/>
    </row>
    <row r="19" spans="13:16">
      <c r="P19" s="37">
        <f>(SUM(P14:P17))</f>
        <v>37.673999999999999</v>
      </c>
    </row>
    <row r="21" spans="13:16">
      <c r="N21" t="s">
        <v>29</v>
      </c>
      <c r="O21" t="s">
        <v>1</v>
      </c>
      <c r="P21" t="s">
        <v>2</v>
      </c>
    </row>
    <row r="22" spans="13:16">
      <c r="M22" t="s">
        <v>11</v>
      </c>
      <c r="N22">
        <f>(($R$5+$R$7)/5)</f>
        <v>5.9094599999999996E-4</v>
      </c>
      <c r="O22" s="37">
        <f>($S$5*Params!K8)</f>
        <v>323.96134165178148</v>
      </c>
      <c r="P22" s="37">
        <f>(O22*N22)</f>
        <v>0.19144365900375365</v>
      </c>
    </row>
    <row r="23" spans="13:16">
      <c r="N23">
        <f>(($R$5+$R$7)/5)</f>
        <v>5.9094599999999996E-4</v>
      </c>
      <c r="O23" s="37">
        <f>($S$5*Params!K9)</f>
        <v>398.72165126373102</v>
      </c>
      <c r="P23" s="37">
        <f>(O23*N23)</f>
        <v>0.23562296492769677</v>
      </c>
    </row>
    <row r="24" spans="13:16">
      <c r="N24">
        <f>(($R$5+$R$7)/5)</f>
        <v>5.9094599999999996E-4</v>
      </c>
      <c r="O24" s="37">
        <f>($S$5*Params!K10)</f>
        <v>548.24227048763021</v>
      </c>
      <c r="P24" s="37">
        <f>(O24*N24)</f>
        <v>0.32398157677558309</v>
      </c>
    </row>
    <row r="25" spans="13:16">
      <c r="N25">
        <f>(($R$5+$R$7)/5)</f>
        <v>5.9094599999999996E-4</v>
      </c>
      <c r="O25" s="37">
        <f>($S$5*Params!K11)</f>
        <v>996.80412815932755</v>
      </c>
      <c r="P25" s="37">
        <f>(O25*N25)</f>
        <v>0.58905741231924191</v>
      </c>
    </row>
    <row r="26" spans="13:16">
      <c r="P26" s="37"/>
    </row>
    <row r="27" spans="13:16">
      <c r="P27" s="37">
        <f>(SUM(P22:P25))</f>
        <v>1.3401056130262754</v>
      </c>
    </row>
    <row r="35" spans="18:20">
      <c r="R35" s="46">
        <f>(SUM(R5:R25))</f>
        <v>0.31686261000000004</v>
      </c>
      <c r="T35" s="37">
        <f>(SUM(T5:T25))</f>
        <v>94.317242440000001</v>
      </c>
    </row>
  </sheetData>
  <conditionalFormatting sqref="C5:C6 C9 C11:C13">
    <cfRule type="cellIs" dxfId="201" priority="9" operator="lessThan">
      <formula>$J$3</formula>
    </cfRule>
    <cfRule type="cellIs" dxfId="200" priority="10" operator="greaterThan">
      <formula>$J$3</formula>
    </cfRule>
  </conditionalFormatting>
  <conditionalFormatting sqref="O6:O9">
    <cfRule type="cellIs" dxfId="199" priority="7" operator="lessThan">
      <formula>$J$3</formula>
    </cfRule>
    <cfRule type="cellIs" dxfId="198" priority="8" operator="greaterThan">
      <formula>$J$3</formula>
    </cfRule>
  </conditionalFormatting>
  <conditionalFormatting sqref="O14:O17">
    <cfRule type="cellIs" dxfId="197" priority="5" operator="lessThan">
      <formula>$J$3</formula>
    </cfRule>
    <cfRule type="cellIs" dxfId="196" priority="6" operator="greaterThan">
      <formula>$J$3</formula>
    </cfRule>
  </conditionalFormatting>
  <conditionalFormatting sqref="O22:O25">
    <cfRule type="cellIs" dxfId="195" priority="3" operator="lessThan">
      <formula>$J$3</formula>
    </cfRule>
    <cfRule type="cellIs" dxfId="194" priority="4" operator="greaterThan">
      <formula>$J$3</formula>
    </cfRule>
  </conditionalFormatting>
  <conditionalFormatting sqref="S5:S6 S8:S9">
    <cfRule type="cellIs" dxfId="193" priority="1" operator="lessThan">
      <formula>$J$3</formula>
    </cfRule>
    <cfRule type="cellIs" dxfId="192" priority="2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K4" sqref="K4"/>
    </sheetView>
  </sheetViews>
  <sheetFormatPr baseColWidth="10" defaultColWidth="9.140625" defaultRowHeight="15"/>
  <cols>
    <col min="2" max="2" width="9.5703125" style="14" bestFit="1" customWidth="1"/>
    <col min="4" max="4" width="10.28515625" style="14" bestFit="1" customWidth="1"/>
    <col min="9" max="9" width="12.42578125" style="14" bestFit="1" customWidth="1"/>
    <col min="15" max="15" width="11.28515625" style="14" bestFit="1" customWidth="1"/>
  </cols>
  <sheetData>
    <row r="3" spans="2:16">
      <c r="I3" t="s">
        <v>3</v>
      </c>
      <c r="J3" s="47">
        <v>8.0199121754546521E-2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(B13*J3)</f>
        <v>4.9129488834415618</v>
      </c>
      <c r="K4" s="4">
        <f>(J4/D13-1)</f>
        <v>-1.7410223311687623E-2</v>
      </c>
    </row>
    <row r="5" spans="2:16">
      <c r="B5" s="29">
        <v>61.119118389999997</v>
      </c>
      <c r="C5" s="37">
        <f>(D5/B5)</f>
        <v>8.1807462733593267E-2</v>
      </c>
      <c r="D5" s="37">
        <v>5</v>
      </c>
      <c r="N5" t="s">
        <v>29</v>
      </c>
      <c r="O5" t="s">
        <v>1</v>
      </c>
      <c r="P5" t="s">
        <v>2</v>
      </c>
    </row>
    <row r="6" spans="2:16">
      <c r="B6" s="25">
        <v>0.14026669999999999</v>
      </c>
      <c r="C6" s="39">
        <v>0</v>
      </c>
      <c r="D6" s="26">
        <f>(B6*C6)</f>
        <v>0</v>
      </c>
      <c r="E6" s="37">
        <f>(B6*J3)</f>
        <v>1.1249266151408451E-2</v>
      </c>
      <c r="M6" t="s">
        <v>11</v>
      </c>
      <c r="N6">
        <f>($B$13/5)</f>
        <v>12.251877017999998</v>
      </c>
      <c r="O6" s="37">
        <f>($C$5*Params!K8)</f>
        <v>0.10634970155367125</v>
      </c>
      <c r="P6" s="37">
        <f>(O6*N6)</f>
        <v>1.3029834643365836</v>
      </c>
    </row>
    <row r="7" spans="2:16">
      <c r="N7">
        <f>($B$13/5)</f>
        <v>12.251877017999998</v>
      </c>
      <c r="O7" s="37">
        <f>($C$5*Params!K9)</f>
        <v>0.13089194037374924</v>
      </c>
      <c r="P7" s="37">
        <f>(O7*N7)</f>
        <v>1.6036719561065644</v>
      </c>
    </row>
    <row r="8" spans="2:16">
      <c r="N8">
        <f>($B$13/5)</f>
        <v>12.251877017999998</v>
      </c>
      <c r="O8" s="37">
        <f>($C$5*Params!K10)</f>
        <v>0.17997641801390521</v>
      </c>
      <c r="P8" s="37">
        <f>(O8*N8)</f>
        <v>2.205048939646526</v>
      </c>
    </row>
    <row r="9" spans="2:16">
      <c r="N9">
        <f>($B$13/5)</f>
        <v>12.251877017999998</v>
      </c>
      <c r="O9" s="37">
        <f>($C$5*Params!K11)</f>
        <v>0.32722985093437307</v>
      </c>
      <c r="P9" s="37">
        <f>(O9*N9)</f>
        <v>4.0091798902664104</v>
      </c>
    </row>
    <row r="11" spans="2:16">
      <c r="P11" s="37">
        <f>(SUM(P6:P9))</f>
        <v>9.1208842503560845</v>
      </c>
    </row>
    <row r="12" spans="2:16">
      <c r="F12" t="s">
        <v>9</v>
      </c>
      <c r="G12" s="37">
        <f>(D13/B13)</f>
        <v>8.1620146735952165E-2</v>
      </c>
    </row>
    <row r="13" spans="2:16">
      <c r="B13" s="29">
        <f>(SUM(B5:B12))</f>
        <v>61.259385089999995</v>
      </c>
      <c r="D13" s="37">
        <f>(SUM(D5:D12))</f>
        <v>5</v>
      </c>
    </row>
  </sheetData>
  <conditionalFormatting sqref="O6:O9">
    <cfRule type="cellIs" dxfId="191" priority="5" operator="lessThan">
      <formula>$J$3</formula>
    </cfRule>
    <cfRule type="cellIs" dxfId="190" priority="6" operator="greaterThan">
      <formula>$J$3</formula>
    </cfRule>
  </conditionalFormatting>
  <conditionalFormatting sqref="C5">
    <cfRule type="cellIs" dxfId="189" priority="3" operator="lessThan">
      <formula>$J$3</formula>
    </cfRule>
    <cfRule type="cellIs" dxfId="188" priority="4" operator="greaterThan">
      <formula>$J$3</formula>
    </cfRule>
  </conditionalFormatting>
  <conditionalFormatting sqref="G12">
    <cfRule type="cellIs" dxfId="187" priority="1" operator="lessThan">
      <formula>$J$3</formula>
    </cfRule>
    <cfRule type="cellIs" dxfId="186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2:U27"/>
  <sheetViews>
    <sheetView workbookViewId="0">
      <selection activeCell="B6" sqref="B6:D6"/>
    </sheetView>
  </sheetViews>
  <sheetFormatPr baseColWidth="10" defaultColWidth="9.140625" defaultRowHeight="15"/>
  <sheetData>
    <row r="2" spans="2:21">
      <c r="N2" t="s">
        <v>1</v>
      </c>
      <c r="O2" t="s">
        <v>0</v>
      </c>
      <c r="P2" t="s">
        <v>2</v>
      </c>
    </row>
    <row r="3" spans="2:21">
      <c r="I3" t="s">
        <v>3</v>
      </c>
      <c r="J3" s="37">
        <v>5.8780050412565057</v>
      </c>
      <c r="M3" t="s">
        <v>4</v>
      </c>
      <c r="N3">
        <f>(INDEX(N6:N30,MATCH(MAX(O6,O15),O6:O30,0))/0.9)</f>
        <v>0.2123197</v>
      </c>
      <c r="O3">
        <f>(MAX(O6,O15)*0.85)</f>
        <v>5.0811065995591917</v>
      </c>
      <c r="P3">
        <f>(O3*N3)</f>
        <v>1.0788190288864277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7">
        <f>(B14*J3)</f>
        <v>20.203323456330462</v>
      </c>
      <c r="K4" s="4">
        <f>(J4/D14-1)</f>
        <v>1.4001969379349388E-2</v>
      </c>
      <c r="R4" t="s">
        <v>5</v>
      </c>
      <c r="S4" t="s">
        <v>6</v>
      </c>
      <c r="T4" t="s">
        <v>7</v>
      </c>
    </row>
    <row r="5" spans="2:21">
      <c r="B5">
        <v>3.5267599999999999</v>
      </c>
      <c r="C5" s="37">
        <f>(D5/B5)</f>
        <v>5.8694098832923132</v>
      </c>
      <c r="D5" s="37">
        <v>20.7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1.2184149999999999E-2</v>
      </c>
      <c r="S5" s="39">
        <v>0</v>
      </c>
      <c r="T5" s="26">
        <f>(D6)</f>
        <v>0</v>
      </c>
      <c r="U5">
        <f>(R5*J3)</f>
        <v>7.1618495123425455E-2</v>
      </c>
    </row>
    <row r="6" spans="2:21">
      <c r="B6" s="25">
        <v>1.2184149999999999E-2</v>
      </c>
      <c r="C6" s="39">
        <v>0</v>
      </c>
      <c r="D6" s="26">
        <f>(B6*C6)</f>
        <v>0</v>
      </c>
      <c r="E6" s="37">
        <f>(B6*J3)</f>
        <v>7.1618495123425455E-2</v>
      </c>
      <c r="M6" t="s">
        <v>11</v>
      </c>
      <c r="N6" s="24">
        <f>(-B8)</f>
        <v>0.19108773000000001</v>
      </c>
      <c r="O6" s="37">
        <f>(C8)</f>
        <v>5.9777724700696373</v>
      </c>
      <c r="P6" s="37">
        <f>(O6*N6)</f>
        <v>1.1422789717621</v>
      </c>
      <c r="Q6" t="s">
        <v>12</v>
      </c>
      <c r="R6" s="24">
        <f>(B5-N6)</f>
        <v>3.3356722699999999</v>
      </c>
      <c r="S6" s="37">
        <f>(T6/R6)</f>
        <v>5.9357731569781551</v>
      </c>
      <c r="T6" s="37">
        <f>(D5+4.710957*-N6)</f>
        <v>19.799793920742388</v>
      </c>
      <c r="U6" t="s">
        <v>15</v>
      </c>
    </row>
    <row r="7" spans="2:21">
      <c r="B7" s="24">
        <v>0.11156135</v>
      </c>
      <c r="C7" s="37">
        <f>(D7/B7)</f>
        <v>4.4818389164347687</v>
      </c>
      <c r="D7" s="37">
        <v>0.5</v>
      </c>
      <c r="N7" s="24">
        <f>(2*($R$6+N6)/5-N6)</f>
        <v>1.2196162699999999</v>
      </c>
      <c r="O7" s="37">
        <f>($S$6*Params!K9)</f>
        <v>9.4972370511650492</v>
      </c>
      <c r="P7" s="37">
        <f>(O7*N7)</f>
        <v>11.582984827647715</v>
      </c>
      <c r="R7" s="24">
        <f>(N6-N6)</f>
        <v>0</v>
      </c>
      <c r="S7" s="37">
        <v>0</v>
      </c>
      <c r="T7" s="37">
        <f>(4.710957*N6-P6)</f>
        <v>-0.24207289250449004</v>
      </c>
    </row>
    <row r="8" spans="2:21">
      <c r="B8">
        <f>(-0.2134+N15)</f>
        <v>-0.19108773000000001</v>
      </c>
      <c r="C8" s="37">
        <f>(D8/B8)</f>
        <v>5.9777724700696373</v>
      </c>
      <c r="D8" s="37">
        <f>(-1.27565659-D9)</f>
        <v>-1.1422789717621</v>
      </c>
      <c r="N8" s="24">
        <f>($B$5/5)</f>
        <v>0.70535199999999998</v>
      </c>
      <c r="O8" s="37">
        <f>($C$5*Params!K10)</f>
        <v>12.91270174324309</v>
      </c>
      <c r="P8" s="37">
        <f>(O8*N8)</f>
        <v>9.1080000000000005</v>
      </c>
      <c r="R8" s="24">
        <f>(B7+B9)</f>
        <v>8.9249080000000008E-2</v>
      </c>
      <c r="S8" s="37">
        <f>(T8/R8)</f>
        <v>4.1078561455434608</v>
      </c>
      <c r="T8" s="37">
        <f>(D7+D9)</f>
        <v>0.36662238176209999</v>
      </c>
    </row>
    <row r="9" spans="2:21">
      <c r="B9">
        <f>(-N15)</f>
        <v>-2.2312270000000002E-2</v>
      </c>
      <c r="C9" s="37">
        <v>5.9777699999999996</v>
      </c>
      <c r="D9" s="37">
        <f>(C9*B9)</f>
        <v>-0.13337761823790001</v>
      </c>
      <c r="N9" s="24">
        <f>($B$5/5)</f>
        <v>0.70535199999999998</v>
      </c>
      <c r="O9" s="37">
        <f>($C$5*Params!K11)</f>
        <v>23.477639533169253</v>
      </c>
      <c r="P9" s="37">
        <f>(O9*N9)</f>
        <v>16.559999999999999</v>
      </c>
    </row>
    <row r="10" spans="2:21">
      <c r="N10" s="24"/>
      <c r="P10" s="37"/>
    </row>
    <row r="11" spans="2:21">
      <c r="N11" s="24"/>
      <c r="P11" s="37"/>
    </row>
    <row r="12" spans="2:21">
      <c r="N12" s="24"/>
      <c r="P12" s="37">
        <f>(SUM(P6:P9))</f>
        <v>38.393263799409809</v>
      </c>
    </row>
    <row r="13" spans="2:21">
      <c r="F13" t="s">
        <v>9</v>
      </c>
      <c r="G13" s="37">
        <f>(D14/B14)</f>
        <v>5.7968378945598262</v>
      </c>
      <c r="N13" s="24"/>
      <c r="P13" s="37"/>
      <c r="R13" s="24">
        <f>(SUM(R5:R12))</f>
        <v>3.4371054999999999</v>
      </c>
      <c r="T13" s="37">
        <f>(SUM(T5:T12))</f>
        <v>19.924343409999999</v>
      </c>
    </row>
    <row r="14" spans="2:21">
      <c r="B14">
        <f>(SUM(B5:B13))</f>
        <v>3.4371054999999999</v>
      </c>
      <c r="D14" s="37">
        <f>(SUM(D5:D13))</f>
        <v>19.924343409999999</v>
      </c>
      <c r="N14" t="s">
        <v>29</v>
      </c>
      <c r="O14" t="s">
        <v>1</v>
      </c>
      <c r="P14" t="s">
        <v>2</v>
      </c>
    </row>
    <row r="15" spans="2:21">
      <c r="M15" t="s">
        <v>11</v>
      </c>
      <c r="N15" s="24">
        <f>($B$7/5)</f>
        <v>2.2312270000000002E-2</v>
      </c>
      <c r="O15" s="37">
        <f>(C9)</f>
        <v>5.9777699999999996</v>
      </c>
      <c r="P15" s="37">
        <f>(O15*N15)</f>
        <v>0.13337761823790001</v>
      </c>
      <c r="Q15" t="s">
        <v>12</v>
      </c>
    </row>
    <row r="16" spans="2:21">
      <c r="N16" s="24">
        <f>($B$7/5)</f>
        <v>2.2312270000000002E-2</v>
      </c>
      <c r="O16" s="37">
        <f>($C$7*Params!K9)</f>
        <v>7.1709422662956301</v>
      </c>
      <c r="P16" s="37">
        <f>(O16*N16)</f>
        <v>0.16</v>
      </c>
    </row>
    <row r="17" spans="7:16">
      <c r="N17" s="24">
        <f>($B$7/5)</f>
        <v>2.2312270000000002E-2</v>
      </c>
      <c r="O17" s="37">
        <f>($C$7*Params!K10)</f>
        <v>9.8600456161564924</v>
      </c>
      <c r="P17" s="37">
        <f>(O17*N17)</f>
        <v>0.22000000000000003</v>
      </c>
    </row>
    <row r="18" spans="7:16">
      <c r="N18" s="24">
        <f>($B$7/5)</f>
        <v>2.2312270000000002E-2</v>
      </c>
      <c r="O18" s="37">
        <f>($C$7*Params!K11)</f>
        <v>17.927355665739075</v>
      </c>
      <c r="P18" s="37">
        <f>(O18*N18)</f>
        <v>0.4</v>
      </c>
    </row>
    <row r="19" spans="7:16">
      <c r="P19" s="37"/>
    </row>
    <row r="20" spans="7:16">
      <c r="P20" s="37"/>
    </row>
    <row r="21" spans="7:16">
      <c r="P21" s="37">
        <f>(SUM(P15:P18))</f>
        <v>0.91337761823789998</v>
      </c>
    </row>
    <row r="27" spans="7:16">
      <c r="G27" s="38"/>
    </row>
  </sheetData>
  <conditionalFormatting sqref="C5 C7">
    <cfRule type="cellIs" dxfId="185" priority="11" operator="lessThan">
      <formula>$J$3</formula>
    </cfRule>
    <cfRule type="cellIs" dxfId="184" priority="12" operator="greaterThan">
      <formula>$J$3</formula>
    </cfRule>
  </conditionalFormatting>
  <conditionalFormatting sqref="G13">
    <cfRule type="cellIs" dxfId="183" priority="9" operator="lessThan">
      <formula>$J$3</formula>
    </cfRule>
    <cfRule type="cellIs" dxfId="182" priority="10" operator="greaterThan">
      <formula>$J$3</formula>
    </cfRule>
  </conditionalFormatting>
  <conditionalFormatting sqref="S6">
    <cfRule type="cellIs" dxfId="181" priority="7" operator="lessThan">
      <formula>$J$3</formula>
    </cfRule>
    <cfRule type="cellIs" dxfId="180" priority="8" operator="greaterThan">
      <formula>$J$3</formula>
    </cfRule>
  </conditionalFormatting>
  <conditionalFormatting sqref="S8">
    <cfRule type="cellIs" dxfId="179" priority="5" operator="lessThan">
      <formula>$J$3</formula>
    </cfRule>
    <cfRule type="cellIs" dxfId="178" priority="6" operator="greaterThan">
      <formula>$J$3</formula>
    </cfRule>
  </conditionalFormatting>
  <conditionalFormatting sqref="O7:O9">
    <cfRule type="cellIs" dxfId="177" priority="3" operator="lessThan">
      <formula>$J$3</formula>
    </cfRule>
    <cfRule type="cellIs" dxfId="176" priority="4" operator="greaterThan">
      <formula>$J$3</formula>
    </cfRule>
  </conditionalFormatting>
  <conditionalFormatting sqref="O16:O18">
    <cfRule type="cellIs" dxfId="175" priority="1" operator="lessThan">
      <formula>$J$3</formula>
    </cfRule>
    <cfRule type="cellIs" dxfId="174" priority="2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3:P13"/>
  <sheetViews>
    <sheetView topLeftCell="A4" workbookViewId="0">
      <selection activeCell="B6" sqref="B6:D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5" max="15" width="11.28515625" style="14" bestFit="1" customWidth="1"/>
  </cols>
  <sheetData>
    <row r="3" spans="2:16">
      <c r="I3" t="s">
        <v>3</v>
      </c>
      <c r="J3" s="37">
        <v>44.191623024910463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(B13*J3)</f>
        <v>5.4348082103992681</v>
      </c>
      <c r="K4" s="4">
        <f>(J4/D13-1)</f>
        <v>4.5155425076782274E-2</v>
      </c>
    </row>
    <row r="5" spans="2:16">
      <c r="B5" s="24">
        <v>0.12084767</v>
      </c>
      <c r="C5" s="37">
        <v>43.03</v>
      </c>
      <c r="D5" s="37">
        <v>5.2</v>
      </c>
      <c r="N5" t="s">
        <v>29</v>
      </c>
      <c r="O5" t="s">
        <v>1</v>
      </c>
      <c r="P5" t="s">
        <v>2</v>
      </c>
    </row>
    <row r="6" spans="2:16">
      <c r="B6" s="25">
        <v>2.1351E-3</v>
      </c>
      <c r="C6" s="39">
        <v>0</v>
      </c>
      <c r="D6" s="26">
        <f>(B6*C6)</f>
        <v>0</v>
      </c>
      <c r="E6" s="37">
        <f>(B6*J3)</f>
        <v>9.4353534320486335E-2</v>
      </c>
      <c r="M6" t="s">
        <v>11</v>
      </c>
      <c r="N6" s="24">
        <f>($B$13/5)</f>
        <v>2.4596554E-2</v>
      </c>
      <c r="O6" s="37">
        <f>($C$5*Params!K8)</f>
        <v>55.939</v>
      </c>
      <c r="P6" s="37">
        <f>(O6*N6)</f>
        <v>1.375906634206</v>
      </c>
    </row>
    <row r="7" spans="2:16">
      <c r="N7" s="24">
        <f>($B$13/5)</f>
        <v>2.4596554E-2</v>
      </c>
      <c r="O7" s="37">
        <f>($C$5*Params!K9)</f>
        <v>68.847999999999999</v>
      </c>
      <c r="P7" s="37">
        <f>(O7*N7)</f>
        <v>1.693423549792</v>
      </c>
    </row>
    <row r="8" spans="2:16">
      <c r="N8" s="24">
        <f>($B$13/5)</f>
        <v>2.4596554E-2</v>
      </c>
      <c r="O8" s="37">
        <f>($C$5*Params!K10)</f>
        <v>94.666000000000011</v>
      </c>
      <c r="P8" s="37">
        <f>(O8*N8)</f>
        <v>2.3284573809640001</v>
      </c>
    </row>
    <row r="9" spans="2:16">
      <c r="N9" s="24">
        <f>($B$13/5)</f>
        <v>2.4596554E-2</v>
      </c>
      <c r="O9" s="37">
        <f>($C$5*Params!K11)</f>
        <v>172.12</v>
      </c>
      <c r="P9" s="37">
        <f>(O9*N9)</f>
        <v>4.2335588744799999</v>
      </c>
    </row>
    <row r="11" spans="2:16">
      <c r="P11" s="37">
        <f>(SUM(P6:P9))</f>
        <v>9.6313464394419999</v>
      </c>
    </row>
    <row r="12" spans="2:16">
      <c r="F12" t="s">
        <v>9</v>
      </c>
      <c r="G12" s="37">
        <f>(D13/B13)</f>
        <v>42.282345730218957</v>
      </c>
    </row>
    <row r="13" spans="2:16">
      <c r="B13">
        <f>(SUM(B5:B12))</f>
        <v>0.12298277000000001</v>
      </c>
      <c r="D13" s="37">
        <f>(SUM(D5:D12))</f>
        <v>5.2</v>
      </c>
    </row>
  </sheetData>
  <conditionalFormatting sqref="C5">
    <cfRule type="cellIs" dxfId="173" priority="3" operator="lessThan">
      <formula>$J$3</formula>
    </cfRule>
    <cfRule type="cellIs" dxfId="172" priority="4" operator="greaterThan">
      <formula>$J$3</formula>
    </cfRule>
  </conditionalFormatting>
  <conditionalFormatting sqref="O6:O9">
    <cfRule type="cellIs" dxfId="171" priority="1" operator="lessThan">
      <formula>$J$3</formula>
    </cfRule>
    <cfRule type="cellIs" dxfId="170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B6" sqref="B6:D6"/>
    </sheetView>
  </sheetViews>
  <sheetFormatPr baseColWidth="10" defaultColWidth="9.140625" defaultRowHeight="15"/>
  <sheetData>
    <row r="3" spans="2:16">
      <c r="I3" t="s">
        <v>3</v>
      </c>
      <c r="J3" s="37">
        <v>5.9693042117296686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(B10*J3)</f>
        <v>5.4709408518781304</v>
      </c>
      <c r="K4" s="4">
        <f>(J4/D10-1)</f>
        <v>0.11880181020002678</v>
      </c>
    </row>
    <row r="5" spans="2:16">
      <c r="B5">
        <v>0.91610000000000003</v>
      </c>
      <c r="C5" s="37">
        <f>(D5/B5)</f>
        <v>5.3378452134046492</v>
      </c>
      <c r="D5" s="37">
        <v>4.8899999999999997</v>
      </c>
      <c r="E5" t="s">
        <v>80</v>
      </c>
      <c r="M5" t="s">
        <v>80</v>
      </c>
      <c r="N5" t="s">
        <v>29</v>
      </c>
      <c r="O5" t="s">
        <v>1</v>
      </c>
      <c r="P5" t="s">
        <v>2</v>
      </c>
    </row>
    <row r="6" spans="2:16">
      <c r="B6" s="2">
        <v>4.1231999999999998E-4</v>
      </c>
      <c r="C6" s="39">
        <v>0</v>
      </c>
      <c r="D6" s="26">
        <f>(B6*C6)</f>
        <v>0</v>
      </c>
      <c r="E6" s="37">
        <f>(B6*J3)</f>
        <v>2.461263512580377E-3</v>
      </c>
      <c r="M6" t="s">
        <v>11</v>
      </c>
      <c r="N6">
        <f>($B$10/5)</f>
        <v>0.183302464</v>
      </c>
      <c r="O6" s="37">
        <f>($C$5*Params!K8)</f>
        <v>6.9391987774260446</v>
      </c>
      <c r="P6" s="37">
        <f>(O6*N6)</f>
        <v>1.2719722340879815</v>
      </c>
    </row>
    <row r="7" spans="2:16">
      <c r="N7">
        <f>($B$10/5)</f>
        <v>0.183302464</v>
      </c>
      <c r="O7" s="37">
        <f>($C$5*Params!K9)</f>
        <v>8.5405523414474391</v>
      </c>
      <c r="P7" s="37">
        <f>(O7*N7)</f>
        <v>1.565504288108285</v>
      </c>
    </row>
    <row r="8" spans="2:16">
      <c r="N8">
        <f>($B$10/5)</f>
        <v>0.183302464</v>
      </c>
      <c r="O8" s="37">
        <f>($C$5*Params!K10)</f>
        <v>11.74325946949023</v>
      </c>
      <c r="P8" s="37">
        <f>(O8*N8)</f>
        <v>2.1525683961488919</v>
      </c>
    </row>
    <row r="9" spans="2:16">
      <c r="F9" t="s">
        <v>9</v>
      </c>
      <c r="G9" s="37">
        <f>(D10/B10)</f>
        <v>5.3354438268762161</v>
      </c>
      <c r="N9">
        <f>($B$10/5)</f>
        <v>0.183302464</v>
      </c>
      <c r="O9" s="37">
        <f>($C$5*Params!K11)</f>
        <v>21.351380853618597</v>
      </c>
      <c r="P9" s="37">
        <f>(O9*N9)</f>
        <v>3.9137607202707123</v>
      </c>
    </row>
    <row r="10" spans="2:16">
      <c r="B10">
        <f>(SUM(B5:B9))</f>
        <v>0.91651232000000005</v>
      </c>
      <c r="D10" s="37">
        <f>(SUM(D5:D9))</f>
        <v>4.8899999999999997</v>
      </c>
    </row>
    <row r="11" spans="2:16">
      <c r="P11" s="37">
        <f>(SUM(P6:P9))</f>
        <v>8.9038056386158715</v>
      </c>
    </row>
    <row r="12" spans="2:16">
      <c r="P12" s="37"/>
    </row>
  </sheetData>
  <conditionalFormatting sqref="C5">
    <cfRule type="cellIs" dxfId="169" priority="5" operator="lessThan">
      <formula>$J$3</formula>
    </cfRule>
    <cfRule type="cellIs" dxfId="168" priority="6" operator="greaterThan">
      <formula>$J$3</formula>
    </cfRule>
  </conditionalFormatting>
  <conditionalFormatting sqref="O6:O9">
    <cfRule type="cellIs" dxfId="167" priority="3" operator="lessThan">
      <formula>$J$3</formula>
    </cfRule>
    <cfRule type="cellIs" dxfId="166" priority="4" operator="greaterThan">
      <formula>$J$3</formula>
    </cfRule>
  </conditionalFormatting>
  <conditionalFormatting sqref="G9">
    <cfRule type="cellIs" dxfId="165" priority="1" operator="lessThan">
      <formula>$J$3</formula>
    </cfRule>
    <cfRule type="cellIs" dxfId="164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6" sqref="B6:D6"/>
    </sheetView>
  </sheetViews>
  <sheetFormatPr baseColWidth="10" defaultColWidth="9.140625" defaultRowHeight="15"/>
  <sheetData>
    <row r="3" spans="2:16">
      <c r="I3" t="s">
        <v>3</v>
      </c>
      <c r="J3" s="37">
        <v>2.099271230846341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(B10*J3)</f>
        <v>5.0922386050343995</v>
      </c>
      <c r="K4" s="4">
        <f>(J4/D10-1)</f>
        <v>-0.14272077356323243</v>
      </c>
    </row>
    <row r="5" spans="2:16">
      <c r="B5" s="1">
        <v>2.4205000000000001</v>
      </c>
      <c r="C5" s="37">
        <f>(D5/B5)</f>
        <v>2.4540384218136748</v>
      </c>
      <c r="D5" s="37">
        <v>5.94</v>
      </c>
      <c r="E5" t="s">
        <v>80</v>
      </c>
      <c r="M5" t="s">
        <v>80</v>
      </c>
      <c r="N5" t="s">
        <v>29</v>
      </c>
      <c r="O5" t="s">
        <v>1</v>
      </c>
      <c r="P5" t="s">
        <v>2</v>
      </c>
    </row>
    <row r="6" spans="2:16">
      <c r="B6" s="2">
        <v>5.2173300000000001E-3</v>
      </c>
      <c r="C6" s="39">
        <v>0</v>
      </c>
      <c r="D6" s="26">
        <f>(B6*C6)</f>
        <v>0</v>
      </c>
      <c r="E6" s="37">
        <f>(B6*J3)</f>
        <v>1.0952590770831541E-2</v>
      </c>
      <c r="M6" t="s">
        <v>11</v>
      </c>
      <c r="N6" s="1">
        <f>($B$10/5)</f>
        <v>0.48514346599999997</v>
      </c>
      <c r="O6" s="37">
        <f>($C$5*Params!K8)</f>
        <v>3.1902499483577773</v>
      </c>
      <c r="P6" s="37">
        <f>(O6*N6)</f>
        <v>1.547728917352613</v>
      </c>
    </row>
    <row r="7" spans="2:16">
      <c r="N7" s="1">
        <f>($B$10/5)</f>
        <v>0.48514346599999997</v>
      </c>
      <c r="O7" s="37">
        <f>($C$5*Params!K9)</f>
        <v>3.9264614749018798</v>
      </c>
      <c r="P7" s="37">
        <f>(O7*N7)</f>
        <v>1.9048971290493699</v>
      </c>
    </row>
    <row r="8" spans="2:16">
      <c r="N8" s="1">
        <f>($B$10/5)</f>
        <v>0.48514346599999997</v>
      </c>
      <c r="O8" s="37">
        <f>($C$5*Params!K10)</f>
        <v>5.3988845279900852</v>
      </c>
      <c r="P8" s="37">
        <f>(O8*N8)</f>
        <v>2.6192335524428838</v>
      </c>
    </row>
    <row r="9" spans="2:16">
      <c r="F9" t="s">
        <v>9</v>
      </c>
      <c r="G9" s="37">
        <f>(D10/B10)</f>
        <v>2.4487601776749481</v>
      </c>
      <c r="N9" s="1">
        <f>($B$10/5)</f>
        <v>0.48514346599999997</v>
      </c>
      <c r="O9" s="37">
        <f>($C$5*Params!K11)</f>
        <v>9.8161536872546993</v>
      </c>
      <c r="P9" s="37">
        <f>(O9*N9)</f>
        <v>4.7622428226234241</v>
      </c>
    </row>
    <row r="10" spans="2:16">
      <c r="B10" s="1">
        <f>(SUM(B5:B9))</f>
        <v>2.4257173299999999</v>
      </c>
      <c r="D10" s="37">
        <f>(SUM(D5:D9))</f>
        <v>5.94</v>
      </c>
    </row>
    <row r="11" spans="2:16">
      <c r="P11" s="37">
        <f>(SUM(P6:P9))</f>
        <v>10.834102421468291</v>
      </c>
    </row>
  </sheetData>
  <conditionalFormatting sqref="C5">
    <cfRule type="cellIs" dxfId="163" priority="5" operator="lessThan">
      <formula>$J$3</formula>
    </cfRule>
    <cfRule type="cellIs" dxfId="162" priority="6" operator="greaterThan">
      <formula>$J$3</formula>
    </cfRule>
  </conditionalFormatting>
  <conditionalFormatting sqref="O6:O9">
    <cfRule type="cellIs" dxfId="161" priority="3" operator="lessThan">
      <formula>$J$3</formula>
    </cfRule>
    <cfRule type="cellIs" dxfId="160" priority="4" operator="greaterThan">
      <formula>$J$3</formula>
    </cfRule>
  </conditionalFormatting>
  <conditionalFormatting sqref="G9">
    <cfRule type="cellIs" dxfId="159" priority="1" operator="lessThan">
      <formula>$J$3</formula>
    </cfRule>
    <cfRule type="cellIs" dxfId="158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U78"/>
  <sheetViews>
    <sheetView workbookViewId="0">
      <selection activeCell="B6" sqref="B6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7">
        <v>29217.060435582749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7">
        <f>(B37*J3)</f>
        <v>803.55126191834972</v>
      </c>
      <c r="K4" s="4">
        <f>(J4/D37-1)</f>
        <v>0.24522058414076331</v>
      </c>
      <c r="L4" t="s">
        <v>4</v>
      </c>
      <c r="M4">
        <f>(INDEX((M9:M68),MATCH(N4/0.85,N9:N68,0))/0.9)</f>
        <v>2.047422222222222E-4</v>
      </c>
      <c r="N4" s="38">
        <f>(MAX(N9,N17:N19,N49,N25,N33,N41,N57,N65)*0.85)</f>
        <v>19471.8</v>
      </c>
      <c r="O4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7">
        <v>41500</v>
      </c>
      <c r="D5" s="37">
        <f>(B5*C5)</f>
        <v>165.99294500000002</v>
      </c>
      <c r="R5" s="24">
        <f t="shared" ref="R5:R10" si="0">(B5)</f>
        <v>3.9998300000000002E-3</v>
      </c>
      <c r="S5" s="37">
        <v>41500</v>
      </c>
      <c r="T5" s="37">
        <f>(R5*S5)</f>
        <v>165.99294500000002</v>
      </c>
    </row>
    <row r="6" spans="2:20">
      <c r="B6" s="25">
        <v>3.0681000000000003E-4</v>
      </c>
      <c r="C6" s="39">
        <v>0</v>
      </c>
      <c r="D6" s="26">
        <f>(B6*C6)</f>
        <v>0</v>
      </c>
      <c r="E6" s="37">
        <f>(B6*J3)</f>
        <v>8.9640863122411432</v>
      </c>
      <c r="I6" t="s">
        <v>11</v>
      </c>
      <c r="J6">
        <v>0.03</v>
      </c>
      <c r="R6" s="24">
        <f t="shared" si="0"/>
        <v>3.0681000000000003E-4</v>
      </c>
      <c r="S6" s="37">
        <v>0</v>
      </c>
      <c r="T6" s="37">
        <f>(R6*S6)</f>
        <v>0</v>
      </c>
    </row>
    <row r="7" spans="2:20">
      <c r="B7" s="24">
        <v>5.1073000000000004E-4</v>
      </c>
      <c r="C7" s="37">
        <f>D7/B7</f>
        <v>30544.514714232566</v>
      </c>
      <c r="D7" s="37">
        <v>15.6</v>
      </c>
      <c r="I7" t="s">
        <v>13</v>
      </c>
      <c r="J7">
        <f>(J6-B37)</f>
        <v>2.4971899999999929E-3</v>
      </c>
      <c r="R7" s="24">
        <f t="shared" si="0"/>
        <v>5.1073000000000004E-4</v>
      </c>
      <c r="S7" s="37">
        <f>(T7/R7)</f>
        <v>30544.514714232566</v>
      </c>
      <c r="T7" s="37" t="s">
        <v>19</v>
      </c>
    </row>
    <row r="8" spans="2:20">
      <c r="B8" s="24">
        <v>4.9108299999999997E-3</v>
      </c>
      <c r="C8" s="37">
        <f>D8/B8</f>
        <v>21381.314360301621</v>
      </c>
      <c r="D8" s="37">
        <v>105</v>
      </c>
      <c r="I8" t="s">
        <v>14</v>
      </c>
      <c r="J8">
        <f>(J7*J3)</f>
        <v>72.960551149132684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7">
        <f>(T8/R8)</f>
        <v>21381.314360301621</v>
      </c>
      <c r="T8" s="37" t="s">
        <v>20</v>
      </c>
    </row>
    <row r="9" spans="2:20">
      <c r="B9" s="24">
        <v>2E-3</v>
      </c>
      <c r="C9" s="37">
        <f>D9/B9</f>
        <v>21750</v>
      </c>
      <c r="D9" s="37">
        <v>43.5</v>
      </c>
      <c r="L9" t="s">
        <v>11</v>
      </c>
      <c r="M9">
        <f>($B$16/5)</f>
        <v>3.3600000000000004E-4</v>
      </c>
      <c r="N9" s="37">
        <f>(C26)</f>
        <v>20979.026577380951</v>
      </c>
      <c r="O9">
        <f>(N9*M9)</f>
        <v>7.0489529300000004</v>
      </c>
      <c r="P9" t="s">
        <v>12</v>
      </c>
      <c r="R9" s="24">
        <f t="shared" si="0"/>
        <v>2E-3</v>
      </c>
      <c r="S9" s="37">
        <f>(T9/R9)</f>
        <v>21750</v>
      </c>
      <c r="T9" s="37" t="s">
        <v>21</v>
      </c>
    </row>
    <row r="10" spans="2:20">
      <c r="B10" s="24">
        <v>6.9999999999999999E-4</v>
      </c>
      <c r="C10" s="37">
        <v>20458</v>
      </c>
      <c r="D10" s="37">
        <f t="shared" ref="D10:D16" si="1">(C10*B10)</f>
        <v>14.320600000000001</v>
      </c>
      <c r="M10">
        <f>($B$16/5)</f>
        <v>3.3600000000000004E-4</v>
      </c>
      <c r="N10" s="37">
        <f>($C$16*Params!K16)</f>
        <v>33240.04</v>
      </c>
      <c r="O10">
        <f>(N10*M10)</f>
        <v>11.168653440000002</v>
      </c>
      <c r="R10" s="24">
        <f t="shared" si="0"/>
        <v>6.9999999999999999E-4</v>
      </c>
      <c r="S10" s="37">
        <v>20458</v>
      </c>
      <c r="T10" s="37">
        <f>(S10*R10)</f>
        <v>14.320600000000001</v>
      </c>
    </row>
    <row r="11" spans="2:20">
      <c r="B11" s="24">
        <v>5.1000000000000004E-4</v>
      </c>
      <c r="C11" s="37">
        <v>19873.310000000001</v>
      </c>
      <c r="D11" s="37">
        <f t="shared" si="1"/>
        <v>10.135388100000002</v>
      </c>
      <c r="M11">
        <f>($B$16/5)</f>
        <v>3.3600000000000004E-4</v>
      </c>
      <c r="N11" s="37">
        <f>($C$16*Params!K17)</f>
        <v>66480.08</v>
      </c>
      <c r="O11">
        <f>(N11*M11)</f>
        <v>22.337306880000003</v>
      </c>
      <c r="R11" s="24">
        <f>(B12)</f>
        <v>6.4000000000000005E-4</v>
      </c>
      <c r="S11" s="37">
        <v>19169.310000000001</v>
      </c>
      <c r="T11" s="37">
        <f>(S11*R11)</f>
        <v>12.268358400000002</v>
      </c>
    </row>
    <row r="12" spans="2:20">
      <c r="B12" s="24">
        <v>6.4000000000000005E-4</v>
      </c>
      <c r="C12" s="37">
        <v>19169.310000000001</v>
      </c>
      <c r="D12" s="37">
        <f t="shared" si="1"/>
        <v>12.268358400000002</v>
      </c>
      <c r="M12">
        <f>($B$16/5)</f>
        <v>3.3600000000000004E-4</v>
      </c>
      <c r="N12" s="37">
        <f>($C$16*Params!K18)</f>
        <v>132960.16</v>
      </c>
      <c r="O12">
        <f>(N12*M12)</f>
        <v>44.674613760000007</v>
      </c>
      <c r="R12" s="24">
        <f>(B13+B11+B14)</f>
        <v>5.5000000000000003E-4</v>
      </c>
      <c r="S12" s="37">
        <f>(T12/R12)</f>
        <v>18256.087454545454</v>
      </c>
      <c r="T12" s="37">
        <f>(D13+D11+D14)</f>
        <v>10.0408481</v>
      </c>
    </row>
    <row r="13" spans="2:20">
      <c r="B13" s="24">
        <v>-5.0000000000000001E-4</v>
      </c>
      <c r="C13" s="37">
        <v>20709.080000000002</v>
      </c>
      <c r="D13" s="37">
        <f t="shared" si="1"/>
        <v>-10.354540000000002</v>
      </c>
      <c r="R13" s="24">
        <f>(B15)</f>
        <v>2.5799999999999998E-3</v>
      </c>
      <c r="S13" s="37">
        <v>18969</v>
      </c>
      <c r="T13" s="37">
        <f>(S13*R13)</f>
        <v>48.940019999999997</v>
      </c>
    </row>
    <row r="14" spans="2:20">
      <c r="B14" s="24">
        <v>5.4000000000000001E-4</v>
      </c>
      <c r="C14" s="37">
        <v>19000</v>
      </c>
      <c r="D14" s="37">
        <f t="shared" si="1"/>
        <v>10.26</v>
      </c>
      <c r="O14">
        <f>(SUM(O9:O12))</f>
        <v>85.229527010000012</v>
      </c>
      <c r="R14" s="24">
        <f>(B16+B26)</f>
        <v>1.3440000000000001E-3</v>
      </c>
      <c r="S14" s="37">
        <f t="shared" ref="S14:S21" si="2">(T14/R14)</f>
        <v>15530.268355654764</v>
      </c>
      <c r="T14" s="37">
        <f>(D16+D26)</f>
        <v>20.872680670000005</v>
      </c>
    </row>
    <row r="15" spans="2:20">
      <c r="B15" s="24">
        <v>2.5799999999999998E-3</v>
      </c>
      <c r="C15" s="37">
        <v>18969</v>
      </c>
      <c r="D15" s="37">
        <f t="shared" si="1"/>
        <v>48.940019999999997</v>
      </c>
      <c r="R15" s="24">
        <f>(B17+B18+B21+B33)</f>
        <v>3.7333999999999989E-4</v>
      </c>
      <c r="S15" s="37">
        <f t="shared" si="2"/>
        <v>93.555472223709913</v>
      </c>
      <c r="T15" s="37">
        <f>(D17+D18+D21+D33)</f>
        <v>3.4927999999999848E-2</v>
      </c>
    </row>
    <row r="16" spans="2:20">
      <c r="B16" s="24">
        <v>1.6800000000000001E-3</v>
      </c>
      <c r="C16" s="37">
        <v>16620.02</v>
      </c>
      <c r="D16" s="37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7">
        <f t="shared" si="2"/>
        <v>15650.000000000033</v>
      </c>
      <c r="T16" s="37">
        <f>(D19+D27)</f>
        <v>7.5119999999999996</v>
      </c>
    </row>
    <row r="17" spans="2:21">
      <c r="B17" s="24">
        <v>9.2133999999999998E-4</v>
      </c>
      <c r="C17" s="37">
        <f t="shared" ref="C17:C26" si="3">(D17/B17)</f>
        <v>11244.491718583802</v>
      </c>
      <c r="D17" s="37">
        <v>10.36</v>
      </c>
      <c r="L17" t="s">
        <v>11</v>
      </c>
      <c r="M17">
        <f>($B$17/5)</f>
        <v>1.8426799999999999E-4</v>
      </c>
      <c r="N17" s="37">
        <f>(C18)</f>
        <v>16444.444444444442</v>
      </c>
      <c r="O17">
        <f>(N17*M17)</f>
        <v>3.030184888888888</v>
      </c>
      <c r="P17" t="s">
        <v>12</v>
      </c>
      <c r="R17" s="24">
        <f>(B20+B28)</f>
        <v>7.3329999999999999E-4</v>
      </c>
      <c r="S17" s="37">
        <f t="shared" si="2"/>
        <v>16031.774171553252</v>
      </c>
      <c r="T17" s="37">
        <f>(D20+D28)</f>
        <v>11.7561</v>
      </c>
    </row>
    <row r="18" spans="2:21">
      <c r="B18" s="24">
        <v>-1.8000000000000001E-4</v>
      </c>
      <c r="C18" s="37">
        <f t="shared" si="3"/>
        <v>16444.444444444442</v>
      </c>
      <c r="D18" s="37">
        <f>(-2.96)</f>
        <v>-2.96</v>
      </c>
      <c r="M18">
        <f>($B$17/5)</f>
        <v>1.8426799999999999E-4</v>
      </c>
      <c r="N18" s="37">
        <f>(C21)</f>
        <v>17119.565217391304</v>
      </c>
      <c r="O18">
        <f>(N18*M18)</f>
        <v>3.1545880434782605</v>
      </c>
      <c r="P18" t="s">
        <v>12</v>
      </c>
      <c r="R18" s="24">
        <f>(B22+B27)</f>
        <v>4.6000000000000001E-4</v>
      </c>
      <c r="S18" s="37">
        <f t="shared" si="2"/>
        <v>15907.391304347828</v>
      </c>
      <c r="T18" s="37">
        <f>(D22+D29)</f>
        <v>7.317400000000001</v>
      </c>
    </row>
    <row r="19" spans="2:21">
      <c r="B19" s="24">
        <v>5.9999999999999897E-4</v>
      </c>
      <c r="C19" s="37">
        <f t="shared" si="3"/>
        <v>16700.000000000029</v>
      </c>
      <c r="D19" s="37">
        <v>10.02</v>
      </c>
      <c r="F19" s="24"/>
      <c r="I19" s="38"/>
      <c r="M19">
        <f>($B$17/5)</f>
        <v>1.8426799999999999E-4</v>
      </c>
      <c r="N19" s="37">
        <f>(C33)</f>
        <v>22908</v>
      </c>
      <c r="O19">
        <f>(N19*M19)</f>
        <v>4.2212113439999994</v>
      </c>
      <c r="P19" t="s">
        <v>12</v>
      </c>
      <c r="R19" s="24">
        <f>(B23+B32)</f>
        <v>4.9379999999999997E-3</v>
      </c>
      <c r="S19" s="37">
        <f t="shared" si="2"/>
        <v>22127.581773997572</v>
      </c>
      <c r="T19" s="37">
        <f>(D23+17438.6*B32)</f>
        <v>109.26599880000001</v>
      </c>
      <c r="U19" t="s">
        <v>10</v>
      </c>
    </row>
    <row r="20" spans="2:21">
      <c r="B20" s="24">
        <v>9.1330000000000003E-4</v>
      </c>
      <c r="C20" s="37">
        <f t="shared" si="3"/>
        <v>17080.915361874519</v>
      </c>
      <c r="D20" s="37">
        <v>15.6</v>
      </c>
      <c r="M20">
        <f>($B$17/5)</f>
        <v>1.8426799999999999E-4</v>
      </c>
      <c r="N20" s="37">
        <f>($C$17*Params!K18)</f>
        <v>89955.933748670417</v>
      </c>
      <c r="O20">
        <f>(N20*M20)</f>
        <v>16.576000000000001</v>
      </c>
      <c r="R20" s="24">
        <f>(B24+B31)</f>
        <v>9.6294000000000002E-4</v>
      </c>
      <c r="S20" s="37">
        <f t="shared" si="2"/>
        <v>23266.204434336509</v>
      </c>
      <c r="T20" s="37">
        <f>(D24+17211.7*B31)</f>
        <v>22.403958897999999</v>
      </c>
      <c r="U20" t="s">
        <v>15</v>
      </c>
    </row>
    <row r="21" spans="2:21">
      <c r="B21" s="24">
        <v>-1.84E-4</v>
      </c>
      <c r="C21" s="37">
        <f t="shared" si="3"/>
        <v>17119.565217391304</v>
      </c>
      <c r="D21" s="37">
        <v>-3.15</v>
      </c>
      <c r="R21" s="24">
        <f>(B25+B30)</f>
        <v>2.376E-5</v>
      </c>
      <c r="S21" s="37">
        <f t="shared" si="2"/>
        <v>15653.771043771043</v>
      </c>
      <c r="T21" s="37">
        <f>(D25+D30)</f>
        <v>0.37193359999999998</v>
      </c>
    </row>
    <row r="22" spans="2:21">
      <c r="B22" s="24">
        <v>5.8E-4</v>
      </c>
      <c r="C22" s="37">
        <f t="shared" si="3"/>
        <v>17034.482758620692</v>
      </c>
      <c r="D22" s="37">
        <v>9.8800000000000008</v>
      </c>
      <c r="O22">
        <f>(SUM(O17:O20))</f>
        <v>26.98198427636715</v>
      </c>
      <c r="R22" s="24">
        <f>(B31-B31)</f>
        <v>0</v>
      </c>
      <c r="S22" s="37">
        <v>0</v>
      </c>
      <c r="T22" s="37">
        <f>(17211.7*-B31+D31)</f>
        <v>-0.22637249800000003</v>
      </c>
      <c r="U22" t="s">
        <v>16</v>
      </c>
    </row>
    <row r="23" spans="2:21">
      <c r="B23" s="24">
        <v>5.28E-3</v>
      </c>
      <c r="C23" s="37">
        <f t="shared" si="3"/>
        <v>21823.863636363636</v>
      </c>
      <c r="D23" s="37">
        <v>115.23</v>
      </c>
      <c r="E23" t="s">
        <v>10</v>
      </c>
      <c r="R23" s="24">
        <f>(B32-B32)</f>
        <v>0</v>
      </c>
      <c r="S23" s="37">
        <v>0</v>
      </c>
      <c r="T23" s="37">
        <f>(17438.6*-B32+D32)</f>
        <v>-1.4915987999999993</v>
      </c>
      <c r="U23" t="s">
        <v>17</v>
      </c>
    </row>
    <row r="24" spans="2:21">
      <c r="B24" s="24">
        <v>1.0150000000000001E-3</v>
      </c>
      <c r="C24" s="37">
        <f t="shared" si="3"/>
        <v>22955.66502463054</v>
      </c>
      <c r="D24" s="37">
        <v>23.3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1.2600000000000001E-3</v>
      </c>
      <c r="S24" s="37">
        <f>(T24/R24)</f>
        <v>25277.777777777777</v>
      </c>
      <c r="T24" s="37">
        <f>(D34)</f>
        <v>31.85</v>
      </c>
      <c r="U24" t="s">
        <v>18</v>
      </c>
    </row>
    <row r="25" spans="2:21">
      <c r="B25" s="24">
        <v>2.97E-5</v>
      </c>
      <c r="C25" s="37">
        <f t="shared" si="3"/>
        <v>16835.016835016835</v>
      </c>
      <c r="D25" s="37">
        <v>0.5</v>
      </c>
      <c r="L25" t="s">
        <v>11</v>
      </c>
      <c r="M25">
        <f>($B$19/5)</f>
        <v>1.199999999999998E-4</v>
      </c>
      <c r="N25" s="37">
        <f>(C27)</f>
        <v>20900</v>
      </c>
      <c r="O25">
        <f>(N25*M25)</f>
        <v>2.507999999999996</v>
      </c>
      <c r="P25" t="s">
        <v>12</v>
      </c>
    </row>
    <row r="26" spans="2:21">
      <c r="B26" s="24">
        <v>-3.3599999999999998E-4</v>
      </c>
      <c r="C26" s="37">
        <f t="shared" si="3"/>
        <v>20979.026577380951</v>
      </c>
      <c r="D26" s="37">
        <f>(-7.04895293)</f>
        <v>-7.0489529299999996</v>
      </c>
      <c r="M26">
        <f>($B$19/5)</f>
        <v>1.199999999999998E-4</v>
      </c>
      <c r="N26" s="37">
        <f>($C$19*Params!K16)</f>
        <v>33400.000000000058</v>
      </c>
      <c r="O26">
        <f>(N26*M26)</f>
        <v>4.008</v>
      </c>
    </row>
    <row r="27" spans="2:21">
      <c r="B27" s="24">
        <v>-1.2E-4</v>
      </c>
      <c r="C27" s="37">
        <v>20900</v>
      </c>
      <c r="D27" s="37">
        <f>(C27*B27)</f>
        <v>-2.508</v>
      </c>
      <c r="M27">
        <f>($B$19/5)</f>
        <v>1.199999999999998E-4</v>
      </c>
      <c r="N27" s="37">
        <f>($C$19*Params!K17)</f>
        <v>66800.000000000116</v>
      </c>
      <c r="O27">
        <f>(N27*M27)</f>
        <v>8.016</v>
      </c>
    </row>
    <row r="28" spans="2:21">
      <c r="B28" s="24">
        <v>-1.8000000000000001E-4</v>
      </c>
      <c r="C28" s="37">
        <v>21355</v>
      </c>
      <c r="D28" s="37">
        <f>(B28*C28)</f>
        <v>-3.8439000000000001</v>
      </c>
      <c r="M28">
        <f>($B$19/5)</f>
        <v>1.199999999999998E-4</v>
      </c>
      <c r="N28" s="37">
        <f>($C$19*Params!K18)</f>
        <v>133600.00000000023</v>
      </c>
      <c r="O28">
        <f>(N28*M28)</f>
        <v>16.032</v>
      </c>
    </row>
    <row r="29" spans="2:21">
      <c r="B29" s="24">
        <v>-1.2E-4</v>
      </c>
      <c r="C29" s="37">
        <v>21355</v>
      </c>
      <c r="D29" s="37">
        <f>(C29*B29)</f>
        <v>-2.5626000000000002</v>
      </c>
    </row>
    <row r="30" spans="2:21">
      <c r="B30" s="24">
        <f>(-M65)</f>
        <v>-5.9399999999999999E-6</v>
      </c>
      <c r="C30" s="37">
        <v>21560</v>
      </c>
      <c r="D30" s="37">
        <f>(C30*B30)</f>
        <v>-0.1280664</v>
      </c>
      <c r="O30">
        <f>(SUM(O25:O28))</f>
        <v>30.563999999999997</v>
      </c>
    </row>
    <row r="31" spans="2:21">
      <c r="B31" s="24">
        <f>(-0.000058-B30)</f>
        <v>-5.206E-5</v>
      </c>
      <c r="C31" s="37">
        <v>21560</v>
      </c>
      <c r="D31" s="37">
        <f>(C31*B31)</f>
        <v>-1.1224136</v>
      </c>
    </row>
    <row r="32" spans="2:21">
      <c r="B32" s="24">
        <v>-3.4200000000000002E-4</v>
      </c>
      <c r="C32" s="37">
        <f>(D32/B32)</f>
        <v>21799.999999999996</v>
      </c>
      <c r="D32" s="37">
        <v>-7.4555999999999996</v>
      </c>
      <c r="M32" t="s">
        <v>0</v>
      </c>
      <c r="N32" t="s">
        <v>1</v>
      </c>
      <c r="O32" t="s">
        <v>2</v>
      </c>
    </row>
    <row r="33" spans="2:20">
      <c r="B33" s="24">
        <f>(-0.000184)</f>
        <v>-1.84E-4</v>
      </c>
      <c r="C33" s="37">
        <f>(D33/B33)</f>
        <v>22908</v>
      </c>
      <c r="D33" s="37">
        <f>(-4.215072)</f>
        <v>-4.2150720000000002</v>
      </c>
      <c r="L33" t="s">
        <v>11</v>
      </c>
      <c r="M33">
        <f>($B$20/5)</f>
        <v>1.8266000000000002E-4</v>
      </c>
      <c r="N33" s="37">
        <f>(C28)</f>
        <v>21355</v>
      </c>
      <c r="O33">
        <f>(N33*M33)</f>
        <v>3.9007043000000006</v>
      </c>
      <c r="P33" t="s">
        <v>12</v>
      </c>
    </row>
    <row r="34" spans="2:20">
      <c r="B34" s="24">
        <v>1.2600000000000001E-3</v>
      </c>
      <c r="C34" s="37">
        <f>(D34/B34)</f>
        <v>25277.777777777777</v>
      </c>
      <c r="D34" s="37">
        <v>31.85</v>
      </c>
      <c r="E34" t="s">
        <v>18</v>
      </c>
      <c r="M34">
        <f>($B$20/5)</f>
        <v>1.8266000000000002E-4</v>
      </c>
      <c r="N34" s="37">
        <f>($C$20*Params!K16)</f>
        <v>34161.830723749037</v>
      </c>
      <c r="O34">
        <f>(N34*M34)</f>
        <v>6.2399999999999993</v>
      </c>
    </row>
    <row r="35" spans="2:20">
      <c r="B35" s="24">
        <f>0.00073-0.00000073</f>
        <v>7.2926999999999996E-4</v>
      </c>
      <c r="C35" s="37">
        <f>(D35/B35)</f>
        <v>27395.295295295298</v>
      </c>
      <c r="D35" s="37">
        <v>19.978567000000002</v>
      </c>
      <c r="M35">
        <f>($B$20/5)</f>
        <v>1.8266000000000002E-4</v>
      </c>
      <c r="N35" s="37">
        <f>($C$20*Params!K17)</f>
        <v>68323.661447498074</v>
      </c>
      <c r="O35">
        <f>(N35*M35)</f>
        <v>12.479999999999999</v>
      </c>
    </row>
    <row r="36" spans="2:20">
      <c r="F36" t="s">
        <v>9</v>
      </c>
      <c r="G36" s="38">
        <f>(D37/B37)</f>
        <v>23463.361277265849</v>
      </c>
      <c r="M36">
        <f>($B$20/5)</f>
        <v>1.8266000000000002E-4</v>
      </c>
      <c r="N36" s="37">
        <f>($C$20*Params!K18)</f>
        <v>136647.32289499615</v>
      </c>
      <c r="O36">
        <f>(N36*M36)</f>
        <v>24.959999999999997</v>
      </c>
      <c r="R36">
        <f>(SUM(R5:R25))</f>
        <v>2.6773539999999995E-2</v>
      </c>
      <c r="T36" s="37">
        <f>(SUM(T5:T25))</f>
        <v>461.22980017000003</v>
      </c>
    </row>
    <row r="37" spans="2:20">
      <c r="B37">
        <f>(SUM(B5:B36))</f>
        <v>2.7502810000000006E-2</v>
      </c>
      <c r="D37" s="37">
        <f>(SUM(D5:D36))</f>
        <v>645.30836717000011</v>
      </c>
    </row>
    <row r="38" spans="2:20">
      <c r="O38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7">
        <f>(C29)</f>
        <v>21355</v>
      </c>
      <c r="O41">
        <f>(N41*M41)</f>
        <v>2.5626000000000002</v>
      </c>
      <c r="P41" t="s">
        <v>12</v>
      </c>
    </row>
    <row r="42" spans="2:20">
      <c r="M42">
        <f>($B$22/5)</f>
        <v>1.16E-4</v>
      </c>
      <c r="N42" s="37">
        <f>($C$22*Params!K16)</f>
        <v>34068.965517241384</v>
      </c>
      <c r="O42">
        <f>(N42*M42)</f>
        <v>3.9520000000000004</v>
      </c>
    </row>
    <row r="43" spans="2:20">
      <c r="M43">
        <f>($B$22/5)</f>
        <v>1.16E-4</v>
      </c>
      <c r="N43" s="37">
        <f>($C$22*Params!K17)</f>
        <v>68137.931034482768</v>
      </c>
      <c r="O43">
        <f>(N43*M43)</f>
        <v>7.9040000000000008</v>
      </c>
    </row>
    <row r="44" spans="2:20">
      <c r="M44">
        <f>($B$22/5)</f>
        <v>1.16E-4</v>
      </c>
      <c r="N44" s="37">
        <f>($C$22*Params!K18)</f>
        <v>136275.86206896554</v>
      </c>
      <c r="O44">
        <f>(N44*M44)</f>
        <v>15.808000000000002</v>
      </c>
    </row>
    <row r="46" spans="2:20">
      <c r="O46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7">
        <f>(C32)</f>
        <v>21799.999999999996</v>
      </c>
      <c r="O49">
        <f>(N49*M49)</f>
        <v>7.4555999999999996</v>
      </c>
      <c r="P49" t="s">
        <v>12</v>
      </c>
    </row>
    <row r="50" spans="12:16">
      <c r="M50">
        <f>(2*($R$19+M49)/5-M49)</f>
        <v>1.7700000000000001E-3</v>
      </c>
      <c r="N50" s="37">
        <f>($S$19*Params!K16)</f>
        <v>44255.163547995144</v>
      </c>
      <c r="O50">
        <f>(N50*M50)</f>
        <v>78.331639479951406</v>
      </c>
    </row>
    <row r="51" spans="12:16">
      <c r="M51">
        <f>($B$23/5)</f>
        <v>1.0560000000000001E-3</v>
      </c>
      <c r="N51" s="37">
        <f>($S$19*Params!K17)</f>
        <v>88510.327095990287</v>
      </c>
      <c r="O51">
        <f>(N51*M51)</f>
        <v>93.466905413365751</v>
      </c>
    </row>
    <row r="52" spans="12:16">
      <c r="M52">
        <f>($B$23/5)</f>
        <v>1.0560000000000001E-3</v>
      </c>
      <c r="N52" s="37">
        <f>($S$19*Params!K18)</f>
        <v>177020.65419198057</v>
      </c>
      <c r="O52">
        <f>(N52*M52)</f>
        <v>186.9338108267315</v>
      </c>
    </row>
    <row r="54" spans="12:16">
      <c r="O54">
        <f>(SUM(O49:O52))</f>
        <v>366.18795572004865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7">
        <f>(C31)</f>
        <v>21560</v>
      </c>
      <c r="O57">
        <f>(N57*M57)</f>
        <v>1.1224136</v>
      </c>
      <c r="P57" t="s">
        <v>12</v>
      </c>
    </row>
    <row r="58" spans="12:16">
      <c r="M58">
        <f>(2*($R$20+M57)/5-M57)</f>
        <v>3.5394000000000002E-4</v>
      </c>
      <c r="N58" s="37">
        <f>($S$20*Params!K16)</f>
        <v>46532.408868673017</v>
      </c>
      <c r="O58">
        <f>(N58*M58)</f>
        <v>16.469680794978128</v>
      </c>
    </row>
    <row r="59" spans="12:16">
      <c r="M59">
        <f>($B$24/5)</f>
        <v>2.03E-4</v>
      </c>
      <c r="N59" s="37">
        <f>($S$20*Params!K17)</f>
        <v>93064.817737346035</v>
      </c>
      <c r="O59">
        <f>(N59*M59)</f>
        <v>18.892158000681246</v>
      </c>
    </row>
    <row r="60" spans="12:16">
      <c r="M60">
        <f>($B$24/5)</f>
        <v>2.03E-4</v>
      </c>
      <c r="N60" s="37">
        <f>($S$20*Params!K18)</f>
        <v>186129.63547469207</v>
      </c>
      <c r="O60">
        <f>(N60*M60)</f>
        <v>37.784316001362491</v>
      </c>
    </row>
    <row r="62" spans="12:16">
      <c r="O62">
        <f>(SUM(O57:O60))</f>
        <v>74.268568397021866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7">
        <f>(C30)</f>
        <v>21560</v>
      </c>
      <c r="O65">
        <f>(N65*M65)</f>
        <v>0.1280664</v>
      </c>
      <c r="P65" t="s">
        <v>12</v>
      </c>
    </row>
    <row r="66" spans="12:16">
      <c r="M66">
        <f>($B$25/5)</f>
        <v>5.9399999999999999E-6</v>
      </c>
      <c r="N66" s="37">
        <f>($C$25*Params!K16)</f>
        <v>33670.03367003367</v>
      </c>
      <c r="O66">
        <f>(N66*M66)</f>
        <v>0.19999999999999998</v>
      </c>
    </row>
    <row r="67" spans="12:16">
      <c r="M67">
        <f>($B$25/5)</f>
        <v>5.9399999999999999E-6</v>
      </c>
      <c r="N67" s="37">
        <f>($C$25*Params!K17)</f>
        <v>67340.06734006734</v>
      </c>
      <c r="O67">
        <f>(N67*M67)</f>
        <v>0.39999999999999997</v>
      </c>
    </row>
    <row r="68" spans="12:16">
      <c r="M68">
        <f>($B$25/5)</f>
        <v>5.9399999999999999E-6</v>
      </c>
      <c r="N68" s="37">
        <f>($C$25*Params!K18)</f>
        <v>134680.13468013468</v>
      </c>
      <c r="O68">
        <f>(N68*M68)</f>
        <v>0.79999999999999993</v>
      </c>
    </row>
    <row r="70" spans="12:16">
      <c r="O70">
        <f>(SUM(O65:O68))</f>
        <v>1.5280663999999997</v>
      </c>
    </row>
    <row r="72" spans="12:16">
      <c r="L72" t="s">
        <v>22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2.52E-4</v>
      </c>
      <c r="N73" s="37">
        <f>($S$24*Params!K15)</f>
        <v>37916.666666666664</v>
      </c>
      <c r="O73">
        <f>(N73*M73)</f>
        <v>9.5549999999999997</v>
      </c>
    </row>
    <row r="74" spans="12:16">
      <c r="M74">
        <f>($R$24/5)</f>
        <v>2.52E-4</v>
      </c>
      <c r="N74" s="37">
        <f>($S$24*Params!K16)</f>
        <v>50555.555555555555</v>
      </c>
      <c r="O74">
        <f>(N74*M74)</f>
        <v>12.74</v>
      </c>
    </row>
    <row r="75" spans="12:16">
      <c r="M75">
        <f>($R$24/5)</f>
        <v>2.52E-4</v>
      </c>
      <c r="N75" s="37">
        <f>($S$24*Params!K17)</f>
        <v>101111.11111111111</v>
      </c>
      <c r="O75">
        <f>(N75*M75)</f>
        <v>25.48</v>
      </c>
    </row>
    <row r="76" spans="12:16">
      <c r="M76">
        <f>($R$24/5)</f>
        <v>2.52E-4</v>
      </c>
      <c r="N76" s="37">
        <f>($S$24*Params!K18)</f>
        <v>202222.22222222222</v>
      </c>
      <c r="O76">
        <f>(N76*M76)</f>
        <v>50.96</v>
      </c>
    </row>
    <row r="78" spans="12:16">
      <c r="O78">
        <f>(SUM(O73:O76))</f>
        <v>98.735000000000014</v>
      </c>
    </row>
  </sheetData>
  <conditionalFormatting sqref="C5 C7:C17 C19:C20 C22:C25 C34:C35 G36 N10:N12 N20 N26:N28 N34 S5 S7:S21 S24">
    <cfRule type="cellIs" dxfId="319" priority="45" operator="lessThan">
      <formula>$J$3</formula>
    </cfRule>
    <cfRule type="cellIs" dxfId="318" priority="46" operator="greaterThan">
      <formula>$J$3</formula>
    </cfRule>
  </conditionalFormatting>
  <conditionalFormatting sqref="N35:N36">
    <cfRule type="cellIs" dxfId="317" priority="19" operator="lessThan">
      <formula>$J$3</formula>
    </cfRule>
    <cfRule type="cellIs" dxfId="316" priority="20" operator="greaterThan">
      <formula>$J$3</formula>
    </cfRule>
  </conditionalFormatting>
  <conditionalFormatting sqref="N42:N44">
    <cfRule type="cellIs" dxfId="315" priority="17" operator="lessThan">
      <formula>$J$3</formula>
    </cfRule>
    <cfRule type="cellIs" dxfId="314" priority="18" operator="greaterThan">
      <formula>$J$3</formula>
    </cfRule>
  </conditionalFormatting>
  <conditionalFormatting sqref="N50:N52">
    <cfRule type="cellIs" dxfId="313" priority="15" operator="lessThan">
      <formula>$J$3</formula>
    </cfRule>
    <cfRule type="cellIs" dxfId="312" priority="16" operator="greaterThan">
      <formula>$J$3</formula>
    </cfRule>
  </conditionalFormatting>
  <conditionalFormatting sqref="N58:N60">
    <cfRule type="cellIs" dxfId="311" priority="13" operator="lessThan">
      <formula>$J$3</formula>
    </cfRule>
    <cfRule type="cellIs" dxfId="310" priority="14" operator="greaterThan">
      <formula>$J$3</formula>
    </cfRule>
  </conditionalFormatting>
  <conditionalFormatting sqref="N66:N68">
    <cfRule type="cellIs" dxfId="309" priority="11" operator="lessThan">
      <formula>$J$3</formula>
    </cfRule>
    <cfRule type="cellIs" dxfId="308" priority="12" operator="greaterThan">
      <formula>$J$3</formula>
    </cfRule>
  </conditionalFormatting>
  <conditionalFormatting sqref="N73:N76">
    <cfRule type="cellIs" dxfId="307" priority="9" operator="lessThan">
      <formula>$J$3</formula>
    </cfRule>
    <cfRule type="cellIs" dxfId="306" priority="10" operator="greaterThan">
      <formula>$J$3</formula>
    </cfRule>
  </conditionalFormatting>
  <conditionalFormatting sqref="N4">
    <cfRule type="cellIs" dxfId="305" priority="1" operator="greaterThan">
      <formula>$J$3</formula>
    </cfRule>
    <cfRule type="cellIs" dxfId="304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6" sqref="B6:D6"/>
    </sheetView>
  </sheetViews>
  <sheetFormatPr baseColWidth="10" defaultColWidth="9.140625" defaultRowHeight="15"/>
  <sheetData>
    <row r="3" spans="2:16">
      <c r="I3" t="s">
        <v>3</v>
      </c>
      <c r="J3" s="37">
        <v>7.1141894990875061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(B10*J3)</f>
        <v>4.1470905627713481</v>
      </c>
      <c r="K4" s="4">
        <f>(J4/D10-1)</f>
        <v>-1.2597485054440916E-2</v>
      </c>
    </row>
    <row r="5" spans="2:16">
      <c r="B5">
        <v>0.58243</v>
      </c>
      <c r="C5" s="37">
        <f>(D5/B5)</f>
        <v>7.2111670071939979</v>
      </c>
      <c r="D5" s="37">
        <v>4.2</v>
      </c>
      <c r="E5" t="s">
        <v>80</v>
      </c>
      <c r="M5" t="s">
        <v>80</v>
      </c>
      <c r="N5" t="s">
        <v>29</v>
      </c>
      <c r="O5" t="s">
        <v>1</v>
      </c>
      <c r="P5" t="s">
        <v>2</v>
      </c>
    </row>
    <row r="6" spans="2:16">
      <c r="B6" s="2">
        <v>5.0226000000000003E-4</v>
      </c>
      <c r="C6" s="39">
        <v>0</v>
      </c>
      <c r="D6" s="26">
        <f>(B6*C6)</f>
        <v>0</v>
      </c>
      <c r="E6" s="37">
        <f>(B6*J3)</f>
        <v>3.5731728178116911E-3</v>
      </c>
      <c r="M6" t="s">
        <v>11</v>
      </c>
      <c r="N6">
        <f>($B$10/5)</f>
        <v>0.11658645199999999</v>
      </c>
      <c r="O6" s="37">
        <f>($C$5*Params!K8)</f>
        <v>9.3745171093521975</v>
      </c>
      <c r="P6" s="37">
        <f>(O6*N6)</f>
        <v>1.0929416889926686</v>
      </c>
    </row>
    <row r="7" spans="2:16">
      <c r="C7" s="37"/>
      <c r="D7" s="37"/>
      <c r="N7">
        <f>($B$10/5)</f>
        <v>0.11658645199999999</v>
      </c>
      <c r="O7" s="37">
        <f>($C$5*Params!K9)</f>
        <v>11.537867211510397</v>
      </c>
      <c r="P7" s="37">
        <f>(O7*N7)</f>
        <v>1.3451590018371307</v>
      </c>
    </row>
    <row r="8" spans="2:16">
      <c r="C8" s="37"/>
      <c r="D8" s="37"/>
      <c r="N8">
        <f>($B$10/5)</f>
        <v>0.11658645199999999</v>
      </c>
      <c r="O8" s="37">
        <f>($C$5*Params!K10)</f>
        <v>15.864567415826796</v>
      </c>
      <c r="P8" s="37">
        <f>(O8*N8)</f>
        <v>1.8495936275260547</v>
      </c>
    </row>
    <row r="9" spans="2:16">
      <c r="C9" s="37"/>
      <c r="D9" s="37"/>
      <c r="F9" t="s">
        <v>9</v>
      </c>
      <c r="G9" s="37">
        <f>(D10/B10)</f>
        <v>7.2049537968614059</v>
      </c>
      <c r="N9">
        <f>($B$10/5)</f>
        <v>0.11658645199999999</v>
      </c>
      <c r="O9" s="37">
        <f>($C$5*Params!K11)</f>
        <v>28.844668028775992</v>
      </c>
      <c r="P9" s="37">
        <f>(O9*N9)</f>
        <v>3.3628975045928264</v>
      </c>
    </row>
    <row r="10" spans="2:16">
      <c r="B10">
        <f>(SUM(B5:B9))</f>
        <v>0.58293225999999998</v>
      </c>
      <c r="C10" s="37"/>
      <c r="D10" s="37">
        <f>(SUM(D5:D9))</f>
        <v>4.2</v>
      </c>
      <c r="O10" s="37"/>
      <c r="P10" s="37"/>
    </row>
    <row r="11" spans="2:16">
      <c r="O11" s="37"/>
      <c r="P11" s="37">
        <f>(SUM(P6:P9))</f>
        <v>7.6505918229486802</v>
      </c>
    </row>
  </sheetData>
  <conditionalFormatting sqref="O6:O9">
    <cfRule type="cellIs" dxfId="157" priority="5" operator="lessThan">
      <formula>$J$3</formula>
    </cfRule>
    <cfRule type="cellIs" dxfId="156" priority="6" operator="greaterThan">
      <formula>$J$3</formula>
    </cfRule>
  </conditionalFormatting>
  <conditionalFormatting sqref="C5">
    <cfRule type="cellIs" dxfId="155" priority="3" operator="lessThan">
      <formula>$J$3</formula>
    </cfRule>
    <cfRule type="cellIs" dxfId="154" priority="4" operator="greaterThan">
      <formula>$J$3</formula>
    </cfRule>
  </conditionalFormatting>
  <conditionalFormatting sqref="G9">
    <cfRule type="cellIs" dxfId="153" priority="1" operator="lessThan">
      <formula>$J$3</formula>
    </cfRule>
    <cfRule type="cellIs" dxfId="152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T19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7">
        <v>89.437663495322781</v>
      </c>
      <c r="M3" t="s">
        <v>4</v>
      </c>
      <c r="N3">
        <f>(-R8/0.9)</f>
        <v>3.390077777777778E-2</v>
      </c>
      <c r="O3" s="38">
        <f>(MAX(O6,O14)*0.85)</f>
        <v>77.521967129564388</v>
      </c>
      <c r="P3" s="37">
        <f>(O3*N3)</f>
        <v>2.628054980555556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7">
        <f>(B13*J3)</f>
        <v>10.925760423939998</v>
      </c>
      <c r="K4" s="4">
        <f>(J4/D13-1)</f>
        <v>0.42176356459687092</v>
      </c>
      <c r="O4" s="37"/>
      <c r="P4" s="37"/>
      <c r="R4" t="s">
        <v>5</v>
      </c>
      <c r="S4" t="s">
        <v>6</v>
      </c>
      <c r="T4" t="s">
        <v>7</v>
      </c>
    </row>
    <row r="5" spans="2:20">
      <c r="B5">
        <v>7.6066700000000003E-3</v>
      </c>
      <c r="C5" s="37">
        <f>(D5/B5)</f>
        <v>65.731785393608504</v>
      </c>
      <c r="D5" s="37">
        <v>0.5</v>
      </c>
      <c r="N5" t="s">
        <v>29</v>
      </c>
      <c r="O5" t="s">
        <v>1</v>
      </c>
      <c r="P5" t="s">
        <v>2</v>
      </c>
      <c r="R5">
        <f>(B5)</f>
        <v>7.6066700000000003E-3</v>
      </c>
      <c r="S5" s="37">
        <f>(T5/R5)</f>
        <v>65.731785393608504</v>
      </c>
      <c r="T5" s="37">
        <f>(D5)</f>
        <v>0.5</v>
      </c>
    </row>
    <row r="6" spans="2:20">
      <c r="B6" s="2">
        <v>2.0965E-4</v>
      </c>
      <c r="C6" s="39">
        <v>0</v>
      </c>
      <c r="D6" s="26">
        <f>(B6*C6)</f>
        <v>0</v>
      </c>
      <c r="E6" s="37">
        <f>(B6*J3)</f>
        <v>1.875060615179442E-2</v>
      </c>
      <c r="M6" t="s">
        <v>11</v>
      </c>
      <c r="N6">
        <f>(-B8)</f>
        <v>3.0510700000000002E-2</v>
      </c>
      <c r="O6" s="37">
        <f>(C8)</f>
        <v>91.202314270075746</v>
      </c>
      <c r="P6" s="37">
        <f>(-D8)</f>
        <v>2.7826464500000001</v>
      </c>
      <c r="Q6" t="s">
        <v>12</v>
      </c>
      <c r="R6" s="2">
        <f>(B6)</f>
        <v>2.0965E-4</v>
      </c>
      <c r="S6" s="39">
        <f>(T6/R6)</f>
        <v>0</v>
      </c>
      <c r="T6" s="26">
        <f>(D6)</f>
        <v>0</v>
      </c>
    </row>
    <row r="7" spans="2:20">
      <c r="B7">
        <v>0.14485500000000001</v>
      </c>
      <c r="C7" s="37">
        <f>(D7/B7)</f>
        <v>68.808808808808806</v>
      </c>
      <c r="D7" s="37">
        <v>9.9672999999999998</v>
      </c>
      <c r="N7">
        <f>(SUM($B$5:$B$7)/5)</f>
        <v>3.0534263999999998E-2</v>
      </c>
      <c r="O7" s="37">
        <f>($C$7*Params!K9)</f>
        <v>110.09409409409409</v>
      </c>
      <c r="P7" s="37">
        <f>(O7*N7)</f>
        <v>3.3616421339099096</v>
      </c>
      <c r="R7">
        <f>(B7)</f>
        <v>0.14485500000000001</v>
      </c>
      <c r="S7" s="37">
        <f>(T7/R7)</f>
        <v>68.808808808808806</v>
      </c>
      <c r="T7" s="37">
        <f>(D7)</f>
        <v>9.9672999999999998</v>
      </c>
    </row>
    <row r="8" spans="2:20">
      <c r="B8">
        <v>-3.0510700000000002E-2</v>
      </c>
      <c r="C8" s="37">
        <f>(D8/B8)</f>
        <v>91.202314270075746</v>
      </c>
      <c r="D8" s="37">
        <v>-2.7826464500000001</v>
      </c>
      <c r="N8">
        <f>(SUM($B$5:$B$7)/5)</f>
        <v>3.0534263999999998E-2</v>
      </c>
      <c r="O8" s="37">
        <f>($C$7*Params!K10)</f>
        <v>151.37937937937937</v>
      </c>
      <c r="P8" s="37">
        <f>(O8*N8)</f>
        <v>4.6222579341261261</v>
      </c>
      <c r="R8">
        <f>(B8)</f>
        <v>-3.0510700000000002E-2</v>
      </c>
      <c r="S8" s="37">
        <f>(T8/R8)</f>
        <v>91.202314270075746</v>
      </c>
      <c r="T8" s="37">
        <f>(D8)</f>
        <v>-2.7826464500000001</v>
      </c>
    </row>
    <row r="9" spans="2:20">
      <c r="N9">
        <f>(SUM($B$5:$B$7)/5)</f>
        <v>3.0534263999999998E-2</v>
      </c>
      <c r="O9" s="37">
        <f>($C$7*Params!K11)</f>
        <v>275.23523523523522</v>
      </c>
      <c r="P9" s="37">
        <f>(O9*N9)</f>
        <v>8.4041053347747745</v>
      </c>
    </row>
    <row r="10" spans="2:20">
      <c r="O10" s="37"/>
      <c r="P10" s="37"/>
    </row>
    <row r="11" spans="2:20">
      <c r="O11" s="37"/>
      <c r="P11" s="37">
        <f>(SUM(P6:P9))</f>
        <v>19.170651852810813</v>
      </c>
    </row>
    <row r="12" spans="2:20">
      <c r="F12" t="s">
        <v>9</v>
      </c>
      <c r="G12" s="37">
        <f>(D13/B13)</f>
        <v>62.906143976675956</v>
      </c>
    </row>
    <row r="13" spans="2:20">
      <c r="B13">
        <f>(SUM(B5:B12))</f>
        <v>0.12216062</v>
      </c>
      <c r="D13" s="37">
        <f>(SUM(D5:D12))</f>
        <v>7.6846535500000002</v>
      </c>
    </row>
    <row r="19" spans="18:20">
      <c r="R19">
        <f>(SUM(R5:R18))</f>
        <v>0.12216062</v>
      </c>
      <c r="T19" s="37">
        <f>(SUM(T5:T18))</f>
        <v>7.6846535500000002</v>
      </c>
    </row>
  </sheetData>
  <conditionalFormatting sqref="C5 C7 O7:O9 S5 S7">
    <cfRule type="cellIs" dxfId="151" priority="9" operator="lessThan">
      <formula>$J$3</formula>
    </cfRule>
    <cfRule type="cellIs" dxfId="150" priority="10" operator="greaterThan">
      <formula>$J$3</formula>
    </cfRule>
  </conditionalFormatting>
  <conditionalFormatting sqref="O3">
    <cfRule type="cellIs" dxfId="149" priority="1" operator="greaterThan">
      <formula>$J$3</formula>
    </cfRule>
    <cfRule type="cellIs" dxfId="148" priority="2" operator="less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J14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</cols>
  <sheetData>
    <row r="3" spans="2:10">
      <c r="I3" t="s">
        <v>3</v>
      </c>
      <c r="J3" s="37">
        <v>1.253940718103252</v>
      </c>
    </row>
    <row r="4" spans="2:10">
      <c r="B4" t="s">
        <v>5</v>
      </c>
      <c r="C4" t="s">
        <v>6</v>
      </c>
      <c r="D4" t="s">
        <v>7</v>
      </c>
      <c r="I4" t="s">
        <v>8</v>
      </c>
      <c r="J4" s="37">
        <f>(B14*J3)</f>
        <v>2.0287931587913737</v>
      </c>
    </row>
    <row r="5" spans="2:10">
      <c r="B5">
        <v>3.2527046099999999</v>
      </c>
      <c r="C5" s="37">
        <v>0</v>
      </c>
      <c r="D5" s="37">
        <f>(B5*C5)</f>
        <v>0</v>
      </c>
    </row>
    <row r="6" spans="2:10">
      <c r="B6" s="2">
        <v>4.0276470000000002E-2</v>
      </c>
      <c r="C6" s="39">
        <v>0</v>
      </c>
      <c r="D6" s="26">
        <f>(B6*C6)</f>
        <v>0</v>
      </c>
      <c r="E6" s="37">
        <f>(B6*J3)</f>
        <v>5.0504305714464091E-2</v>
      </c>
    </row>
    <row r="7" spans="2:10">
      <c r="B7">
        <v>-3.25700016</v>
      </c>
      <c r="C7" s="37">
        <f>(D7/B7)</f>
        <v>1.6571788900372666</v>
      </c>
      <c r="D7" s="37">
        <v>-5.3974319099999999</v>
      </c>
    </row>
    <row r="8" spans="2:10">
      <c r="B8">
        <v>0.31639059000000003</v>
      </c>
      <c r="C8" s="37">
        <v>0</v>
      </c>
      <c r="D8" s="37">
        <f>(B8*C8)</f>
        <v>0</v>
      </c>
    </row>
    <row r="9" spans="2:10">
      <c r="B9">
        <v>0.31639059000000003</v>
      </c>
      <c r="C9" s="37">
        <v>0</v>
      </c>
      <c r="D9" s="37">
        <f>(B9*C9)</f>
        <v>0</v>
      </c>
    </row>
    <row r="10" spans="2:10">
      <c r="B10">
        <v>0.31639059000000003</v>
      </c>
      <c r="C10" s="37">
        <v>0</v>
      </c>
      <c r="D10" s="37">
        <f>(B10*C10)</f>
        <v>0</v>
      </c>
    </row>
    <row r="11" spans="2:10">
      <c r="B11">
        <v>0.31639059000000003</v>
      </c>
      <c r="C11" s="37">
        <v>0</v>
      </c>
      <c r="D11" s="37">
        <f>(B11*C11)</f>
        <v>0</v>
      </c>
    </row>
    <row r="12" spans="2:10">
      <c r="B12">
        <v>0.31639059000000003</v>
      </c>
      <c r="C12" s="37">
        <v>0</v>
      </c>
      <c r="D12" s="37">
        <f>(B12*C12)</f>
        <v>0</v>
      </c>
    </row>
    <row r="14" spans="2:10">
      <c r="B14">
        <f>(SUM(B5:B13))</f>
        <v>1.6179338699999999</v>
      </c>
      <c r="D14" s="37">
        <f>(SUM(D5:D13))</f>
        <v>-5.3974319099999999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7"/>
  <sheetViews>
    <sheetView workbookViewId="0">
      <selection activeCell="B18" sqref="B18:D18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1.087926408406079E-4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7">
        <f>(B37*J3)</f>
        <v>36.954893073207593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7">
        <f>(B5*C5)</f>
        <v>27.311796716829999</v>
      </c>
      <c r="N5" t="s">
        <v>1</v>
      </c>
      <c r="O5" t="s">
        <v>29</v>
      </c>
      <c r="P5" t="s">
        <v>2</v>
      </c>
      <c r="R5" s="29">
        <f t="shared" ref="R5:R12" si="0">(B5)</f>
        <v>0.2363634506</v>
      </c>
      <c r="S5" s="28">
        <v>115.55</v>
      </c>
      <c r="T5" s="37">
        <f>(R5*S5)</f>
        <v>27.311796716829999</v>
      </c>
    </row>
    <row r="6" spans="2:20">
      <c r="B6" s="29">
        <v>0.3</v>
      </c>
      <c r="C6" s="28">
        <v>91.3</v>
      </c>
      <c r="D6" s="37">
        <f>(B6*C6)</f>
        <v>27.389999999999997</v>
      </c>
      <c r="M6" t="s">
        <v>4</v>
      </c>
      <c r="N6" s="28">
        <f>(MIN(C5:C8,C14:C16)*2)</f>
        <v>5.0000000000000001E-4</v>
      </c>
      <c r="O6">
        <f>(INDEX(B5:B17,MATCH(N6/2,C5:C17,0)))</f>
        <v>40000</v>
      </c>
      <c r="P6" s="37">
        <f>(O6*N6/2)</f>
        <v>10</v>
      </c>
      <c r="R6" s="29">
        <f t="shared" si="0"/>
        <v>0.3</v>
      </c>
      <c r="S6" s="28">
        <v>91.3</v>
      </c>
      <c r="T6" s="37">
        <f>(R6*S6)</f>
        <v>27.389999999999997</v>
      </c>
    </row>
    <row r="7" spans="2:20">
      <c r="B7" s="29">
        <v>2.7904138700000001</v>
      </c>
      <c r="C7" s="28">
        <v>6.5</v>
      </c>
      <c r="D7" s="37">
        <f>(B7*C7)</f>
        <v>18.137690155000001</v>
      </c>
      <c r="R7" s="29">
        <f t="shared" si="0"/>
        <v>2.7904138700000001</v>
      </c>
      <c r="S7" s="28">
        <v>6.5</v>
      </c>
      <c r="T7" s="37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7">
        <v>15</v>
      </c>
      <c r="N8" t="s">
        <v>1</v>
      </c>
      <c r="O8" t="s">
        <v>29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7">
        <v>15</v>
      </c>
    </row>
    <row r="9" spans="2:20">
      <c r="B9" s="29">
        <f>(891400)</f>
        <v>891400</v>
      </c>
      <c r="C9" s="28">
        <f t="shared" si="1"/>
        <v>1.1218308279111509E-5</v>
      </c>
      <c r="D9" s="37">
        <v>10</v>
      </c>
      <c r="M9" t="s">
        <v>4</v>
      </c>
      <c r="N9" s="28">
        <f>(C35*1.1)</f>
        <v>1.7892756482769213E-4</v>
      </c>
      <c r="O9" s="21">
        <f>(B35/1.1)</f>
        <v>56447.423345454539</v>
      </c>
      <c r="P9" s="37">
        <f>(O9*N9)</f>
        <v>10.1</v>
      </c>
      <c r="R9" s="29">
        <f t="shared" si="0"/>
        <v>891400</v>
      </c>
      <c r="S9" s="28">
        <f t="shared" si="2"/>
        <v>1.1218308279111509E-5</v>
      </c>
      <c r="T9" s="37">
        <v>10</v>
      </c>
    </row>
    <row r="10" spans="2:20">
      <c r="B10" s="29">
        <v>-200000</v>
      </c>
      <c r="C10" s="28">
        <f t="shared" si="1"/>
        <v>6.0000000000000002E-5</v>
      </c>
      <c r="D10" s="37">
        <v>-12</v>
      </c>
      <c r="N10" s="28"/>
      <c r="R10" s="29">
        <f t="shared" si="0"/>
        <v>-200000</v>
      </c>
      <c r="S10" s="28">
        <f t="shared" si="2"/>
        <v>6.0000000000000002E-5</v>
      </c>
      <c r="T10" s="37">
        <v>-12</v>
      </c>
    </row>
    <row r="11" spans="2:20">
      <c r="B11" s="29">
        <v>-43873</v>
      </c>
      <c r="C11" s="28">
        <f t="shared" si="1"/>
        <v>2.2793061791990518E-4</v>
      </c>
      <c r="D11" s="37">
        <v>-10</v>
      </c>
      <c r="R11" s="29">
        <f t="shared" si="0"/>
        <v>-43873</v>
      </c>
      <c r="S11" s="28">
        <f t="shared" si="2"/>
        <v>2.2793061791990518E-4</v>
      </c>
      <c r="T11" s="37">
        <v>-10</v>
      </c>
    </row>
    <row r="12" spans="2:20">
      <c r="B12" s="29">
        <v>-20000</v>
      </c>
      <c r="C12" s="28">
        <f t="shared" si="1"/>
        <v>5.0000000000000001E-4</v>
      </c>
      <c r="D12" s="37">
        <v>-10</v>
      </c>
      <c r="R12" s="29">
        <f t="shared" si="0"/>
        <v>-20000</v>
      </c>
      <c r="S12" s="28">
        <f t="shared" si="2"/>
        <v>5.0000000000000001E-4</v>
      </c>
      <c r="T12" s="37">
        <v>-10</v>
      </c>
    </row>
    <row r="13" spans="2:20">
      <c r="B13" s="29">
        <v>-66800</v>
      </c>
      <c r="C13" s="28">
        <f t="shared" si="1"/>
        <v>5.0000000000000001E-4</v>
      </c>
      <c r="D13" s="37">
        <v>-33.4</v>
      </c>
      <c r="R13" s="29">
        <f>(B13+B14+B15+B16)</f>
        <v>43423</v>
      </c>
      <c r="S13" s="28">
        <f t="shared" si="2"/>
        <v>1.0594270317573637E-4</v>
      </c>
      <c r="T13" s="37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7">
        <v>10.000349999999999</v>
      </c>
      <c r="R14" s="29">
        <f t="shared" ref="R14:R20" si="3">(B17)</f>
        <v>-150000</v>
      </c>
      <c r="S14" s="28">
        <v>1E-4</v>
      </c>
      <c r="T14" s="37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7">
        <v>18</v>
      </c>
      <c r="R15" s="29">
        <f t="shared" si="3"/>
        <v>4527.1768119899998</v>
      </c>
      <c r="S15" s="28">
        <v>0</v>
      </c>
      <c r="T15" s="37">
        <f>(R15*S15)</f>
        <v>0</v>
      </c>
    </row>
    <row r="16" spans="2:20">
      <c r="B16" s="29">
        <v>40000</v>
      </c>
      <c r="C16" s="28">
        <f t="shared" si="1"/>
        <v>2.5000000000000001E-4</v>
      </c>
      <c r="D16" s="37">
        <v>10</v>
      </c>
      <c r="R16" s="29">
        <f t="shared" si="3"/>
        <v>-60293.19</v>
      </c>
      <c r="S16" s="28">
        <v>1.829E-4</v>
      </c>
      <c r="T16" s="37">
        <f>(S16*R16)</f>
        <v>-11.027624451000001</v>
      </c>
    </row>
    <row r="17" spans="2:20">
      <c r="B17" s="29">
        <v>-150000</v>
      </c>
      <c r="C17" s="28">
        <v>1E-4</v>
      </c>
      <c r="D17" s="37">
        <f>(C17*B17)</f>
        <v>-15</v>
      </c>
      <c r="R17" s="29">
        <f t="shared" si="3"/>
        <v>-41141.35</v>
      </c>
      <c r="S17" s="28">
        <v>1.828E-4</v>
      </c>
      <c r="T17" s="37">
        <f>(S17*R17)</f>
        <v>-7.5206387799999996</v>
      </c>
    </row>
    <row r="18" spans="2:20">
      <c r="B18" s="36">
        <v>4527.1768119899998</v>
      </c>
      <c r="C18" s="39">
        <v>0</v>
      </c>
      <c r="D18" s="26">
        <f>(B18*C18)</f>
        <v>0</v>
      </c>
      <c r="E18" s="37">
        <f>(B18*J3)</f>
        <v>0.49252352092875634</v>
      </c>
      <c r="R18" s="29">
        <f t="shared" si="3"/>
        <v>-26969.34</v>
      </c>
      <c r="S18" s="28">
        <f>(T18/R18)</f>
        <v>4.0323567428791359E-4</v>
      </c>
      <c r="T18" s="37">
        <v>-10.875</v>
      </c>
    </row>
    <row r="19" spans="2:20">
      <c r="B19" s="29">
        <v>-60293.19</v>
      </c>
      <c r="C19" s="28">
        <v>1.829E-4</v>
      </c>
      <c r="D19" s="37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7">
        <v>-15.776999999999999</v>
      </c>
    </row>
    <row r="20" spans="2:20">
      <c r="B20" s="29">
        <v>-41141.35</v>
      </c>
      <c r="C20" s="28">
        <v>1.828E-4</v>
      </c>
      <c r="D20" s="37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7">
        <v>-12.7</v>
      </c>
    </row>
    <row r="21" spans="2:20">
      <c r="B21" s="29">
        <v>-26969.34</v>
      </c>
      <c r="C21" s="28">
        <f>(D21/B21)</f>
        <v>4.0323567428791359E-4</v>
      </c>
      <c r="D21" s="37">
        <v>-10.875</v>
      </c>
      <c r="R21" s="29">
        <f>(B24+B25+B26)</f>
        <v>-55.650000000002365</v>
      </c>
      <c r="S21" s="28">
        <f>(T21/R21)</f>
        <v>1.4062807235038053E-2</v>
      </c>
      <c r="T21" s="37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7">
        <v>-15.776999999999999</v>
      </c>
      <c r="R22" s="29">
        <f>(B27+B28)</f>
        <v>0</v>
      </c>
      <c r="S22" s="28">
        <v>0</v>
      </c>
      <c r="T22" s="37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7">
        <v>-12.7</v>
      </c>
      <c r="R23" s="29">
        <f>(B29+B30)</f>
        <v>4000</v>
      </c>
      <c r="S23" s="28">
        <v>0</v>
      </c>
      <c r="T23" s="37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7">
        <v>-11.12</v>
      </c>
      <c r="R24" s="29">
        <f>(B31+B32)</f>
        <v>-1.8097233900334686</v>
      </c>
      <c r="S24" s="28">
        <v>0</v>
      </c>
      <c r="T24" s="37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7">
        <f>(B25*C25)</f>
        <v>7.8838527516038983</v>
      </c>
      <c r="R25" s="29">
        <f>(B33+B34+B35)</f>
        <v>8092.1656799999982</v>
      </c>
      <c r="S25" s="28">
        <v>0</v>
      </c>
      <c r="T25" s="37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7">
        <f>(B26*C26)</f>
        <v>2.4535520257662</v>
      </c>
    </row>
    <row r="27" spans="2:20">
      <c r="B27" s="29">
        <v>-40000</v>
      </c>
      <c r="C27" s="28">
        <f t="shared" ref="C27:C35" si="4">(D27/B27)</f>
        <v>3.1099999999999997E-4</v>
      </c>
      <c r="D27" s="37">
        <v>-12.44</v>
      </c>
    </row>
    <row r="28" spans="2:20">
      <c r="B28" s="29">
        <v>40000</v>
      </c>
      <c r="C28" s="28">
        <f t="shared" si="4"/>
        <v>2.5000000000000001E-4</v>
      </c>
      <c r="D28" s="37">
        <v>10</v>
      </c>
    </row>
    <row r="29" spans="2:20">
      <c r="B29" s="29">
        <v>-40000</v>
      </c>
      <c r="C29" s="28">
        <f t="shared" si="4"/>
        <v>3.0975000000000002E-4</v>
      </c>
      <c r="D29" s="37">
        <v>-12.39</v>
      </c>
    </row>
    <row r="30" spans="2:20">
      <c r="B30" s="29">
        <v>44000</v>
      </c>
      <c r="C30" s="28">
        <f t="shared" si="4"/>
        <v>2.3681818181818182E-4</v>
      </c>
      <c r="D30" s="37">
        <v>10.42</v>
      </c>
    </row>
    <row r="31" spans="2:20">
      <c r="B31" s="29">
        <v>-270017.67672339</v>
      </c>
      <c r="C31" s="28">
        <f t="shared" si="4"/>
        <v>1.7847844839198777E-4</v>
      </c>
      <c r="D31" s="37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7">
        <v>34.21</v>
      </c>
    </row>
    <row r="33" spans="2:20">
      <c r="B33" s="29">
        <v>-33998.230000000003</v>
      </c>
      <c r="C33" s="28">
        <f t="shared" si="4"/>
        <v>1.8971575873214574E-4</v>
      </c>
      <c r="D33" s="37">
        <v>-6.45</v>
      </c>
    </row>
    <row r="34" spans="2:20">
      <c r="B34" s="29">
        <v>-20001.77</v>
      </c>
      <c r="C34" s="28">
        <f t="shared" si="4"/>
        <v>1.897332086110379E-4</v>
      </c>
      <c r="D34" s="37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7">
        <v>10.1</v>
      </c>
      <c r="E35" s="37">
        <f>(B35*J3)</f>
        <v>6.7551706798397602</v>
      </c>
    </row>
    <row r="37" spans="2:20">
      <c r="B37">
        <f>(SUM(B5:B36))</f>
        <v>339681.91954592045</v>
      </c>
      <c r="D37" s="37">
        <f>(SUM(D5:D36))</f>
        <v>-21.780357561799917</v>
      </c>
      <c r="F37" t="s">
        <v>9</v>
      </c>
      <c r="G37" s="28">
        <f>(D37/B37)</f>
        <v>-6.4119861283507337E-5</v>
      </c>
      <c r="R37">
        <f>(SUM(R5:R36))</f>
        <v>339681.91954592045</v>
      </c>
      <c r="T37">
        <f>(SUM(T5:T36))</f>
        <v>-21.78035756179991</v>
      </c>
    </row>
  </sheetData>
  <conditionalFormatting sqref="C5:C9 C14:C16 C25:C26 C28 C30 C32 C35">
    <cfRule type="cellIs" dxfId="147" priority="13" operator="lessThan">
      <formula>$J$3</formula>
    </cfRule>
    <cfRule type="cellIs" dxfId="146" priority="14" operator="greaterThan">
      <formula>$J$3</formula>
    </cfRule>
  </conditionalFormatting>
  <conditionalFormatting sqref="N6">
    <cfRule type="cellIs" dxfId="145" priority="9" operator="lessThan">
      <formula>$J$3</formula>
    </cfRule>
    <cfRule type="cellIs" dxfId="144" priority="10" operator="greaterThan">
      <formula>$J$3</formula>
    </cfRule>
  </conditionalFormatting>
  <conditionalFormatting sqref="N9">
    <cfRule type="cellIs" dxfId="143" priority="5" operator="lessThan">
      <formula>$J$3</formula>
    </cfRule>
    <cfRule type="cellIs" dxfId="142" priority="6" operator="greaterThan">
      <formula>$J$3</formula>
    </cfRule>
  </conditionalFormatting>
  <conditionalFormatting sqref="S5:S9 S13">
    <cfRule type="cellIs" dxfId="141" priority="3" operator="lessThan">
      <formula>$J$3</formula>
    </cfRule>
    <cfRule type="cellIs" dxfId="140" priority="4" operator="greaterThan">
      <formula>$J$3</formula>
    </cfRule>
  </conditionalFormatting>
  <conditionalFormatting sqref="G37">
    <cfRule type="cellIs" dxfId="139" priority="1" operator="lessThan">
      <formula>$J$3</formula>
    </cfRule>
    <cfRule type="cellIs" dxfId="138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2:U20"/>
  <sheetViews>
    <sheetView workbookViewId="0">
      <selection activeCell="B6" sqref="B6:D6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9" max="9" width="12.42578125" style="14" bestFit="1" customWidth="1"/>
    <col min="14" max="15" width="11.28515625" style="14" bestFit="1" customWidth="1"/>
  </cols>
  <sheetData>
    <row r="2" spans="2:21">
      <c r="N2" t="s">
        <v>1</v>
      </c>
      <c r="O2" t="s">
        <v>0</v>
      </c>
      <c r="P2" t="s">
        <v>2</v>
      </c>
    </row>
    <row r="3" spans="2:21">
      <c r="I3" t="s">
        <v>3</v>
      </c>
      <c r="J3" s="37">
        <v>0.99996411432526666</v>
      </c>
      <c r="M3" t="s">
        <v>4</v>
      </c>
      <c r="N3" s="19">
        <f>(INDEX(N6:N32,MATCH(MAX(O6,O14),O6:O32,0))/0.9)</f>
        <v>2.7111111111111108</v>
      </c>
      <c r="O3" s="38">
        <f>(MAX(O6,O14)*0.85)</f>
        <v>0.92115719959016396</v>
      </c>
      <c r="P3" s="37">
        <f>(O3*N3)</f>
        <v>2.4973595188888886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7">
        <f>(B16*J3)</f>
        <v>31.749455248488161</v>
      </c>
      <c r="K4" s="4">
        <f>(J4/D16-1)</f>
        <v>6.2695845979064524E-2</v>
      </c>
      <c r="O4" s="37"/>
      <c r="P4" s="37"/>
      <c r="R4" t="s">
        <v>5</v>
      </c>
      <c r="S4" t="s">
        <v>6</v>
      </c>
      <c r="T4" t="s">
        <v>7</v>
      </c>
    </row>
    <row r="5" spans="2:21">
      <c r="B5" s="19">
        <v>12.2</v>
      </c>
      <c r="C5" s="37">
        <f>(D5/B5)</f>
        <v>0.8606557377049181</v>
      </c>
      <c r="D5" s="37">
        <v>10.5</v>
      </c>
      <c r="M5" t="s">
        <v>15</v>
      </c>
      <c r="N5" t="s">
        <v>29</v>
      </c>
      <c r="O5" t="s">
        <v>1</v>
      </c>
      <c r="P5" t="s">
        <v>2</v>
      </c>
      <c r="R5">
        <f>(B5+B10)</f>
        <v>9.76</v>
      </c>
      <c r="S5" s="37">
        <f>(T5/R5)</f>
        <v>0.80489108401639342</v>
      </c>
      <c r="T5" s="37">
        <f>(D5+D10)</f>
        <v>7.8557369799999996</v>
      </c>
    </row>
    <row r="6" spans="2:21">
      <c r="B6" s="36">
        <v>0.20254828999999999</v>
      </c>
      <c r="C6" s="39">
        <v>0</v>
      </c>
      <c r="D6" s="26">
        <f>(B6*C6)</f>
        <v>0</v>
      </c>
      <c r="E6" s="37">
        <f>(B6*J3)</f>
        <v>0.20254102141794725</v>
      </c>
      <c r="M6" t="s">
        <v>11</v>
      </c>
      <c r="N6" s="19">
        <f>(-B9)</f>
        <v>1.08</v>
      </c>
      <c r="O6" s="37">
        <f>(C9)</f>
        <v>1.0499999999999998</v>
      </c>
      <c r="P6" s="37">
        <f>(O6*N6)</f>
        <v>1.1339999999999999</v>
      </c>
      <c r="Q6" t="s">
        <v>12</v>
      </c>
      <c r="R6">
        <f>(B6)</f>
        <v>0.20254828999999999</v>
      </c>
      <c r="S6" s="37">
        <v>0</v>
      </c>
      <c r="T6" s="37">
        <f>(D6)</f>
        <v>0</v>
      </c>
      <c r="U6" s="37">
        <f>(R6*J3)</f>
        <v>0.20254102141794725</v>
      </c>
    </row>
    <row r="7" spans="2:21">
      <c r="B7" s="19">
        <v>21.663350000000001</v>
      </c>
      <c r="C7" s="37">
        <f t="shared" ref="C7:C14" si="0">(D7/B7)</f>
        <v>1.0663170746906643</v>
      </c>
      <c r="D7" s="37">
        <v>23.1</v>
      </c>
      <c r="E7" t="s">
        <v>15</v>
      </c>
      <c r="N7" s="19">
        <f>(2*($R$7+N6)/5-N6)</f>
        <v>7.5853400000000004</v>
      </c>
      <c r="O7" s="37">
        <f>($S$7*Params!K9)</f>
        <v>1.724693734693332</v>
      </c>
      <c r="P7" s="37">
        <f>(O7*N7)</f>
        <v>13.08238837351872</v>
      </c>
      <c r="R7">
        <f>(B7-N6)</f>
        <v>20.583350000000003</v>
      </c>
      <c r="S7" s="37">
        <f>(T7/R7)</f>
        <v>1.0779335841833324</v>
      </c>
      <c r="T7" s="37">
        <f>(D7+0.844922*-N6)</f>
        <v>22.18748424</v>
      </c>
      <c r="U7" t="s">
        <v>15</v>
      </c>
    </row>
    <row r="8" spans="2:21">
      <c r="B8" s="19">
        <v>0.63003905000000004</v>
      </c>
      <c r="C8" s="37">
        <f t="shared" si="0"/>
        <v>0.79360160294826165</v>
      </c>
      <c r="D8" s="37">
        <v>0.5</v>
      </c>
      <c r="N8" s="19">
        <f>($B$7/5)</f>
        <v>4.3326700000000002</v>
      </c>
      <c r="O8" s="37">
        <f>($S$7*Params!K10)</f>
        <v>2.3714538852033313</v>
      </c>
      <c r="P8" s="37">
        <f>(O8*N8)</f>
        <v>10.274727104803919</v>
      </c>
      <c r="R8">
        <f>(N6-N6)</f>
        <v>0</v>
      </c>
      <c r="S8" s="37">
        <v>0</v>
      </c>
      <c r="T8" s="37">
        <f>(0.844922*N6-P6)</f>
        <v>-0.22148423999999989</v>
      </c>
      <c r="U8" t="s">
        <v>16</v>
      </c>
    </row>
    <row r="9" spans="2:21">
      <c r="B9" s="19">
        <v>-1.08</v>
      </c>
      <c r="C9" s="37">
        <f t="shared" si="0"/>
        <v>1.0499999999999998</v>
      </c>
      <c r="D9" s="37">
        <v>-1.1339999999999999</v>
      </c>
      <c r="N9" s="19">
        <f>($B$7/5)</f>
        <v>4.3326700000000002</v>
      </c>
      <c r="O9" s="37">
        <f>($C$7*Params!K11)</f>
        <v>4.2652682987626571</v>
      </c>
      <c r="P9" s="37">
        <f>(O9*N9)</f>
        <v>18.480000000000004</v>
      </c>
      <c r="R9">
        <f>(B8)</f>
        <v>0.63003905000000004</v>
      </c>
      <c r="S9" s="37">
        <f>(T9/R9)</f>
        <v>0.79360160294826165</v>
      </c>
      <c r="T9" s="37">
        <f>(D8)</f>
        <v>0.5</v>
      </c>
    </row>
    <row r="10" spans="2:21">
      <c r="B10" s="19">
        <v>-2.44</v>
      </c>
      <c r="C10" s="37">
        <f t="shared" si="0"/>
        <v>1.0837143524590165</v>
      </c>
      <c r="D10" s="37">
        <v>-2.6442630199999999</v>
      </c>
      <c r="O10" s="37"/>
      <c r="P10" s="37"/>
      <c r="R10">
        <f>(B12+B13)</f>
        <v>0.30232853999999998</v>
      </c>
      <c r="S10" s="37">
        <v>0</v>
      </c>
      <c r="T10" s="37">
        <f>(D12+D13)</f>
        <v>-0.22642343999999959</v>
      </c>
    </row>
    <row r="11" spans="2:21">
      <c r="B11" s="19">
        <v>-2.44</v>
      </c>
      <c r="C11" s="37">
        <f t="shared" si="0"/>
        <v>1.306959131147541</v>
      </c>
      <c r="D11" s="37">
        <v>-3.18898028</v>
      </c>
      <c r="O11" s="37"/>
      <c r="P11" s="37">
        <f>(SUM(P6:P9))</f>
        <v>42.971115478322645</v>
      </c>
      <c r="R11">
        <f>(B14+B11)</f>
        <v>0.27232876000000017</v>
      </c>
      <c r="S11" s="37">
        <v>0</v>
      </c>
      <c r="T11" s="37">
        <f>(D14+D11)</f>
        <v>-0.21898027999999981</v>
      </c>
    </row>
    <row r="12" spans="2:21">
      <c r="B12" s="19">
        <v>-2.72</v>
      </c>
      <c r="C12" s="37">
        <f t="shared" si="0"/>
        <v>1.4766262647058821</v>
      </c>
      <c r="D12" s="37">
        <v>-4.0164234399999996</v>
      </c>
      <c r="O12" s="37"/>
      <c r="P12" s="37"/>
      <c r="S12" s="37"/>
      <c r="T12" s="37"/>
    </row>
    <row r="13" spans="2:21">
      <c r="B13" s="19">
        <v>3.0223285400000002</v>
      </c>
      <c r="C13" s="37">
        <f t="shared" si="0"/>
        <v>1.2540000035866385</v>
      </c>
      <c r="D13" s="37">
        <v>3.79</v>
      </c>
      <c r="N13" t="s">
        <v>29</v>
      </c>
      <c r="O13" t="s">
        <v>1</v>
      </c>
      <c r="P13" t="s">
        <v>2</v>
      </c>
      <c r="S13" s="37"/>
      <c r="T13" s="37"/>
    </row>
    <row r="14" spans="2:21">
      <c r="B14" s="19">
        <v>2.7123287600000001</v>
      </c>
      <c r="C14" s="37">
        <f t="shared" si="0"/>
        <v>1.0950000028757576</v>
      </c>
      <c r="D14" s="37">
        <v>2.97</v>
      </c>
      <c r="M14" t="s">
        <v>11</v>
      </c>
      <c r="N14" s="19">
        <f>($B$5/5)</f>
        <v>2.44</v>
      </c>
      <c r="O14" s="37">
        <f>(C10)</f>
        <v>1.0837143524590165</v>
      </c>
      <c r="P14" s="37">
        <f>(O14*N14)</f>
        <v>2.6442630200000004</v>
      </c>
      <c r="Q14" t="s">
        <v>12</v>
      </c>
      <c r="S14" s="37"/>
      <c r="T14" s="37"/>
    </row>
    <row r="15" spans="2:21">
      <c r="B15" s="19"/>
      <c r="F15" t="s">
        <v>9</v>
      </c>
      <c r="G15" s="37">
        <f>(D16/B16)</f>
        <v>0.94096925108801666</v>
      </c>
      <c r="N15" s="19">
        <f>(($B$5+2*$R$11)/5)</f>
        <v>2.548931504</v>
      </c>
      <c r="O15" s="37">
        <f>($C$5*Params!K9)</f>
        <v>1.377049180327869</v>
      </c>
      <c r="P15" s="37">
        <f>(O15*N15)</f>
        <v>3.5100040382950826</v>
      </c>
      <c r="R15">
        <f>(SUM(R5:R12))</f>
        <v>31.750594640000006</v>
      </c>
      <c r="S15" s="37"/>
      <c r="T15" s="37">
        <f>(SUM(T5:T12))</f>
        <v>29.876333259999999</v>
      </c>
    </row>
    <row r="16" spans="2:21">
      <c r="B16" s="19">
        <f>(SUM(B5:B15))</f>
        <v>31.750594640000003</v>
      </c>
      <c r="D16" s="37">
        <f>(SUM(D5:D15))</f>
        <v>29.876333259999999</v>
      </c>
      <c r="N16" s="19">
        <f>(($B$5+$R$11)/5)</f>
        <v>2.494465752</v>
      </c>
      <c r="O16" s="37">
        <f>($C$5*Params!K10)</f>
        <v>1.8934426229508199</v>
      </c>
      <c r="P16" s="37">
        <f>(O16*N16)</f>
        <v>4.7231277763278694</v>
      </c>
    </row>
    <row r="17" spans="14:16">
      <c r="N17" s="19">
        <f>(($B$5+$R$11)/5)</f>
        <v>2.494465752</v>
      </c>
      <c r="O17" s="37">
        <f>($C$5*Params!K11)</f>
        <v>3.4426229508196724</v>
      </c>
      <c r="P17" s="37">
        <f>(O17*N17)</f>
        <v>8.5875050478688539</v>
      </c>
    </row>
    <row r="18" spans="14:16">
      <c r="O18" s="37"/>
      <c r="P18" s="37"/>
    </row>
    <row r="19" spans="14:16">
      <c r="O19" s="37"/>
      <c r="P19" s="37"/>
    </row>
    <row r="20" spans="14:16">
      <c r="O20" s="37"/>
      <c r="P20" s="37">
        <f>(SUM(P14:P17))</f>
        <v>19.464899882491807</v>
      </c>
    </row>
  </sheetData>
  <conditionalFormatting sqref="C5">
    <cfRule type="cellIs" dxfId="137" priority="17" operator="lessThan">
      <formula>$J$3</formula>
    </cfRule>
    <cfRule type="cellIs" dxfId="136" priority="18" operator="greaterThan">
      <formula>$J$3</formula>
    </cfRule>
  </conditionalFormatting>
  <conditionalFormatting sqref="C7:C8">
    <cfRule type="cellIs" dxfId="135" priority="15" operator="lessThan">
      <formula>$J$3</formula>
    </cfRule>
    <cfRule type="cellIs" dxfId="134" priority="16" operator="greaterThan">
      <formula>$J$3</formula>
    </cfRule>
  </conditionalFormatting>
  <conditionalFormatting sqref="C13:C14">
    <cfRule type="cellIs" dxfId="133" priority="13" operator="lessThan">
      <formula>$J$3</formula>
    </cfRule>
    <cfRule type="cellIs" dxfId="132" priority="14" operator="greaterThan">
      <formula>$J$3</formula>
    </cfRule>
  </conditionalFormatting>
  <conditionalFormatting sqref="O7:O9">
    <cfRule type="cellIs" dxfId="131" priority="11" operator="lessThan">
      <formula>$J$3</formula>
    </cfRule>
    <cfRule type="cellIs" dxfId="130" priority="12" operator="greaterThan">
      <formula>$J$3</formula>
    </cfRule>
  </conditionalFormatting>
  <conditionalFormatting sqref="O15:O17">
    <cfRule type="cellIs" dxfId="129" priority="9" operator="lessThan">
      <formula>$J$3</formula>
    </cfRule>
    <cfRule type="cellIs" dxfId="128" priority="10" operator="greaterThan">
      <formula>$J$3</formula>
    </cfRule>
  </conditionalFormatting>
  <conditionalFormatting sqref="O3">
    <cfRule type="cellIs" dxfId="127" priority="7" operator="greaterThan">
      <formula>$J$3</formula>
    </cfRule>
    <cfRule type="cellIs" dxfId="126" priority="8" operator="lessThan">
      <formula>$J$3</formula>
    </cfRule>
  </conditionalFormatting>
  <conditionalFormatting sqref="S5">
    <cfRule type="cellIs" dxfId="125" priority="5" operator="lessThan">
      <formula>$J$3</formula>
    </cfRule>
    <cfRule type="cellIs" dxfId="124" priority="6" operator="greaterThan">
      <formula>$J$3</formula>
    </cfRule>
  </conditionalFormatting>
  <conditionalFormatting sqref="S7">
    <cfRule type="cellIs" dxfId="123" priority="3" operator="lessThan">
      <formula>$J$3</formula>
    </cfRule>
    <cfRule type="cellIs" dxfId="122" priority="4" operator="greaterThan">
      <formula>$J$3</formula>
    </cfRule>
  </conditionalFormatting>
  <conditionalFormatting sqref="S9">
    <cfRule type="cellIs" dxfId="121" priority="1" operator="lessThan">
      <formula>$J$3</formula>
    </cfRule>
    <cfRule type="cellIs" dxfId="120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7">
        <v>0.6747824025403556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(B10*J3)</f>
        <v>35.636965870886783</v>
      </c>
      <c r="K4" s="4">
        <f>(J4/D10-1)</f>
        <v>-9.9849308641404844E-2</v>
      </c>
    </row>
    <row r="5" spans="2:16">
      <c r="B5" s="29">
        <v>52.247700000000002</v>
      </c>
      <c r="C5" s="37">
        <f>(D5/B5)</f>
        <v>0.7577367041994193</v>
      </c>
      <c r="D5" s="37">
        <v>39.590000000000003</v>
      </c>
      <c r="E5" t="s">
        <v>80</v>
      </c>
      <c r="M5" t="s">
        <v>80</v>
      </c>
      <c r="N5" t="s">
        <v>29</v>
      </c>
      <c r="O5" t="s">
        <v>1</v>
      </c>
      <c r="P5" t="s">
        <v>2</v>
      </c>
    </row>
    <row r="6" spans="2:16">
      <c r="B6" s="36">
        <v>0.56432322000000001</v>
      </c>
      <c r="C6" s="39">
        <v>0</v>
      </c>
      <c r="D6" s="26">
        <f>(B6*C6)</f>
        <v>0</v>
      </c>
      <c r="E6" s="37">
        <f>(B6*J3)</f>
        <v>0.38079537820090964</v>
      </c>
      <c r="M6" t="s">
        <v>11</v>
      </c>
      <c r="N6" s="29">
        <f>($B$10/5)</f>
        <v>10.562505998000001</v>
      </c>
      <c r="O6" s="37">
        <f>($C$5*Params!K8)</f>
        <v>0.98505771545924514</v>
      </c>
      <c r="P6" s="37">
        <f>(O6*N6)</f>
        <v>10.404678027914455</v>
      </c>
    </row>
    <row r="7" spans="2:16">
      <c r="B7" s="36">
        <v>5.0677000000000003E-4</v>
      </c>
      <c r="C7" s="39">
        <v>0</v>
      </c>
      <c r="D7" s="26">
        <f>(B7*C7)</f>
        <v>0</v>
      </c>
      <c r="E7" s="37">
        <f>(B7*J4)</f>
        <v>1.8059745194389295E-2</v>
      </c>
      <c r="N7" s="29">
        <f>($B$10/5)</f>
        <v>10.562505998000001</v>
      </c>
      <c r="O7" s="37">
        <f>($C$5*Params!K9)</f>
        <v>1.2123787267190709</v>
      </c>
      <c r="P7" s="37">
        <f>(O7*N7)</f>
        <v>12.805757572817789</v>
      </c>
    </row>
    <row r="8" spans="2:16">
      <c r="N8" s="29">
        <f>($B$10/5)</f>
        <v>10.562505998000001</v>
      </c>
      <c r="O8" s="37">
        <f>($C$5*Params!K10)</f>
        <v>1.6670207492387226</v>
      </c>
      <c r="P8" s="37">
        <f>(O8*N8)</f>
        <v>17.607916662624461</v>
      </c>
    </row>
    <row r="9" spans="2:16">
      <c r="F9" t="s">
        <v>9</v>
      </c>
      <c r="G9" s="37">
        <f>(D10/B10)</f>
        <v>0.74963271040975177</v>
      </c>
      <c r="N9" s="29">
        <f>($B$10/5)</f>
        <v>10.562505998000001</v>
      </c>
      <c r="O9" s="37">
        <f>($C$5*Params!K11)</f>
        <v>3.0309468167976772</v>
      </c>
      <c r="P9" s="37">
        <f>(O9*N9)</f>
        <v>32.014393932044477</v>
      </c>
    </row>
    <row r="10" spans="2:16">
      <c r="B10">
        <f>(SUM(B5:B9))</f>
        <v>52.812529990000002</v>
      </c>
      <c r="D10" s="37">
        <f>(SUM(D5:D9))</f>
        <v>39.590000000000003</v>
      </c>
    </row>
    <row r="11" spans="2:16">
      <c r="P11" s="37">
        <f>(SUM(P6:P9))</f>
        <v>72.832746195401185</v>
      </c>
    </row>
  </sheetData>
  <conditionalFormatting sqref="C5">
    <cfRule type="cellIs" dxfId="119" priority="5" operator="lessThan">
      <formula>$J$3</formula>
    </cfRule>
    <cfRule type="cellIs" dxfId="118" priority="6" operator="greaterThan">
      <formula>$J$3</formula>
    </cfRule>
  </conditionalFormatting>
  <conditionalFormatting sqref="O6:O9">
    <cfRule type="cellIs" dxfId="117" priority="3" operator="lessThan">
      <formula>$J$3</formula>
    </cfRule>
    <cfRule type="cellIs" dxfId="116" priority="4" operator="greaterThan">
      <formula>$J$3</formula>
    </cfRule>
  </conditionalFormatting>
  <conditionalFormatting sqref="G9">
    <cfRule type="cellIs" dxfId="115" priority="1" operator="lessThan">
      <formula>$J$3</formula>
    </cfRule>
    <cfRule type="cellIs" dxfId="114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2:U20"/>
  <sheetViews>
    <sheetView workbookViewId="0">
      <selection activeCell="B7" sqref="B7:D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7">
        <v>1.9163782022397731</v>
      </c>
      <c r="M3" t="s">
        <v>4</v>
      </c>
      <c r="N3" s="1">
        <f>(INDEX(N6:N35,MATCH(MAX(O6,O14),O6:O35,0))/0.9)</f>
        <v>0.39777777777777773</v>
      </c>
      <c r="O3" s="38">
        <f>(MAX(O14,O6)*0.85)</f>
        <v>1.7866894072784827</v>
      </c>
      <c r="P3" s="37">
        <f>(O3*N3)</f>
        <v>0.71070534200632973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7">
        <f>(B17*J3)</f>
        <v>22.108664990146927</v>
      </c>
      <c r="K4" s="4">
        <f>(J4/D17-1)</f>
        <v>2.4055163222747256E-2</v>
      </c>
      <c r="O4" s="37"/>
      <c r="P4" s="37"/>
      <c r="R4" t="s">
        <v>5</v>
      </c>
      <c r="S4" t="s">
        <v>6</v>
      </c>
      <c r="T4" t="s">
        <v>7</v>
      </c>
    </row>
    <row r="5" spans="2:21">
      <c r="B5" s="1">
        <v>1.79</v>
      </c>
      <c r="C5" s="37">
        <f>(D5/B5)</f>
        <v>1.6759776536312849</v>
      </c>
      <c r="D5" s="37">
        <v>3</v>
      </c>
      <c r="E5" t="s">
        <v>81</v>
      </c>
      <c r="M5" t="s">
        <v>81</v>
      </c>
      <c r="N5" t="s">
        <v>29</v>
      </c>
      <c r="O5" t="s">
        <v>1</v>
      </c>
      <c r="P5" t="s">
        <v>2</v>
      </c>
      <c r="R5" s="1">
        <f>(B5+B15)</f>
        <v>1.425103926096998</v>
      </c>
      <c r="S5" s="37">
        <f>(T5/R5)</f>
        <v>1.5668983567504493</v>
      </c>
      <c r="T5" s="37">
        <f>(D5+D15)</f>
        <v>2.232993</v>
      </c>
    </row>
    <row r="6" spans="2:21">
      <c r="B6" s="1">
        <v>10.53471</v>
      </c>
      <c r="C6" s="37">
        <f>(D6/B6)</f>
        <v>1.9649330641280109</v>
      </c>
      <c r="D6" s="37">
        <v>20.7</v>
      </c>
      <c r="E6" t="s">
        <v>15</v>
      </c>
      <c r="M6" t="s">
        <v>11</v>
      </c>
      <c r="N6" s="1">
        <f>(($B$5+$R$11)/5)</f>
        <v>0.35799999999999998</v>
      </c>
      <c r="O6" s="37">
        <f>(C15)</f>
        <v>2.1019875379746855</v>
      </c>
      <c r="P6" s="37">
        <f>(O6*N6)</f>
        <v>0.75251153859493736</v>
      </c>
      <c r="Q6" t="s">
        <v>12</v>
      </c>
      <c r="R6" s="1">
        <f>(B6+B8)</f>
        <v>9.9347100000000008</v>
      </c>
      <c r="S6" s="37">
        <f>(T6/R6)</f>
        <v>1.9930123778147524</v>
      </c>
      <c r="T6" s="37">
        <f>(D6+B8*1.5)</f>
        <v>19.8</v>
      </c>
      <c r="U6" s="37" t="str">
        <f>(E6)</f>
        <v>DCA2</v>
      </c>
    </row>
    <row r="7" spans="2:21">
      <c r="B7" s="36">
        <v>4.2223629999999998E-2</v>
      </c>
      <c r="C7" s="39">
        <v>0</v>
      </c>
      <c r="D7" s="26">
        <v>0</v>
      </c>
      <c r="E7" s="38">
        <f>B7*J3</f>
        <v>8.0916444151437339E-2</v>
      </c>
      <c r="N7" s="1">
        <f>(($B$5+2*$R$10)/5)</f>
        <v>0.38476605190142121</v>
      </c>
      <c r="O7" s="37">
        <f>($C$5*Params!K9)</f>
        <v>2.6815642458100561</v>
      </c>
      <c r="P7" s="37">
        <f>(O7*N7)</f>
        <v>1.0317748877803474</v>
      </c>
      <c r="R7" s="1">
        <f>(B7)</f>
        <v>4.2223629999999998E-2</v>
      </c>
      <c r="S7" s="37">
        <v>0</v>
      </c>
      <c r="T7" s="37">
        <f>(D7)</f>
        <v>0</v>
      </c>
    </row>
    <row r="8" spans="2:21">
      <c r="B8" s="1">
        <v>-0.6</v>
      </c>
      <c r="C8" s="37">
        <f t="shared" ref="C8:C15" si="0">(D8/B8)</f>
        <v>1.9313681166666667</v>
      </c>
      <c r="D8" s="37">
        <v>-1.15882087</v>
      </c>
      <c r="E8" t="s">
        <v>16</v>
      </c>
      <c r="N8" s="1">
        <f>(($B$5+$R$10)/5)</f>
        <v>0.3713830259507106</v>
      </c>
      <c r="O8" s="37">
        <f>($C$5*Params!K10)</f>
        <v>3.6871508379888271</v>
      </c>
      <c r="P8" s="37">
        <f>(O8*N8)</f>
        <v>1.369345235348989</v>
      </c>
      <c r="R8" s="1">
        <f>(B8-B8)</f>
        <v>0</v>
      </c>
      <c r="S8" s="37">
        <v>0</v>
      </c>
      <c r="T8" s="37">
        <f>(1.5*-B8+D8)</f>
        <v>-0.25882087000000009</v>
      </c>
      <c r="U8" t="s">
        <v>16</v>
      </c>
    </row>
    <row r="9" spans="2:21">
      <c r="B9" s="1">
        <v>-0.35799999999999998</v>
      </c>
      <c r="C9" s="37">
        <f t="shared" si="0"/>
        <v>2.1201117318435756</v>
      </c>
      <c r="D9" s="37">
        <f>(-0.764+0.005)</f>
        <v>-0.75900000000000001</v>
      </c>
      <c r="N9" s="1">
        <f>(($B$5+$R$10)/5)</f>
        <v>0.3713830259507106</v>
      </c>
      <c r="O9" s="37">
        <f>($C$5*Params!K11)</f>
        <v>6.7039106145251397</v>
      </c>
      <c r="P9" s="37">
        <f>(O9*N9)</f>
        <v>2.489718609725434</v>
      </c>
      <c r="R9" s="1">
        <f>(B10+B13)</f>
        <v>6.7739270000000018E-2</v>
      </c>
      <c r="S9" s="37">
        <v>0</v>
      </c>
      <c r="T9" s="37">
        <f>(D10+D13)</f>
        <v>-7.6000000000000068E-2</v>
      </c>
    </row>
    <row r="10" spans="2:21">
      <c r="B10" s="1">
        <v>-0.6</v>
      </c>
      <c r="C10" s="37">
        <f t="shared" si="0"/>
        <v>2.2549999999999999</v>
      </c>
      <c r="D10" s="37">
        <v>-1.353</v>
      </c>
      <c r="N10" s="1"/>
      <c r="O10" s="37"/>
      <c r="P10" s="37"/>
      <c r="R10" s="1">
        <f>(B12+B11+B9+B14)</f>
        <v>6.6915129753553015E-2</v>
      </c>
      <c r="S10" s="37">
        <v>0</v>
      </c>
      <c r="T10" s="37">
        <f>(D12+D11+D9+D14)</f>
        <v>-0.10884199999999999</v>
      </c>
    </row>
    <row r="11" spans="2:21">
      <c r="B11" s="1">
        <v>-0.35742035742035699</v>
      </c>
      <c r="C11" s="37">
        <f t="shared" si="0"/>
        <v>2.5063737456521769</v>
      </c>
      <c r="D11" s="37">
        <v>-0.89582899999999999</v>
      </c>
      <c r="N11" s="1"/>
      <c r="O11" s="37"/>
      <c r="P11" s="37">
        <f>(SUM(P6:P9))</f>
        <v>5.643350271449707</v>
      </c>
      <c r="S11" s="37"/>
      <c r="T11" s="37"/>
    </row>
    <row r="12" spans="2:21">
      <c r="B12" s="1">
        <v>0.38853337131153298</v>
      </c>
      <c r="C12" s="37">
        <f t="shared" si="0"/>
        <v>2.1872767251145362</v>
      </c>
      <c r="D12" s="37">
        <v>0.84982999999999997</v>
      </c>
      <c r="N12" s="1"/>
      <c r="O12" s="37"/>
      <c r="P12" s="37"/>
      <c r="S12" s="37"/>
      <c r="T12" s="37"/>
    </row>
    <row r="13" spans="2:21">
      <c r="B13" s="1">
        <v>0.66773927</v>
      </c>
      <c r="C13" s="37">
        <f t="shared" si="0"/>
        <v>1.9124230929236794</v>
      </c>
      <c r="D13" s="37">
        <v>1.2769999999999999</v>
      </c>
      <c r="M13" t="s">
        <v>15</v>
      </c>
      <c r="N13" t="s">
        <v>29</v>
      </c>
      <c r="O13" t="s">
        <v>1</v>
      </c>
      <c r="P13" t="s">
        <v>2</v>
      </c>
      <c r="S13" s="37"/>
      <c r="T13" s="37"/>
    </row>
    <row r="14" spans="2:21">
      <c r="B14" s="1">
        <v>0.39380211586237701</v>
      </c>
      <c r="C14" s="37">
        <f t="shared" si="0"/>
        <v>1.7677837978993687</v>
      </c>
      <c r="D14" s="37">
        <v>0.69615700000000003</v>
      </c>
      <c r="M14" t="s">
        <v>11</v>
      </c>
      <c r="N14" s="1">
        <f>(-B8)</f>
        <v>0.6</v>
      </c>
      <c r="O14" s="37">
        <f>(C8)</f>
        <v>1.9313681166666667</v>
      </c>
      <c r="P14" s="37">
        <f>(-D8)</f>
        <v>1.15882087</v>
      </c>
      <c r="Q14" t="s">
        <v>12</v>
      </c>
      <c r="S14" s="37"/>
      <c r="T14" s="37"/>
    </row>
    <row r="15" spans="2:21">
      <c r="B15" s="1">
        <v>-0.36489607390300199</v>
      </c>
      <c r="C15" s="37">
        <f t="shared" si="0"/>
        <v>2.1019875379746855</v>
      </c>
      <c r="D15" s="37">
        <v>-0.76700699999999999</v>
      </c>
      <c r="N15" s="1">
        <f>(2*($R$6+N14+2*$R$9)/5-N14)</f>
        <v>3.6680754160000002</v>
      </c>
      <c r="O15" s="37">
        <f>($C$6*Params!K9)</f>
        <v>3.1438929026048177</v>
      </c>
      <c r="P15" s="37">
        <f>(O15*N15)</f>
        <v>11.532036266581615</v>
      </c>
      <c r="S15" s="37"/>
      <c r="T15" s="37"/>
    </row>
    <row r="16" spans="2:21">
      <c r="C16" s="37"/>
      <c r="D16" s="37"/>
      <c r="F16" t="s">
        <v>9</v>
      </c>
      <c r="G16">
        <f>(D17/B17)</f>
        <v>1.8713622772125333</v>
      </c>
      <c r="N16" s="1">
        <f>(($B$6+$R$9)/5)</f>
        <v>2.1204898540000001</v>
      </c>
      <c r="O16" s="37">
        <f>($C$6*Params!K10)</f>
        <v>4.3228527410816247</v>
      </c>
      <c r="P16" s="37">
        <f>(O16*N16)</f>
        <v>9.1665653777996745</v>
      </c>
      <c r="S16" s="37"/>
      <c r="T16" s="37"/>
    </row>
    <row r="17" spans="2:20">
      <c r="B17" s="1">
        <f>(SUM(B5:B16))</f>
        <v>11.53669195585055</v>
      </c>
      <c r="C17" s="37"/>
      <c r="D17" s="37">
        <f>(SUM(D5:D16))</f>
        <v>21.58933013</v>
      </c>
      <c r="N17" s="1">
        <f>(($B$6+$R$9)/5)</f>
        <v>2.1204898540000001</v>
      </c>
      <c r="O17" s="37">
        <f>($C$6*Params!K11)</f>
        <v>7.8597322565120438</v>
      </c>
      <c r="P17" s="37">
        <f>(O17*N17)</f>
        <v>16.666482505090315</v>
      </c>
      <c r="S17" s="37"/>
      <c r="T17" s="37"/>
    </row>
    <row r="18" spans="2:20">
      <c r="O18" s="37"/>
      <c r="P18" s="37"/>
      <c r="S18" s="37"/>
      <c r="T18" s="37"/>
    </row>
    <row r="19" spans="2:20">
      <c r="O19" s="37"/>
      <c r="P19" s="37">
        <f>(SUM(P14:P17))</f>
        <v>38.523905019471606</v>
      </c>
      <c r="S19" s="37"/>
      <c r="T19" s="37"/>
    </row>
    <row r="20" spans="2:20">
      <c r="R20" s="1">
        <f>(SUM(R5:R19))</f>
        <v>11.536691955850554</v>
      </c>
      <c r="S20" s="37"/>
      <c r="T20" s="37">
        <f>(SUM(T5:T19))</f>
        <v>21.58933013</v>
      </c>
    </row>
  </sheetData>
  <conditionalFormatting sqref="C5:C6">
    <cfRule type="cellIs" dxfId="113" priority="11" operator="lessThan">
      <formula>$J$3</formula>
    </cfRule>
    <cfRule type="cellIs" dxfId="112" priority="12" operator="greaterThan">
      <formula>$J$3</formula>
    </cfRule>
  </conditionalFormatting>
  <conditionalFormatting sqref="C12:C14">
    <cfRule type="cellIs" dxfId="111" priority="9" operator="lessThan">
      <formula>$J$3</formula>
    </cfRule>
    <cfRule type="cellIs" dxfId="110" priority="10" operator="greaterThan">
      <formula>$J$3</formula>
    </cfRule>
  </conditionalFormatting>
  <conditionalFormatting sqref="O7:O9">
    <cfRule type="cellIs" dxfId="109" priority="7" operator="lessThan">
      <formula>$J$3</formula>
    </cfRule>
    <cfRule type="cellIs" dxfId="108" priority="8" operator="greaterThan">
      <formula>$J$3</formula>
    </cfRule>
  </conditionalFormatting>
  <conditionalFormatting sqref="O15:O17">
    <cfRule type="cellIs" dxfId="107" priority="5" operator="lessThan">
      <formula>$J$3</formula>
    </cfRule>
    <cfRule type="cellIs" dxfId="106" priority="6" operator="greaterThan">
      <formula>$J$3</formula>
    </cfRule>
  </conditionalFormatting>
  <conditionalFormatting sqref="O3">
    <cfRule type="cellIs" dxfId="105" priority="3" operator="greaterThan">
      <formula>$J$3</formula>
    </cfRule>
    <cfRule type="cellIs" dxfId="104" priority="4" operator="lessThan">
      <formula>$J$3</formula>
    </cfRule>
  </conditionalFormatting>
  <conditionalFormatting sqref="S5:S6">
    <cfRule type="cellIs" dxfId="103" priority="1" operator="lessThan">
      <formula>$J$3</formula>
    </cfRule>
    <cfRule type="cellIs" dxfId="102" priority="2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13"/>
  <sheetViews>
    <sheetView tabSelected="1" workbookViewId="0">
      <selection activeCell="J4" sqref="J4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48">
        <v>1.025439753528522E-5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(B13*J3)</f>
        <v>4.5085956735121062</v>
      </c>
      <c r="K4" s="4">
        <f>(J4/D13-1)</f>
        <v>-0.10365891182661913</v>
      </c>
    </row>
    <row r="5" spans="2:16">
      <c r="B5" s="22">
        <v>439531.68</v>
      </c>
      <c r="C5" s="48">
        <f>(D5/B5)</f>
        <v>1.1443998757950737E-5</v>
      </c>
      <c r="D5" s="37">
        <v>5.03</v>
      </c>
      <c r="E5" s="37"/>
      <c r="F5" s="37"/>
      <c r="G5" s="37"/>
      <c r="N5" t="s">
        <v>29</v>
      </c>
      <c r="O5" t="s">
        <v>1</v>
      </c>
      <c r="P5" t="s">
        <v>2</v>
      </c>
    </row>
    <row r="6" spans="2:16">
      <c r="B6" s="36">
        <v>142.68</v>
      </c>
      <c r="C6" s="39">
        <v>0</v>
      </c>
      <c r="D6" s="26">
        <f>(B6*C6)</f>
        <v>0</v>
      </c>
      <c r="E6" s="37">
        <f>(B6*J3)</f>
        <v>1.4630974403344952E-3</v>
      </c>
      <c r="F6" s="37"/>
      <c r="G6" s="37"/>
      <c r="M6" t="s">
        <v>11</v>
      </c>
      <c r="N6" s="22">
        <f>($B$5/5)</f>
        <v>87906.335999999996</v>
      </c>
      <c r="O6" s="48">
        <f>($C$5*Params!K8)</f>
        <v>1.4877198385335959E-5</v>
      </c>
      <c r="P6" s="37">
        <f>(O6*N6)</f>
        <v>1.3078000000000003</v>
      </c>
    </row>
    <row r="7" spans="2:16">
      <c r="C7" s="37"/>
      <c r="D7" s="37"/>
      <c r="E7" s="37"/>
      <c r="F7" s="37"/>
      <c r="G7" s="37"/>
      <c r="N7" s="22">
        <f>($B$5/5)</f>
        <v>87906.335999999996</v>
      </c>
      <c r="O7" s="48">
        <f>($C$5*Params!K9)</f>
        <v>1.8310398012721179E-5</v>
      </c>
      <c r="P7" s="37">
        <f>(O7*N7)</f>
        <v>1.6096000000000001</v>
      </c>
    </row>
    <row r="8" spans="2:16">
      <c r="C8" s="37"/>
      <c r="D8" s="37"/>
      <c r="E8" s="37"/>
      <c r="F8" s="37"/>
      <c r="G8" s="37"/>
      <c r="N8" s="22">
        <f>($B$5/5)</f>
        <v>87906.335999999996</v>
      </c>
      <c r="O8" s="48">
        <f>($C$5*Params!K10)</f>
        <v>2.5176797267491623E-5</v>
      </c>
      <c r="P8" s="37">
        <f>(O8*N8)</f>
        <v>2.2132000000000005</v>
      </c>
    </row>
    <row r="9" spans="2:16">
      <c r="C9" s="37"/>
      <c r="D9" s="37"/>
      <c r="E9" s="37"/>
      <c r="F9" s="37"/>
      <c r="G9" s="37"/>
      <c r="N9" s="22">
        <f>($B$5/5)</f>
        <v>87906.335999999996</v>
      </c>
      <c r="O9" s="48">
        <f>($C$5*Params!K11)</f>
        <v>4.5775995031802946E-5</v>
      </c>
      <c r="P9" s="37">
        <f>(O9*N9)</f>
        <v>4.024</v>
      </c>
    </row>
    <row r="10" spans="2:16">
      <c r="C10" s="37"/>
      <c r="D10" s="37"/>
      <c r="E10" s="37"/>
      <c r="F10" s="37"/>
      <c r="G10" s="37"/>
      <c r="O10" s="37"/>
      <c r="P10" s="37"/>
    </row>
    <row r="11" spans="2:16">
      <c r="C11" s="37"/>
      <c r="D11" s="37"/>
      <c r="E11" s="37"/>
      <c r="F11" s="37"/>
      <c r="G11" s="37"/>
      <c r="O11" s="37"/>
      <c r="P11" s="37">
        <f>(SUM(P6:P9))</f>
        <v>9.1546000000000021</v>
      </c>
    </row>
    <row r="12" spans="2:16">
      <c r="C12" s="37"/>
      <c r="D12" s="37"/>
      <c r="E12" s="37"/>
      <c r="F12" s="37" t="s">
        <v>9</v>
      </c>
      <c r="G12" s="37">
        <f>(D13/B13)</f>
        <v>1.1440285032768344E-5</v>
      </c>
    </row>
    <row r="13" spans="2:16">
      <c r="B13">
        <f>(SUM(B5:B12))</f>
        <v>439674.36</v>
      </c>
      <c r="C13" s="37"/>
      <c r="D13" s="37">
        <f>(SUM(D5:D12))</f>
        <v>5.03</v>
      </c>
      <c r="E13" s="37"/>
      <c r="F13" s="37"/>
      <c r="G13" s="37"/>
    </row>
  </sheetData>
  <conditionalFormatting sqref="C5">
    <cfRule type="cellIs" dxfId="101" priority="5" operator="lessThan">
      <formula>$J$3</formula>
    </cfRule>
    <cfRule type="cellIs" dxfId="100" priority="6" operator="greaterThan">
      <formula>$J$3</formula>
    </cfRule>
  </conditionalFormatting>
  <conditionalFormatting sqref="J3">
    <cfRule type="cellIs" dxfId="99" priority="3" operator="lessThan">
      <formula>$J$3</formula>
    </cfRule>
    <cfRule type="cellIs" dxfId="98" priority="4" operator="greaterThan">
      <formula>$J$3</formula>
    </cfRule>
  </conditionalFormatting>
  <conditionalFormatting sqref="O6:O9">
    <cfRule type="cellIs" dxfId="97" priority="1" operator="lessThan">
      <formula>$J$3</formula>
    </cfRule>
    <cfRule type="cellIs" dxfId="96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U33"/>
  <sheetViews>
    <sheetView workbookViewId="0">
      <selection activeCell="O7" sqref="O7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7">
        <v>22.421187270307801</v>
      </c>
      <c r="M3" t="s">
        <v>4</v>
      </c>
      <c r="N3" s="24">
        <f>(INDEX(N5:N26,MATCH(MAX(O6:O7,O23,O14:O15),O5:O26,0))/0.9)</f>
        <v>0.11333333333333333</v>
      </c>
      <c r="O3" s="38">
        <f>(MAX(O14:O15,O23,O6:O7)*0.85)</f>
        <v>18.797183333333333</v>
      </c>
      <c r="P3" s="37">
        <f>(O3*N3)</f>
        <v>2.1303474444444443</v>
      </c>
    </row>
    <row r="4" spans="2:20">
      <c r="B4" t="s">
        <v>5</v>
      </c>
      <c r="C4" t="s">
        <v>6</v>
      </c>
      <c r="D4" t="s">
        <v>7</v>
      </c>
      <c r="E4" t="s">
        <v>35</v>
      </c>
      <c r="I4" t="s">
        <v>8</v>
      </c>
      <c r="J4" s="37">
        <f>(B31*J3)</f>
        <v>105.55415469592067</v>
      </c>
      <c r="K4" s="4">
        <f>(J4/D31-1)</f>
        <v>-0.21282225035152569</v>
      </c>
      <c r="O4" s="37"/>
      <c r="P4" s="37"/>
      <c r="R4" t="s">
        <v>5</v>
      </c>
      <c r="S4" t="s">
        <v>6</v>
      </c>
      <c r="T4" t="s">
        <v>7</v>
      </c>
    </row>
    <row r="5" spans="2:20">
      <c r="B5" s="24">
        <f>(0.108955+8*0.0233458)</f>
        <v>0.29572140000000002</v>
      </c>
      <c r="C5" s="37">
        <v>196</v>
      </c>
      <c r="D5" s="37">
        <f>(B5*C5)</f>
        <v>57.961394400000003</v>
      </c>
      <c r="E5" s="37"/>
      <c r="N5" t="s">
        <v>29</v>
      </c>
      <c r="O5" t="s">
        <v>1</v>
      </c>
      <c r="P5" t="s">
        <v>2</v>
      </c>
      <c r="R5" s="24">
        <f>(B5)</f>
        <v>0.29572140000000002</v>
      </c>
      <c r="S5" s="37">
        <f>(C5)</f>
        <v>196</v>
      </c>
      <c r="T5" s="37">
        <f>(R5*S5)</f>
        <v>57.961394400000003</v>
      </c>
    </row>
    <row r="6" spans="2:20">
      <c r="B6" s="24">
        <f>(-0.00801)</f>
        <v>-8.0099999999999998E-3</v>
      </c>
      <c r="C6" s="37">
        <f t="shared" ref="C6:C11" si="0">(D6/B6)</f>
        <v>37.551186017478159</v>
      </c>
      <c r="D6" s="37">
        <v>-0.30078500000000002</v>
      </c>
      <c r="E6" s="37"/>
      <c r="M6" t="s">
        <v>11</v>
      </c>
      <c r="N6" s="24">
        <f>($B$16/5)</f>
        <v>9.8105999999999999E-2</v>
      </c>
      <c r="O6" s="37">
        <f>(C23)</f>
        <v>16.233513403322799</v>
      </c>
      <c r="P6" s="37">
        <f>(O6*N6)</f>
        <v>1.5926050659463866</v>
      </c>
      <c r="Q6" t="s">
        <v>12</v>
      </c>
      <c r="R6" s="24">
        <f>(B6+B7+B8+B9)</f>
        <v>1.406590000000001E-3</v>
      </c>
      <c r="S6" s="37">
        <v>0</v>
      </c>
      <c r="T6" s="37">
        <f>(D6+D7+D8+D9)</f>
        <v>-3.0785000000000007E-2</v>
      </c>
    </row>
    <row r="7" spans="2:20">
      <c r="B7" s="24">
        <v>-7.3249999999999999E-3</v>
      </c>
      <c r="C7" s="37">
        <f t="shared" si="0"/>
        <v>40.955631399317404</v>
      </c>
      <c r="D7" s="37">
        <v>-0.3</v>
      </c>
      <c r="E7" s="37"/>
      <c r="N7" s="24">
        <f>(-B29)</f>
        <v>0.10199999999999999</v>
      </c>
      <c r="O7" s="37">
        <f>(C29)</f>
        <v>22.114333333333335</v>
      </c>
      <c r="P7" s="37">
        <f>(O7*N7)</f>
        <v>2.2556620000000001</v>
      </c>
      <c r="Q7" t="s">
        <v>12</v>
      </c>
      <c r="R7" s="24">
        <f>(B10+B11)</f>
        <v>1.6940399999999939E-3</v>
      </c>
      <c r="S7" s="37">
        <v>0</v>
      </c>
      <c r="T7" s="37">
        <f>(D10+D11)</f>
        <v>-0.22120000000000006</v>
      </c>
    </row>
    <row r="8" spans="2:20">
      <c r="B8" s="24">
        <f>(0.00803628-0.0000683)</f>
        <v>7.9679799999999995E-3</v>
      </c>
      <c r="C8" s="37">
        <f t="shared" si="0"/>
        <v>36.395673683919888</v>
      </c>
      <c r="D8" s="37">
        <v>0.28999999999999998</v>
      </c>
      <c r="E8" s="37"/>
      <c r="N8" s="24">
        <f>(($B$16+$R$21)/5)</f>
        <v>0.10044111600000001</v>
      </c>
      <c r="O8" s="37">
        <f>($C$16*Params!K10)</f>
        <v>28.255152590055655</v>
      </c>
      <c r="P8" s="37">
        <f>(O8*N8)</f>
        <v>2.8379790588954807</v>
      </c>
      <c r="R8" s="24">
        <f>(B12)</f>
        <v>2.0999999999999999E-3</v>
      </c>
      <c r="S8" s="37">
        <v>0</v>
      </c>
      <c r="T8" s="37">
        <f>(R8*S8)</f>
        <v>0</v>
      </c>
    </row>
    <row r="9" spans="2:20">
      <c r="B9" s="24">
        <f>(0.00884882-0.00007521)</f>
        <v>8.7736100000000011E-3</v>
      </c>
      <c r="C9" s="37">
        <f t="shared" si="0"/>
        <v>31.913887214043022</v>
      </c>
      <c r="D9" s="37">
        <v>0.28000000000000003</v>
      </c>
      <c r="E9" s="37"/>
      <c r="N9" s="24">
        <f>(($B$16+$R$21)/5)</f>
        <v>0.10044111600000001</v>
      </c>
      <c r="O9" s="37">
        <f>($C$16*Params!K11)</f>
        <v>51.373004709192095</v>
      </c>
      <c r="P9" s="37">
        <f>(O9*N9)</f>
        <v>5.1599619252645104</v>
      </c>
      <c r="R9" s="24">
        <f>(B13)</f>
        <v>4.078E-3</v>
      </c>
      <c r="S9" s="37">
        <f>(T9/R9)</f>
        <v>0</v>
      </c>
      <c r="T9" s="37">
        <v>0</v>
      </c>
    </row>
    <row r="10" spans="2:20">
      <c r="B10" s="24">
        <v>0.10169404</v>
      </c>
      <c r="C10" s="37">
        <f t="shared" si="0"/>
        <v>35.006967959970908</v>
      </c>
      <c r="D10" s="37">
        <v>3.56</v>
      </c>
      <c r="E10" s="37"/>
      <c r="O10" s="37"/>
      <c r="P10" s="37"/>
      <c r="R10" s="24">
        <f>(B14)</f>
        <v>6.1610130000000485E-3</v>
      </c>
      <c r="S10" s="37">
        <f>(C14)</f>
        <v>0</v>
      </c>
      <c r="T10" s="37">
        <f>(D14)</f>
        <v>0</v>
      </c>
    </row>
    <row r="11" spans="2:20">
      <c r="B11" s="24">
        <v>-0.1</v>
      </c>
      <c r="C11" s="37">
        <f t="shared" si="0"/>
        <v>37.811999999999998</v>
      </c>
      <c r="D11" s="37">
        <v>-3.7812000000000001</v>
      </c>
      <c r="E11" s="37"/>
      <c r="O11" s="37"/>
      <c r="P11" s="37">
        <f>(SUM(P6:P9))</f>
        <v>11.846208050106377</v>
      </c>
      <c r="R11" s="24">
        <f>(B15)</f>
        <v>5.2777800000000652E-4</v>
      </c>
      <c r="S11" s="37">
        <f>(C15)</f>
        <v>0</v>
      </c>
      <c r="T11" s="37">
        <f>(D15)</f>
        <v>0</v>
      </c>
    </row>
    <row r="12" spans="2:20">
      <c r="B12" s="24">
        <v>2.0999999999999999E-3</v>
      </c>
      <c r="C12" s="37">
        <v>0</v>
      </c>
      <c r="D12" s="37">
        <v>0</v>
      </c>
      <c r="E12" s="37">
        <f>(B12*$J$3)</f>
        <v>4.7084493267646375E-2</v>
      </c>
      <c r="O12" s="37"/>
      <c r="P12" s="37"/>
      <c r="R12" s="24">
        <f>(B16+B23+B29)</f>
        <v>0.29042000000000001</v>
      </c>
      <c r="S12" s="37">
        <f>(T12/R12)</f>
        <v>8.4418015288203279</v>
      </c>
      <c r="T12" s="37">
        <f>(D16+D23+D29)</f>
        <v>2.4516679999999997</v>
      </c>
    </row>
    <row r="13" spans="2:20">
      <c r="B13" s="24">
        <f>(0.002039*2)</f>
        <v>4.078E-3</v>
      </c>
      <c r="C13" s="37">
        <v>0</v>
      </c>
      <c r="D13" s="37">
        <f>(C13*B13)</f>
        <v>0</v>
      </c>
      <c r="E13" t="s">
        <v>82</v>
      </c>
      <c r="M13" t="s">
        <v>10</v>
      </c>
      <c r="N13" t="s">
        <v>29</v>
      </c>
      <c r="O13" t="s">
        <v>1</v>
      </c>
      <c r="P13" t="s">
        <v>2</v>
      </c>
      <c r="R13" s="24">
        <f>(B17+B21+B24)</f>
        <v>2.9931200000000002</v>
      </c>
      <c r="S13" s="37">
        <f>(T13/R13)</f>
        <v>18.995204669375099</v>
      </c>
      <c r="T13" s="37">
        <f>(D17+11.97*B21+B24*12.17)</f>
        <v>56.854927000000004</v>
      </c>
    </row>
    <row r="14" spans="2:20">
      <c r="B14" s="24">
        <f>(0.60148-0.595318987)</f>
        <v>6.1610130000000485E-3</v>
      </c>
      <c r="C14" s="37">
        <v>0</v>
      </c>
      <c r="D14" s="37">
        <v>0</v>
      </c>
      <c r="E14" s="37">
        <f>(B14*$J$3)</f>
        <v>0.13813722624780198</v>
      </c>
      <c r="M14" t="s">
        <v>11</v>
      </c>
      <c r="N14" s="24">
        <f>(-B21)</f>
        <v>0.28089999999999998</v>
      </c>
      <c r="O14" s="37">
        <f>(C21)</f>
        <v>14.959772160911358</v>
      </c>
      <c r="P14" s="37">
        <f>(O14*N14)</f>
        <v>4.2022000000000004</v>
      </c>
      <c r="Q14" t="s">
        <v>12</v>
      </c>
      <c r="R14" s="24">
        <f>(B18)</f>
        <v>2.0892910000000001E-2</v>
      </c>
      <c r="S14" s="37">
        <f>(C18)</f>
        <v>0</v>
      </c>
      <c r="T14" s="37">
        <f>(D18)</f>
        <v>0</v>
      </c>
    </row>
    <row r="15" spans="2:20">
      <c r="B15" s="24">
        <f>(0.10209-0.101562222)</f>
        <v>5.2777800000000652E-4</v>
      </c>
      <c r="C15" s="37">
        <v>0</v>
      </c>
      <c r="D15" s="37">
        <v>0</v>
      </c>
      <c r="E15" s="37">
        <f>(B15*$J$3)</f>
        <v>1.1833409375148657E-2</v>
      </c>
      <c r="N15" s="24">
        <f>(-B24)</f>
        <v>0.31</v>
      </c>
      <c r="O15" s="37">
        <f>(C24)</f>
        <v>18.399999999999999</v>
      </c>
      <c r="P15" s="37">
        <f>(-D24)</f>
        <v>5.7039999999999997</v>
      </c>
      <c r="Q15" t="s">
        <v>12</v>
      </c>
      <c r="R15" s="24">
        <f>(B19+B22)</f>
        <v>1.03213</v>
      </c>
      <c r="S15" s="37">
        <f>(T15/R15)</f>
        <v>19.183490451784174</v>
      </c>
      <c r="T15" s="37">
        <f>(D19+12.6*B22)</f>
        <v>19.799855999999998</v>
      </c>
    </row>
    <row r="16" spans="2:20">
      <c r="B16" s="24">
        <v>0.49053000000000002</v>
      </c>
      <c r="C16" s="37">
        <f>(D16/B16)</f>
        <v>12.843251177298024</v>
      </c>
      <c r="D16" s="37">
        <v>6.3</v>
      </c>
      <c r="E16" s="37"/>
      <c r="N16" s="24">
        <f>(3*($R$13+N14+N15)/5-N14-N15)</f>
        <v>1.5595120000000002</v>
      </c>
      <c r="O16" s="37">
        <f>($S$13*Params!K10)</f>
        <v>41.789450272625217</v>
      </c>
      <c r="P16" s="37">
        <f>(O16*N16)</f>
        <v>65.171149173562313</v>
      </c>
      <c r="R16" s="24">
        <f>(B20)</f>
        <v>4.1474400000000002E-2</v>
      </c>
      <c r="S16" s="37">
        <f>(T16/R16)</f>
        <v>12.055629496749802</v>
      </c>
      <c r="T16" s="37">
        <f>(D20)</f>
        <v>0.5</v>
      </c>
    </row>
    <row r="17" spans="2:21">
      <c r="B17" s="24">
        <v>3.5840200000000002</v>
      </c>
      <c r="C17" s="37">
        <f>(D17/B17)</f>
        <v>17.854253045462915</v>
      </c>
      <c r="D17" s="37">
        <v>63.99</v>
      </c>
      <c r="E17" t="s">
        <v>10</v>
      </c>
      <c r="N17" s="24">
        <f>(($R$13+N14+N15)/5)</f>
        <v>0.716804</v>
      </c>
      <c r="O17" s="37">
        <f>($S$13*Params!K11)</f>
        <v>75.980818677500395</v>
      </c>
      <c r="P17" s="37">
        <f>(O17*N17)</f>
        <v>54.463354751306994</v>
      </c>
      <c r="R17" s="24">
        <f>(B21-B21)</f>
        <v>0</v>
      </c>
      <c r="S17" s="37">
        <v>0</v>
      </c>
      <c r="T17" s="37">
        <f>(14.952/1.25*-B21+D21)</f>
        <v>-0.84218656000000047</v>
      </c>
      <c r="U17" t="s">
        <v>17</v>
      </c>
    </row>
    <row r="18" spans="2:21">
      <c r="B18" s="24">
        <v>2.0892910000000001E-2</v>
      </c>
      <c r="C18" s="37">
        <v>0</v>
      </c>
      <c r="D18" s="37">
        <v>0</v>
      </c>
      <c r="E18" s="38">
        <f>B18*J3</f>
        <v>0.46844384773168657</v>
      </c>
      <c r="O18" s="37"/>
      <c r="P18" s="37"/>
      <c r="R18" s="24">
        <f>(B22-B22)</f>
        <v>0</v>
      </c>
      <c r="S18" s="37">
        <v>0</v>
      </c>
      <c r="T18" s="37">
        <f>(12.6*-B22+D22)</f>
        <v>-0.26295951999999989</v>
      </c>
      <c r="U18" t="s">
        <v>16</v>
      </c>
    </row>
    <row r="19" spans="2:21">
      <c r="B19" s="24">
        <v>1.1035699999999999</v>
      </c>
      <c r="C19" s="37">
        <f t="shared" ref="C19:C29" si="1">(D19/B19)</f>
        <v>18.757305834700109</v>
      </c>
      <c r="D19" s="37">
        <v>20.7</v>
      </c>
      <c r="E19" t="s">
        <v>15</v>
      </c>
      <c r="O19" s="37"/>
      <c r="P19" s="37">
        <f>(SUM(P14:P17))</f>
        <v>129.54070392486932</v>
      </c>
      <c r="R19" s="24">
        <f>(B24-B24)</f>
        <v>0</v>
      </c>
      <c r="S19" s="37">
        <v>0</v>
      </c>
      <c r="T19" s="37">
        <f>(12.17*-B24+D24)</f>
        <v>-1.9312999999999998</v>
      </c>
      <c r="U19" t="s">
        <v>83</v>
      </c>
    </row>
    <row r="20" spans="2:21">
      <c r="B20" s="24">
        <v>4.1474400000000002E-2</v>
      </c>
      <c r="C20" s="37">
        <f t="shared" si="1"/>
        <v>12.055629496749802</v>
      </c>
      <c r="D20" s="37">
        <v>0.5</v>
      </c>
      <c r="E20" s="37"/>
      <c r="O20" s="37"/>
      <c r="P20" s="37"/>
      <c r="R20" s="24">
        <f>(B26+B27)</f>
        <v>6.3844300000000034E-3</v>
      </c>
      <c r="S20" s="37">
        <v>0</v>
      </c>
      <c r="T20" s="37">
        <f>(D26+D27)</f>
        <v>-6.9880729999999947E-2</v>
      </c>
    </row>
    <row r="21" spans="2:21">
      <c r="B21" s="24">
        <v>-0.28089999999999998</v>
      </c>
      <c r="C21" s="37">
        <f t="shared" si="1"/>
        <v>14.959772160911358</v>
      </c>
      <c r="D21" s="37">
        <v>-4.2022000000000004</v>
      </c>
      <c r="E21" s="37"/>
      <c r="O21" s="37"/>
      <c r="P21" s="37"/>
      <c r="R21" s="24">
        <f>(B28+B25)</f>
        <v>1.1675579999999991E-2</v>
      </c>
      <c r="S21" s="37">
        <v>0</v>
      </c>
      <c r="T21" s="37">
        <f>(D28+D25)</f>
        <v>-0.12000000000000011</v>
      </c>
    </row>
    <row r="22" spans="2:21">
      <c r="B22" s="24">
        <v>-7.1440000000000003E-2</v>
      </c>
      <c r="C22" s="37">
        <f t="shared" si="1"/>
        <v>16.280844344904814</v>
      </c>
      <c r="D22" s="37">
        <v>-1.1631035199999999</v>
      </c>
      <c r="E22" s="37"/>
      <c r="M22" t="s">
        <v>15</v>
      </c>
      <c r="N22" t="s">
        <v>29</v>
      </c>
      <c r="O22" t="s">
        <v>1</v>
      </c>
      <c r="P22" t="s">
        <v>2</v>
      </c>
      <c r="S22" s="37"/>
      <c r="T22" s="37"/>
    </row>
    <row r="23" spans="2:21">
      <c r="B23" s="24">
        <v>-9.8110000000000003E-2</v>
      </c>
      <c r="C23" s="37">
        <f t="shared" si="1"/>
        <v>16.233513403322799</v>
      </c>
      <c r="D23" s="37">
        <v>-1.59267</v>
      </c>
      <c r="E23" s="37"/>
      <c r="M23" t="s">
        <v>11</v>
      </c>
      <c r="N23" s="24">
        <f>(-B22)</f>
        <v>7.1440000000000003E-2</v>
      </c>
      <c r="O23" s="37">
        <f>(C22)</f>
        <v>16.280844344904814</v>
      </c>
      <c r="P23" s="37">
        <f>(O23*N23)</f>
        <v>1.1631035199999999</v>
      </c>
      <c r="Q23" t="s">
        <v>12</v>
      </c>
      <c r="S23" s="37"/>
      <c r="T23" s="37"/>
    </row>
    <row r="24" spans="2:21">
      <c r="B24" s="24">
        <v>-0.31</v>
      </c>
      <c r="C24" s="37">
        <f t="shared" si="1"/>
        <v>18.399999999999999</v>
      </c>
      <c r="D24" s="37">
        <v>-5.7039999999999997</v>
      </c>
      <c r="E24" s="37"/>
      <c r="N24" s="24">
        <f>(2*($R$15+N23)/5-N23)</f>
        <v>0.36998799999999998</v>
      </c>
      <c r="O24" s="37">
        <f>($S$15*Params!K9)</f>
        <v>30.693584722854681</v>
      </c>
      <c r="P24" s="37">
        <f>(O24*N24)</f>
        <v>11.356258024439557</v>
      </c>
      <c r="S24" s="37"/>
      <c r="T24" s="37"/>
    </row>
    <row r="25" spans="2:21">
      <c r="B25" s="24">
        <v>-9.8095000000000002E-2</v>
      </c>
      <c r="C25" s="37">
        <f t="shared" si="1"/>
        <v>22.019470921045926</v>
      </c>
      <c r="D25" s="37">
        <v>-2.16</v>
      </c>
      <c r="E25" s="37"/>
      <c r="N25" s="24">
        <f>($R$15/5)</f>
        <v>0.206426</v>
      </c>
      <c r="O25" s="37">
        <f>($S$15*Params!K10)</f>
        <v>42.203678993925188</v>
      </c>
      <c r="P25" s="37">
        <f>(O25*N25)</f>
        <v>8.7119366400000011</v>
      </c>
      <c r="S25" s="37"/>
      <c r="T25" s="37"/>
    </row>
    <row r="26" spans="2:21">
      <c r="B26" s="24">
        <f>(-0.05715)</f>
        <v>-5.7149999999999999E-2</v>
      </c>
      <c r="C26" s="37">
        <f t="shared" si="1"/>
        <v>22.045157130358703</v>
      </c>
      <c r="D26" s="37">
        <v>-1.2598807299999999</v>
      </c>
      <c r="E26" s="37"/>
      <c r="N26" s="24">
        <f>($R$15/5)</f>
        <v>0.206426</v>
      </c>
      <c r="O26" s="37">
        <f>($S$15*Params!K11)</f>
        <v>76.733961807136694</v>
      </c>
      <c r="P26" s="37">
        <f>(O26*N26)</f>
        <v>15.839884799999998</v>
      </c>
      <c r="S26" s="37"/>
      <c r="T26" s="37"/>
    </row>
    <row r="27" spans="2:21">
      <c r="B27" s="24">
        <v>6.3534430000000003E-2</v>
      </c>
      <c r="C27" s="37">
        <f t="shared" si="1"/>
        <v>18.730001984750629</v>
      </c>
      <c r="D27" s="37">
        <v>1.19</v>
      </c>
      <c r="E27" s="37"/>
      <c r="O27" s="37"/>
      <c r="P27" s="37"/>
      <c r="S27" s="37"/>
      <c r="T27" s="37"/>
    </row>
    <row r="28" spans="2:21">
      <c r="B28" s="24">
        <f>(0.02767109+0.08304053-0.00094104)</f>
        <v>0.10977057999999999</v>
      </c>
      <c r="C28" s="37">
        <f t="shared" si="1"/>
        <v>18.584214458919686</v>
      </c>
      <c r="D28" s="37">
        <v>2.04</v>
      </c>
      <c r="E28" s="37"/>
      <c r="O28" s="37"/>
      <c r="P28" s="37">
        <f>(SUM(P23:P26))</f>
        <v>37.07118298443956</v>
      </c>
      <c r="S28" s="37"/>
      <c r="T28" s="37"/>
    </row>
    <row r="29" spans="2:21">
      <c r="B29" s="24">
        <v>-0.10199999999999999</v>
      </c>
      <c r="C29" s="37">
        <f t="shared" si="1"/>
        <v>22.114333333333335</v>
      </c>
      <c r="D29" s="37">
        <f>(-2.275+0.019338)</f>
        <v>-2.2556620000000001</v>
      </c>
      <c r="E29" s="37"/>
      <c r="S29" s="37"/>
      <c r="T29" s="37"/>
    </row>
    <row r="30" spans="2:21">
      <c r="C30" s="37"/>
      <c r="D30" s="37"/>
      <c r="E30" s="37"/>
      <c r="S30" s="37"/>
      <c r="T30" s="37"/>
    </row>
    <row r="31" spans="2:21">
      <c r="B31" s="24">
        <f>(SUM(B5:B30))</f>
        <v>4.7077861409999997</v>
      </c>
      <c r="C31" s="37"/>
      <c r="D31" s="37">
        <f>(SUM(D5:D30))</f>
        <v>134.09189315</v>
      </c>
      <c r="E31" s="37"/>
      <c r="F31" t="s">
        <v>9</v>
      </c>
      <c r="G31" s="37">
        <f>(D31/B31)</f>
        <v>28.483004353616838</v>
      </c>
      <c r="S31" s="37"/>
      <c r="T31" s="37"/>
    </row>
    <row r="32" spans="2:21">
      <c r="S32" s="37"/>
      <c r="T32" s="37"/>
    </row>
    <row r="33" spans="18:20">
      <c r="R33" s="24">
        <f>(SUM(R5:R32))</f>
        <v>4.7077861410000006</v>
      </c>
      <c r="S33" s="37"/>
      <c r="T33" s="37">
        <f>(SUM(T5:T32))</f>
        <v>134.08953359</v>
      </c>
    </row>
  </sheetData>
  <conditionalFormatting sqref="C5">
    <cfRule type="cellIs" dxfId="95" priority="63" operator="lessThan">
      <formula>$J$3</formula>
    </cfRule>
    <cfRule type="cellIs" dxfId="94" priority="64" operator="greaterThan">
      <formula>$J$3</formula>
    </cfRule>
  </conditionalFormatting>
  <conditionalFormatting sqref="C8">
    <cfRule type="cellIs" dxfId="93" priority="61" operator="lessThan">
      <formula>$J$3</formula>
    </cfRule>
    <cfRule type="cellIs" dxfId="92" priority="62" operator="greaterThan">
      <formula>$J$3</formula>
    </cfRule>
  </conditionalFormatting>
  <conditionalFormatting sqref="C9:C10">
    <cfRule type="cellIs" dxfId="91" priority="59" operator="lessThan">
      <formula>$J$3</formula>
    </cfRule>
    <cfRule type="cellIs" dxfId="90" priority="60" operator="greaterThan">
      <formula>$J$3</formula>
    </cfRule>
  </conditionalFormatting>
  <conditionalFormatting sqref="C16:C17">
    <cfRule type="cellIs" dxfId="89" priority="57" operator="lessThan">
      <formula>$J$3</formula>
    </cfRule>
    <cfRule type="cellIs" dxfId="88" priority="58" operator="greaterThan">
      <formula>$J$3</formula>
    </cfRule>
    <cfRule type="cellIs" dxfId="87" priority="49" operator="lessThan">
      <formula>$J$3</formula>
    </cfRule>
    <cfRule type="cellIs" dxfId="86" priority="50" operator="greaterThan">
      <formula>$J$3</formula>
    </cfRule>
    <cfRule type="cellIs" dxfId="85" priority="47" operator="lessThan">
      <formula>$J$3</formula>
    </cfRule>
    <cfRule type="cellIs" dxfId="84" priority="48" operator="greaterThan">
      <formula>$J$3</formula>
    </cfRule>
  </conditionalFormatting>
  <conditionalFormatting sqref="C19:C20">
    <cfRule type="cellIs" dxfId="83" priority="55" operator="lessThan">
      <formula>$J$3</formula>
    </cfRule>
    <cfRule type="cellIs" dxfId="82" priority="56" operator="greaterThan">
      <formula>$J$3</formula>
    </cfRule>
    <cfRule type="cellIs" dxfId="81" priority="45" operator="lessThan">
      <formula>$J$3</formula>
    </cfRule>
    <cfRule type="cellIs" dxfId="80" priority="46" operator="greaterThan">
      <formula>$J$3</formula>
    </cfRule>
    <cfRule type="cellIs" dxfId="79" priority="43" operator="lessThan">
      <formula>$J$3</formula>
    </cfRule>
    <cfRule type="cellIs" dxfId="78" priority="44" operator="greaterThan">
      <formula>$J$3</formula>
    </cfRule>
    <cfRule type="cellIs" dxfId="77" priority="41" operator="lessThan">
      <formula>$J$3</formula>
    </cfRule>
    <cfRule type="cellIs" dxfId="76" priority="42" operator="greaterThan">
      <formula>$J$3</formula>
    </cfRule>
  </conditionalFormatting>
  <conditionalFormatting sqref="C27:C28">
    <cfRule type="cellIs" dxfId="75" priority="53" operator="lessThan">
      <formula>$J$3</formula>
    </cfRule>
    <cfRule type="cellIs" dxfId="74" priority="54" operator="greaterThan">
      <formula>$J$3</formula>
    </cfRule>
    <cfRule type="cellIs" dxfId="73" priority="39" operator="lessThan">
      <formula>$J$3</formula>
    </cfRule>
    <cfRule type="cellIs" dxfId="72" priority="40" operator="greaterThan">
      <formula>$J$3</formula>
    </cfRule>
    <cfRule type="cellIs" dxfId="71" priority="37" operator="lessThan">
      <formula>$J$3</formula>
    </cfRule>
    <cfRule type="cellIs" dxfId="70" priority="38" operator="greaterThan">
      <formula>$J$3</formula>
    </cfRule>
    <cfRule type="cellIs" dxfId="69" priority="35" operator="lessThan">
      <formula>$J$3</formula>
    </cfRule>
    <cfRule type="cellIs" dxfId="68" priority="36" operator="greaterThan">
      <formula>$J$3</formula>
    </cfRule>
    <cfRule type="cellIs" dxfId="67" priority="33" operator="lessThan">
      <formula>$J$3</formula>
    </cfRule>
    <cfRule type="cellIs" dxfId="66" priority="34" operator="greaterThan">
      <formula>$J$3</formula>
    </cfRule>
  </conditionalFormatting>
  <conditionalFormatting sqref="C8:C10">
    <cfRule type="cellIs" dxfId="65" priority="51" operator="lessThan">
      <formula>$J$3</formula>
    </cfRule>
    <cfRule type="cellIs" dxfId="64" priority="52" operator="greaterThan">
      <formula>$J$3</formula>
    </cfRule>
  </conditionalFormatting>
  <conditionalFormatting sqref="S5">
    <cfRule type="cellIs" dxfId="63" priority="31" operator="lessThan">
      <formula>$J$3</formula>
    </cfRule>
    <cfRule type="cellIs" dxfId="62" priority="32" operator="greaterThan">
      <formula>$J$3</formula>
    </cfRule>
  </conditionalFormatting>
  <conditionalFormatting sqref="S12:S13">
    <cfRule type="cellIs" dxfId="61" priority="29" operator="lessThan">
      <formula>$J$3</formula>
    </cfRule>
    <cfRule type="cellIs" dxfId="60" priority="30" operator="greaterThan">
      <formula>$J$3</formula>
    </cfRule>
    <cfRule type="cellIs" dxfId="59" priority="27" operator="lessThan">
      <formula>$J$3</formula>
    </cfRule>
    <cfRule type="cellIs" dxfId="58" priority="28" operator="greaterThan">
      <formula>$J$3</formula>
    </cfRule>
  </conditionalFormatting>
  <conditionalFormatting sqref="S15:S16">
    <cfRule type="cellIs" dxfId="57" priority="25" operator="lessThan">
      <formula>$J$3</formula>
    </cfRule>
    <cfRule type="cellIs" dxfId="56" priority="26" operator="greaterThan">
      <formula>$J$3</formula>
    </cfRule>
    <cfRule type="cellIs" dxfId="55" priority="23" operator="lessThan">
      <formula>$J$3</formula>
    </cfRule>
    <cfRule type="cellIs" dxfId="54" priority="24" operator="greaterThan">
      <formula>$J$3</formula>
    </cfRule>
  </conditionalFormatting>
  <conditionalFormatting sqref="O8:O9">
    <cfRule type="cellIs" dxfId="53" priority="21" operator="lessThan">
      <formula>$J$3</formula>
    </cfRule>
    <cfRule type="cellIs" dxfId="52" priority="22" operator="greaterThan">
      <formula>$J$3</formula>
    </cfRule>
    <cfRule type="cellIs" dxfId="51" priority="19" operator="lessThan">
      <formula>$J$3</formula>
    </cfRule>
    <cfRule type="cellIs" dxfId="50" priority="20" operator="greaterThan">
      <formula>$J$3</formula>
    </cfRule>
  </conditionalFormatting>
  <conditionalFormatting sqref="O16:O17">
    <cfRule type="cellIs" dxfId="49" priority="17" operator="lessThan">
      <formula>$J$3</formula>
    </cfRule>
    <cfRule type="cellIs" dxfId="48" priority="18" operator="greaterThan">
      <formula>$J$3</formula>
    </cfRule>
    <cfRule type="cellIs" dxfId="47" priority="15" operator="lessThan">
      <formula>$J$3</formula>
    </cfRule>
    <cfRule type="cellIs" dxfId="46" priority="16" operator="greaterThan">
      <formula>$J$3</formula>
    </cfRule>
  </conditionalFormatting>
  <conditionalFormatting sqref="O24:O26">
    <cfRule type="cellIs" dxfId="45" priority="13" operator="lessThan">
      <formula>$J$3</formula>
    </cfRule>
    <cfRule type="cellIs" dxfId="44" priority="14" operator="greaterThan">
      <formula>$J$3</formula>
    </cfRule>
    <cfRule type="cellIs" dxfId="43" priority="11" operator="lessThan">
      <formula>$J$3</formula>
    </cfRule>
    <cfRule type="cellIs" dxfId="42" priority="12" operator="greaterThan">
      <formula>$J$3</formula>
    </cfRule>
  </conditionalFormatting>
  <conditionalFormatting sqref="O3">
    <cfRule type="cellIs" dxfId="41" priority="9" operator="greaterThan">
      <formula>$J$3</formula>
    </cfRule>
    <cfRule type="cellIs" dxfId="40" priority="10" operator="lessThan">
      <formula>$J$3</formula>
    </cfRule>
  </conditionalFormatting>
  <conditionalFormatting sqref="G31">
    <cfRule type="cellIs" dxfId="39" priority="7" operator="lessThan">
      <formula>$J$3</formula>
    </cfRule>
    <cfRule type="cellIs" dxfId="38" priority="8" operator="greaterThan">
      <formula>$J$3</formula>
    </cfRule>
    <cfRule type="cellIs" dxfId="37" priority="5" operator="lessThan">
      <formula>$J$3</formula>
    </cfRule>
    <cfRule type="cellIs" dxfId="36" priority="6" operator="greaterThan">
      <formula>$J$3</formula>
    </cfRule>
    <cfRule type="cellIs" dxfId="35" priority="3" operator="lessThan">
      <formula>$J$3</formula>
    </cfRule>
    <cfRule type="cellIs" dxfId="34" priority="4" operator="greaterThan">
      <formula>$J$3</formula>
    </cfRule>
    <cfRule type="cellIs" dxfId="33" priority="1" operator="lessThan">
      <formula>$J$3</formula>
    </cfRule>
    <cfRule type="cellIs" dxfId="32" priority="2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C5" sqref="C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6.6131268550580477E-2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(B13*J3)</f>
        <v>0.60920882717657399</v>
      </c>
      <c r="K4" s="4">
        <f>(J4/D13-1)</f>
        <v>0.21841765435314797</v>
      </c>
    </row>
    <row r="5" spans="2:16">
      <c r="B5" s="19">
        <v>9.10125837</v>
      </c>
      <c r="C5" s="35">
        <f>(D5/B5)</f>
        <v>5.4937458060538499E-2</v>
      </c>
      <c r="D5" s="37">
        <v>0.5</v>
      </c>
      <c r="E5" s="37"/>
      <c r="G5" s="37"/>
      <c r="N5" t="s">
        <v>29</v>
      </c>
      <c r="O5" t="s">
        <v>1</v>
      </c>
      <c r="P5" t="s">
        <v>2</v>
      </c>
    </row>
    <row r="6" spans="2:16">
      <c r="B6" s="20">
        <v>0.11085627000000001</v>
      </c>
      <c r="C6" s="39">
        <v>0</v>
      </c>
      <c r="D6" s="26">
        <f>(B6*C6)</f>
        <v>0</v>
      </c>
      <c r="E6" s="37">
        <f>(B6*J3)</f>
        <v>7.3310657618856582E-3</v>
      </c>
      <c r="G6" s="37"/>
      <c r="M6" t="s">
        <v>11</v>
      </c>
      <c r="N6" s="19">
        <f>($B$5/5)</f>
        <v>1.8202516740000001</v>
      </c>
      <c r="O6" s="35">
        <f>($C$5*Params!K8)</f>
        <v>7.1418695478700056E-2</v>
      </c>
      <c r="P6" s="37">
        <f>(O6*N6)</f>
        <v>0.13</v>
      </c>
    </row>
    <row r="7" spans="2:16">
      <c r="C7" s="37"/>
      <c r="D7" s="37"/>
      <c r="E7" s="37"/>
      <c r="G7" s="37"/>
      <c r="N7" s="19">
        <f>($B$5/5)</f>
        <v>1.8202516740000001</v>
      </c>
      <c r="O7" s="35">
        <f>($C$5*Params!K9)</f>
        <v>8.7899932896861599E-2</v>
      </c>
      <c r="P7" s="37">
        <f>(O7*N7)</f>
        <v>0.16</v>
      </c>
    </row>
    <row r="8" spans="2:16">
      <c r="C8" s="37"/>
      <c r="D8" s="37"/>
      <c r="E8" s="37"/>
      <c r="G8" s="37"/>
      <c r="N8" s="19">
        <f>($B$5/5)</f>
        <v>1.8202516740000001</v>
      </c>
      <c r="O8" s="35">
        <f>($C$5*Params!K10)</f>
        <v>0.12086240773318471</v>
      </c>
      <c r="P8" s="37">
        <f>(O8*N8)</f>
        <v>0.22000000000000003</v>
      </c>
    </row>
    <row r="9" spans="2:16">
      <c r="C9" s="37"/>
      <c r="D9" s="37"/>
      <c r="E9" s="37"/>
      <c r="G9" s="37"/>
      <c r="N9" s="19">
        <f>($B$5/5)</f>
        <v>1.8202516740000001</v>
      </c>
      <c r="O9" s="35">
        <f>($C$5*Params!K11)</f>
        <v>0.219749832242154</v>
      </c>
      <c r="P9" s="37">
        <f>(O9*N9)</f>
        <v>0.4</v>
      </c>
    </row>
    <row r="10" spans="2:16">
      <c r="C10" s="37"/>
      <c r="D10" s="37"/>
      <c r="E10" s="37"/>
      <c r="G10" s="37"/>
      <c r="O10" s="37"/>
      <c r="P10" s="37"/>
    </row>
    <row r="11" spans="2:16">
      <c r="C11" s="37"/>
      <c r="D11" s="37"/>
      <c r="E11" s="37"/>
      <c r="G11" s="37"/>
      <c r="O11" s="37"/>
      <c r="P11" s="37">
        <f>(SUM(P6:P9))</f>
        <v>0.91</v>
      </c>
    </row>
    <row r="12" spans="2:16">
      <c r="C12" s="37"/>
      <c r="D12" s="37"/>
      <c r="E12" s="37"/>
      <c r="F12" t="s">
        <v>9</v>
      </c>
      <c r="G12" s="37">
        <f>(D13/B13)</f>
        <v>5.4276354511367655E-2</v>
      </c>
    </row>
    <row r="13" spans="2:16">
      <c r="B13">
        <f>(SUM(B5:B12))</f>
        <v>9.2121146399999994</v>
      </c>
      <c r="C13" s="37"/>
      <c r="D13" s="37">
        <f>(SUM(D5:D12))</f>
        <v>0.5</v>
      </c>
      <c r="E13" s="37"/>
      <c r="G13" s="37"/>
    </row>
  </sheetData>
  <conditionalFormatting sqref="C5">
    <cfRule type="cellIs" dxfId="31" priority="7" operator="lessThan">
      <formula>$J$3</formula>
    </cfRule>
    <cfRule type="cellIs" dxfId="30" priority="8" operator="greaterThan">
      <formula>$J$3</formula>
    </cfRule>
  </conditionalFormatting>
  <conditionalFormatting sqref="O6:O9">
    <cfRule type="cellIs" dxfId="29" priority="5" operator="lessThan">
      <formula>$J$3</formula>
    </cfRule>
    <cfRule type="cellIs" dxfId="28" priority="6" operator="greaterThan">
      <formula>$J$3</formula>
    </cfRule>
    <cfRule type="cellIs" dxfId="27" priority="1" operator="lessThan">
      <formula>$J$3</formula>
    </cfRule>
    <cfRule type="cellIs" dxfId="26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22"/>
  <sheetViews>
    <sheetView topLeftCell="A190" zoomScale="85" zoomScaleNormal="85" workbookViewId="0">
      <selection activeCell="V38" sqref="V38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23</v>
      </c>
      <c r="N2" t="s">
        <v>24</v>
      </c>
      <c r="X2" t="s">
        <v>25</v>
      </c>
      <c r="Y2">
        <f>(C221)</f>
        <v>86.19</v>
      </c>
    </row>
    <row r="3" spans="13:25">
      <c r="M3">
        <v>51</v>
      </c>
      <c r="N3">
        <f>(1/213)</f>
        <v>4.6948356807511738E-3</v>
      </c>
    </row>
    <row r="31" spans="2:5">
      <c r="C31" t="s">
        <v>26</v>
      </c>
      <c r="D31" t="s">
        <v>27</v>
      </c>
      <c r="E31" t="s">
        <v>28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N5" sqref="N5:P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7"/>
      <c r="D3" s="37"/>
      <c r="E3" s="37"/>
      <c r="G3" s="37"/>
      <c r="H3" s="37"/>
      <c r="I3" t="s">
        <v>3</v>
      </c>
      <c r="J3" s="37">
        <v>5.5038492154209209</v>
      </c>
      <c r="O3" s="37"/>
      <c r="P3" s="37"/>
    </row>
    <row r="4" spans="2:16">
      <c r="B4" t="s">
        <v>5</v>
      </c>
      <c r="C4" t="s">
        <v>6</v>
      </c>
      <c r="D4" t="s">
        <v>7</v>
      </c>
      <c r="E4" s="37"/>
      <c r="G4" s="37"/>
      <c r="H4" s="37"/>
      <c r="I4" t="s">
        <v>8</v>
      </c>
      <c r="J4" s="37">
        <f>(B10*J3)</f>
        <v>4.7340453092862198</v>
      </c>
      <c r="K4" s="4">
        <f>(J4/D10-1)</f>
        <v>-0.10340050960488267</v>
      </c>
      <c r="O4" s="37"/>
      <c r="P4" s="37"/>
    </row>
    <row r="5" spans="2:16">
      <c r="B5" s="1">
        <v>0.85972000000000004</v>
      </c>
      <c r="C5" s="37">
        <f>(D5/B5)</f>
        <v>6.141534453077746</v>
      </c>
      <c r="D5" s="37">
        <v>5.28</v>
      </c>
      <c r="E5" t="s">
        <v>80</v>
      </c>
      <c r="G5" s="37"/>
      <c r="H5" s="37"/>
      <c r="J5" s="37"/>
      <c r="M5" t="s">
        <v>80</v>
      </c>
      <c r="N5" t="s">
        <v>29</v>
      </c>
      <c r="O5" t="s">
        <v>1</v>
      </c>
      <c r="P5" t="s">
        <v>2</v>
      </c>
    </row>
    <row r="6" spans="2:16">
      <c r="B6" s="2">
        <v>4.1354E-4</v>
      </c>
      <c r="C6" s="39">
        <v>0</v>
      </c>
      <c r="D6" s="39">
        <f>(B6*C6)</f>
        <v>0</v>
      </c>
      <c r="E6" s="37">
        <f>(B6*J3)</f>
        <v>2.2760618045451677E-3</v>
      </c>
      <c r="G6" s="37"/>
      <c r="H6" s="37"/>
      <c r="J6" s="37"/>
      <c r="M6" t="s">
        <v>11</v>
      </c>
      <c r="N6" s="1">
        <f>($B$5/5)</f>
        <v>0.17194400000000001</v>
      </c>
      <c r="O6" s="35">
        <f>($C$5*Params!K8)</f>
        <v>7.9839947890010698</v>
      </c>
      <c r="P6" s="37">
        <f>(O6*N6)</f>
        <v>1.3728</v>
      </c>
    </row>
    <row r="7" spans="2:16">
      <c r="C7" s="37"/>
      <c r="D7" s="37"/>
      <c r="E7" s="37"/>
      <c r="G7" s="37"/>
      <c r="H7" s="37"/>
      <c r="J7" s="37"/>
      <c r="N7" s="1">
        <f>($B$5/5)</f>
        <v>0.17194400000000001</v>
      </c>
      <c r="O7" s="35">
        <f>($C$5*Params!K9)</f>
        <v>9.8264551249243937</v>
      </c>
      <c r="P7" s="37">
        <f>(O7*N7)</f>
        <v>1.6896</v>
      </c>
    </row>
    <row r="8" spans="2:16">
      <c r="C8" s="37"/>
      <c r="D8" s="37"/>
      <c r="E8" s="37"/>
      <c r="G8" s="37"/>
      <c r="H8" s="37"/>
      <c r="J8" s="37"/>
      <c r="N8" s="1">
        <f>($B$5/5)</f>
        <v>0.17194400000000001</v>
      </c>
      <c r="O8" s="35">
        <f>($C$5*Params!K10)</f>
        <v>13.511375796771043</v>
      </c>
      <c r="P8" s="37">
        <f>(O8*N8)</f>
        <v>2.3232000000000004</v>
      </c>
    </row>
    <row r="9" spans="2:16">
      <c r="C9" s="37"/>
      <c r="D9" s="37"/>
      <c r="E9" s="37"/>
      <c r="F9" t="s">
        <v>9</v>
      </c>
      <c r="G9" s="37">
        <f>(D10/B10)</f>
        <v>6.1385816904663431</v>
      </c>
      <c r="H9" s="37"/>
      <c r="J9" s="37"/>
      <c r="N9" s="1">
        <f>($B$5/5)</f>
        <v>0.17194400000000001</v>
      </c>
      <c r="O9" s="35">
        <f>($C$5*Params!K11)</f>
        <v>24.566137812310984</v>
      </c>
      <c r="P9" s="37">
        <f>(O9*N9)</f>
        <v>4.2240000000000002</v>
      </c>
    </row>
    <row r="10" spans="2:16">
      <c r="B10" s="1">
        <f>(SUM(B5:B9))</f>
        <v>0.86013354000000009</v>
      </c>
      <c r="C10" s="37"/>
      <c r="D10" s="37">
        <f>(SUM(D5:D9))</f>
        <v>5.28</v>
      </c>
      <c r="E10" s="37"/>
      <c r="G10" s="37"/>
      <c r="H10" s="37"/>
      <c r="J10" s="37"/>
      <c r="O10" s="37"/>
      <c r="P10" s="37"/>
    </row>
    <row r="11" spans="2:16">
      <c r="O11" s="37"/>
      <c r="P11" s="37">
        <f>(SUM(P6:P9))</f>
        <v>9.6096000000000004</v>
      </c>
    </row>
    <row r="12" spans="2:16">
      <c r="O12" s="37"/>
      <c r="P12" s="37"/>
    </row>
    <row r="13" spans="2:16">
      <c r="O13" s="37"/>
      <c r="P13" s="37"/>
    </row>
  </sheetData>
  <conditionalFormatting sqref="C5">
    <cfRule type="cellIs" dxfId="25" priority="5" operator="lessThan">
      <formula>$J$3</formula>
    </cfRule>
    <cfRule type="cellIs" dxfId="24" priority="6" operator="greaterThan">
      <formula>$J$3</formula>
    </cfRule>
  </conditionalFormatting>
  <conditionalFormatting sqref="O6:O9">
    <cfRule type="cellIs" dxfId="23" priority="3" operator="lessThan">
      <formula>$J$3</formula>
    </cfRule>
    <cfRule type="cellIs" dxfId="22" priority="4" operator="greaterThan">
      <formula>$J$3</formula>
    </cfRule>
  </conditionalFormatting>
  <conditionalFormatting sqref="G9">
    <cfRule type="cellIs" dxfId="21" priority="1" operator="lessThan">
      <formula>$J$3</formula>
    </cfRule>
    <cfRule type="cellIs" dxfId="20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T17"/>
  <sheetViews>
    <sheetView workbookViewId="0">
      <selection activeCell="J3" sqref="J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>
        <v>0.47163268572313871</v>
      </c>
      <c r="M3" t="s">
        <v>4</v>
      </c>
      <c r="N3" s="19">
        <f>(INDEX(N5:N13,MATCH(MAX(O6),O5:O13,0))/0.9)</f>
        <v>11.955555555555556</v>
      </c>
      <c r="O3" s="38">
        <f>(MAX(O6)*0.85)</f>
        <v>0.39914430817843866</v>
      </c>
      <c r="P3" s="37">
        <f>(O3*N3)</f>
        <v>4.7719919511111115</v>
      </c>
    </row>
    <row r="4" spans="2:20">
      <c r="B4" t="s">
        <v>5</v>
      </c>
      <c r="C4" t="s">
        <v>6</v>
      </c>
      <c r="D4" t="s">
        <v>7</v>
      </c>
      <c r="I4" t="s">
        <v>8</v>
      </c>
      <c r="J4">
        <f>(B13*J3)</f>
        <v>20.357548091608304</v>
      </c>
      <c r="K4" s="4">
        <f>(J4/D13-1)</f>
        <v>0.44921403157071182</v>
      </c>
      <c r="R4" t="s">
        <v>5</v>
      </c>
      <c r="S4" t="s">
        <v>6</v>
      </c>
      <c r="T4" t="s">
        <v>7</v>
      </c>
    </row>
    <row r="5" spans="2:20">
      <c r="B5">
        <v>52.112819999999999</v>
      </c>
      <c r="C5" s="37">
        <f>(D5/B5)</f>
        <v>0.35691793305370928</v>
      </c>
      <c r="D5" s="37">
        <v>18.600000000000001</v>
      </c>
      <c r="N5" t="s">
        <v>29</v>
      </c>
      <c r="O5" t="s">
        <v>1</v>
      </c>
      <c r="P5" t="s">
        <v>2</v>
      </c>
      <c r="R5">
        <f>(SUM(B$5:B$7))</f>
        <v>53.923989069999998</v>
      </c>
      <c r="S5" s="37">
        <f>(T5/R5)</f>
        <v>0.35420228231271694</v>
      </c>
      <c r="T5" s="37">
        <f>(SUM(D5:D7))</f>
        <v>19.100000000000001</v>
      </c>
    </row>
    <row r="6" spans="2:20">
      <c r="B6">
        <v>0.3489776</v>
      </c>
      <c r="C6" s="37">
        <v>0</v>
      </c>
      <c r="D6" s="37">
        <f>(B6*C6)</f>
        <v>0</v>
      </c>
      <c r="E6">
        <f>(B6*J3)</f>
        <v>0.16458924274521522</v>
      </c>
      <c r="M6" t="s">
        <v>11</v>
      </c>
      <c r="N6">
        <f>(-B8)</f>
        <v>10.76</v>
      </c>
      <c r="O6" s="37">
        <f>(P6/N6)</f>
        <v>0.46958153903345723</v>
      </c>
      <c r="P6" s="37">
        <f>(-D8)</f>
        <v>5.0526973599999998</v>
      </c>
      <c r="Q6" t="s">
        <v>12</v>
      </c>
      <c r="R6">
        <f>(B8)</f>
        <v>-10.76</v>
      </c>
      <c r="S6" s="37">
        <f>(C8)</f>
        <v>0.46958153903345723</v>
      </c>
      <c r="T6" s="37">
        <f>(D8)</f>
        <v>-5.0526973599999998</v>
      </c>
    </row>
    <row r="7" spans="2:20">
      <c r="B7">
        <v>1.46219147</v>
      </c>
      <c r="C7" s="37">
        <f>(D7/B7)</f>
        <v>0.34195248040942272</v>
      </c>
      <c r="D7" s="37">
        <v>0.5</v>
      </c>
      <c r="N7" s="19">
        <f>(2*SUM(B$5:B$7)/5-N6)</f>
        <v>10.809595627999999</v>
      </c>
      <c r="O7" s="37">
        <f>($C$5*Params!K9)</f>
        <v>0.57106869288593487</v>
      </c>
      <c r="P7" s="37">
        <f>(O7*N7)</f>
        <v>6.1730216459074754</v>
      </c>
    </row>
    <row r="8" spans="2:20">
      <c r="B8">
        <v>-10.76</v>
      </c>
      <c r="C8" s="37">
        <f>(D8/B8)</f>
        <v>0.46958153903345723</v>
      </c>
      <c r="D8" s="37">
        <v>-5.0526973599999998</v>
      </c>
      <c r="N8" s="19">
        <f>(SUM(B$5:B$7)/5)</f>
        <v>10.784797813999999</v>
      </c>
      <c r="O8" s="37">
        <f>($C$5*Params!K10)</f>
        <v>0.78521945271816052</v>
      </c>
      <c r="P8" s="37">
        <f>(O8*N8)</f>
        <v>8.4684330371850933</v>
      </c>
    </row>
    <row r="9" spans="2:20">
      <c r="N9" s="19">
        <f>(SUM(B$5:B$7)/5)</f>
        <v>10.784797813999999</v>
      </c>
      <c r="O9" s="37">
        <f>($C$5*Params!K11)</f>
        <v>1.4276717322148371</v>
      </c>
      <c r="P9" s="37">
        <f>(O9*N9)</f>
        <v>15.397150976700168</v>
      </c>
    </row>
    <row r="11" spans="2:20">
      <c r="P11">
        <f>(SUM(P6:P9))</f>
        <v>35.091303019792733</v>
      </c>
    </row>
    <row r="12" spans="2:20">
      <c r="F12" t="s">
        <v>9</v>
      </c>
      <c r="G12" s="37">
        <f>(D13/B13)</f>
        <v>0.32544032520301075</v>
      </c>
    </row>
    <row r="13" spans="2:20">
      <c r="B13">
        <f>(SUM(B5:B12))</f>
        <v>43.16398907</v>
      </c>
      <c r="D13" s="37">
        <f>(SUM(D5:D12))</f>
        <v>14.047302640000002</v>
      </c>
    </row>
    <row r="17" spans="18:20">
      <c r="R17">
        <f>(SUM(R5:R16))</f>
        <v>43.16398907</v>
      </c>
      <c r="T17" s="37">
        <f>(SUM(T5:T16))</f>
        <v>14.047302640000002</v>
      </c>
    </row>
  </sheetData>
  <conditionalFormatting sqref="C5 C7 G12 O7:O9 S5">
    <cfRule type="cellIs" dxfId="19" priority="11" operator="lessThan">
      <formula>$J$3</formula>
    </cfRule>
    <cfRule type="cellIs" dxfId="18" priority="12" operator="greaterThan">
      <formula>$J$3</formula>
    </cfRule>
  </conditionalFormatting>
  <conditionalFormatting sqref="O3">
    <cfRule type="cellIs" dxfId="17" priority="5" operator="greaterThan">
      <formula>$J$3</formula>
    </cfRule>
    <cfRule type="cellIs" dxfId="16" priority="6" operator="less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Q11"/>
  <sheetViews>
    <sheetView workbookViewId="0">
      <selection activeCell="C5" sqref="C5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17">
      <c r="N2" t="s">
        <v>0</v>
      </c>
      <c r="O2" t="s">
        <v>1</v>
      </c>
      <c r="P2" t="s">
        <v>2</v>
      </c>
    </row>
    <row r="3" spans="2:17">
      <c r="I3" t="s">
        <v>3</v>
      </c>
      <c r="J3" s="37">
        <v>0.13787210249672449</v>
      </c>
      <c r="M3" t="s">
        <v>4</v>
      </c>
      <c r="N3" s="29">
        <f>(INDEX(N5:N25,MATCH(MAX(O6:O7),O5:O25,0))/0.9)</f>
        <v>14.114724477777777</v>
      </c>
      <c r="O3" s="38">
        <f>(MAX(O6:O8)*0.85)</f>
        <v>0.11154527201312445</v>
      </c>
      <c r="P3" s="37">
        <f>(O3*N3)</f>
        <v>1.5744307812640281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7">
        <f>(B10*J3)</f>
        <v>3.5636943858188208</v>
      </c>
      <c r="K4" s="4">
        <f>(J4/D10-1)</f>
        <v>23.89465240074345</v>
      </c>
    </row>
    <row r="5" spans="2:17">
      <c r="B5" s="19">
        <v>63.429000000000002</v>
      </c>
      <c r="C5" s="37">
        <f>(D5/B5)</f>
        <v>6.3062636964164656E-2</v>
      </c>
      <c r="D5" s="37">
        <v>4</v>
      </c>
      <c r="E5" t="s">
        <v>81</v>
      </c>
      <c r="N5" t="s">
        <v>29</v>
      </c>
      <c r="O5" t="s">
        <v>1</v>
      </c>
      <c r="P5" t="s">
        <v>2</v>
      </c>
    </row>
    <row r="6" spans="2:17">
      <c r="B6" s="19">
        <v>-12.25728155</v>
      </c>
      <c r="C6" s="37">
        <f>(D6/B6)</f>
        <v>8.0228066556894906E-2</v>
      </c>
      <c r="D6" s="37">
        <v>-0.98337799999999997</v>
      </c>
      <c r="M6" t="s">
        <v>11</v>
      </c>
      <c r="N6" s="29">
        <f>(-B6)</f>
        <v>12.25728155</v>
      </c>
      <c r="O6" s="37">
        <f>(C6)</f>
        <v>8.0228066556894906E-2</v>
      </c>
      <c r="P6" s="37">
        <f>(O6*N6)</f>
        <v>0.98337799999999997</v>
      </c>
      <c r="Q6" t="s">
        <v>12</v>
      </c>
    </row>
    <row r="7" spans="2:17">
      <c r="B7" s="19">
        <v>-12.70325203</v>
      </c>
      <c r="C7" s="37">
        <f>(D7/B7)</f>
        <v>9.5823336979011353E-2</v>
      </c>
      <c r="D7" s="37">
        <v>-1.217268</v>
      </c>
      <c r="N7" s="29">
        <f>(-B7)</f>
        <v>12.70325203</v>
      </c>
      <c r="O7" s="37">
        <f>(C7)</f>
        <v>9.5823336979011353E-2</v>
      </c>
      <c r="P7" s="37">
        <f>(O7*N7)</f>
        <v>1.217268</v>
      </c>
      <c r="Q7" t="s">
        <v>12</v>
      </c>
    </row>
    <row r="8" spans="2:17">
      <c r="B8" s="19">
        <v>-12.62063846</v>
      </c>
      <c r="C8" s="37">
        <f>(D8/B8)</f>
        <v>0.13122973178014641</v>
      </c>
      <c r="D8" s="37">
        <v>-1.6562030000000001</v>
      </c>
      <c r="N8" s="29">
        <f>(-B8)</f>
        <v>12.62063846</v>
      </c>
      <c r="O8" s="37">
        <f>(C8)</f>
        <v>0.13122973178014641</v>
      </c>
      <c r="P8" s="37">
        <f>(O8*N8)</f>
        <v>1.6562030000000001</v>
      </c>
      <c r="Q8" t="s">
        <v>12</v>
      </c>
    </row>
    <row r="9" spans="2:17">
      <c r="C9" s="37"/>
      <c r="D9" s="37"/>
      <c r="F9" t="s">
        <v>9</v>
      </c>
      <c r="G9" s="37">
        <f>(D10/B10)</f>
        <v>5.5382216340006864E-3</v>
      </c>
      <c r="N9" s="29">
        <f>($B$5/5)</f>
        <v>12.6858</v>
      </c>
      <c r="O9" s="37">
        <f>($C$5*Params!K11)</f>
        <v>0.25225054785665862</v>
      </c>
      <c r="P9" s="37">
        <f>(O9*N9)</f>
        <v>3.2</v>
      </c>
    </row>
    <row r="10" spans="2:17">
      <c r="B10" s="19">
        <f>(SUM(B5:B9))</f>
        <v>25.847827959999996</v>
      </c>
      <c r="C10" s="37"/>
      <c r="D10" s="37">
        <f>(SUM(D5:D9))</f>
        <v>0.14315099999999981</v>
      </c>
      <c r="O10" s="37"/>
      <c r="P10" s="37"/>
    </row>
    <row r="11" spans="2:17">
      <c r="O11" s="37"/>
      <c r="P11" s="37">
        <f>(SUM(P6:P9))</f>
        <v>7.0568489999999997</v>
      </c>
    </row>
  </sheetData>
  <conditionalFormatting sqref="C5">
    <cfRule type="cellIs" dxfId="15" priority="7" operator="lessThan">
      <formula>$J$3</formula>
    </cfRule>
    <cfRule type="cellIs" dxfId="14" priority="8" operator="greaterThan">
      <formula>$J$3</formula>
    </cfRule>
  </conditionalFormatting>
  <conditionalFormatting sqref="G9">
    <cfRule type="cellIs" dxfId="13" priority="5" operator="lessThan">
      <formula>$J$3</formula>
    </cfRule>
    <cfRule type="cellIs" dxfId="12" priority="6" operator="greaterThan">
      <formula>$J$3</formula>
    </cfRule>
  </conditionalFormatting>
  <conditionalFormatting sqref="O9">
    <cfRule type="cellIs" dxfId="11" priority="3" operator="lessThan">
      <formula>$J$3</formula>
    </cfRule>
    <cfRule type="cellIs" dxfId="10" priority="4" operator="greaterThan">
      <formula>$J$3</formula>
    </cfRule>
  </conditionalFormatting>
  <conditionalFormatting sqref="O3">
    <cfRule type="cellIs" dxfId="9" priority="1" operator="greaterThan">
      <formula>$J$3</formula>
    </cfRule>
    <cfRule type="cellIs" dxfId="8" priority="2" operator="less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H24" sqref="H24"/>
    </sheetView>
  </sheetViews>
  <sheetFormatPr baseColWidth="10" defaultColWidth="9.140625" defaultRowHeight="15"/>
  <cols>
    <col min="2" max="2" width="8.57031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7">
        <v>0.80566617748016478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(B10*J3)</f>
        <v>2.3560249104626179</v>
      </c>
      <c r="K4" s="4">
        <f>(J4/D10-1)</f>
        <v>-0.21465836317912734</v>
      </c>
    </row>
    <row r="5" spans="2:16">
      <c r="B5" s="29">
        <v>2.9243190000000001</v>
      </c>
      <c r="C5" s="37">
        <f>(D5/B5)</f>
        <v>1.0258798715188049</v>
      </c>
      <c r="D5" s="37">
        <v>3</v>
      </c>
      <c r="E5" t="s">
        <v>81</v>
      </c>
      <c r="N5" t="s">
        <v>29</v>
      </c>
      <c r="O5" t="s">
        <v>1</v>
      </c>
      <c r="P5" t="s">
        <v>2</v>
      </c>
    </row>
    <row r="6" spans="2:16">
      <c r="B6" s="24"/>
      <c r="C6" s="37"/>
      <c r="D6" s="37"/>
      <c r="M6" t="s">
        <v>11</v>
      </c>
      <c r="N6" s="24">
        <f>($B$5/5)</f>
        <v>0.58486380000000004</v>
      </c>
      <c r="O6" s="37">
        <f>($C$5*Params!K8)</f>
        <v>1.3336438329744464</v>
      </c>
      <c r="P6" s="37">
        <f>(O6*N6)</f>
        <v>0.78000000000000014</v>
      </c>
    </row>
    <row r="7" spans="2:16">
      <c r="B7" s="24"/>
      <c r="C7" s="37"/>
      <c r="D7" s="37"/>
      <c r="N7" s="24">
        <f>($B$5/5)</f>
        <v>0.58486380000000004</v>
      </c>
      <c r="O7" s="37">
        <f>($C$5*Params!K9)</f>
        <v>1.641407794430088</v>
      </c>
      <c r="P7" s="37">
        <f>(O7*N7)</f>
        <v>0.96000000000000019</v>
      </c>
    </row>
    <row r="8" spans="2:16">
      <c r="B8" s="24"/>
      <c r="C8" s="37"/>
      <c r="D8" s="37"/>
      <c r="N8" s="24">
        <f>($B$5/5)</f>
        <v>0.58486380000000004</v>
      </c>
      <c r="O8" s="37">
        <f>($C$5*Params!K10)</f>
        <v>2.2569357173413711</v>
      </c>
      <c r="P8" s="37">
        <f>(O8*N8)</f>
        <v>1.3200000000000003</v>
      </c>
    </row>
    <row r="9" spans="2:16">
      <c r="B9" s="24"/>
      <c r="C9" s="37"/>
      <c r="D9" s="37"/>
      <c r="F9" t="s">
        <v>9</v>
      </c>
      <c r="G9" s="37">
        <f>(D10/B10)</f>
        <v>1.0258798715188049</v>
      </c>
      <c r="H9" s="37"/>
      <c r="N9" s="24">
        <f>($B$5/5)</f>
        <v>0.58486380000000004</v>
      </c>
      <c r="O9" s="37">
        <f>($C$5*Params!K11)</f>
        <v>4.1035194860752195</v>
      </c>
      <c r="P9" s="37">
        <f>(O9*N9)</f>
        <v>2.4000000000000004</v>
      </c>
    </row>
    <row r="10" spans="2:16">
      <c r="B10" s="29">
        <f>(SUM(B5:B9))</f>
        <v>2.9243190000000001</v>
      </c>
      <c r="C10" s="37"/>
      <c r="D10" s="37">
        <f>(SUM(D5:D9))</f>
        <v>3</v>
      </c>
      <c r="O10" s="37"/>
      <c r="P10" s="37"/>
    </row>
    <row r="11" spans="2:16">
      <c r="C11" s="37"/>
      <c r="D11" s="37"/>
      <c r="O11" s="37"/>
      <c r="P11" s="37">
        <f>(SUM(P6:P9))</f>
        <v>5.4600000000000009</v>
      </c>
    </row>
    <row r="12" spans="2:16">
      <c r="O12" s="37"/>
      <c r="P12" s="37"/>
    </row>
  </sheetData>
  <conditionalFormatting sqref="C5">
    <cfRule type="cellIs" dxfId="7" priority="5" operator="lessThan">
      <formula>$J$3</formula>
    </cfRule>
    <cfRule type="cellIs" dxfId="6" priority="6" operator="greaterThan">
      <formula>$J$3</formula>
    </cfRule>
  </conditionalFormatting>
  <conditionalFormatting sqref="G9"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6:O9"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3.8877386698832998E-3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(B10*J3)</f>
        <v>2.3303105587280499</v>
      </c>
      <c r="K4" s="4">
        <f>(J4/D10-1)</f>
        <v>-0.22322981375731665</v>
      </c>
    </row>
    <row r="5" spans="2:16">
      <c r="B5">
        <v>599.4</v>
      </c>
      <c r="C5" s="35">
        <f>(D5/B5)</f>
        <v>5.005005005005005E-3</v>
      </c>
      <c r="D5" s="37">
        <v>3</v>
      </c>
      <c r="E5" t="s">
        <v>81</v>
      </c>
      <c r="N5" t="s">
        <v>29</v>
      </c>
      <c r="O5" t="s">
        <v>1</v>
      </c>
      <c r="P5" t="s">
        <v>2</v>
      </c>
    </row>
    <row r="6" spans="2:16">
      <c r="C6" s="37"/>
      <c r="D6" s="37"/>
      <c r="M6" t="s">
        <v>11</v>
      </c>
      <c r="N6">
        <f>($B$5/5)</f>
        <v>119.88</v>
      </c>
      <c r="O6" s="35">
        <f>($C$5*Params!K8)</f>
        <v>6.5065065065065065E-3</v>
      </c>
      <c r="P6" s="37">
        <f>(O6*N6)</f>
        <v>0.77999999999999992</v>
      </c>
    </row>
    <row r="7" spans="2:16">
      <c r="C7" s="37"/>
      <c r="D7" s="37"/>
      <c r="N7">
        <f>($B$5/5)</f>
        <v>119.88</v>
      </c>
      <c r="O7" s="35">
        <f>($C$5*Params!K9)</f>
        <v>8.0080080080080079E-3</v>
      </c>
      <c r="P7" s="37">
        <f>(O7*N7)</f>
        <v>0.96</v>
      </c>
    </row>
    <row r="8" spans="2:16">
      <c r="C8" s="37"/>
      <c r="D8" s="37"/>
      <c r="N8">
        <f>($B$5/5)</f>
        <v>119.88</v>
      </c>
      <c r="O8" s="35">
        <f>($C$5*Params!K10)</f>
        <v>1.1011011011011013E-2</v>
      </c>
      <c r="P8" s="37">
        <f>(O8*N8)</f>
        <v>1.32</v>
      </c>
    </row>
    <row r="9" spans="2:16">
      <c r="C9" s="37"/>
      <c r="D9" s="37"/>
      <c r="F9" t="s">
        <v>9</v>
      </c>
      <c r="G9" s="37">
        <f>(D10/B10)</f>
        <v>5.005005005005005E-3</v>
      </c>
      <c r="N9">
        <f>($B$5/5)</f>
        <v>119.88</v>
      </c>
      <c r="O9" s="35">
        <f>($C$5*Params!K11)</f>
        <v>2.002002002002002E-2</v>
      </c>
      <c r="P9" s="37">
        <f>(O9*N9)</f>
        <v>2.4</v>
      </c>
    </row>
    <row r="10" spans="2:16">
      <c r="B10">
        <f>(SUM(B5:B9))</f>
        <v>599.4</v>
      </c>
      <c r="C10" s="37"/>
      <c r="D10" s="37">
        <f>(SUM(D5:D9))</f>
        <v>3</v>
      </c>
      <c r="O10" s="37"/>
      <c r="P10" s="37"/>
    </row>
    <row r="11" spans="2:16">
      <c r="O11" s="37"/>
      <c r="P11" s="37">
        <f>(SUM(P6:P9))</f>
        <v>5.4599999999999991</v>
      </c>
    </row>
  </sheetData>
  <conditionalFormatting sqref="C5 G9 O6:O9">
    <cfRule type="cellIs" dxfId="1" priority="5" operator="lessThan">
      <formula>$J$3</formula>
    </cfRule>
    <cfRule type="cellIs" dxfId="0" priority="6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P13" sqref="P13"/>
    </sheetView>
  </sheetViews>
  <sheetFormatPr baseColWidth="10" defaultColWidth="9.140625" defaultRowHeight="15"/>
  <sheetData>
    <row r="8" spans="6:16">
      <c r="F8" t="s">
        <v>84</v>
      </c>
      <c r="K8" t="s">
        <v>85</v>
      </c>
      <c r="L8" t="s">
        <v>86</v>
      </c>
      <c r="N8">
        <f>(L8*(K8-1))</f>
        <v>6.0000000000000012E-2</v>
      </c>
    </row>
    <row r="9" spans="6:16">
      <c r="K9" t="s">
        <v>87</v>
      </c>
      <c r="L9" t="s">
        <v>86</v>
      </c>
      <c r="N9">
        <f>(L9*(K9-1))</f>
        <v>0.12000000000000002</v>
      </c>
    </row>
    <row r="10" spans="6:16">
      <c r="K10" t="s">
        <v>88</v>
      </c>
      <c r="L10" t="s">
        <v>86</v>
      </c>
      <c r="N10">
        <f>(L10*(K10-1))</f>
        <v>0.24000000000000005</v>
      </c>
    </row>
    <row r="11" spans="6:16">
      <c r="K11" t="s">
        <v>89</v>
      </c>
      <c r="L11" t="s">
        <v>86</v>
      </c>
      <c r="N11">
        <f>(L11*(K11-1))</f>
        <v>0.60000000000000009</v>
      </c>
    </row>
    <row r="12" spans="6:16">
      <c r="K12" t="s">
        <v>90</v>
      </c>
      <c r="L12" t="s">
        <v>86</v>
      </c>
      <c r="N12">
        <f>(L12*(K12-1))</f>
        <v>1.4000000000000001</v>
      </c>
    </row>
    <row r="13" spans="6:16">
      <c r="N13">
        <f>(SUM(N8:N12))</f>
        <v>2.4200000000000004</v>
      </c>
      <c r="O13">
        <f>(4/5+N13)</f>
        <v>3.2200000000000006</v>
      </c>
      <c r="P13">
        <f>(O13)</f>
        <v>3.2200000000000006</v>
      </c>
    </row>
    <row r="15" spans="6:16">
      <c r="K15" t="s">
        <v>91</v>
      </c>
      <c r="L15" t="s">
        <v>86</v>
      </c>
      <c r="N15">
        <f>(L15*(K15-1))</f>
        <v>0.1</v>
      </c>
    </row>
    <row r="16" spans="6:16">
      <c r="K16" t="s">
        <v>92</v>
      </c>
      <c r="L16" t="s">
        <v>86</v>
      </c>
      <c r="N16">
        <f>(L16*(K16-1))</f>
        <v>0.2</v>
      </c>
    </row>
    <row r="17" spans="11:16">
      <c r="K17" t="s">
        <v>89</v>
      </c>
      <c r="L17" t="s">
        <v>86</v>
      </c>
      <c r="N17">
        <f>(L17*(K17-1))</f>
        <v>0.60000000000000009</v>
      </c>
    </row>
    <row r="18" spans="11:16">
      <c r="K18" t="s">
        <v>90</v>
      </c>
      <c r="L18" t="s">
        <v>86</v>
      </c>
      <c r="N18">
        <f>(L18*(K18-1))</f>
        <v>1.4000000000000001</v>
      </c>
    </row>
    <row r="19" spans="11:16">
      <c r="K19" t="s">
        <v>93</v>
      </c>
      <c r="L19" t="s">
        <v>86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 t="s">
        <v>85</v>
      </c>
      <c r="L22" t="s">
        <v>94</v>
      </c>
      <c r="N22">
        <f>(L22*(K22-1))</f>
        <v>3.0000000000000006E-2</v>
      </c>
    </row>
    <row r="23" spans="11:16">
      <c r="K23" t="s">
        <v>87</v>
      </c>
      <c r="L23" t="s">
        <v>86</v>
      </c>
      <c r="N23">
        <f>(L23*(K23-1))</f>
        <v>0.12000000000000002</v>
      </c>
    </row>
    <row r="24" spans="11:16">
      <c r="K24" t="s">
        <v>88</v>
      </c>
      <c r="L24" t="s">
        <v>95</v>
      </c>
      <c r="N24">
        <f>(L24*(K24-1))</f>
        <v>0.30000000000000004</v>
      </c>
    </row>
    <row r="25" spans="11:16">
      <c r="K25" t="s">
        <v>89</v>
      </c>
      <c r="L25" t="s">
        <v>95</v>
      </c>
      <c r="N25">
        <f>(L25*(K25-1))</f>
        <v>0.75</v>
      </c>
    </row>
    <row r="26" spans="11:16">
      <c r="K26" t="s">
        <v>90</v>
      </c>
      <c r="L26" t="s">
        <v>86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E39" sqref="E39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7">
        <v>0.20064918969956869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(B9*J3)</f>
        <v>1.2207095402942361</v>
      </c>
      <c r="K4" s="4">
        <f>(J4/D9-1)</f>
        <v>-0.95771340357009582</v>
      </c>
    </row>
    <row r="5" spans="2:16">
      <c r="B5" s="19">
        <v>1.5469999999999999</v>
      </c>
      <c r="C5" s="37">
        <v>10</v>
      </c>
      <c r="D5" s="37">
        <f>(B5*C5)</f>
        <v>15.469999999999999</v>
      </c>
      <c r="N5" t="s">
        <v>1</v>
      </c>
      <c r="O5" t="s">
        <v>29</v>
      </c>
      <c r="P5" t="s">
        <v>2</v>
      </c>
    </row>
    <row r="6" spans="2:16">
      <c r="B6" s="19">
        <v>2.5367999999999999</v>
      </c>
      <c r="C6" s="37">
        <v>3.9409999999999998</v>
      </c>
      <c r="D6" s="37">
        <f>(B6*C6)</f>
        <v>9.9975287999999995</v>
      </c>
      <c r="M6" t="s">
        <v>4</v>
      </c>
      <c r="N6" s="37">
        <f>(MIN(C5:C8)*2)</f>
        <v>3.4</v>
      </c>
      <c r="O6">
        <f>(INDEX(B5:B8,MATCH(N6/2,C5:C8,0)))</f>
        <v>2</v>
      </c>
      <c r="P6" s="37">
        <f>(N6*O6/2)</f>
        <v>3.4</v>
      </c>
    </row>
    <row r="7" spans="2:16">
      <c r="B7" s="19">
        <v>2</v>
      </c>
      <c r="C7" s="37">
        <v>1.7</v>
      </c>
      <c r="D7" s="37">
        <f>(B7*C7)</f>
        <v>3.4</v>
      </c>
    </row>
    <row r="8" spans="2:16">
      <c r="F8" t="s">
        <v>9</v>
      </c>
      <c r="G8" s="37">
        <f>(SUM(D5:D8)/SUM(B5:B8))</f>
        <v>4.744983201288667</v>
      </c>
    </row>
    <row r="9" spans="2:16">
      <c r="B9" s="19">
        <f>(SUM(B5:B8))</f>
        <v>6.0838000000000001</v>
      </c>
      <c r="D9" s="37">
        <f>(SUM(D5:D8))</f>
        <v>28.867528799999995</v>
      </c>
    </row>
    <row r="10" spans="2:16">
      <c r="D10" s="37"/>
      <c r="N10" t="s">
        <v>29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7">
        <f>($C$5*Params!K8)</f>
        <v>13</v>
      </c>
      <c r="P11" s="37">
        <f>(O11*N11)</f>
        <v>4.0221999999999998</v>
      </c>
    </row>
    <row r="12" spans="2:16">
      <c r="N12">
        <f>($B$5/5)</f>
        <v>0.30940000000000001</v>
      </c>
      <c r="O12" s="37">
        <f>($C$5*Params!K9)</f>
        <v>16</v>
      </c>
      <c r="P12" s="37">
        <f>(O12*N12)</f>
        <v>4.9504000000000001</v>
      </c>
    </row>
    <row r="13" spans="2:16">
      <c r="N13">
        <f>($B$5/5)</f>
        <v>0.30940000000000001</v>
      </c>
      <c r="O13" s="37">
        <f>($C$5*Params!K10)</f>
        <v>22</v>
      </c>
      <c r="P13" s="37">
        <f>(O13*N13)</f>
        <v>6.8068</v>
      </c>
    </row>
    <row r="14" spans="2:16">
      <c r="N14">
        <f>($B$5/5)</f>
        <v>0.30940000000000001</v>
      </c>
      <c r="O14" s="37">
        <f>($C$5*Params!K11)</f>
        <v>40</v>
      </c>
      <c r="P14" s="37">
        <f>(O14*N14)</f>
        <v>12.376000000000001</v>
      </c>
    </row>
    <row r="17" spans="13:16">
      <c r="P17" s="37">
        <f>(SUM(P11:P14))</f>
        <v>28.1554</v>
      </c>
    </row>
    <row r="19" spans="13:16">
      <c r="N19" t="s">
        <v>29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7">
        <f>($C$6*Params!K8)</f>
        <v>5.1232999999999995</v>
      </c>
      <c r="P20" s="37">
        <f>(O20*N20)</f>
        <v>2.5993574879999999</v>
      </c>
    </row>
    <row r="21" spans="13:16">
      <c r="N21">
        <f>($B$6/5)</f>
        <v>0.50736000000000003</v>
      </c>
      <c r="O21" s="37">
        <f>($C$6*Params!K9)</f>
        <v>6.3056000000000001</v>
      </c>
      <c r="P21" s="37">
        <f>(O21*N21)</f>
        <v>3.1992092160000003</v>
      </c>
    </row>
    <row r="22" spans="13:16">
      <c r="N22">
        <f>($B$6/5)</f>
        <v>0.50736000000000003</v>
      </c>
      <c r="O22" s="37">
        <f>($C$6*Params!K10)</f>
        <v>8.6701999999999995</v>
      </c>
      <c r="P22" s="37">
        <f>(O22*N22)</f>
        <v>4.3989126719999998</v>
      </c>
    </row>
    <row r="23" spans="13:16">
      <c r="N23">
        <f>($B$6/5)</f>
        <v>0.50736000000000003</v>
      </c>
      <c r="O23" s="37">
        <f>($C$6*Params!K11)</f>
        <v>15.763999999999999</v>
      </c>
      <c r="P23" s="37">
        <f>(O23*N23)</f>
        <v>7.9980230400000005</v>
      </c>
    </row>
    <row r="26" spans="13:16">
      <c r="P26" s="37">
        <f>(SUM(P20:P23))</f>
        <v>18.195502416</v>
      </c>
    </row>
    <row r="28" spans="13:16">
      <c r="N28" t="s">
        <v>29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7">
        <f>($C$7*Params!K8)</f>
        <v>2.21</v>
      </c>
      <c r="P29" s="37">
        <f>(O29*N29)</f>
        <v>0.88400000000000001</v>
      </c>
    </row>
    <row r="30" spans="13:16">
      <c r="N30">
        <f>($B$7/5)</f>
        <v>0.4</v>
      </c>
      <c r="O30" s="37">
        <f>($C$7*Params!K9)</f>
        <v>2.72</v>
      </c>
      <c r="P30" s="37">
        <f>(O30*N30)</f>
        <v>1.0880000000000001</v>
      </c>
    </row>
    <row r="31" spans="13:16">
      <c r="N31">
        <f>($B$7/5)</f>
        <v>0.4</v>
      </c>
      <c r="O31" s="37">
        <f>($C$7*Params!K10)</f>
        <v>3.74</v>
      </c>
      <c r="P31" s="37">
        <f>(O31*N31)</f>
        <v>1.4960000000000002</v>
      </c>
    </row>
    <row r="32" spans="13:16">
      <c r="N32">
        <f>($B$7/5)</f>
        <v>0.4</v>
      </c>
      <c r="O32" s="37">
        <f>($C$7*Params!K11)</f>
        <v>6.8</v>
      </c>
      <c r="P32" s="37">
        <f>(O32*N32)</f>
        <v>2.72</v>
      </c>
    </row>
    <row r="35" spans="16:16">
      <c r="P35" s="37">
        <f>(SUM(P29:P32))</f>
        <v>6.1880000000000006</v>
      </c>
    </row>
  </sheetData>
  <conditionalFormatting sqref="C5:C7">
    <cfRule type="cellIs" dxfId="303" priority="9" operator="lessThan">
      <formula>$J$3</formula>
    </cfRule>
    <cfRule type="cellIs" dxfId="302" priority="10" operator="greaterThan">
      <formula>$J$3</formula>
    </cfRule>
  </conditionalFormatting>
  <conditionalFormatting sqref="O11:O14">
    <cfRule type="cellIs" dxfId="301" priority="7" operator="lessThan">
      <formula>$J$3</formula>
    </cfRule>
    <cfRule type="cellIs" dxfId="300" priority="8" operator="greaterThan">
      <formula>$J$3</formula>
    </cfRule>
  </conditionalFormatting>
  <conditionalFormatting sqref="O20:O23">
    <cfRule type="cellIs" dxfId="299" priority="5" operator="lessThan">
      <formula>$J$3</formula>
    </cfRule>
    <cfRule type="cellIs" dxfId="298" priority="6" operator="greaterThan">
      <formula>$J$3</formula>
    </cfRule>
  </conditionalFormatting>
  <conditionalFormatting sqref="O29:O32">
    <cfRule type="cellIs" dxfId="297" priority="3" operator="lessThan">
      <formula>$J$3</formula>
    </cfRule>
    <cfRule type="cellIs" dxfId="296" priority="4" operator="greaterThan">
      <formula>$J$3</formula>
    </cfRule>
  </conditionalFormatting>
  <conditionalFormatting sqref="N6">
    <cfRule type="cellIs" dxfId="295" priority="1" operator="lessThan">
      <formula>$J$3</formula>
    </cfRule>
    <cfRule type="cellIs" dxfId="294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P74"/>
  <sheetViews>
    <sheetView workbookViewId="0">
      <selection activeCell="L43" sqref="L43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bestFit="1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30</v>
      </c>
      <c r="H2">
        <v>497</v>
      </c>
    </row>
    <row r="3" spans="2:14">
      <c r="B3" s="5" t="s">
        <v>31</v>
      </c>
      <c r="C3" s="6"/>
      <c r="D3" s="6"/>
      <c r="E3" s="6"/>
      <c r="F3" s="7"/>
      <c r="I3" t="s">
        <v>32</v>
      </c>
      <c r="J3" s="28">
        <v>2.917161271890159E-3</v>
      </c>
    </row>
    <row r="4" spans="2:14">
      <c r="B4" s="8"/>
      <c r="C4" t="s">
        <v>6</v>
      </c>
      <c r="D4" t="s">
        <v>33</v>
      </c>
      <c r="E4" t="s">
        <v>34</v>
      </c>
      <c r="F4" s="9" t="s">
        <v>35</v>
      </c>
      <c r="I4" t="s">
        <v>36</v>
      </c>
      <c r="J4">
        <v>6.1439999999999997E-4</v>
      </c>
      <c r="K4" t="s">
        <v>37</v>
      </c>
      <c r="N4" t="s">
        <v>38</v>
      </c>
    </row>
    <row r="5" spans="2:14">
      <c r="B5" s="8" t="s">
        <v>39</v>
      </c>
      <c r="C5" s="39">
        <v>135</v>
      </c>
      <c r="D5" s="37">
        <v>3.5</v>
      </c>
      <c r="E5" s="38">
        <f t="shared" ref="E5:E29" si="0">C5+D5</f>
        <v>138.5</v>
      </c>
      <c r="F5" s="9" t="s">
        <v>40</v>
      </c>
      <c r="I5" t="s">
        <v>41</v>
      </c>
      <c r="J5">
        <v>2.1503999999999998E-3</v>
      </c>
      <c r="K5" t="s">
        <v>37</v>
      </c>
      <c r="N5">
        <v>0.89500000000000002</v>
      </c>
    </row>
    <row r="6" spans="2:14">
      <c r="B6" s="8" t="s">
        <v>42</v>
      </c>
      <c r="C6" s="39">
        <v>18</v>
      </c>
      <c r="D6" s="37">
        <v>3.5</v>
      </c>
      <c r="E6" s="38">
        <f t="shared" si="0"/>
        <v>21.5</v>
      </c>
      <c r="F6" s="9" t="s">
        <v>40</v>
      </c>
      <c r="I6" t="s">
        <v>43</v>
      </c>
      <c r="J6">
        <v>1.4335999999999999E-3</v>
      </c>
      <c r="K6" t="s">
        <v>37</v>
      </c>
    </row>
    <row r="7" spans="2:14">
      <c r="B7" s="8" t="s">
        <v>44</v>
      </c>
      <c r="C7" s="37">
        <v>18</v>
      </c>
      <c r="D7" s="37">
        <v>3.5</v>
      </c>
      <c r="E7" s="38">
        <f t="shared" si="0"/>
        <v>21.5</v>
      </c>
      <c r="F7" s="9" t="s">
        <v>40</v>
      </c>
      <c r="I7" t="s">
        <v>45</v>
      </c>
      <c r="J7">
        <v>1.7408E-3</v>
      </c>
      <c r="K7" t="s">
        <v>37</v>
      </c>
    </row>
    <row r="8" spans="2:14">
      <c r="B8" s="8" t="s">
        <v>46</v>
      </c>
      <c r="C8" s="37">
        <v>55</v>
      </c>
      <c r="D8" s="37">
        <v>3.5</v>
      </c>
      <c r="E8" s="38">
        <f t="shared" si="0"/>
        <v>58.5</v>
      </c>
      <c r="F8" s="9" t="s">
        <v>40</v>
      </c>
    </row>
    <row r="9" spans="2:14">
      <c r="B9" s="8" t="s">
        <v>46</v>
      </c>
      <c r="C9" s="37">
        <v>-134.99</v>
      </c>
      <c r="D9" s="37">
        <v>0.01</v>
      </c>
      <c r="E9" s="38">
        <f t="shared" si="0"/>
        <v>-134.98000000000002</v>
      </c>
      <c r="F9" s="9" t="s">
        <v>47</v>
      </c>
    </row>
    <row r="10" spans="2:14">
      <c r="B10" s="8" t="s">
        <v>46</v>
      </c>
      <c r="C10" s="37">
        <v>125</v>
      </c>
      <c r="D10" s="37">
        <f>0.002*151</f>
        <v>0.30199999999999999</v>
      </c>
      <c r="E10" s="38">
        <f t="shared" si="0"/>
        <v>125.30200000000001</v>
      </c>
      <c r="F10" s="9" t="s">
        <v>40</v>
      </c>
    </row>
    <row r="11" spans="2:14">
      <c r="B11" s="8" t="s">
        <v>46</v>
      </c>
      <c r="C11" s="37">
        <v>-144.96</v>
      </c>
      <c r="D11" s="37">
        <v>0.01</v>
      </c>
      <c r="E11" s="38">
        <f t="shared" si="0"/>
        <v>-144.95000000000002</v>
      </c>
      <c r="F11" s="9" t="s">
        <v>47</v>
      </c>
    </row>
    <row r="12" spans="2:14">
      <c r="B12" s="8" t="s">
        <v>46</v>
      </c>
      <c r="C12" s="37">
        <v>130</v>
      </c>
      <c r="D12" s="37">
        <f>0.002*151</f>
        <v>0.30199999999999999</v>
      </c>
      <c r="E12" s="38">
        <f t="shared" si="0"/>
        <v>130.30199999999999</v>
      </c>
      <c r="F12" s="9" t="s">
        <v>40</v>
      </c>
      <c r="I12" t="s">
        <v>48</v>
      </c>
      <c r="J12" s="37">
        <f>(SUM(D5:E8))</f>
        <v>254</v>
      </c>
    </row>
    <row r="13" spans="2:14">
      <c r="B13" s="8" t="s">
        <v>46</v>
      </c>
      <c r="C13" s="37">
        <v>-144.94999999999999</v>
      </c>
      <c r="D13" s="37">
        <v>0.01</v>
      </c>
      <c r="E13" s="38">
        <f t="shared" si="0"/>
        <v>-144.94</v>
      </c>
      <c r="F13" s="9" t="s">
        <v>47</v>
      </c>
      <c r="I13" t="s">
        <v>49</v>
      </c>
      <c r="J13" s="37">
        <f>(SUM(K34:K42)-C74*J3+D74)</f>
        <v>5.2376127758541173</v>
      </c>
    </row>
    <row r="14" spans="2:14">
      <c r="B14" s="8" t="s">
        <v>46</v>
      </c>
      <c r="C14" s="37">
        <v>130</v>
      </c>
      <c r="D14" s="37">
        <f>0.01</f>
        <v>0.01</v>
      </c>
      <c r="E14" s="38">
        <f t="shared" si="0"/>
        <v>130.01</v>
      </c>
      <c r="F14" s="9" t="s">
        <v>40</v>
      </c>
      <c r="I14" t="s">
        <v>50</v>
      </c>
      <c r="J14" s="37">
        <f>(-SUM(E9:E30))</f>
        <v>-14.953999999999938</v>
      </c>
      <c r="K14" s="38">
        <f>(J14-M37-M38-M39-M41-L42)</f>
        <v>-42.303999999999931</v>
      </c>
    </row>
    <row r="15" spans="2:14">
      <c r="B15" s="8" t="s">
        <v>46</v>
      </c>
      <c r="C15" s="37">
        <v>-144.97999999999999</v>
      </c>
      <c r="D15" s="37">
        <v>0.01</v>
      </c>
      <c r="E15" s="38">
        <f t="shared" si="0"/>
        <v>-144.97</v>
      </c>
      <c r="F15" s="9" t="s">
        <v>47</v>
      </c>
      <c r="I15" t="s">
        <v>34</v>
      </c>
      <c r="J15" s="37">
        <f>(J13-J12+J14)</f>
        <v>-263.71638722414582</v>
      </c>
    </row>
    <row r="16" spans="2:14">
      <c r="B16" s="8" t="s">
        <v>46</v>
      </c>
      <c r="C16" s="37">
        <v>130</v>
      </c>
      <c r="D16" s="37">
        <f>0.01</f>
        <v>0.01</v>
      </c>
      <c r="E16" s="38">
        <f t="shared" si="0"/>
        <v>130.01</v>
      </c>
      <c r="F16" s="9" t="s">
        <v>40</v>
      </c>
      <c r="I16" t="s">
        <v>51</v>
      </c>
      <c r="J16" s="37">
        <f>(J15+M46)</f>
        <v>-187.44638722414581</v>
      </c>
    </row>
    <row r="17" spans="2:14">
      <c r="B17" s="8" t="s">
        <v>44</v>
      </c>
      <c r="C17" s="37">
        <v>19.73</v>
      </c>
      <c r="D17" s="37">
        <v>0.28000000000000003</v>
      </c>
      <c r="E17" s="38">
        <f t="shared" si="0"/>
        <v>20.010000000000002</v>
      </c>
      <c r="F17" s="9" t="s">
        <v>40</v>
      </c>
    </row>
    <row r="18" spans="2:14">
      <c r="B18" s="8" t="s">
        <v>44</v>
      </c>
      <c r="C18" s="37">
        <v>38</v>
      </c>
      <c r="D18" s="37">
        <v>0.01</v>
      </c>
      <c r="E18" s="38">
        <f t="shared" si="0"/>
        <v>38.01</v>
      </c>
      <c r="F18" s="9" t="s">
        <v>52</v>
      </c>
    </row>
    <row r="19" spans="2:14">
      <c r="B19" s="8" t="s">
        <v>44</v>
      </c>
      <c r="C19" s="37">
        <v>11.25</v>
      </c>
      <c r="D19" s="37">
        <v>0.01</v>
      </c>
      <c r="E19" s="38">
        <f t="shared" si="0"/>
        <v>11.26</v>
      </c>
      <c r="F19" s="9" t="s">
        <v>40</v>
      </c>
    </row>
    <row r="20" spans="2:14">
      <c r="B20" s="8" t="s">
        <v>44</v>
      </c>
      <c r="C20" s="39">
        <v>8.02</v>
      </c>
      <c r="D20" s="37">
        <v>0.01</v>
      </c>
      <c r="E20" s="38">
        <f t="shared" si="0"/>
        <v>8.0299999999999994</v>
      </c>
      <c r="F20" s="9" t="s">
        <v>40</v>
      </c>
    </row>
    <row r="21" spans="2:14">
      <c r="B21" s="8" t="s">
        <v>42</v>
      </c>
      <c r="C21" s="37">
        <v>6.01</v>
      </c>
      <c r="D21" s="37">
        <v>0</v>
      </c>
      <c r="E21" s="38">
        <f t="shared" si="0"/>
        <v>6.01</v>
      </c>
      <c r="F21" s="9" t="s">
        <v>40</v>
      </c>
    </row>
    <row r="22" spans="2:14">
      <c r="B22" s="8" t="s">
        <v>46</v>
      </c>
      <c r="C22" s="37">
        <v>-30.99</v>
      </c>
      <c r="D22" s="37">
        <v>0</v>
      </c>
      <c r="E22" s="38">
        <f t="shared" si="0"/>
        <v>-30.99</v>
      </c>
      <c r="F22" s="9" t="s">
        <v>47</v>
      </c>
    </row>
    <row r="23" spans="2:14">
      <c r="B23" s="8" t="s">
        <v>46</v>
      </c>
      <c r="C23" s="37">
        <v>27.01</v>
      </c>
      <c r="D23" s="37">
        <v>0</v>
      </c>
      <c r="E23" s="38">
        <f t="shared" si="0"/>
        <v>27.01</v>
      </c>
      <c r="F23" s="9" t="s">
        <v>40</v>
      </c>
    </row>
    <row r="24" spans="2:14">
      <c r="B24" s="8" t="s">
        <v>46</v>
      </c>
      <c r="C24" s="37">
        <v>-47.22</v>
      </c>
      <c r="D24" s="37">
        <v>0</v>
      </c>
      <c r="E24" s="38">
        <f t="shared" si="0"/>
        <v>-47.22</v>
      </c>
      <c r="F24" s="9" t="s">
        <v>47</v>
      </c>
    </row>
    <row r="25" spans="2:14">
      <c r="B25" s="8" t="s">
        <v>46</v>
      </c>
      <c r="C25" s="37">
        <v>35.020000000000003</v>
      </c>
      <c r="D25" s="37">
        <v>0</v>
      </c>
      <c r="E25" s="38">
        <f t="shared" si="0"/>
        <v>35.020000000000003</v>
      </c>
      <c r="F25" s="9" t="s">
        <v>40</v>
      </c>
    </row>
    <row r="26" spans="2:14">
      <c r="B26" s="8" t="s">
        <v>46</v>
      </c>
      <c r="C26" s="37">
        <v>-59.99</v>
      </c>
      <c r="D26" s="37">
        <v>0</v>
      </c>
      <c r="E26" s="38">
        <f t="shared" si="0"/>
        <v>-59.99</v>
      </c>
      <c r="F26" s="9" t="s">
        <v>47</v>
      </c>
    </row>
    <row r="27" spans="2:14">
      <c r="B27" s="8" t="s">
        <v>46</v>
      </c>
      <c r="C27" s="39">
        <v>30.05</v>
      </c>
      <c r="D27" s="37">
        <v>0</v>
      </c>
      <c r="E27" s="38">
        <f t="shared" si="0"/>
        <v>30.05</v>
      </c>
      <c r="F27" s="9" t="s">
        <v>40</v>
      </c>
    </row>
    <row r="28" spans="2:14">
      <c r="B28" s="8" t="s">
        <v>46</v>
      </c>
      <c r="C28" s="39">
        <v>36.01</v>
      </c>
      <c r="D28" s="37">
        <v>0</v>
      </c>
      <c r="E28" s="38">
        <f t="shared" si="0"/>
        <v>36.01</v>
      </c>
      <c r="F28" s="9" t="s">
        <v>40</v>
      </c>
    </row>
    <row r="29" spans="2:14">
      <c r="B29" s="8" t="s">
        <v>42</v>
      </c>
      <c r="C29" s="37">
        <v>-8.0500000000000007</v>
      </c>
      <c r="D29" s="37">
        <v>0</v>
      </c>
      <c r="E29" s="38">
        <f t="shared" si="0"/>
        <v>-8.0500000000000007</v>
      </c>
      <c r="F29" s="9" t="s">
        <v>47</v>
      </c>
    </row>
    <row r="30" spans="2:14">
      <c r="B30" s="10" t="s">
        <v>44</v>
      </c>
      <c r="C30" s="11">
        <v>4</v>
      </c>
      <c r="D30" s="40">
        <v>0.01</v>
      </c>
      <c r="E30" s="40">
        <f>(C30+D30)</f>
        <v>4.01</v>
      </c>
      <c r="F30" s="12" t="s">
        <v>40</v>
      </c>
    </row>
    <row r="32" spans="2:14">
      <c r="B32" s="5" t="s">
        <v>53</v>
      </c>
      <c r="C32" s="6"/>
      <c r="D32" s="6"/>
      <c r="E32" s="6"/>
      <c r="F32" s="6"/>
      <c r="G32" s="6"/>
      <c r="H32" s="6"/>
      <c r="I32" s="6"/>
      <c r="J32" s="6"/>
      <c r="K32" s="7"/>
      <c r="L32" t="s">
        <v>54</v>
      </c>
      <c r="M32" t="s">
        <v>55</v>
      </c>
      <c r="N32" t="s">
        <v>35</v>
      </c>
    </row>
    <row r="33" spans="2:16">
      <c r="B33" s="8"/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s="13" t="s">
        <v>61</v>
      </c>
      <c r="I33" t="s">
        <v>62</v>
      </c>
      <c r="J33" t="s">
        <v>5</v>
      </c>
      <c r="K33" s="9" t="s">
        <v>63</v>
      </c>
    </row>
    <row r="34" spans="2:16">
      <c r="B34" s="8" t="s">
        <v>39</v>
      </c>
      <c r="C34">
        <v>6.2539999999999996</v>
      </c>
      <c r="D34">
        <f>$H$2</f>
        <v>497</v>
      </c>
      <c r="E34">
        <f t="shared" ref="E34:E40" si="1">C34*D34</f>
        <v>3108.2379999999998</v>
      </c>
      <c r="F34" s="29">
        <f t="shared" ref="F34:F40" si="2">E34*$N$5</f>
        <v>2781.8730099999998</v>
      </c>
      <c r="G34" s="37">
        <v>3.5</v>
      </c>
      <c r="H34" s="30">
        <f>G50</f>
        <v>1.5615590400000001</v>
      </c>
      <c r="I34" s="38">
        <f t="shared" ref="I34:I41" si="3">((F34-H34*D34)*$J$3-G34)</f>
        <v>2.3511783891252902</v>
      </c>
      <c r="J34">
        <v>1</v>
      </c>
      <c r="K34" s="41">
        <f t="shared" ref="K34:K40" si="4">I34*J34</f>
        <v>2.3511783891252902</v>
      </c>
      <c r="L34" s="31">
        <v>31.51</v>
      </c>
      <c r="M34" s="31">
        <f t="shared" ref="M34:M40" si="5">L34*J34</f>
        <v>31.51</v>
      </c>
    </row>
    <row r="35" spans="2:16">
      <c r="B35" s="8" t="s">
        <v>42</v>
      </c>
      <c r="C35">
        <v>0.96599999999999997</v>
      </c>
      <c r="D35">
        <f>$H$2</f>
        <v>497</v>
      </c>
      <c r="E35">
        <f t="shared" si="1"/>
        <v>480.10199999999998</v>
      </c>
      <c r="F35" s="29">
        <f t="shared" si="2"/>
        <v>429.69128999999998</v>
      </c>
      <c r="G35" s="37">
        <v>3.5</v>
      </c>
      <c r="H35" s="30">
        <f>G51</f>
        <v>0.21337130135885166</v>
      </c>
      <c r="I35" s="38">
        <f t="shared" si="3"/>
        <v>-2.5558731428813295</v>
      </c>
      <c r="J35">
        <v>1</v>
      </c>
      <c r="K35" s="41">
        <f t="shared" si="4"/>
        <v>-2.5558731428813295</v>
      </c>
      <c r="L35" s="31">
        <v>4.1500000000000004</v>
      </c>
      <c r="M35" s="31">
        <f t="shared" si="5"/>
        <v>4.1500000000000004</v>
      </c>
    </row>
    <row r="36" spans="2:16">
      <c r="B36" s="8" t="s">
        <v>44</v>
      </c>
      <c r="C36">
        <v>0.85099999999999998</v>
      </c>
      <c r="D36">
        <f>$H$2</f>
        <v>497</v>
      </c>
      <c r="E36">
        <f t="shared" si="1"/>
        <v>422.947</v>
      </c>
      <c r="F36" s="29">
        <f t="shared" si="2"/>
        <v>378.53756500000003</v>
      </c>
      <c r="G36" s="37">
        <v>3.5</v>
      </c>
      <c r="H36" s="30">
        <f>G52</f>
        <v>0.18479602162162162</v>
      </c>
      <c r="I36" s="38">
        <f t="shared" si="3"/>
        <v>-2.6636675347709597</v>
      </c>
      <c r="J36">
        <v>1</v>
      </c>
      <c r="K36" s="41">
        <f t="shared" si="4"/>
        <v>-2.6636675347709597</v>
      </c>
      <c r="L36" s="31">
        <v>3.51</v>
      </c>
      <c r="M36" s="31">
        <f t="shared" si="5"/>
        <v>3.51</v>
      </c>
    </row>
    <row r="37" spans="2:16">
      <c r="B37" s="8" t="s">
        <v>44</v>
      </c>
      <c r="C37">
        <v>0.85099999999999998</v>
      </c>
      <c r="D37">
        <f>$H$2-34</f>
        <v>463</v>
      </c>
      <c r="E37">
        <f t="shared" si="1"/>
        <v>394.01299999999998</v>
      </c>
      <c r="F37" s="29">
        <f t="shared" si="2"/>
        <v>352.64163500000001</v>
      </c>
      <c r="G37" s="37">
        <v>0</v>
      </c>
      <c r="H37" s="30">
        <f>G52</f>
        <v>0.18479602162162162</v>
      </c>
      <c r="I37" s="38">
        <f t="shared" si="3"/>
        <v>0.77911857424757669</v>
      </c>
      <c r="J37">
        <v>3</v>
      </c>
      <c r="K37" s="41">
        <f t="shared" si="4"/>
        <v>2.3373557227427302</v>
      </c>
      <c r="L37" s="31">
        <f>L36</f>
        <v>3.51</v>
      </c>
      <c r="M37" s="31">
        <f t="shared" si="5"/>
        <v>10.53</v>
      </c>
    </row>
    <row r="38" spans="2:16">
      <c r="B38" s="8" t="s">
        <v>44</v>
      </c>
      <c r="C38">
        <v>0.85099999999999998</v>
      </c>
      <c r="D38">
        <f>$H$2-34-58</f>
        <v>405</v>
      </c>
      <c r="E38">
        <f t="shared" si="1"/>
        <v>344.65499999999997</v>
      </c>
      <c r="F38" s="29">
        <f t="shared" si="2"/>
        <v>308.46622500000001</v>
      </c>
      <c r="G38" s="37">
        <v>0</v>
      </c>
      <c r="H38" s="30">
        <f>H37</f>
        <v>0.18479602162162162</v>
      </c>
      <c r="I38" s="38">
        <f t="shared" si="3"/>
        <v>0.68151840727919777</v>
      </c>
      <c r="J38">
        <v>1</v>
      </c>
      <c r="K38" s="41">
        <f t="shared" si="4"/>
        <v>0.68151840727919777</v>
      </c>
      <c r="L38" s="31">
        <f>L37</f>
        <v>3.51</v>
      </c>
      <c r="M38" s="31">
        <f t="shared" si="5"/>
        <v>3.51</v>
      </c>
    </row>
    <row r="39" spans="2:16">
      <c r="B39" s="8" t="s">
        <v>44</v>
      </c>
      <c r="C39">
        <v>0.85099999999999998</v>
      </c>
      <c r="D39">
        <f>$H$2-140</f>
        <v>357</v>
      </c>
      <c r="E39">
        <f t="shared" si="1"/>
        <v>303.80700000000002</v>
      </c>
      <c r="F39" s="29">
        <f t="shared" si="2"/>
        <v>271.907265</v>
      </c>
      <c r="G39" s="37">
        <v>0</v>
      </c>
      <c r="H39" s="30">
        <f>H38</f>
        <v>0.18479602162162162</v>
      </c>
      <c r="I39" s="38">
        <f t="shared" si="3"/>
        <v>0.60074585530536673</v>
      </c>
      <c r="J39">
        <v>1</v>
      </c>
      <c r="K39" s="41">
        <f t="shared" si="4"/>
        <v>0.60074585530536673</v>
      </c>
      <c r="L39" s="31">
        <f>L38</f>
        <v>3.51</v>
      </c>
      <c r="M39" s="31">
        <f t="shared" si="5"/>
        <v>3.51</v>
      </c>
    </row>
    <row r="40" spans="2:16">
      <c r="B40" s="15" t="s">
        <v>42</v>
      </c>
      <c r="C40" s="16">
        <v>0.96599999999999997</v>
      </c>
      <c r="D40" s="16">
        <v>70</v>
      </c>
      <c r="E40" s="16">
        <f t="shared" si="1"/>
        <v>67.62</v>
      </c>
      <c r="F40" s="17">
        <f t="shared" si="2"/>
        <v>60.519900000000007</v>
      </c>
      <c r="G40" s="42">
        <v>0</v>
      </c>
      <c r="H40" s="32">
        <f>H35</f>
        <v>0.21337130135885166</v>
      </c>
      <c r="I40" s="42">
        <f t="shared" si="3"/>
        <v>0.13297561367868602</v>
      </c>
      <c r="J40" s="16">
        <v>1</v>
      </c>
      <c r="K40" s="43">
        <f t="shared" si="4"/>
        <v>0.13297561367868602</v>
      </c>
      <c r="L40" s="33">
        <v>0</v>
      </c>
      <c r="M40" s="33">
        <f t="shared" si="5"/>
        <v>0</v>
      </c>
      <c r="N40" t="s">
        <v>64</v>
      </c>
    </row>
    <row r="41" spans="2:16">
      <c r="B41" s="8" t="s">
        <v>44</v>
      </c>
      <c r="C41">
        <v>0.85099999999999998</v>
      </c>
      <c r="D41">
        <f>($H$2-274)</f>
        <v>223</v>
      </c>
      <c r="E41">
        <f>(C41*D41)</f>
        <v>189.773</v>
      </c>
      <c r="F41" s="29">
        <f>(E41*$N$5)</f>
        <v>169.846835</v>
      </c>
      <c r="G41" s="37">
        <v>0</v>
      </c>
      <c r="H41" s="29">
        <f>(H37)</f>
        <v>0.18479602162162162</v>
      </c>
      <c r="I41" s="38">
        <f t="shared" si="3"/>
        <v>0.37525581437842243</v>
      </c>
      <c r="J41">
        <v>1</v>
      </c>
      <c r="K41" s="41">
        <f>(I41*J41)</f>
        <v>0.37525581437842243</v>
      </c>
      <c r="L41" s="31">
        <f>(L39)</f>
        <v>3.51</v>
      </c>
      <c r="M41" s="31">
        <f>(L41*J41)</f>
        <v>3.51</v>
      </c>
    </row>
    <row r="42" spans="2:16">
      <c r="B42" s="8" t="s">
        <v>46</v>
      </c>
      <c r="H42" s="21"/>
      <c r="J42">
        <v>2</v>
      </c>
      <c r="K42" s="41"/>
      <c r="L42" s="31">
        <v>6.29</v>
      </c>
      <c r="M42" s="31">
        <f>L42*J42</f>
        <v>12.58</v>
      </c>
    </row>
    <row r="43" spans="2:16">
      <c r="B43" s="8" t="s">
        <v>65</v>
      </c>
      <c r="J43">
        <v>1</v>
      </c>
      <c r="K43" s="9"/>
      <c r="L43" s="31">
        <v>0.81</v>
      </c>
      <c r="M43" s="31">
        <f>(L43*J43)</f>
        <v>0.81</v>
      </c>
    </row>
    <row r="44" spans="2:16">
      <c r="B44" s="8" t="s">
        <v>66</v>
      </c>
      <c r="J44">
        <v>1</v>
      </c>
      <c r="K44" s="9"/>
      <c r="L44" s="31">
        <v>0.65</v>
      </c>
      <c r="M44" s="31">
        <f>(L44*J44)</f>
        <v>0.65</v>
      </c>
    </row>
    <row r="45" spans="2:16">
      <c r="B45" s="10" t="s">
        <v>67</v>
      </c>
      <c r="C45" s="11"/>
      <c r="D45" s="11"/>
      <c r="E45" s="11"/>
      <c r="F45" s="11"/>
      <c r="G45" s="11"/>
      <c r="H45" s="11"/>
      <c r="I45" s="11"/>
      <c r="J45" s="11">
        <v>1</v>
      </c>
      <c r="K45" s="12"/>
      <c r="L45" s="31">
        <v>2</v>
      </c>
      <c r="M45" s="31">
        <f>(L45*J45)</f>
        <v>2</v>
      </c>
    </row>
    <row r="46" spans="2:16">
      <c r="L46" t="s">
        <v>34</v>
      </c>
      <c r="M46" s="31">
        <f>(SUM(M33:M45))</f>
        <v>76.27000000000001</v>
      </c>
      <c r="O46" s="31">
        <f>(J13+SUM(G34:G40)-D74)</f>
        <v>0.43126077585411871</v>
      </c>
      <c r="P46">
        <f>(O46/J3)</f>
        <v>147.83576760385469</v>
      </c>
    </row>
    <row r="48" spans="2:16">
      <c r="B48" s="18" t="s">
        <v>61</v>
      </c>
      <c r="C48" s="6"/>
      <c r="D48" s="6"/>
      <c r="E48" s="6"/>
      <c r="F48" s="6"/>
      <c r="G48" s="7"/>
    </row>
    <row r="49" spans="2:7">
      <c r="B49" s="8"/>
      <c r="C49" t="s">
        <v>68</v>
      </c>
      <c r="D49" t="s">
        <v>69</v>
      </c>
      <c r="E49" t="s">
        <v>70</v>
      </c>
      <c r="F49" t="s">
        <v>71</v>
      </c>
      <c r="G49" s="9" t="s">
        <v>72</v>
      </c>
    </row>
    <row r="50" spans="2:7">
      <c r="B50" s="8" t="s">
        <v>39</v>
      </c>
      <c r="C50">
        <f>0.12*60*24</f>
        <v>172.79999999999998</v>
      </c>
      <c r="D50">
        <f>0.2*60*24</f>
        <v>288</v>
      </c>
      <c r="E50">
        <f>0.15*60*24</f>
        <v>216</v>
      </c>
      <c r="F50">
        <f>0.21*60*24</f>
        <v>302.39999999999998</v>
      </c>
      <c r="G50" s="34">
        <f>(C50*$J$4+D50*$J$5+E50*$J$6+F50*$J$7)</f>
        <v>1.5615590400000001</v>
      </c>
    </row>
    <row r="51" spans="2:7">
      <c r="B51" s="8" t="s">
        <v>42</v>
      </c>
      <c r="C51">
        <f>24/(1+1/24)</f>
        <v>23.04</v>
      </c>
      <c r="D51" s="19">
        <f>126/(3+5/24)</f>
        <v>39.272727272727273</v>
      </c>
      <c r="E51" s="19">
        <f>46/(38/24)</f>
        <v>29.05263157894737</v>
      </c>
      <c r="F51">
        <v>42</v>
      </c>
      <c r="G51" s="34">
        <f>(C51*$J$4+D51*$J$5+E51*$J$6+F51*$J$7)</f>
        <v>0.21337130135885166</v>
      </c>
    </row>
    <row r="52" spans="2:7">
      <c r="B52" s="8" t="s">
        <v>44</v>
      </c>
      <c r="C52">
        <f>21</f>
        <v>21</v>
      </c>
      <c r="D52" s="19">
        <f>87/3.33</f>
        <v>26.126126126126124</v>
      </c>
      <c r="E52">
        <f>74/2</f>
        <v>37</v>
      </c>
      <c r="F52">
        <v>36</v>
      </c>
      <c r="G52" s="34">
        <f>(C52*$J$4+D52*$J$5+E52*$J$6+F52*$J$7)</f>
        <v>0.18479602162162162</v>
      </c>
    </row>
    <row r="53" spans="2:7">
      <c r="B53" s="10" t="s">
        <v>46</v>
      </c>
      <c r="C53" s="11"/>
      <c r="D53" s="11"/>
      <c r="E53" s="11"/>
      <c r="F53" s="11"/>
      <c r="G53" s="12"/>
    </row>
    <row r="55" spans="2:7">
      <c r="B55" s="5" t="s">
        <v>73</v>
      </c>
      <c r="C55" s="6" t="s">
        <v>74</v>
      </c>
      <c r="D55" s="7" t="s">
        <v>75</v>
      </c>
    </row>
    <row r="56" spans="2:7">
      <c r="B56" s="8"/>
      <c r="C56" s="19">
        <v>138</v>
      </c>
      <c r="D56" s="9"/>
    </row>
    <row r="57" spans="2:7">
      <c r="B57" s="8"/>
      <c r="C57" s="19">
        <v>330</v>
      </c>
      <c r="D57" s="9"/>
    </row>
    <row r="58" spans="2:7">
      <c r="B58" s="8"/>
      <c r="C58" s="19">
        <v>327.51919355000001</v>
      </c>
      <c r="D58" s="9"/>
    </row>
    <row r="59" spans="2:7">
      <c r="B59" s="8"/>
      <c r="C59" s="19">
        <v>113.54742468000001</v>
      </c>
      <c r="D59" s="44">
        <v>1.1399999999999999</v>
      </c>
      <c r="E59">
        <f t="shared" ref="E59:E66" si="6">D59/C59</f>
        <v>1.0039857823396298E-2</v>
      </c>
    </row>
    <row r="60" spans="2:7">
      <c r="B60" s="8"/>
      <c r="C60" s="19">
        <v>130.53974622000001</v>
      </c>
      <c r="D60" s="44">
        <v>1.1793119999999999</v>
      </c>
      <c r="E60">
        <f t="shared" si="6"/>
        <v>9.0341220520874389E-3</v>
      </c>
    </row>
    <row r="61" spans="2:7">
      <c r="B61" s="8"/>
      <c r="C61" s="19">
        <v>167.40487411999999</v>
      </c>
      <c r="D61" s="44">
        <v>1.05481</v>
      </c>
      <c r="E61">
        <f t="shared" si="6"/>
        <v>6.3009515436443378E-3</v>
      </c>
    </row>
    <row r="62" spans="2:7">
      <c r="B62" s="8"/>
      <c r="C62" s="19">
        <v>167.96827999999999</v>
      </c>
      <c r="D62" s="44">
        <f>1.0512-0.00017</f>
        <v>1.0510299999999999</v>
      </c>
      <c r="E62">
        <f t="shared" si="6"/>
        <v>6.2573123925541178E-3</v>
      </c>
    </row>
    <row r="63" spans="2:7">
      <c r="B63" s="8"/>
      <c r="C63" s="19">
        <v>123.66</v>
      </c>
      <c r="D63" s="44">
        <v>1.0489999999999999</v>
      </c>
      <c r="E63">
        <f t="shared" si="6"/>
        <v>8.4829370855571719E-3</v>
      </c>
    </row>
    <row r="64" spans="2:7">
      <c r="B64" s="8"/>
      <c r="C64" s="19">
        <v>149.5</v>
      </c>
      <c r="D64" s="44">
        <v>1.17</v>
      </c>
      <c r="E64">
        <f t="shared" si="6"/>
        <v>7.826086956521738E-3</v>
      </c>
    </row>
    <row r="65" spans="2:5">
      <c r="B65" s="8"/>
      <c r="C65" s="19">
        <v>170.62</v>
      </c>
      <c r="D65" s="44">
        <v>1.1579999999999999</v>
      </c>
      <c r="E65">
        <f t="shared" si="6"/>
        <v>6.7870120736138783E-3</v>
      </c>
    </row>
    <row r="66" spans="2:5">
      <c r="B66" s="8"/>
      <c r="C66" s="19">
        <v>192.66</v>
      </c>
      <c r="D66" s="44">
        <v>1.0900000000000001</v>
      </c>
      <c r="E66">
        <f t="shared" si="6"/>
        <v>5.6576352122910834E-3</v>
      </c>
    </row>
    <row r="67" spans="2:5">
      <c r="B67" s="8"/>
      <c r="C67" s="19">
        <v>257.33999999999997</v>
      </c>
      <c r="D67" s="44">
        <v>1.1299999999999999</v>
      </c>
      <c r="E67">
        <f t="shared" ref="E67:E72" si="7">(D67/C67)</f>
        <v>4.3910779513484108E-3</v>
      </c>
    </row>
    <row r="68" spans="2:5">
      <c r="B68" s="8"/>
      <c r="C68" s="19">
        <v>312.13</v>
      </c>
      <c r="D68" s="44">
        <v>0.82</v>
      </c>
      <c r="E68">
        <f t="shared" si="7"/>
        <v>2.6271104988306155E-3</v>
      </c>
    </row>
    <row r="69" spans="2:5">
      <c r="B69" s="8"/>
      <c r="C69" s="19">
        <v>352.46100000000001</v>
      </c>
      <c r="D69" s="44">
        <v>1.2074</v>
      </c>
      <c r="E69">
        <f t="shared" si="7"/>
        <v>3.4256272325165053E-3</v>
      </c>
    </row>
    <row r="70" spans="2:5">
      <c r="B70" s="8"/>
      <c r="C70" s="19">
        <v>263.04000000000002</v>
      </c>
      <c r="D70" s="44">
        <v>1.0588</v>
      </c>
      <c r="E70">
        <f t="shared" si="7"/>
        <v>4.0252433090024325E-3</v>
      </c>
    </row>
    <row r="71" spans="2:5">
      <c r="B71" s="8"/>
      <c r="C71" s="19">
        <v>359.00495999999998</v>
      </c>
      <c r="D71" s="44">
        <v>1.1194999999999999</v>
      </c>
      <c r="E71">
        <f t="shared" si="7"/>
        <v>3.1183413176241355E-3</v>
      </c>
    </row>
    <row r="72" spans="2:5">
      <c r="B72" s="8"/>
      <c r="C72" s="19">
        <v>327.91</v>
      </c>
      <c r="D72" s="44">
        <v>1.0785</v>
      </c>
      <c r="E72">
        <f t="shared" si="7"/>
        <v>3.2890122289652647E-3</v>
      </c>
    </row>
    <row r="73" spans="2:5">
      <c r="B73" s="10"/>
      <c r="C73" s="11"/>
      <c r="D73" s="12"/>
    </row>
    <row r="74" spans="2:5">
      <c r="B74" t="s">
        <v>34</v>
      </c>
      <c r="C74" s="19">
        <f>(SUM(C56:C73))</f>
        <v>3883.3054785700006</v>
      </c>
      <c r="D74" s="37">
        <f>(SUM(D56:D73))</f>
        <v>15.306351999999999</v>
      </c>
    </row>
  </sheetData>
  <conditionalFormatting sqref="L34">
    <cfRule type="cellIs" dxfId="293" priority="17" operator="lessThan">
      <formula>$C$5</formula>
    </cfRule>
    <cfRule type="cellIs" dxfId="292" priority="18" operator="greaterThan">
      <formula>$C$5</formula>
    </cfRule>
  </conditionalFormatting>
  <conditionalFormatting sqref="L35">
    <cfRule type="cellIs" dxfId="291" priority="15" operator="lessThan">
      <formula>$C$6</formula>
    </cfRule>
    <cfRule type="cellIs" dxfId="290" priority="16" operator="greaterThan">
      <formula>$C$6</formula>
    </cfRule>
  </conditionalFormatting>
  <conditionalFormatting sqref="L39">
    <cfRule type="cellIs" dxfId="289" priority="13" operator="lessThan">
      <formula>$C$20</formula>
    </cfRule>
    <cfRule type="cellIs" dxfId="288" priority="14" operator="greaterThan">
      <formula>$C$20</formula>
    </cfRule>
  </conditionalFormatting>
  <conditionalFormatting sqref="L38">
    <cfRule type="cellIs" dxfId="287" priority="11" operator="lessThan">
      <formula>$C$19</formula>
    </cfRule>
    <cfRule type="cellIs" dxfId="286" priority="12" operator="greaterThan">
      <formula>$C$19</formula>
    </cfRule>
  </conditionalFormatting>
  <conditionalFormatting sqref="L37">
    <cfRule type="cellIs" dxfId="285" priority="9" operator="lessThan">
      <formula>$C$17</formula>
    </cfRule>
    <cfRule type="cellIs" dxfId="284" priority="10" operator="greaterThan">
      <formula>$C$17</formula>
    </cfRule>
  </conditionalFormatting>
  <conditionalFormatting sqref="L36">
    <cfRule type="cellIs" dxfId="283" priority="7" operator="lessThan">
      <formula>$C$7</formula>
    </cfRule>
    <cfRule type="cellIs" dxfId="282" priority="8" operator="greaterThan">
      <formula>$C$7</formula>
    </cfRule>
  </conditionalFormatting>
  <conditionalFormatting sqref="L41">
    <cfRule type="cellIs" dxfId="281" priority="5" operator="lessThan">
      <formula>$C$20</formula>
    </cfRule>
    <cfRule type="cellIs" dxfId="280" priority="6" operator="greaterThan">
      <formula>$C$20</formula>
    </cfRule>
  </conditionalFormatting>
  <conditionalFormatting sqref="L42">
    <cfRule type="cellIs" dxfId="279" priority="3" operator="lessThan">
      <formula>$C$20</formula>
    </cfRule>
    <cfRule type="cellIs" dxfId="278" priority="4" operator="greaterThan">
      <formula>$C$20</formula>
    </cfRule>
  </conditionalFormatting>
  <conditionalFormatting sqref="L43:L45">
    <cfRule type="cellIs" dxfId="277" priority="1" operator="lessThan">
      <formula>$C$7</formula>
    </cfRule>
    <cfRule type="cellIs" dxfId="276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P14" sqref="P14"/>
    </sheetView>
  </sheetViews>
  <sheetFormatPr baseColWidth="10" defaultColWidth="9.140625" defaultRowHeight="15"/>
  <sheetData>
    <row r="3" spans="2:4">
      <c r="C3" t="s">
        <v>6</v>
      </c>
      <c r="D3" t="s">
        <v>33</v>
      </c>
    </row>
    <row r="4" spans="2:4">
      <c r="B4" t="s">
        <v>76</v>
      </c>
      <c r="C4" s="37">
        <f>(-60/3)</f>
        <v>-20</v>
      </c>
      <c r="D4" s="37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77</v>
      </c>
      <c r="D4" t="s">
        <v>6</v>
      </c>
      <c r="E4" t="s">
        <v>34</v>
      </c>
    </row>
    <row r="5" spans="2:7">
      <c r="B5" t="s">
        <v>78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79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2:U19"/>
  <sheetViews>
    <sheetView workbookViewId="0">
      <selection activeCell="G12" sqref="G12"/>
    </sheetView>
  </sheetViews>
  <sheetFormatPr baseColWidth="10" defaultColWidth="9.140625" defaultRowHeight="15"/>
  <cols>
    <col min="9" max="9" width="12.425781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7">
        <v>0.40583157134297371</v>
      </c>
      <c r="M3" t="s">
        <v>4</v>
      </c>
      <c r="N3">
        <f>(INDEX((N6:N65),MATCH(O3/0.85,O6:O67,0))/0.9)</f>
        <v>0.44260069333333329</v>
      </c>
      <c r="O3" s="38">
        <f>(MAX(O6,O14)*0.85)</f>
        <v>0.27553002487402506</v>
      </c>
      <c r="P3" s="37">
        <f>(O3*N3)</f>
        <v>0.12194978004339406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7">
        <f>(B13*J3)</f>
        <v>26.201934942862607</v>
      </c>
      <c r="K4" s="4">
        <f>(J4/D13-1)</f>
        <v>0.18079728424921049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7">
        <f>(D5/B5)</f>
        <v>0.25104143031116005</v>
      </c>
      <c r="D5" s="37">
        <v>0.5</v>
      </c>
      <c r="N5" t="s">
        <v>29</v>
      </c>
      <c r="O5" t="s">
        <v>1</v>
      </c>
      <c r="P5" t="s">
        <v>2</v>
      </c>
      <c r="R5" s="29">
        <f>(B5-N6)</f>
        <v>1.5933624959999999</v>
      </c>
      <c r="S5" s="37">
        <f>(T5/R5)</f>
        <v>0.23276354527894269</v>
      </c>
      <c r="T5" s="37">
        <f>(D5-P6)</f>
        <v>0.37087670348346513</v>
      </c>
    </row>
    <row r="6" spans="2:21">
      <c r="B6" s="2">
        <v>0.27311658</v>
      </c>
      <c r="C6" s="39">
        <v>0</v>
      </c>
      <c r="D6" s="39">
        <f>(B6*C6)</f>
        <v>0</v>
      </c>
      <c r="E6" s="37">
        <f>(B6*J3)</f>
        <v>0.11083933082121898</v>
      </c>
      <c r="M6" t="s">
        <v>11</v>
      </c>
      <c r="N6" s="1">
        <f>($B$5/5)</f>
        <v>0.39834062399999998</v>
      </c>
      <c r="O6" s="37">
        <f>(C8)</f>
        <v>0.3241529704400295</v>
      </c>
      <c r="P6" s="37">
        <f>(O6*N6)</f>
        <v>0.1291232965165349</v>
      </c>
      <c r="Q6" t="s">
        <v>12</v>
      </c>
      <c r="R6" s="25">
        <f>(B6)</f>
        <v>0.27311658</v>
      </c>
      <c r="S6" s="39">
        <v>0</v>
      </c>
      <c r="T6" s="39">
        <f>(D6)</f>
        <v>0</v>
      </c>
      <c r="U6" s="37">
        <f>(R6*J3)</f>
        <v>0.11083933082121898</v>
      </c>
    </row>
    <row r="7" spans="2:21">
      <c r="B7" s="1">
        <v>65.414450000000002</v>
      </c>
      <c r="C7" s="37">
        <f>(D7/B7)</f>
        <v>0.34701812825759443</v>
      </c>
      <c r="D7" s="37">
        <v>22.7</v>
      </c>
      <c r="E7" t="s">
        <v>15</v>
      </c>
      <c r="N7" s="1">
        <f>($B$5/5)</f>
        <v>0.39834062399999998</v>
      </c>
      <c r="O7" s="37">
        <f>($C$5*Params!K9)</f>
        <v>0.40166628849785613</v>
      </c>
      <c r="P7" s="37">
        <f>(O7*N7)</f>
        <v>0.16000000000000003</v>
      </c>
      <c r="R7" s="29">
        <f>(B7-N14)</f>
        <v>62.697090624000005</v>
      </c>
      <c r="S7" s="37">
        <f>(T7/R7)</f>
        <v>0.35014766289838839</v>
      </c>
      <c r="T7" s="37">
        <f>(D7+0.274811*-N14)</f>
        <v>21.953239752522062</v>
      </c>
      <c r="U7" t="s">
        <v>15</v>
      </c>
    </row>
    <row r="8" spans="2:21">
      <c r="B8" s="1">
        <v>-3.1156999999999999</v>
      </c>
      <c r="C8" s="37">
        <f>(D8/B8)</f>
        <v>0.3241529704400295</v>
      </c>
      <c r="D8" s="37">
        <v>-1.0099634099999999</v>
      </c>
      <c r="N8" s="1">
        <f>($B$5/5)</f>
        <v>0.39834062399999998</v>
      </c>
      <c r="O8" s="37">
        <f>($C$5*Params!K10)</f>
        <v>0.55229114668455215</v>
      </c>
      <c r="P8" s="37">
        <f>(O8*N8)</f>
        <v>0.22000000000000003</v>
      </c>
      <c r="R8" s="29">
        <f>(N14-N14)</f>
        <v>0</v>
      </c>
      <c r="S8" s="37">
        <v>0</v>
      </c>
      <c r="T8" s="37">
        <f>(0.274811*N14-P14)</f>
        <v>-0.1340798660055289</v>
      </c>
    </row>
    <row r="9" spans="2:21">
      <c r="N9" s="1">
        <f>($B$5/5)</f>
        <v>0.39834062399999998</v>
      </c>
      <c r="O9" s="37">
        <f>($C$5*Params!K11)</f>
        <v>1.0041657212446402</v>
      </c>
      <c r="P9" s="37">
        <f>(O9*N9)</f>
        <v>0.4</v>
      </c>
    </row>
    <row r="10" spans="2:21">
      <c r="N10" s="1"/>
      <c r="P10" s="37"/>
    </row>
    <row r="11" spans="2:21">
      <c r="P11" s="37">
        <f>(SUM(P6:P9))</f>
        <v>0.9091232965165349</v>
      </c>
    </row>
    <row r="12" spans="2:21">
      <c r="F12" t="s">
        <v>9</v>
      </c>
      <c r="G12" s="37">
        <f>(D13/B13)</f>
        <v>0.34369283936913414</v>
      </c>
    </row>
    <row r="13" spans="2:21">
      <c r="B13">
        <f>(SUM(B5:B12))</f>
        <v>64.563569700000002</v>
      </c>
      <c r="D13" s="37">
        <f>(SUM(D5:D12))</f>
        <v>22.190036589999998</v>
      </c>
      <c r="M13" t="s">
        <v>15</v>
      </c>
      <c r="N13" t="s">
        <v>29</v>
      </c>
      <c r="O13" t="s">
        <v>1</v>
      </c>
      <c r="P13" t="s">
        <v>2</v>
      </c>
      <c r="R13">
        <f>(SUM(R5:R12))</f>
        <v>64.563569700000002</v>
      </c>
      <c r="T13" s="37">
        <f>(SUM(T5:T12))</f>
        <v>22.190036589999998</v>
      </c>
    </row>
    <row r="14" spans="2:21">
      <c r="M14" t="s">
        <v>11</v>
      </c>
      <c r="N14" s="1">
        <f>(-B8-N6)</f>
        <v>2.7173593760000001</v>
      </c>
      <c r="O14" s="37">
        <f>(C8)</f>
        <v>0.3241529704400295</v>
      </c>
      <c r="P14" s="37">
        <f>(O14*N14)</f>
        <v>0.88084011348346503</v>
      </c>
      <c r="Q14" t="s">
        <v>12</v>
      </c>
    </row>
    <row r="15" spans="2:21">
      <c r="N15" s="1">
        <f>(2*($R$7+N14+R5+R6)/5-N14)</f>
        <v>24.195012254400002</v>
      </c>
      <c r="O15" s="37">
        <f>($S$7*Params!K9)</f>
        <v>0.56023626063742149</v>
      </c>
      <c r="P15" s="37">
        <f>(O15*N15)</f>
        <v>13.554923191481647</v>
      </c>
    </row>
    <row r="16" spans="2:21">
      <c r="N16" s="1">
        <f>(($B$7+R6+R5)/5)</f>
        <v>13.456185815200001</v>
      </c>
      <c r="O16" s="37">
        <f>($C$7*Params!K10)</f>
        <v>0.76343988216670777</v>
      </c>
      <c r="P16" s="37">
        <f>(O16*N16)</f>
        <v>10.272988913169614</v>
      </c>
    </row>
    <row r="17" spans="14:16">
      <c r="N17" s="1">
        <f>(($B$7+R6+R5)/5)</f>
        <v>13.456185815200001</v>
      </c>
      <c r="O17" s="37">
        <f>($C$7*Params!K11)</f>
        <v>1.3880725130303777</v>
      </c>
      <c r="P17" s="37">
        <f>(O17*N17)</f>
        <v>18.678161660308387</v>
      </c>
    </row>
    <row r="18" spans="14:16">
      <c r="N18" s="1"/>
      <c r="P18" s="37"/>
    </row>
    <row r="19" spans="14:16">
      <c r="P19" s="37">
        <f>(SUM(P14:P17))</f>
        <v>43.38691387844311</v>
      </c>
    </row>
  </sheetData>
  <conditionalFormatting sqref="C5 C7">
    <cfRule type="cellIs" dxfId="275" priority="13" operator="lessThan">
      <formula>$J$3</formula>
    </cfRule>
    <cfRule type="cellIs" dxfId="274" priority="14" operator="greaterThan">
      <formula>$J$3</formula>
    </cfRule>
  </conditionalFormatting>
  <conditionalFormatting sqref="O7:O9">
    <cfRule type="cellIs" dxfId="273" priority="11" operator="lessThan">
      <formula>$J$3</formula>
    </cfRule>
    <cfRule type="cellIs" dxfId="272" priority="12" operator="greaterThan">
      <formula>$J$3</formula>
    </cfRule>
  </conditionalFormatting>
  <conditionalFormatting sqref="O15:O17">
    <cfRule type="cellIs" dxfId="271" priority="9" operator="lessThan">
      <formula>$J$3</formula>
    </cfRule>
    <cfRule type="cellIs" dxfId="270" priority="10" operator="greaterThan">
      <formula>$J$3</formula>
    </cfRule>
  </conditionalFormatting>
  <conditionalFormatting sqref="S5">
    <cfRule type="cellIs" dxfId="269" priority="7" operator="lessThan">
      <formula>$J$3</formula>
    </cfRule>
    <cfRule type="cellIs" dxfId="268" priority="8" operator="greaterThan">
      <formula>$J$3</formula>
    </cfRule>
  </conditionalFormatting>
  <conditionalFormatting sqref="S7">
    <cfRule type="cellIs" dxfId="267" priority="5" operator="lessThan">
      <formula>$J$3</formula>
    </cfRule>
    <cfRule type="cellIs" dxfId="266" priority="6" operator="greaterThan">
      <formula>$J$3</formula>
    </cfRule>
  </conditionalFormatting>
  <conditionalFormatting sqref="O3">
    <cfRule type="cellIs" dxfId="265" priority="3" operator="greaterThan">
      <formula>$J$3</formula>
    </cfRule>
    <cfRule type="cellIs" dxfId="264" priority="4" operator="lessThan">
      <formula>$J$3</formula>
    </cfRule>
  </conditionalFormatting>
  <conditionalFormatting sqref="G12">
    <cfRule type="cellIs" dxfId="263" priority="1" operator="lessThan">
      <formula>$J$3</formula>
    </cfRule>
    <cfRule type="cellIs" dxfId="262" priority="2" operator="greater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G13" sqref="G13"/>
    </sheetView>
  </sheetViews>
  <sheetFormatPr baseColWidth="10" defaultColWidth="9.140625" defaultRowHeight="15"/>
  <cols>
    <col min="9" max="9" width="12.42578125" style="14" bestFit="1" customWidth="1"/>
    <col min="15" max="15" width="11.28515625" style="14" bestFit="1" customWidth="1"/>
  </cols>
  <sheetData>
    <row r="3" spans="2:21">
      <c r="I3" t="s">
        <v>3</v>
      </c>
      <c r="J3" s="35">
        <v>0.18300815805536461</v>
      </c>
      <c r="O3" s="38"/>
      <c r="P3" s="37"/>
    </row>
    <row r="4" spans="2:21">
      <c r="B4" t="s">
        <v>5</v>
      </c>
      <c r="C4" t="s">
        <v>6</v>
      </c>
      <c r="D4" t="s">
        <v>7</v>
      </c>
      <c r="I4" t="s">
        <v>8</v>
      </c>
      <c r="J4" s="37">
        <f>(B14*J3)</f>
        <v>11.526096382620855</v>
      </c>
      <c r="K4" s="4">
        <f>(J4/D14-1)</f>
        <v>0.173036425358712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7">
        <f>(D5/B5)</f>
        <v>0.16877286331892252</v>
      </c>
      <c r="D5" s="37">
        <v>10.15</v>
      </c>
      <c r="N5" t="s">
        <v>29</v>
      </c>
      <c r="O5" t="s">
        <v>1</v>
      </c>
      <c r="P5" t="s">
        <v>2</v>
      </c>
      <c r="R5" s="29">
        <f>(B5)</f>
        <v>60.14</v>
      </c>
      <c r="S5" s="37">
        <f>(T5/R5)</f>
        <v>0.16877286331892252</v>
      </c>
      <c r="T5" s="37">
        <f>D5</f>
        <v>10.15</v>
      </c>
    </row>
    <row r="6" spans="2:21">
      <c r="B6" s="25">
        <v>0.23851601</v>
      </c>
      <c r="C6" s="39">
        <v>0</v>
      </c>
      <c r="D6" s="39">
        <f>(B6*C6)</f>
        <v>0</v>
      </c>
      <c r="E6" s="37">
        <f>(B6*J3)</f>
        <v>4.3650375656814927E-2</v>
      </c>
      <c r="M6" t="s">
        <v>11</v>
      </c>
      <c r="N6" s="29">
        <f>($B$14/5)</f>
        <v>12.596265112000001</v>
      </c>
      <c r="O6" s="37">
        <f>($C$5*Params!K8)</f>
        <v>0.21940472231459929</v>
      </c>
      <c r="P6" s="37">
        <f>(O6*N6)</f>
        <v>2.7636800490994351</v>
      </c>
      <c r="R6" s="25">
        <f>(B6)</f>
        <v>0.23851601</v>
      </c>
      <c r="S6" s="39">
        <v>0</v>
      </c>
      <c r="T6" s="39">
        <f>(D6)</f>
        <v>0</v>
      </c>
      <c r="U6" s="37">
        <f>(E6)</f>
        <v>4.3650375656814927E-2</v>
      </c>
    </row>
    <row r="7" spans="2:21">
      <c r="B7" s="29">
        <v>-12.028</v>
      </c>
      <c r="C7" s="37">
        <f>(D7/B7)</f>
        <v>0.21200000000000002</v>
      </c>
      <c r="D7" s="37">
        <v>-2.5499360000000002</v>
      </c>
      <c r="N7" s="29">
        <f>($B$14/5)</f>
        <v>12.596265112000001</v>
      </c>
      <c r="O7" s="37">
        <f>($C$5*Params!K9)</f>
        <v>0.27003658131027602</v>
      </c>
      <c r="P7" s="37">
        <f>(O7*N7)</f>
        <v>3.4014523681223814</v>
      </c>
      <c r="R7" s="29">
        <f>(B8+B9)</f>
        <v>1.3937161600000003</v>
      </c>
      <c r="S7" s="37">
        <v>0</v>
      </c>
      <c r="T7" s="37">
        <f>(D9+D8)</f>
        <v>-0.18420000000000014</v>
      </c>
    </row>
    <row r="8" spans="2:21">
      <c r="B8" s="29">
        <v>-12</v>
      </c>
      <c r="C8" s="37">
        <f>(D8/B8)</f>
        <v>0.255</v>
      </c>
      <c r="D8" s="37">
        <v>-3.06</v>
      </c>
      <c r="N8" s="29">
        <f>($B$14/5)</f>
        <v>12.596265112000001</v>
      </c>
      <c r="O8" s="37">
        <f>($C$5*Params!K10)</f>
        <v>0.37130029930162955</v>
      </c>
      <c r="P8" s="37">
        <f>(O8*N8)</f>
        <v>4.6769970061682749</v>
      </c>
      <c r="R8" s="29">
        <f>B7+B10</f>
        <v>1.2090933899999996</v>
      </c>
      <c r="S8" s="37">
        <v>0</v>
      </c>
      <c r="T8" s="37">
        <f>D7+D10</f>
        <v>-0.13993600000000006</v>
      </c>
    </row>
    <row r="9" spans="2:21">
      <c r="B9" s="29">
        <v>13.39371616</v>
      </c>
      <c r="C9" s="37">
        <f>(D9/B9)</f>
        <v>0.21471262834346938</v>
      </c>
      <c r="D9" s="37">
        <v>2.8757999999999999</v>
      </c>
      <c r="N9" s="29">
        <f>($B$14/5)</f>
        <v>12.596265112000001</v>
      </c>
      <c r="O9" s="37">
        <f>($C$5*Params!K11)</f>
        <v>0.67509145327569009</v>
      </c>
      <c r="P9" s="37">
        <f>(O9*N9)</f>
        <v>8.5036309203059535</v>
      </c>
    </row>
    <row r="10" spans="2:21">
      <c r="B10" s="29">
        <v>13.23709339</v>
      </c>
      <c r="C10" s="37">
        <f>(D10/B10)</f>
        <v>0.18206413817557876</v>
      </c>
      <c r="D10" s="37">
        <v>2.41</v>
      </c>
    </row>
    <row r="12" spans="2:21">
      <c r="P12" s="37">
        <f>(SUM(P6:P9))</f>
        <v>19.345760343696043</v>
      </c>
    </row>
    <row r="13" spans="2:21">
      <c r="F13" t="s">
        <v>9</v>
      </c>
      <c r="G13" s="37">
        <f>(D14/B14)</f>
        <v>0.15601234036649894</v>
      </c>
    </row>
    <row r="14" spans="2:21">
      <c r="B14" s="29">
        <f>(SUM(B5:B13))</f>
        <v>62.981325560000002</v>
      </c>
      <c r="D14" s="37">
        <f>(SUM(D5:D13))</f>
        <v>9.8258639999999993</v>
      </c>
    </row>
    <row r="17" spans="11:20">
      <c r="N17" s="29"/>
      <c r="R17" s="29">
        <f>(SUM(R5:R16))</f>
        <v>62.981325559999995</v>
      </c>
      <c r="T17" s="37">
        <f>(SUM(T5:T16))</f>
        <v>9.8258639999999993</v>
      </c>
    </row>
    <row r="20" spans="11:20">
      <c r="K20" s="38"/>
    </row>
  </sheetData>
  <conditionalFormatting sqref="C5">
    <cfRule type="cellIs" dxfId="261" priority="13" operator="lessThan">
      <formula>$J$3</formula>
    </cfRule>
    <cfRule type="cellIs" dxfId="260" priority="14" operator="greaterThan">
      <formula>$J$3</formula>
    </cfRule>
  </conditionalFormatting>
  <conditionalFormatting sqref="C9:C10">
    <cfRule type="cellIs" dxfId="259" priority="11" operator="lessThan">
      <formula>$J$3</formula>
    </cfRule>
    <cfRule type="cellIs" dxfId="258" priority="12" operator="greaterThan">
      <formula>$J$3</formula>
    </cfRule>
  </conditionalFormatting>
  <conditionalFormatting sqref="O6:O9">
    <cfRule type="cellIs" dxfId="257" priority="9" operator="lessThan">
      <formula>$J$3</formula>
    </cfRule>
    <cfRule type="cellIs" dxfId="256" priority="10" operator="greaterThan">
      <formula>$J$3</formula>
    </cfRule>
  </conditionalFormatting>
  <conditionalFormatting sqref="S5 S7:S8">
    <cfRule type="cellIs" dxfId="255" priority="5" operator="lessThan">
      <formula>$J$3</formula>
    </cfRule>
    <cfRule type="cellIs" dxfId="254" priority="6" operator="greaterThan">
      <formula>$J$3</formula>
    </cfRule>
  </conditionalFormatting>
  <conditionalFormatting sqref="O6">
    <cfRule type="cellIs" dxfId="253" priority="3" operator="lessThan">
      <formula>$J$3</formula>
    </cfRule>
    <cfRule type="cellIs" dxfId="252" priority="4" operator="greaterThan">
      <formula>$J$3</formula>
    </cfRule>
  </conditionalFormatting>
  <conditionalFormatting sqref="G13">
    <cfRule type="cellIs" dxfId="251" priority="1" operator="lessThan">
      <formula>$J$3</formula>
    </cfRule>
    <cfRule type="cellIs" dxfId="250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2023-04-28T10:08:01Z</dcterms:modified>
</cp:coreProperties>
</file>