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7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/>
  <c r="N8"/>
  <c r="N7"/>
  <c r="S6"/>
  <c r="R6"/>
  <c r="N6"/>
  <c r="E6"/>
  <c r="D6"/>
  <c r="T6" s="1"/>
  <c r="T18" s="1"/>
  <c r="T5"/>
  <c r="S5"/>
  <c r="R5"/>
  <c r="R18" s="1"/>
  <c r="C5"/>
  <c r="O8" s="1"/>
  <c r="P8" s="1"/>
  <c r="J4"/>
  <c r="B14" i="38"/>
  <c r="O9"/>
  <c r="N8"/>
  <c r="O7"/>
  <c r="T6"/>
  <c r="S6"/>
  <c r="R6"/>
  <c r="O6"/>
  <c r="E6"/>
  <c r="D6"/>
  <c r="D14" s="1"/>
  <c r="G13" s="1"/>
  <c r="T5"/>
  <c r="R5"/>
  <c r="R18" s="1"/>
  <c r="C5"/>
  <c r="O8" s="1"/>
  <c r="P8" s="1"/>
  <c r="D14" i="37"/>
  <c r="B14"/>
  <c r="G13"/>
  <c r="C12"/>
  <c r="C11"/>
  <c r="C10"/>
  <c r="O9"/>
  <c r="P9" s="1"/>
  <c r="N9"/>
  <c r="C9"/>
  <c r="T8"/>
  <c r="S8"/>
  <c r="R8"/>
  <c r="N8"/>
  <c r="C8"/>
  <c r="T7"/>
  <c r="R7"/>
  <c r="N7"/>
  <c r="C7"/>
  <c r="T6"/>
  <c r="S6"/>
  <c r="R6"/>
  <c r="P6"/>
  <c r="O6"/>
  <c r="N6"/>
  <c r="E6"/>
  <c r="D6"/>
  <c r="T5"/>
  <c r="R5"/>
  <c r="R18" s="1"/>
  <c r="C5"/>
  <c r="O8" s="1"/>
  <c r="P8" s="1"/>
  <c r="K4"/>
  <c r="J4"/>
  <c r="D10" i="36"/>
  <c r="G9" s="1"/>
  <c r="B10"/>
  <c r="N9"/>
  <c r="N8"/>
  <c r="O7"/>
  <c r="P7" s="1"/>
  <c r="N7"/>
  <c r="N6"/>
  <c r="E6"/>
  <c r="D6"/>
  <c r="C5"/>
  <c r="O9" s="1"/>
  <c r="P9" s="1"/>
  <c r="J4"/>
  <c r="D13" i="35"/>
  <c r="B13"/>
  <c r="G12"/>
  <c r="Q9"/>
  <c r="N9"/>
  <c r="N8"/>
  <c r="Q7"/>
  <c r="N7"/>
  <c r="Q6"/>
  <c r="Q8" s="1"/>
  <c r="N6"/>
  <c r="E6"/>
  <c r="D6"/>
  <c r="C5"/>
  <c r="O8" s="1"/>
  <c r="P8" s="1"/>
  <c r="J4"/>
  <c r="K4" s="1"/>
  <c r="D41" i="34"/>
  <c r="C41"/>
  <c r="S28" s="1"/>
  <c r="C40"/>
  <c r="N39"/>
  <c r="D39"/>
  <c r="C39"/>
  <c r="D38"/>
  <c r="C38"/>
  <c r="O8" s="1"/>
  <c r="C37"/>
  <c r="C36"/>
  <c r="C35"/>
  <c r="C34"/>
  <c r="B34"/>
  <c r="D33"/>
  <c r="C32"/>
  <c r="C31"/>
  <c r="C30"/>
  <c r="D29"/>
  <c r="C29"/>
  <c r="T28"/>
  <c r="R28"/>
  <c r="B28"/>
  <c r="C28" s="1"/>
  <c r="R27"/>
  <c r="C27"/>
  <c r="T26"/>
  <c r="B26"/>
  <c r="C26" s="1"/>
  <c r="T25"/>
  <c r="R25"/>
  <c r="O25"/>
  <c r="P25" s="1"/>
  <c r="T27" s="1"/>
  <c r="N25"/>
  <c r="C25"/>
  <c r="T24"/>
  <c r="S24"/>
  <c r="R24"/>
  <c r="N24"/>
  <c r="C24"/>
  <c r="T23"/>
  <c r="R23"/>
  <c r="P23"/>
  <c r="N23"/>
  <c r="C23"/>
  <c r="T22"/>
  <c r="R22"/>
  <c r="C22"/>
  <c r="O23" s="1"/>
  <c r="T21"/>
  <c r="R21"/>
  <c r="V21" s="1"/>
  <c r="C21"/>
  <c r="C20"/>
  <c r="T19"/>
  <c r="C19"/>
  <c r="T18"/>
  <c r="R18"/>
  <c r="E18"/>
  <c r="T17"/>
  <c r="R17"/>
  <c r="C17"/>
  <c r="T16"/>
  <c r="R16"/>
  <c r="O16"/>
  <c r="N16"/>
  <c r="R26" s="1"/>
  <c r="C16"/>
  <c r="O9" s="1"/>
  <c r="T15"/>
  <c r="S15"/>
  <c r="R15"/>
  <c r="O15"/>
  <c r="N15"/>
  <c r="P15" s="1"/>
  <c r="B15"/>
  <c r="E15" s="1"/>
  <c r="T14"/>
  <c r="S14"/>
  <c r="R14"/>
  <c r="O14"/>
  <c r="N14"/>
  <c r="P14" s="1"/>
  <c r="B14"/>
  <c r="T13"/>
  <c r="S13"/>
  <c r="O17" s="1"/>
  <c r="R13"/>
  <c r="D13"/>
  <c r="B13"/>
  <c r="T12"/>
  <c r="R12"/>
  <c r="E12"/>
  <c r="T11"/>
  <c r="S11"/>
  <c r="R11"/>
  <c r="C11"/>
  <c r="T10"/>
  <c r="S10"/>
  <c r="C10"/>
  <c r="U9"/>
  <c r="S9"/>
  <c r="R9"/>
  <c r="B9"/>
  <c r="C9" s="1"/>
  <c r="R8"/>
  <c r="T8" s="1"/>
  <c r="P8"/>
  <c r="C8"/>
  <c r="B8"/>
  <c r="T7"/>
  <c r="R7"/>
  <c r="P7"/>
  <c r="O7" s="1"/>
  <c r="N7"/>
  <c r="C7"/>
  <c r="T6"/>
  <c r="O6"/>
  <c r="N6"/>
  <c r="P6" s="1"/>
  <c r="B6"/>
  <c r="S5"/>
  <c r="D5"/>
  <c r="D43" s="1"/>
  <c r="B5"/>
  <c r="R5" s="1"/>
  <c r="D10" i="33"/>
  <c r="G9" s="1"/>
  <c r="B10"/>
  <c r="N9"/>
  <c r="N8"/>
  <c r="O7"/>
  <c r="P7" s="1"/>
  <c r="N7"/>
  <c r="N6"/>
  <c r="C5"/>
  <c r="O9" s="1"/>
  <c r="P9" s="1"/>
  <c r="J4"/>
  <c r="D13" i="32"/>
  <c r="B13"/>
  <c r="G12"/>
  <c r="N9"/>
  <c r="N8"/>
  <c r="N7"/>
  <c r="N6"/>
  <c r="E6"/>
  <c r="D6"/>
  <c r="C5"/>
  <c r="J4"/>
  <c r="K4" s="1"/>
  <c r="B14" i="31"/>
  <c r="O9"/>
  <c r="N8"/>
  <c r="N7"/>
  <c r="P7" s="1"/>
  <c r="D7"/>
  <c r="C7"/>
  <c r="T6"/>
  <c r="R6"/>
  <c r="P6"/>
  <c r="N6"/>
  <c r="E6"/>
  <c r="U6" s="1"/>
  <c r="D6"/>
  <c r="D14" s="1"/>
  <c r="G13" s="1"/>
  <c r="T5"/>
  <c r="R5"/>
  <c r="R17" s="1"/>
  <c r="C5"/>
  <c r="O8" s="1"/>
  <c r="P8" s="1"/>
  <c r="O3"/>
  <c r="N3"/>
  <c r="P3" s="1"/>
  <c r="B21" i="30"/>
  <c r="C19"/>
  <c r="E18"/>
  <c r="C18"/>
  <c r="C17"/>
  <c r="C16"/>
  <c r="C15"/>
  <c r="P14"/>
  <c r="O14" s="1"/>
  <c r="O3" s="1"/>
  <c r="N14"/>
  <c r="C14"/>
  <c r="C13"/>
  <c r="C12"/>
  <c r="T11"/>
  <c r="R11"/>
  <c r="C11"/>
  <c r="T10"/>
  <c r="R10"/>
  <c r="C10"/>
  <c r="R9"/>
  <c r="O9"/>
  <c r="D9"/>
  <c r="T8"/>
  <c r="R8"/>
  <c r="N16" s="1"/>
  <c r="C8"/>
  <c r="T7"/>
  <c r="R7"/>
  <c r="E7"/>
  <c r="U6"/>
  <c r="T6"/>
  <c r="S6" s="1"/>
  <c r="O15" s="1"/>
  <c r="R6"/>
  <c r="R24" s="1"/>
  <c r="P6"/>
  <c r="O6"/>
  <c r="N6"/>
  <c r="C6"/>
  <c r="T5"/>
  <c r="S5"/>
  <c r="R5"/>
  <c r="C5"/>
  <c r="O8" s="1"/>
  <c r="J4"/>
  <c r="B10" i="29"/>
  <c r="N7"/>
  <c r="E7"/>
  <c r="D7"/>
  <c r="E6"/>
  <c r="D6"/>
  <c r="C5"/>
  <c r="O7" s="1"/>
  <c r="P7" s="1"/>
  <c r="J4"/>
  <c r="D10" i="28"/>
  <c r="G9" s="1"/>
  <c r="B10"/>
  <c r="N9"/>
  <c r="N8"/>
  <c r="O7"/>
  <c r="P7" s="1"/>
  <c r="N7"/>
  <c r="N6"/>
  <c r="E6"/>
  <c r="D6"/>
  <c r="C5"/>
  <c r="O9" s="1"/>
  <c r="P9" s="1"/>
  <c r="J4"/>
  <c r="O17" i="27"/>
  <c r="O16"/>
  <c r="B15"/>
  <c r="O14"/>
  <c r="C14"/>
  <c r="C13"/>
  <c r="C12"/>
  <c r="C11"/>
  <c r="R10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E37" i="26"/>
  <c r="C37"/>
  <c r="N12" s="1"/>
  <c r="E36"/>
  <c r="C36"/>
  <c r="B35"/>
  <c r="C34"/>
  <c r="C33"/>
  <c r="B32"/>
  <c r="C31"/>
  <c r="C30"/>
  <c r="C29"/>
  <c r="C28"/>
  <c r="T27"/>
  <c r="S27"/>
  <c r="R27"/>
  <c r="C27"/>
  <c r="T26"/>
  <c r="S26"/>
  <c r="R26"/>
  <c r="D26"/>
  <c r="B26"/>
  <c r="T25"/>
  <c r="D25"/>
  <c r="T21" s="1"/>
  <c r="B25"/>
  <c r="T24"/>
  <c r="C24"/>
  <c r="T23"/>
  <c r="R23"/>
  <c r="C23"/>
  <c r="T22"/>
  <c r="R22"/>
  <c r="C22"/>
  <c r="S21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O12"/>
  <c r="P12" s="1"/>
  <c r="C12"/>
  <c r="R11"/>
  <c r="S11" s="1"/>
  <c r="C11"/>
  <c r="S10"/>
  <c r="R10"/>
  <c r="C10"/>
  <c r="B9"/>
  <c r="C9" s="1"/>
  <c r="R8"/>
  <c r="S8" s="1"/>
  <c r="C8"/>
  <c r="T7"/>
  <c r="R7"/>
  <c r="D7"/>
  <c r="R6"/>
  <c r="T6" s="1"/>
  <c r="O6"/>
  <c r="P6" s="1"/>
  <c r="D6"/>
  <c r="R5"/>
  <c r="D5"/>
  <c r="D20" i="25"/>
  <c r="D19"/>
  <c r="D18"/>
  <c r="D17"/>
  <c r="D16"/>
  <c r="D15"/>
  <c r="D14"/>
  <c r="D13"/>
  <c r="D12"/>
  <c r="D11"/>
  <c r="D10"/>
  <c r="D9"/>
  <c r="D8"/>
  <c r="B7"/>
  <c r="C7" s="1"/>
  <c r="E6"/>
  <c r="D6"/>
  <c r="D5"/>
  <c r="D22" s="1"/>
  <c r="D15" i="24"/>
  <c r="K4" s="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R6"/>
  <c r="N9" s="1"/>
  <c r="O6"/>
  <c r="E6"/>
  <c r="D6"/>
  <c r="T5"/>
  <c r="S5" s="1"/>
  <c r="R5"/>
  <c r="C5"/>
  <c r="J4"/>
  <c r="B11" i="23"/>
  <c r="J4" s="1"/>
  <c r="T9"/>
  <c r="R9"/>
  <c r="N9"/>
  <c r="D9"/>
  <c r="C9"/>
  <c r="T8"/>
  <c r="R8"/>
  <c r="P8"/>
  <c r="O8"/>
  <c r="N8"/>
  <c r="C8"/>
  <c r="R7"/>
  <c r="P7"/>
  <c r="O7"/>
  <c r="N7"/>
  <c r="D7"/>
  <c r="T6"/>
  <c r="R6"/>
  <c r="N6"/>
  <c r="E6"/>
  <c r="D6"/>
  <c r="D11" s="1"/>
  <c r="G10" s="1"/>
  <c r="T5"/>
  <c r="R5"/>
  <c r="R22" s="1"/>
  <c r="C5"/>
  <c r="O9" s="1"/>
  <c r="P9" s="1"/>
  <c r="K4"/>
  <c r="B10" i="22"/>
  <c r="N9"/>
  <c r="N8"/>
  <c r="O7"/>
  <c r="P7" s="1"/>
  <c r="N7"/>
  <c r="N6"/>
  <c r="E6"/>
  <c r="D6"/>
  <c r="D10" s="1"/>
  <c r="C5"/>
  <c r="O9" s="1"/>
  <c r="P9" s="1"/>
  <c r="J4"/>
  <c r="D10" i="21"/>
  <c r="B10"/>
  <c r="G9" s="1"/>
  <c r="N9"/>
  <c r="N8"/>
  <c r="N7"/>
  <c r="N6"/>
  <c r="C5"/>
  <c r="O7" s="1"/>
  <c r="P7" s="1"/>
  <c r="B12" i="20"/>
  <c r="J4" s="1"/>
  <c r="G11"/>
  <c r="C10"/>
  <c r="T9"/>
  <c r="R9"/>
  <c r="N9"/>
  <c r="C9"/>
  <c r="T8"/>
  <c r="R8"/>
  <c r="N8"/>
  <c r="C8"/>
  <c r="T7"/>
  <c r="R7"/>
  <c r="P7"/>
  <c r="O7" s="1"/>
  <c r="N7"/>
  <c r="C7"/>
  <c r="T6"/>
  <c r="R6"/>
  <c r="R24" s="1"/>
  <c r="P6"/>
  <c r="O6"/>
  <c r="O3" s="1"/>
  <c r="N6"/>
  <c r="E6"/>
  <c r="D6"/>
  <c r="D12" s="1"/>
  <c r="T5"/>
  <c r="R5"/>
  <c r="C5"/>
  <c r="O9" s="1"/>
  <c r="P9" s="1"/>
  <c r="K4"/>
  <c r="D14" i="19"/>
  <c r="G13" s="1"/>
  <c r="B14"/>
  <c r="C12"/>
  <c r="D11"/>
  <c r="C11"/>
  <c r="C10"/>
  <c r="T9"/>
  <c r="S9" s="1"/>
  <c r="R9"/>
  <c r="O9"/>
  <c r="C9"/>
  <c r="T8"/>
  <c r="S8"/>
  <c r="R8"/>
  <c r="C8"/>
  <c r="T7"/>
  <c r="R7"/>
  <c r="P7"/>
  <c r="O7"/>
  <c r="N7"/>
  <c r="C7"/>
  <c r="S7" s="1"/>
  <c r="T6"/>
  <c r="S6"/>
  <c r="R6"/>
  <c r="N6"/>
  <c r="N8" s="1"/>
  <c r="N3" s="1"/>
  <c r="C6"/>
  <c r="O6" s="1"/>
  <c r="R5"/>
  <c r="C5"/>
  <c r="O8" s="1"/>
  <c r="P8" s="1"/>
  <c r="K4"/>
  <c r="J4"/>
  <c r="B13" i="18"/>
  <c r="O9"/>
  <c r="O8"/>
  <c r="N8"/>
  <c r="P8" s="1"/>
  <c r="O7"/>
  <c r="D7"/>
  <c r="C7" s="1"/>
  <c r="N6"/>
  <c r="E6"/>
  <c r="D6"/>
  <c r="D13" s="1"/>
  <c r="G12" s="1"/>
  <c r="J4"/>
  <c r="D11" i="17"/>
  <c r="C10"/>
  <c r="R9"/>
  <c r="D9"/>
  <c r="B9"/>
  <c r="O8"/>
  <c r="D8"/>
  <c r="C8" s="1"/>
  <c r="B8"/>
  <c r="B14" s="1"/>
  <c r="N9" s="1"/>
  <c r="T7"/>
  <c r="S7"/>
  <c r="R7"/>
  <c r="N7"/>
  <c r="C7"/>
  <c r="T6"/>
  <c r="S6" s="1"/>
  <c r="O7" s="1"/>
  <c r="P7" s="1"/>
  <c r="R6"/>
  <c r="N6"/>
  <c r="E6"/>
  <c r="D6"/>
  <c r="D14" s="1"/>
  <c r="G13" s="1"/>
  <c r="T5"/>
  <c r="R5"/>
  <c r="C5"/>
  <c r="O9" s="1"/>
  <c r="P9" s="1"/>
  <c r="B13" i="16"/>
  <c r="N9" s="1"/>
  <c r="O9"/>
  <c r="N8"/>
  <c r="O7"/>
  <c r="N6"/>
  <c r="E6"/>
  <c r="D6"/>
  <c r="D13" s="1"/>
  <c r="G12" s="1"/>
  <c r="C5"/>
  <c r="O8" s="1"/>
  <c r="P8" s="1"/>
  <c r="N24" i="15"/>
  <c r="N22"/>
  <c r="N17"/>
  <c r="B17"/>
  <c r="N16"/>
  <c r="C15"/>
  <c r="D14"/>
  <c r="C14" s="1"/>
  <c r="C13"/>
  <c r="C12"/>
  <c r="C11"/>
  <c r="T10"/>
  <c r="R10"/>
  <c r="E10"/>
  <c r="S9"/>
  <c r="O17" s="1"/>
  <c r="P17" s="1"/>
  <c r="R9"/>
  <c r="N15" s="1"/>
  <c r="N9"/>
  <c r="D9"/>
  <c r="S8"/>
  <c r="O9" s="1"/>
  <c r="P9" s="1"/>
  <c r="R8"/>
  <c r="T8" s="1"/>
  <c r="N8"/>
  <c r="J8"/>
  <c r="J9" s="1"/>
  <c r="E8"/>
  <c r="S7"/>
  <c r="R7"/>
  <c r="T7" s="1"/>
  <c r="N7"/>
  <c r="E7"/>
  <c r="S6"/>
  <c r="R6"/>
  <c r="T6" s="1"/>
  <c r="O6"/>
  <c r="P6" s="1"/>
  <c r="N6"/>
  <c r="D6"/>
  <c r="R5"/>
  <c r="R37" s="1"/>
  <c r="D5"/>
  <c r="G17" s="1"/>
  <c r="J4"/>
  <c r="D13" i="14"/>
  <c r="B13"/>
  <c r="G12"/>
  <c r="C11"/>
  <c r="C10"/>
  <c r="C9"/>
  <c r="C8"/>
  <c r="C7"/>
  <c r="T6"/>
  <c r="R6"/>
  <c r="N9" s="1"/>
  <c r="C6"/>
  <c r="T5"/>
  <c r="T15" s="1"/>
  <c r="S5"/>
  <c r="R5"/>
  <c r="C5"/>
  <c r="O9" s="1"/>
  <c r="P9" s="1"/>
  <c r="J4"/>
  <c r="K4" s="1"/>
  <c r="P22" i="13"/>
  <c r="N22"/>
  <c r="N21"/>
  <c r="N23" s="1"/>
  <c r="P20"/>
  <c r="O20"/>
  <c r="N20"/>
  <c r="B19"/>
  <c r="C17"/>
  <c r="C16"/>
  <c r="O22" s="1"/>
  <c r="C15"/>
  <c r="T14"/>
  <c r="R14"/>
  <c r="D14"/>
  <c r="C14" s="1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S8" s="1"/>
  <c r="O23" s="1"/>
  <c r="P23" s="1"/>
  <c r="R8"/>
  <c r="P8"/>
  <c r="O8"/>
  <c r="N8"/>
  <c r="C8"/>
  <c r="T7"/>
  <c r="V7" s="1"/>
  <c r="R7"/>
  <c r="N9" s="1"/>
  <c r="P7"/>
  <c r="O7" s="1"/>
  <c r="N7"/>
  <c r="C7"/>
  <c r="T6"/>
  <c r="S6" s="1"/>
  <c r="O9" s="1"/>
  <c r="P9" s="1"/>
  <c r="R6"/>
  <c r="O6"/>
  <c r="P6" s="1"/>
  <c r="P11" s="1"/>
  <c r="N6"/>
  <c r="E6"/>
  <c r="D6"/>
  <c r="T5"/>
  <c r="R5"/>
  <c r="R19" s="1"/>
  <c r="C5"/>
  <c r="J4"/>
  <c r="B14" i="12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B14" i="11"/>
  <c r="D12"/>
  <c r="C12"/>
  <c r="C11"/>
  <c r="C10"/>
  <c r="C9"/>
  <c r="C8"/>
  <c r="T7"/>
  <c r="R7"/>
  <c r="N9" s="1"/>
  <c r="C7"/>
  <c r="T6"/>
  <c r="S6"/>
  <c r="R6"/>
  <c r="N6"/>
  <c r="E6"/>
  <c r="D6"/>
  <c r="D14" s="1"/>
  <c r="G13" s="1"/>
  <c r="T5"/>
  <c r="T14" s="1"/>
  <c r="R5"/>
  <c r="R14" s="1"/>
  <c r="C5"/>
  <c r="O9" s="1"/>
  <c r="P9" s="1"/>
  <c r="J4"/>
  <c r="K4" s="1"/>
  <c r="B14" i="10"/>
  <c r="N6" s="1"/>
  <c r="C10"/>
  <c r="N9"/>
  <c r="C9"/>
  <c r="N8"/>
  <c r="C8"/>
  <c r="T7"/>
  <c r="R7"/>
  <c r="N7"/>
  <c r="C7"/>
  <c r="R6"/>
  <c r="O6"/>
  <c r="P6" s="1"/>
  <c r="E6"/>
  <c r="U6" s="1"/>
  <c r="D6"/>
  <c r="D14" s="1"/>
  <c r="G13" s="1"/>
  <c r="T5"/>
  <c r="R5"/>
  <c r="R17" s="1"/>
  <c r="C5"/>
  <c r="O9" s="1"/>
  <c r="P9" s="1"/>
  <c r="B13" i="9"/>
  <c r="C11"/>
  <c r="C10"/>
  <c r="T9"/>
  <c r="R9"/>
  <c r="N9"/>
  <c r="C9"/>
  <c r="T8"/>
  <c r="R8"/>
  <c r="C8"/>
  <c r="T7"/>
  <c r="S7" s="1"/>
  <c r="O7" s="1"/>
  <c r="R7"/>
  <c r="P7"/>
  <c r="N7"/>
  <c r="C7"/>
  <c r="O9" s="1"/>
  <c r="P9" s="1"/>
  <c r="R6"/>
  <c r="U6" s="1"/>
  <c r="P6"/>
  <c r="N6"/>
  <c r="N8" s="1"/>
  <c r="E6"/>
  <c r="D6"/>
  <c r="D13" s="1"/>
  <c r="G12" s="1"/>
  <c r="T5"/>
  <c r="S5"/>
  <c r="R5"/>
  <c r="R13" s="1"/>
  <c r="C5"/>
  <c r="J4"/>
  <c r="K4" s="1"/>
  <c r="N7" i="8"/>
  <c r="C7"/>
  <c r="R6"/>
  <c r="U6" s="1"/>
  <c r="E6"/>
  <c r="D6"/>
  <c r="T6" s="1"/>
  <c r="R5"/>
  <c r="R13" s="1"/>
  <c r="C5"/>
  <c r="O9" s="1"/>
  <c r="B5"/>
  <c r="B13" s="1"/>
  <c r="E6" i="7"/>
  <c r="C6"/>
  <c r="E5"/>
  <c r="E9" s="1"/>
  <c r="C5"/>
  <c r="C4" i="6"/>
  <c r="C77" i="5"/>
  <c r="E74"/>
  <c r="E73"/>
  <c r="E72"/>
  <c r="E71"/>
  <c r="E70"/>
  <c r="E69"/>
  <c r="E68"/>
  <c r="E67"/>
  <c r="E66"/>
  <c r="E65"/>
  <c r="E64"/>
  <c r="E63"/>
  <c r="D63"/>
  <c r="D77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E42"/>
  <c r="F42" s="1"/>
  <c r="D42"/>
  <c r="M41"/>
  <c r="F41"/>
  <c r="E41"/>
  <c r="E40"/>
  <c r="F40" s="1"/>
  <c r="D40"/>
  <c r="E39"/>
  <c r="F39" s="1"/>
  <c r="D39"/>
  <c r="M38"/>
  <c r="L38"/>
  <c r="L39" s="1"/>
  <c r="E38"/>
  <c r="F38" s="1"/>
  <c r="D38"/>
  <c r="M37"/>
  <c r="D37"/>
  <c r="E37" s="1"/>
  <c r="F37" s="1"/>
  <c r="M36"/>
  <c r="E36"/>
  <c r="F36" s="1"/>
  <c r="I36" s="1"/>
  <c r="K36" s="1"/>
  <c r="D36"/>
  <c r="M35"/>
  <c r="D35"/>
  <c r="E35" s="1"/>
  <c r="F35" s="1"/>
  <c r="D31"/>
  <c r="E31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E8"/>
  <c r="E7"/>
  <c r="E6"/>
  <c r="E5"/>
  <c r="J12" s="1"/>
  <c r="O32" i="4"/>
  <c r="N32"/>
  <c r="O31"/>
  <c r="P31" s="1"/>
  <c r="N31"/>
  <c r="O30"/>
  <c r="N30"/>
  <c r="O29"/>
  <c r="P29" s="1"/>
  <c r="N29"/>
  <c r="O23"/>
  <c r="P23" s="1"/>
  <c r="N23"/>
  <c r="O22"/>
  <c r="N22"/>
  <c r="O21"/>
  <c r="P21" s="1"/>
  <c r="N21"/>
  <c r="O20"/>
  <c r="N20"/>
  <c r="O14"/>
  <c r="N14"/>
  <c r="O13"/>
  <c r="P13" s="1"/>
  <c r="N13"/>
  <c r="O12"/>
  <c r="N12"/>
  <c r="O11"/>
  <c r="P11" s="1"/>
  <c r="N11"/>
  <c r="B9"/>
  <c r="D7"/>
  <c r="N6"/>
  <c r="O6" s="1"/>
  <c r="D6"/>
  <c r="D5"/>
  <c r="D9" s="1"/>
  <c r="J4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4" s="1"/>
  <c r="Y2"/>
  <c r="M68" i="2"/>
  <c r="N67"/>
  <c r="O67" s="1"/>
  <c r="M67"/>
  <c r="M66"/>
  <c r="N65"/>
  <c r="O65" s="1"/>
  <c r="M65"/>
  <c r="M60"/>
  <c r="M59"/>
  <c r="N57"/>
  <c r="M52"/>
  <c r="M51"/>
  <c r="N49"/>
  <c r="O49" s="1"/>
  <c r="M49"/>
  <c r="M44"/>
  <c r="M43"/>
  <c r="M42"/>
  <c r="N41"/>
  <c r="M41"/>
  <c r="O41" s="1"/>
  <c r="N36"/>
  <c r="O36" s="1"/>
  <c r="M36"/>
  <c r="D36"/>
  <c r="N35"/>
  <c r="O35" s="1"/>
  <c r="M35"/>
  <c r="C35"/>
  <c r="B35"/>
  <c r="M34"/>
  <c r="C34"/>
  <c r="N33"/>
  <c r="M33"/>
  <c r="O33" s="1"/>
  <c r="D33"/>
  <c r="C33"/>
  <c r="B33"/>
  <c r="C32"/>
  <c r="B31"/>
  <c r="D30"/>
  <c r="T21" s="1"/>
  <c r="B30"/>
  <c r="B38" s="1"/>
  <c r="D29"/>
  <c r="T18" s="1"/>
  <c r="M28"/>
  <c r="D28"/>
  <c r="T17" s="1"/>
  <c r="S17" s="1"/>
  <c r="M27"/>
  <c r="D27"/>
  <c r="M26"/>
  <c r="D26"/>
  <c r="C26" s="1"/>
  <c r="N25"/>
  <c r="M25"/>
  <c r="O25" s="1"/>
  <c r="C25"/>
  <c r="N68" s="1"/>
  <c r="O68" s="1"/>
  <c r="T24"/>
  <c r="R24"/>
  <c r="C24"/>
  <c r="T23"/>
  <c r="R23"/>
  <c r="C23"/>
  <c r="C22"/>
  <c r="N43" s="1"/>
  <c r="O43" s="1"/>
  <c r="S21"/>
  <c r="R21"/>
  <c r="C21"/>
  <c r="N18" s="1"/>
  <c r="M20"/>
  <c r="C20"/>
  <c r="N34" s="1"/>
  <c r="O34" s="1"/>
  <c r="T19"/>
  <c r="S19" s="1"/>
  <c r="R19"/>
  <c r="M50" s="1"/>
  <c r="N19"/>
  <c r="O19" s="1"/>
  <c r="M19"/>
  <c r="C19"/>
  <c r="N27" s="1"/>
  <c r="O27" s="1"/>
  <c r="S18"/>
  <c r="R18"/>
  <c r="M18"/>
  <c r="O18" s="1"/>
  <c r="D18"/>
  <c r="C18"/>
  <c r="N17" s="1"/>
  <c r="O17" s="1"/>
  <c r="R17"/>
  <c r="M17"/>
  <c r="C17"/>
  <c r="N20" s="1"/>
  <c r="O20" s="1"/>
  <c r="T16"/>
  <c r="S16" s="1"/>
  <c r="R16"/>
  <c r="D16"/>
  <c r="T15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N9"/>
  <c r="O9" s="1"/>
  <c r="O14" s="1"/>
  <c r="M9"/>
  <c r="C9"/>
  <c r="R8"/>
  <c r="S8" s="1"/>
  <c r="C8"/>
  <c r="R7"/>
  <c r="S7" s="1"/>
  <c r="J7"/>
  <c r="J8" s="1"/>
  <c r="C7"/>
  <c r="R6"/>
  <c r="T6" s="1"/>
  <c r="E6"/>
  <c r="D6"/>
  <c r="R5"/>
  <c r="D5"/>
  <c r="J4"/>
  <c r="D41" i="1"/>
  <c r="C40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38" i="2" l="1"/>
  <c r="P12" i="4"/>
  <c r="P17" s="1"/>
  <c r="P14"/>
  <c r="P20"/>
  <c r="P22"/>
  <c r="P30"/>
  <c r="P35" s="1"/>
  <c r="P32"/>
  <c r="O37" i="1"/>
  <c r="P37" s="1"/>
  <c r="O36"/>
  <c r="O35"/>
  <c r="O34"/>
  <c r="O29"/>
  <c r="P29" s="1"/>
  <c r="O28"/>
  <c r="O27"/>
  <c r="O26"/>
  <c r="O22" i="2"/>
  <c r="N52"/>
  <c r="O52" s="1"/>
  <c r="N50"/>
  <c r="O50" s="1"/>
  <c r="M76"/>
  <c r="M74"/>
  <c r="M75"/>
  <c r="M73"/>
  <c r="D31"/>
  <c r="T22" s="1"/>
  <c r="T20"/>
  <c r="S20" s="1"/>
  <c r="R20"/>
  <c r="M57"/>
  <c r="O57" s="1"/>
  <c r="L40" i="5"/>
  <c r="M40" s="1"/>
  <c r="M39"/>
  <c r="M47" s="1"/>
  <c r="J4" i="8"/>
  <c r="N9"/>
  <c r="E7" i="12"/>
  <c r="K4"/>
  <c r="N26" i="1"/>
  <c r="N27"/>
  <c r="N28"/>
  <c r="B39"/>
  <c r="N26" i="2"/>
  <c r="O26" s="1"/>
  <c r="N28"/>
  <c r="O28" s="1"/>
  <c r="N51"/>
  <c r="O51" s="1"/>
  <c r="O54" s="1"/>
  <c r="I37" i="5"/>
  <c r="K37" s="1"/>
  <c r="N3" i="13"/>
  <c r="O3"/>
  <c r="G43" i="34"/>
  <c r="H37" i="5"/>
  <c r="H38"/>
  <c r="G9" i="22"/>
  <c r="K4"/>
  <c r="O3" i="1"/>
  <c r="T5"/>
  <c r="N6"/>
  <c r="R19"/>
  <c r="N19" s="1"/>
  <c r="T19"/>
  <c r="R21"/>
  <c r="N34"/>
  <c r="N35"/>
  <c r="N36"/>
  <c r="N4" i="2"/>
  <c r="T5"/>
  <c r="S15"/>
  <c r="R22"/>
  <c r="R37" s="1"/>
  <c r="S24"/>
  <c r="N42"/>
  <c r="O42" s="1"/>
  <c r="N44"/>
  <c r="O44" s="1"/>
  <c r="K4" i="4"/>
  <c r="P26"/>
  <c r="J14" i="5"/>
  <c r="I35"/>
  <c r="K35" s="1"/>
  <c r="I41"/>
  <c r="K41" s="1"/>
  <c r="P9" i="8"/>
  <c r="P25" i="13"/>
  <c r="P9" i="16"/>
  <c r="P9" i="24"/>
  <c r="N26" i="34"/>
  <c r="C11" i="17"/>
  <c r="O6" s="1"/>
  <c r="T9"/>
  <c r="T24" i="20"/>
  <c r="S5"/>
  <c r="T7" i="23"/>
  <c r="C7"/>
  <c r="P6"/>
  <c r="N12" i="25"/>
  <c r="N6"/>
  <c r="T5" i="26"/>
  <c r="T39" s="1"/>
  <c r="C35"/>
  <c r="R25"/>
  <c r="N17" i="27"/>
  <c r="N16"/>
  <c r="N14"/>
  <c r="P14" s="1"/>
  <c r="B16"/>
  <c r="D15"/>
  <c r="T10" s="1"/>
  <c r="T17" i="31"/>
  <c r="S5"/>
  <c r="N9"/>
  <c r="J4"/>
  <c r="K4" s="1"/>
  <c r="R6" i="34"/>
  <c r="C6"/>
  <c r="E14"/>
  <c r="R10"/>
  <c r="O26"/>
  <c r="O24"/>
  <c r="P24" s="1"/>
  <c r="P16"/>
  <c r="O3"/>
  <c r="T18" i="38"/>
  <c r="S5"/>
  <c r="N9"/>
  <c r="N7"/>
  <c r="N6"/>
  <c r="J4"/>
  <c r="K4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6" i="4"/>
  <c r="G8"/>
  <c r="O6" i="8"/>
  <c r="O8"/>
  <c r="T6" i="9"/>
  <c r="T13" s="1"/>
  <c r="O7" i="11"/>
  <c r="U7"/>
  <c r="N8"/>
  <c r="U5" i="13"/>
  <c r="D19"/>
  <c r="T19"/>
  <c r="P21"/>
  <c r="O6" i="14"/>
  <c r="P6" s="1"/>
  <c r="O7"/>
  <c r="O8"/>
  <c r="P8" s="1"/>
  <c r="R15"/>
  <c r="O14" i="15"/>
  <c r="O15"/>
  <c r="P15" s="1"/>
  <c r="D17"/>
  <c r="K4" s="1"/>
  <c r="U5" i="17"/>
  <c r="T8"/>
  <c r="P9" i="19"/>
  <c r="O6" i="21"/>
  <c r="P6" s="1"/>
  <c r="O8"/>
  <c r="P8" s="1"/>
  <c r="O12" i="25"/>
  <c r="P16" i="27"/>
  <c r="P17"/>
  <c r="B18"/>
  <c r="J4" s="1"/>
  <c r="O8" i="29"/>
  <c r="O9"/>
  <c r="V8" i="30"/>
  <c r="N15"/>
  <c r="P15" s="1"/>
  <c r="N17"/>
  <c r="P9" i="31"/>
  <c r="P12" s="1"/>
  <c r="K4" i="33"/>
  <c r="S12" i="34"/>
  <c r="S16"/>
  <c r="N17"/>
  <c r="P17" s="1"/>
  <c r="R19"/>
  <c r="V19" s="1"/>
  <c r="R20"/>
  <c r="S22"/>
  <c r="O7" i="35"/>
  <c r="P7" s="1"/>
  <c r="O9"/>
  <c r="P9" s="1"/>
  <c r="K4" i="36"/>
  <c r="S5" i="37"/>
  <c r="T18"/>
  <c r="P9" i="38"/>
  <c r="N9" i="18"/>
  <c r="N7"/>
  <c r="R33" i="19"/>
  <c r="N9"/>
  <c r="R21" i="24"/>
  <c r="N8"/>
  <c r="N6"/>
  <c r="P6" s="1"/>
  <c r="C32" i="26"/>
  <c r="R24"/>
  <c r="R39" s="1"/>
  <c r="S5" i="27"/>
  <c r="N9" i="29"/>
  <c r="N8"/>
  <c r="N6"/>
  <c r="O17" i="30"/>
  <c r="P17" s="1"/>
  <c r="O16"/>
  <c r="P16" s="1"/>
  <c r="D21"/>
  <c r="G20" s="1"/>
  <c r="T9"/>
  <c r="V9" s="1"/>
  <c r="C9"/>
  <c r="N9"/>
  <c r="P9" s="1"/>
  <c r="N8"/>
  <c r="P8" s="1"/>
  <c r="N7"/>
  <c r="O9" i="32"/>
  <c r="P9" s="1"/>
  <c r="O7"/>
  <c r="P7" s="1"/>
  <c r="R43" i="34"/>
  <c r="T5"/>
  <c r="C33"/>
  <c r="T20"/>
  <c r="O9" i="39"/>
  <c r="P9" s="1"/>
  <c r="O7"/>
  <c r="P7" s="1"/>
  <c r="O6"/>
  <c r="P6" s="1"/>
  <c r="N66" i="2"/>
  <c r="O66" s="1"/>
  <c r="O70" s="1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D5" i="8"/>
  <c r="N6"/>
  <c r="O7"/>
  <c r="P7" s="1"/>
  <c r="N8"/>
  <c r="O6" i="9"/>
  <c r="O8"/>
  <c r="P8" s="1"/>
  <c r="P11" s="1"/>
  <c r="J4" i="10"/>
  <c r="K4" s="1"/>
  <c r="S5"/>
  <c r="T6"/>
  <c r="T17" s="1"/>
  <c r="O7"/>
  <c r="P7" s="1"/>
  <c r="P12" s="1"/>
  <c r="O8"/>
  <c r="P8" s="1"/>
  <c r="U5" i="11"/>
  <c r="O6"/>
  <c r="P6" s="1"/>
  <c r="N7"/>
  <c r="O8"/>
  <c r="P8" s="1"/>
  <c r="O6" i="12"/>
  <c r="P6" s="1"/>
  <c r="P12" s="1"/>
  <c r="N6" i="14"/>
  <c r="N7"/>
  <c r="N8"/>
  <c r="T5" i="15"/>
  <c r="O7"/>
  <c r="P7" s="1"/>
  <c r="O8"/>
  <c r="P8" s="1"/>
  <c r="P11" s="1"/>
  <c r="T9"/>
  <c r="N14"/>
  <c r="O16"/>
  <c r="P16" s="1"/>
  <c r="N23"/>
  <c r="N25"/>
  <c r="J4" i="16"/>
  <c r="K4" s="1"/>
  <c r="O6"/>
  <c r="P6" s="1"/>
  <c r="N7"/>
  <c r="P7" s="1"/>
  <c r="J4" i="17"/>
  <c r="K4" s="1"/>
  <c r="P6"/>
  <c r="N8"/>
  <c r="P8" s="1"/>
  <c r="R8"/>
  <c r="R13" s="1"/>
  <c r="K4" i="18"/>
  <c r="P6"/>
  <c r="P7"/>
  <c r="P9"/>
  <c r="O3" i="19"/>
  <c r="P3" s="1"/>
  <c r="P6"/>
  <c r="P13" s="1"/>
  <c r="N3" i="20"/>
  <c r="P3" s="1"/>
  <c r="S6"/>
  <c r="J4" i="21"/>
  <c r="K4" s="1"/>
  <c r="O9"/>
  <c r="P9" s="1"/>
  <c r="S5" i="23"/>
  <c r="S6"/>
  <c r="T22"/>
  <c r="S6" i="24"/>
  <c r="N7"/>
  <c r="P8"/>
  <c r="T21"/>
  <c r="O6" i="25"/>
  <c r="P6" s="1"/>
  <c r="B22"/>
  <c r="J4" s="1"/>
  <c r="D39" i="26"/>
  <c r="R9"/>
  <c r="S9" s="1"/>
  <c r="B39"/>
  <c r="N15" i="27"/>
  <c r="P15" s="1"/>
  <c r="K4" i="28"/>
  <c r="K4" i="29"/>
  <c r="D10"/>
  <c r="G9" s="1"/>
  <c r="O6"/>
  <c r="P6" s="1"/>
  <c r="O7" i="30"/>
  <c r="P7" s="1"/>
  <c r="S10"/>
  <c r="O6" i="32"/>
  <c r="P6" s="1"/>
  <c r="O8"/>
  <c r="P8" s="1"/>
  <c r="B43" i="34"/>
  <c r="J4" s="1"/>
  <c r="K4" s="1"/>
  <c r="O6" i="35"/>
  <c r="P6" s="1"/>
  <c r="P11" s="1"/>
  <c r="P6" i="38"/>
  <c r="P7"/>
  <c r="D14" i="39"/>
  <c r="G13" s="1"/>
  <c r="S5" i="19"/>
  <c r="T5" s="1"/>
  <c r="T33" s="1"/>
  <c r="W33" s="1"/>
  <c r="O8" i="20"/>
  <c r="P8" s="1"/>
  <c r="P11" s="1"/>
  <c r="O6" i="22"/>
  <c r="P6" s="1"/>
  <c r="O8"/>
  <c r="P8" s="1"/>
  <c r="O7" i="24"/>
  <c r="P7" s="1"/>
  <c r="T6" i="27"/>
  <c r="O6" i="28"/>
  <c r="P6" s="1"/>
  <c r="O8"/>
  <c r="P8" s="1"/>
  <c r="O6" i="33"/>
  <c r="P6" s="1"/>
  <c r="O8"/>
  <c r="P8" s="1"/>
  <c r="O6" i="36"/>
  <c r="P6" s="1"/>
  <c r="O8"/>
  <c r="P8" s="1"/>
  <c r="O7" i="37"/>
  <c r="P11" i="24" l="1"/>
  <c r="P19" i="30"/>
  <c r="P19" i="34"/>
  <c r="O30" i="2"/>
  <c r="P11" i="36"/>
  <c r="P11" i="33"/>
  <c r="P11" i="28"/>
  <c r="P11" i="22"/>
  <c r="P11" i="39"/>
  <c r="P20" i="27"/>
  <c r="O46" i="2"/>
  <c r="P7" i="37"/>
  <c r="P11" s="1"/>
  <c r="N3"/>
  <c r="O9" i="26"/>
  <c r="P9" s="1"/>
  <c r="J4"/>
  <c r="O6" i="18"/>
  <c r="P11"/>
  <c r="T37" i="15"/>
  <c r="S5"/>
  <c r="N8" i="34"/>
  <c r="N9"/>
  <c r="P9" s="1"/>
  <c r="P11" s="1"/>
  <c r="P6" i="8"/>
  <c r="O3"/>
  <c r="P3" s="1"/>
  <c r="N3"/>
  <c r="N75" i="2"/>
  <c r="O75" s="1"/>
  <c r="N73"/>
  <c r="O73" s="1"/>
  <c r="N76"/>
  <c r="O76" s="1"/>
  <c r="N74"/>
  <c r="O74" s="1"/>
  <c r="M4"/>
  <c r="O4" s="1"/>
  <c r="H42" i="5"/>
  <c r="I42" s="1"/>
  <c r="K42" s="1"/>
  <c r="H39"/>
  <c r="D39" i="1"/>
  <c r="D43" s="1"/>
  <c r="T18"/>
  <c r="S18" s="1"/>
  <c r="R18"/>
  <c r="N10"/>
  <c r="P10" s="1"/>
  <c r="R22"/>
  <c r="N59" i="2"/>
  <c r="O59" s="1"/>
  <c r="N60"/>
  <c r="O60" s="1"/>
  <c r="N58"/>
  <c r="N3" i="9"/>
  <c r="O3"/>
  <c r="P3" s="1"/>
  <c r="D13" i="8"/>
  <c r="G12" s="1"/>
  <c r="T5"/>
  <c r="G18" i="13"/>
  <c r="K4"/>
  <c r="R9" i="27"/>
  <c r="D16"/>
  <c r="O6" i="23"/>
  <c r="P11"/>
  <c r="O3" i="17"/>
  <c r="N3"/>
  <c r="O6" i="1"/>
  <c r="N3" s="1"/>
  <c r="P11" i="30"/>
  <c r="G39" i="26"/>
  <c r="P12" i="17"/>
  <c r="N18" i="8"/>
  <c r="O18" s="1"/>
  <c r="O3" i="37"/>
  <c r="P3" s="1"/>
  <c r="K4" i="30"/>
  <c r="P8" i="29"/>
  <c r="P11" s="1"/>
  <c r="S8" i="17"/>
  <c r="P14" i="15"/>
  <c r="P19" s="1"/>
  <c r="D38" i="2"/>
  <c r="P27" i="1"/>
  <c r="P35"/>
  <c r="P11" i="38"/>
  <c r="P11" i="32"/>
  <c r="N3" i="30"/>
  <c r="P3" s="1"/>
  <c r="P11" i="16"/>
  <c r="V20" i="34"/>
  <c r="T43"/>
  <c r="W43" s="1"/>
  <c r="K4" i="39"/>
  <c r="T24" i="30"/>
  <c r="P9" i="29"/>
  <c r="P12" i="25"/>
  <c r="P11" i="21"/>
  <c r="T13" i="17"/>
  <c r="P7" i="14"/>
  <c r="P12" s="1"/>
  <c r="P7" i="11"/>
  <c r="P11" s="1"/>
  <c r="P8" i="8"/>
  <c r="P26" i="34"/>
  <c r="P28" s="1"/>
  <c r="I38" i="5"/>
  <c r="K38" s="1"/>
  <c r="K14"/>
  <c r="T37" i="2"/>
  <c r="S19" i="1"/>
  <c r="P3"/>
  <c r="P3" i="13"/>
  <c r="K4" i="8"/>
  <c r="M58" i="2"/>
  <c r="B43" i="1"/>
  <c r="P26"/>
  <c r="P31" s="1"/>
  <c r="P28"/>
  <c r="P34"/>
  <c r="P39" s="1"/>
  <c r="P36"/>
  <c r="T9" i="27" l="1"/>
  <c r="T17" s="1"/>
  <c r="D18"/>
  <c r="S5" i="8"/>
  <c r="T13"/>
  <c r="O12" i="1"/>
  <c r="P12" s="1"/>
  <c r="O11"/>
  <c r="O13"/>
  <c r="P13" s="1"/>
  <c r="G42"/>
  <c r="G7"/>
  <c r="O24" i="15"/>
  <c r="P24" s="1"/>
  <c r="O22"/>
  <c r="P22" s="1"/>
  <c r="O25"/>
  <c r="P25" s="1"/>
  <c r="O23"/>
  <c r="P23" s="1"/>
  <c r="J12" i="1"/>
  <c r="J13" s="1"/>
  <c r="J4"/>
  <c r="K4" s="1"/>
  <c r="O21"/>
  <c r="P21" s="1"/>
  <c r="O19"/>
  <c r="P19" s="1"/>
  <c r="O20"/>
  <c r="P20" s="1"/>
  <c r="G37" i="2"/>
  <c r="K4"/>
  <c r="O3" i="23"/>
  <c r="N3"/>
  <c r="N8" i="27"/>
  <c r="P8" s="1"/>
  <c r="N6"/>
  <c r="P6" s="1"/>
  <c r="N9"/>
  <c r="P9" s="1"/>
  <c r="N7"/>
  <c r="P7" s="1"/>
  <c r="R17"/>
  <c r="N11" i="1"/>
  <c r="R32"/>
  <c r="H40" i="5"/>
  <c r="I40" s="1"/>
  <c r="K40" s="1"/>
  <c r="J13" s="1"/>
  <c r="I39"/>
  <c r="K39" s="1"/>
  <c r="N3" i="18"/>
  <c r="O3"/>
  <c r="O58" i="2"/>
  <c r="O62" s="1"/>
  <c r="N3" i="34"/>
  <c r="P3" s="1"/>
  <c r="P6" i="1"/>
  <c r="P3" i="17"/>
  <c r="T22" i="1"/>
  <c r="T32" s="1"/>
  <c r="O78" i="2"/>
  <c r="P11" i="8"/>
  <c r="O47" i="5" l="1"/>
  <c r="P47" s="1"/>
  <c r="J15"/>
  <c r="J16" s="1"/>
  <c r="G17" i="27"/>
  <c r="K4"/>
  <c r="P11"/>
  <c r="P11" i="1"/>
  <c r="P15" s="1"/>
  <c r="P3" i="18"/>
  <c r="P3" i="23"/>
  <c r="P23" i="1"/>
  <c r="P27" i="15"/>
</calcChain>
</file>

<file path=xl/sharedStrings.xml><?xml version="1.0" encoding="utf-8"?>
<sst xmlns="http://schemas.openxmlformats.org/spreadsheetml/2006/main" count="858" uniqueCount="100">
  <si>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</si>
  <si>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</si>
  <si>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</si>
  <si>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</si>
  <si>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</si>
  <si>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</si>
  <si>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</si>
  <si>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</si>
  <si>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</si>
  <si>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</si>
  <si>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</si>
  <si>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</si>
  <si>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</si>
  <si>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</si>
  <si>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</si>
  <si>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</si>
  <si>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</si>
  <si>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</si>
  <si>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</si>
  <si>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</si>
  <si>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</si>
  <si>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</si>
  <si>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</si>
  <si>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</si>
  <si>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</si>
  <si>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</si>
  <si>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</si>
  <si>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</si>
  <si>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</si>
  <si>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</si>
  <si>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</si>
  <si>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</si>
  <si>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</si>
  <si>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</si>
  <si>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</si>
  <si>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</si>
  <si>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</si>
  <si>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</si>
  <si>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</si>
  <si>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</si>
  <si>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</si>
  <si>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</si>
  <si>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</si>
  <si>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</si>
  <si>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</si>
  <si>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</si>
  <si>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</si>
  <si>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</si>
  <si>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</si>
  <si>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</si>
  <si>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</si>
  <si>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</si>
  <si>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</si>
  <si>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</si>
  <si>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</si>
  <si>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</si>
  <si>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</si>
  <si>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</si>
  <si>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</si>
  <si>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</si>
  <si>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</si>
  <si>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</si>
  <si>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</si>
  <si>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</si>
  <si>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</si>
  <si>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</si>
  <si>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</si>
  <si>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</si>
  <si>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</si>
  <si>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</si>
  <si>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</si>
  <si>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</si>
  <si>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</si>
  <si>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</si>
  <si>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</si>
  <si>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</si>
  <si>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</si>
  <si>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</si>
  <si>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</si>
  <si>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</si>
  <si>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</si>
  <si>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</si>
  <si>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</si>
  <si>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</si>
  <si>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</si>
  <si>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</si>
  <si>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Learn 1/5</t>
  </si>
  <si>
    <t>Ph</t>
  </si>
  <si>
    <t>NFT Burn</t>
  </si>
  <si>
    <t>DCA2*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</si>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</sst>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5518336"/>
        <c:axId val="75520256"/>
      </c:lineChart>
      <c:dateAx>
        <c:axId val="75518336"/>
        <c:scaling>
          <c:orientation val="minMax"/>
        </c:scaling>
        <c:axPos val="b"/>
        <c:numFmt formatCode="dd/mm/yy;@" sourceLinked="1"/>
        <c:majorTickMark val="none"/>
        <c:tickLblPos val="nextTo"/>
        <c:crossAx val="75520256"/>
        <c:crosses val="autoZero"/>
        <c:lblOffset val="100"/>
      </c:dateAx>
      <c:valAx>
        <c:axId val="7552025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55183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K41" sqref="K4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2188.7011923600089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1236.0221382927866</v>
      </c>
      <c r="K4" s="4">
        <f>(J4/D43-1)</f>
        <v>-0.18927705225565539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2699.6906877368906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6.5065399999999999E-3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4.0947131999999997E-2</v>
      </c>
      <c r="O11" s="24">
        <f>($S$18*[1]Params!K16)</f>
        <v>3369.5843127742878</v>
      </c>
      <c r="P11" s="25">
        <f>(O11*N11)</f>
        <v>137.97481364029804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6.5065399999999999E-3</v>
      </c>
      <c r="C12" s="28">
        <v>0</v>
      </c>
      <c r="D12" s="29">
        <f t="shared" si="0"/>
        <v>0</v>
      </c>
      <c r="E12" s="23">
        <f>(B12*J3)</f>
        <v>14.240871856138092</v>
      </c>
      <c r="I12" t="s">
        <v>13</v>
      </c>
      <c r="J12">
        <f>(J11-B43)</f>
        <v>3.5271410000000003E-2</v>
      </c>
      <c r="N12">
        <f>($B$35/5)</f>
        <v>2.2796066E-2</v>
      </c>
      <c r="O12" s="24">
        <f>($S$18*[1]Params!K17)</f>
        <v>6739.1686255485756</v>
      </c>
      <c r="P12" s="25">
        <f>(O12*N12)</f>
        <v>153.62653277313461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77.198577123218755</v>
      </c>
      <c r="N13">
        <f>($B$35/5)</f>
        <v>2.2796066E-2</v>
      </c>
      <c r="O13" s="24">
        <f>($S$18*[1]Params!K18)</f>
        <v>13478.337251097151</v>
      </c>
      <c r="P13" s="25">
        <f>(O13*N13)</f>
        <v>307.25306554626923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606.30963695970195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0.10933533000000001</v>
      </c>
      <c r="S18" s="24">
        <f>(T18/R18)</f>
        <v>1684.7921563871439</v>
      </c>
      <c r="T18" s="25">
        <f>(D35+1283.68*B39)</f>
        <v>184.20730639999999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8.5933959999999997E-3</v>
      </c>
      <c r="O19" s="24">
        <f>($S$19*[1]Params!K16)</f>
        <v>3443.0454252452978</v>
      </c>
      <c r="P19" s="25">
        <f>(O19*N19)</f>
        <v>29.58745278512124</v>
      </c>
      <c r="R19" s="26">
        <f>(B36+B38)</f>
        <v>2.254099E-2</v>
      </c>
      <c r="S19" s="24">
        <f>(T19/R19)</f>
        <v>1721.5227126226489</v>
      </c>
      <c r="T19" s="25">
        <f>(D36+1269.75*B38)</f>
        <v>38.804826250000005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4.6491980000000002E-3</v>
      </c>
      <c r="O20" s="24">
        <f>($S$19*[1]Params!K17)</f>
        <v>6886.0908504905956</v>
      </c>
      <c r="P20" s="25">
        <f>(O20*N20)</f>
        <v>32.014799809919175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4.6491980000000002E-3</v>
      </c>
      <c r="O21" s="24">
        <f>($S$19*[1]Params!K18)</f>
        <v>13772.181700981191</v>
      </c>
      <c r="P21" s="25">
        <f>(O21*N21)</f>
        <v>64.029599619838351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126.76337721487877</v>
      </c>
      <c r="R23" s="26">
        <f>(B40)</f>
        <v>5.319956E-2</v>
      </c>
      <c r="S23" s="24">
        <f>(T23/R23)</f>
        <v>1844.9400709329177</v>
      </c>
      <c r="T23" s="25">
        <f>(D40)</f>
        <v>98.15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0.54434899000000003</v>
      </c>
      <c r="T32" s="25">
        <f>(SUM(T5:T31))</f>
        <v>1478.2289255217843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1.0639912E-2</v>
      </c>
      <c r="O34" s="24">
        <f>($S$23*[1]Params!K15)</f>
        <v>2767.4101063993767</v>
      </c>
      <c r="P34" s="25">
        <f>(O34*N34)</f>
        <v>29.445000000000004</v>
      </c>
    </row>
    <row r="35" spans="2:16">
      <c r="B35" s="26">
        <v>0.11398033</v>
      </c>
      <c r="C35" s="24">
        <f>(D35/B35)</f>
        <v>1668.445774810443</v>
      </c>
      <c r="D35" s="25">
        <v>190.17</v>
      </c>
      <c r="E35" t="s">
        <v>10</v>
      </c>
      <c r="N35">
        <f>($R$23/5)</f>
        <v>1.0639912E-2</v>
      </c>
      <c r="O35" s="24">
        <f>($S$23*[1]Params!K16)</f>
        <v>3689.8801418658354</v>
      </c>
      <c r="P35" s="25">
        <f>(O35*N35)</f>
        <v>39.260000000000005</v>
      </c>
    </row>
    <row r="36" spans="2:16">
      <c r="B36" s="26">
        <v>2.3245990000000001E-2</v>
      </c>
      <c r="C36" s="24">
        <f>(D36/B36)</f>
        <v>1707.8214350087908</v>
      </c>
      <c r="D36" s="25">
        <v>39.700000000000003</v>
      </c>
      <c r="E36" t="s">
        <v>15</v>
      </c>
      <c r="N36">
        <f>($R$23/5)</f>
        <v>1.0639912E-2</v>
      </c>
      <c r="O36" s="24">
        <f>($S$23*[1]Params!K17)</f>
        <v>7379.7602837316708</v>
      </c>
      <c r="P36" s="25">
        <f>(O36*N36)</f>
        <v>78.52000000000001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1.0639912E-2</v>
      </c>
      <c r="O37" s="24">
        <f>($S$23*[1]Params!K18)</f>
        <v>14759.520567463342</v>
      </c>
      <c r="P37" s="25">
        <f>(O37*N37)</f>
        <v>157.04000000000002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304.26500000000004</v>
      </c>
    </row>
    <row r="40" spans="2:16">
      <c r="B40" s="26">
        <v>5.319956E-2</v>
      </c>
      <c r="C40" s="24">
        <f>(D40/B40)</f>
        <v>1844.9400709329177</v>
      </c>
      <c r="D40" s="25">
        <v>98.15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2699.6906877368906</v>
      </c>
    </row>
    <row r="43" spans="2:16">
      <c r="B43">
        <f>(SUM(B5:B42))</f>
        <v>0.56472858999999997</v>
      </c>
      <c r="D43" s="25">
        <f>(SUM(D5:D42))</f>
        <v>1524.5925155217844</v>
      </c>
    </row>
  </sheetData>
  <conditionalFormatting sqref="C5:C7 C11 C18:C25 C27 C29 C31 C33 C35:C37 C40:C41 N6 O11:O13 O19:O21 O26:O29 O34:O37 S5:S7 S10:S15 S18:S20 S23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G42">
    <cfRule type="cellIs" dxfId="295" priority="21" operator="lessThan">
      <formula>$J$3</formula>
    </cfRule>
    <cfRule type="cellIs" dxfId="294" priority="22" operator="greaterThan">
      <formula>$J$3</formula>
    </cfRule>
  </conditionalFormatting>
  <conditionalFormatting sqref="O3">
    <cfRule type="cellIs" dxfId="293" priority="9" operator="greaterThan">
      <formula>$J$3</formula>
    </cfRule>
    <cfRule type="cellIs" dxfId="29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N13" sqref="N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45">
        <v>0.19307060729415149</v>
      </c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12.222496423815157</v>
      </c>
      <c r="K4" s="4">
        <f>(J4/D14-1)</f>
        <v>0.24391060407666521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0.56302759999999996</v>
      </c>
      <c r="C6" s="28">
        <v>0</v>
      </c>
      <c r="D6" s="28">
        <f>(B6*C6)</f>
        <v>0</v>
      </c>
      <c r="E6" s="23">
        <f>(B6*J3)</f>
        <v>0.1087040806553686</v>
      </c>
      <c r="M6" t="s">
        <v>11</v>
      </c>
      <c r="N6" s="35">
        <f>($B$14/5)</f>
        <v>12.661167430000001</v>
      </c>
      <c r="O6" s="23">
        <f>($C$5*[1]Params!K8)</f>
        <v>0.21940472231459929</v>
      </c>
      <c r="P6" s="23">
        <f>(O6*N6)</f>
        <v>2.777919924157799</v>
      </c>
      <c r="R6" s="47">
        <f>(B6)</f>
        <v>0.56302759999999996</v>
      </c>
      <c r="S6" s="28">
        <v>0</v>
      </c>
      <c r="T6" s="28">
        <f>(D6)</f>
        <v>0</v>
      </c>
      <c r="U6" s="23">
        <f>(E6)</f>
        <v>0.1087040806553686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($B$14/5)</f>
        <v>12.661167430000001</v>
      </c>
      <c r="O7" s="23">
        <f>($C$5*[1]Params!K9)</f>
        <v>0.27003658131027602</v>
      </c>
      <c r="P7" s="23">
        <f>(O7*N7)</f>
        <v>3.4189783681942139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($B$14/5)</f>
        <v>12.661167430000001</v>
      </c>
      <c r="O8" s="23">
        <f>($C$5*[1]Params!K10)</f>
        <v>0.37130029930162955</v>
      </c>
      <c r="P8" s="23">
        <f>(O8*N8)</f>
        <v>4.7010952562670445</v>
      </c>
      <c r="R8" s="35"/>
      <c r="S8" s="23"/>
      <c r="T8" s="23"/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($B$14/5)</f>
        <v>12.661167430000001</v>
      </c>
      <c r="O9" s="23">
        <f>($C$5*[1]Params!K11)</f>
        <v>0.84386431659461258</v>
      </c>
      <c r="P9" s="23">
        <f>(O9*N9)</f>
        <v>10.684307400606919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2" spans="2:21">
      <c r="P12" s="23">
        <f>(SUM(P6:P9))</f>
        <v>21.582300949225974</v>
      </c>
    </row>
    <row r="13" spans="2:21">
      <c r="F13" t="s">
        <v>9</v>
      </c>
      <c r="G13" s="23">
        <f>(D14/B14)</f>
        <v>0.15521260664665262</v>
      </c>
    </row>
    <row r="14" spans="2:21">
      <c r="B14" s="35">
        <f>(SUM(B5:B13))</f>
        <v>63.305837150000002</v>
      </c>
      <c r="D14" s="23">
        <f>(SUM(D5:D13))</f>
        <v>9.8258639999999993</v>
      </c>
    </row>
    <row r="17" spans="11:20">
      <c r="N17" s="35"/>
      <c r="R17" s="35">
        <f>(SUM(R5:R16))</f>
        <v>63.305837150000002</v>
      </c>
      <c r="T17" s="23">
        <f>(SUM(T5:T16))</f>
        <v>9.8258639999999993</v>
      </c>
    </row>
    <row r="20" spans="11:20">
      <c r="K20" s="24"/>
    </row>
  </sheetData>
  <conditionalFormatting sqref="C5">
    <cfRule type="cellIs" dxfId="235" priority="13" operator="lessThan">
      <formula>$J$3</formula>
    </cfRule>
    <cfRule type="cellIs" dxfId="234" priority="14" operator="greaterThan">
      <formula>$J$3</formula>
    </cfRule>
  </conditionalFormatting>
  <conditionalFormatting sqref="C9:C10">
    <cfRule type="cellIs" dxfId="233" priority="11" operator="lessThan">
      <formula>$J$3</formula>
    </cfRule>
    <cfRule type="cellIs" dxfId="232" priority="12" operator="greaterThan">
      <formula>$J$3</formula>
    </cfRule>
  </conditionalFormatting>
  <conditionalFormatting sqref="O6:O9">
    <cfRule type="cellIs" dxfId="231" priority="9" operator="lessThan">
      <formula>$J$3</formula>
    </cfRule>
    <cfRule type="cellIs" dxfId="230" priority="10" operator="greaterThan">
      <formula>$J$3</formula>
    </cfRule>
  </conditionalFormatting>
  <conditionalFormatting sqref="S5 S7:S8">
    <cfRule type="cellIs" dxfId="229" priority="5" operator="lessThan">
      <formula>$J$3</formula>
    </cfRule>
    <cfRule type="cellIs" dxfId="228" priority="6" operator="greaterThan">
      <formula>$J$3</formula>
    </cfRule>
  </conditionalFormatting>
  <conditionalFormatting sqref="O6">
    <cfRule type="cellIs" dxfId="227" priority="3" operator="lessThan">
      <formula>$J$3</formula>
    </cfRule>
    <cfRule type="cellIs" dxfId="226" priority="4" operator="greaterThan">
      <formula>$J$3</formula>
    </cfRule>
  </conditionalFormatting>
  <conditionalFormatting sqref="G13">
    <cfRule type="cellIs" dxfId="225" priority="1" operator="lessThan">
      <formula>$J$3</formula>
    </cfRule>
    <cfRule type="cellIs" dxfId="22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1.601662521079624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21.99520542382237</v>
      </c>
      <c r="K4" s="4">
        <f>(J4/D14-1)</f>
        <v>-0.44330618836839686</v>
      </c>
      <c r="R4" t="s">
        <v>5</v>
      </c>
      <c r="S4" t="s">
        <v>6</v>
      </c>
      <c r="T4" t="s">
        <v>7</v>
      </c>
    </row>
    <row r="5" spans="2:21">
      <c r="B5" s="35">
        <v>13.089294219999999</v>
      </c>
      <c r="C5" s="23">
        <f>(D5/B5)</f>
        <v>3.0330130359007246</v>
      </c>
      <c r="D5" s="23">
        <v>39.700000000000003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0.57749808000000002</v>
      </c>
      <c r="S5" s="28">
        <v>0</v>
      </c>
      <c r="T5" s="29">
        <f>(D6)</f>
        <v>0</v>
      </c>
      <c r="U5" s="23">
        <f>(R5*J3)</f>
        <v>0.92495703073144242</v>
      </c>
    </row>
    <row r="6" spans="2:21">
      <c r="B6" s="47">
        <v>0.57749808000000002</v>
      </c>
      <c r="C6" s="28">
        <v>0</v>
      </c>
      <c r="D6" s="29">
        <f>(B6*C6)</f>
        <v>0</v>
      </c>
      <c r="E6" s="23">
        <f>(B6*J3)</f>
        <v>0.92495703073144242</v>
      </c>
      <c r="M6" t="s">
        <v>11</v>
      </c>
      <c r="N6" s="35">
        <f>(SUM(R5:R7)/5)</f>
        <v>2.7465468079999997</v>
      </c>
      <c r="O6" s="23">
        <f>($C$5*[1]Params!K8)</f>
        <v>3.9429169466709419</v>
      </c>
      <c r="P6" s="23">
        <f>(O6*N6)</f>
        <v>10.82940595408818</v>
      </c>
      <c r="R6" s="35">
        <f>(B5)</f>
        <v>13.089294219999999</v>
      </c>
      <c r="S6" s="23">
        <f>(T6/R6)</f>
        <v>3.0330130359007246</v>
      </c>
      <c r="T6" s="23">
        <f>(D5)</f>
        <v>39.700000000000003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2.7465468079999997</v>
      </c>
      <c r="O7" s="23">
        <f>($C$5*[1]Params!K9)</f>
        <v>4.8528208574411593</v>
      </c>
      <c r="P7" s="23">
        <f>(O7*N7)</f>
        <v>13.328499635800839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0.29519800353277703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2.7465468079999997</v>
      </c>
      <c r="O8" s="23">
        <f>($C$5*[1]Params!K10)</f>
        <v>6.672628678981595</v>
      </c>
      <c r="P8" s="23">
        <f>(O8*N8)</f>
        <v>18.326686999226155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2.7465468079999997</v>
      </c>
      <c r="O9" s="23">
        <f>($C$5*[1]Params!K11)</f>
        <v>15.165065179503623</v>
      </c>
      <c r="P9" s="23">
        <f>(O9*N9)</f>
        <v>41.651561361877619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84.136153950992792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2.8770977647215839</v>
      </c>
    </row>
    <row r="14" spans="2:21">
      <c r="B14" s="35">
        <f>(SUM(B5:B13))</f>
        <v>13.73273404</v>
      </c>
      <c r="D14" s="23">
        <f>(SUM(D5:D13))</f>
        <v>39.510418410000007</v>
      </c>
      <c r="R14" s="35">
        <f>(SUM(R5:R13))</f>
        <v>13.732734039999999</v>
      </c>
      <c r="T14" s="23">
        <f>(SUM(T5:T13))</f>
        <v>39.51041841</v>
      </c>
    </row>
    <row r="22" spans="4:4">
      <c r="D22" s="35"/>
    </row>
  </sheetData>
  <conditionalFormatting sqref="C5 C7:C12">
    <cfRule type="cellIs" dxfId="223" priority="7" operator="lessThan">
      <formula>$J$3</formula>
    </cfRule>
    <cfRule type="cellIs" dxfId="222" priority="8" operator="greaterThan">
      <formula>$J$3</formula>
    </cfRule>
  </conditionalFormatting>
  <conditionalFormatting sqref="O6:O9">
    <cfRule type="cellIs" dxfId="221" priority="5" operator="lessThan">
      <formula>$J$3</formula>
    </cfRule>
    <cfRule type="cellIs" dxfId="220" priority="6" operator="greaterThan">
      <formula>$J$3</formula>
    </cfRule>
  </conditionalFormatting>
  <conditionalFormatting sqref="S6:S7">
    <cfRule type="cellIs" dxfId="219" priority="3" operator="lessThan">
      <formula>$J$3</formula>
    </cfRule>
    <cfRule type="cellIs" dxfId="218" priority="4" operator="greaterThan">
      <formula>$J$3</formula>
    </cfRule>
  </conditionalFormatting>
  <conditionalFormatting sqref="G13">
    <cfRule type="cellIs" dxfId="217" priority="1" operator="lessThan">
      <formula>$J$3</formula>
    </cfRule>
    <cfRule type="cellIs" dxfId="21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10.42520164011397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12.76114352372511</v>
      </c>
      <c r="K4" s="4">
        <f>(J4/D14-1)</f>
        <v>0.16753371671775952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0.91675126118917694</v>
      </c>
      <c r="M6" t="s">
        <v>11</v>
      </c>
      <c r="N6" s="1">
        <f>(SUM($B$5:$B$7)/5)</f>
        <v>0.24481336600000003</v>
      </c>
      <c r="O6" s="23">
        <f>($C$5*[1]Params!K8)</f>
        <v>12.800900900900901</v>
      </c>
      <c r="P6" s="23">
        <f>(O6*N6)</f>
        <v>3.1338316373819826</v>
      </c>
    </row>
    <row r="7" spans="2:16">
      <c r="B7" s="47">
        <v>2.6130759999999999E-2</v>
      </c>
      <c r="C7" s="28">
        <v>0</v>
      </c>
      <c r="D7" s="29">
        <f>(C7*B7)</f>
        <v>0</v>
      </c>
      <c r="E7" s="23">
        <f>(B7*J4)</f>
        <v>0.33345837874401513</v>
      </c>
      <c r="N7" s="1">
        <f>(SUM($B$5:$B$7)/5)</f>
        <v>0.24481336600000003</v>
      </c>
      <c r="O7" s="23">
        <f>($C$5*[1]Params!K9)</f>
        <v>15.754954954954954</v>
      </c>
      <c r="P7" s="23">
        <f>(O7*N7)</f>
        <v>3.857023553700901</v>
      </c>
    </row>
    <row r="8" spans="2:16">
      <c r="N8" s="1">
        <f>(SUM($B$5:$B$7)/5)</f>
        <v>0.24481336600000003</v>
      </c>
      <c r="O8" s="23">
        <f>($C$5*[1]Params!K10)</f>
        <v>21.663063063063063</v>
      </c>
      <c r="P8" s="23">
        <f>(O8*N8)</f>
        <v>5.3034073863387396</v>
      </c>
    </row>
    <row r="9" spans="2:16">
      <c r="N9" s="1">
        <f>(SUM($B$5:$B$7)/5)</f>
        <v>0.24481336600000003</v>
      </c>
      <c r="O9" s="23">
        <f>($C$5*[1]Params!K11)</f>
        <v>49.234234234234229</v>
      </c>
      <c r="P9" s="23">
        <f>(O9*N9)</f>
        <v>12.053198605315316</v>
      </c>
    </row>
    <row r="12" spans="2:16">
      <c r="P12" s="23">
        <f>(SUM(P6:P9))</f>
        <v>24.347461182736939</v>
      </c>
    </row>
    <row r="13" spans="2:16">
      <c r="F13" t="s">
        <v>9</v>
      </c>
      <c r="G13" s="23">
        <f>(D14/B14)</f>
        <v>8.9292510279034349</v>
      </c>
    </row>
    <row r="14" spans="2:16">
      <c r="B14" s="19">
        <f>(SUM(B5:B13))</f>
        <v>1.2240668300000002</v>
      </c>
      <c r="D14" s="23">
        <f>(SUM(D5:D13))</f>
        <v>10.93</v>
      </c>
    </row>
  </sheetData>
  <conditionalFormatting sqref="C5">
    <cfRule type="cellIs" dxfId="215" priority="5" operator="lessThan">
      <formula>$J$3</formula>
    </cfRule>
    <cfRule type="cellIs" dxfId="214" priority="6" operator="greaterThan">
      <formula>$J$3</formula>
    </cfRule>
  </conditionalFormatting>
  <conditionalFormatting sqref="O6:O9">
    <cfRule type="cellIs" dxfId="213" priority="3" operator="lessThan">
      <formula>$J$3</formula>
    </cfRule>
    <cfRule type="cellIs" dxfId="212" priority="4" operator="greaterThan">
      <formula>$J$3</formula>
    </cfRule>
  </conditionalFormatting>
  <conditionalFormatting sqref="G13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25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39.964582524061591</v>
      </c>
      <c r="M3" t="s">
        <v>4</v>
      </c>
      <c r="N3" s="26">
        <f>(INDEX(N5:N23,MATCH(MAX(O20:O22,O6:O7),O5:O23,0))/0.9)</f>
        <v>0.15333333333333335</v>
      </c>
      <c r="O3" s="24">
        <f>(MAX(O20:O22,O6:O8)*0.85)</f>
        <v>30.745020976430972</v>
      </c>
      <c r="P3" s="45">
        <f>(O3*N3)</f>
        <v>4.7142365497194163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54.457828696369027</v>
      </c>
      <c r="K4" s="4">
        <f>(J4/D19-1)</f>
        <v>-37.744346405483242</v>
      </c>
      <c r="R4" t="s">
        <v>5</v>
      </c>
      <c r="S4" t="s">
        <v>6</v>
      </c>
      <c r="T4" t="s">
        <v>7</v>
      </c>
    </row>
    <row r="5" spans="2:22">
      <c r="B5" s="26">
        <v>2.52346301</v>
      </c>
      <c r="C5" s="23">
        <f>(D5/B5)</f>
        <v>15.732348698069485</v>
      </c>
      <c r="D5" s="23">
        <v>39.700000000000003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1.5819719999999999E-2</v>
      </c>
      <c r="S5" s="28">
        <v>0</v>
      </c>
      <c r="T5" s="29">
        <f>(D6)</f>
        <v>0</v>
      </c>
      <c r="U5" s="23">
        <f>(R5*J3)</f>
        <v>0.63222850544754761</v>
      </c>
    </row>
    <row r="6" spans="2:22">
      <c r="B6" s="27">
        <v>1.5819719999999999E-2</v>
      </c>
      <c r="C6" s="28">
        <v>0</v>
      </c>
      <c r="D6" s="29">
        <f>(B6*C6)</f>
        <v>0</v>
      </c>
      <c r="E6" s="23">
        <f>(B6*J3)</f>
        <v>0.63222850544754761</v>
      </c>
      <c r="M6" t="s">
        <v>11</v>
      </c>
      <c r="N6" s="26">
        <f>($B$5+$R$7)/5</f>
        <v>0.51115201799999999</v>
      </c>
      <c r="O6" s="23">
        <f>($C$5*[1]Params!K8)</f>
        <v>20.452053307490331</v>
      </c>
      <c r="P6" s="23">
        <f>(O6*N6)</f>
        <v>10.454108320367258</v>
      </c>
      <c r="Q6" t="s">
        <v>12</v>
      </c>
      <c r="R6" s="26">
        <f>B5+B13+B15+B17</f>
        <v>1.02516301</v>
      </c>
      <c r="S6" s="23">
        <f>(T6/R6)</f>
        <v>16.553594730266365</v>
      </c>
      <c r="T6" s="23">
        <f>D5-(-B13-B15)*15.13+B17*15.25</f>
        <v>16.970133000000004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1.4943942089462185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0.28937245</v>
      </c>
      <c r="S8" s="23">
        <f>(T8/R8)</f>
        <v>15.368169983009782</v>
      </c>
      <c r="T8" s="23">
        <f>(D10)-(-B12-B14-B16)*14.31</f>
        <v>4.4471249999999989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0.54451183000000036</v>
      </c>
      <c r="O9" s="23">
        <f>($S$6*[1]Params!K11)</f>
        <v>82.767973651331829</v>
      </c>
      <c r="P9" s="23">
        <f>(O9*N9)</f>
        <v>45.068140798278506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0.70187244999999998</v>
      </c>
      <c r="C10" s="23">
        <f t="shared" si="0"/>
        <v>14.746269069258952</v>
      </c>
      <c r="D10" s="23">
        <v>10.35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85.911707808645758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-1.0876389549304326</v>
      </c>
    </row>
    <row r="19" spans="2:20">
      <c r="B19" s="26">
        <f>(SUM(B5:B18))</f>
        <v>1.3626522599999999</v>
      </c>
      <c r="D19" s="23">
        <f>(SUM(D5:D18))</f>
        <v>-1.4820736799999921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1.3626522599999999</v>
      </c>
      <c r="T19" s="23">
        <f>(SUM(T5:T18))</f>
        <v>-1.4820736799999938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0.14899795999999993</v>
      </c>
      <c r="O23" s="23">
        <f>($S$8*[1]Params!K11)</f>
        <v>76.840849915048906</v>
      </c>
      <c r="P23" s="23">
        <f>(O23*N23)</f>
        <v>11.449129882008455</v>
      </c>
    </row>
    <row r="25" spans="2:20">
      <c r="P25" s="23">
        <f>(SUM(P20:P23))</f>
        <v>21.543012312008457</v>
      </c>
    </row>
  </sheetData>
  <conditionalFormatting sqref="C5 C9:C11 G18 O9 O23 S6">
    <cfRule type="cellIs" dxfId="209" priority="19" operator="lessThan">
      <formula>$J$3</formula>
    </cfRule>
    <cfRule type="cellIs" dxfId="208" priority="20" operator="greaterThan">
      <formula>$J$3</formula>
    </cfRule>
  </conditionalFormatting>
  <conditionalFormatting sqref="S8">
    <cfRule type="cellIs" dxfId="207" priority="13" operator="lessThan">
      <formula>$J$3</formula>
    </cfRule>
    <cfRule type="cellIs" dxfId="206" priority="14" operator="greaterThan">
      <formula>$J$3</formula>
    </cfRule>
  </conditionalFormatting>
  <conditionalFormatting sqref="O3">
    <cfRule type="cellIs" dxfId="205" priority="1" operator="greaterThan">
      <formula>$J$3</formula>
    </cfRule>
    <cfRule type="cellIs" dxfId="20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R6" sqref="R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3.7437015798183408E-3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3.5763066009999105</v>
      </c>
      <c r="K4" s="4">
        <f>(J4/D13-1)</f>
        <v>0.2627483398718895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</sheetData>
  <conditionalFormatting sqref="C5">
    <cfRule type="cellIs" dxfId="203" priority="17" operator="lessThan">
      <formula>$J$3</formula>
    </cfRule>
    <cfRule type="cellIs" dxfId="202" priority="18" operator="greaterThan">
      <formula>$J$3</formula>
    </cfRule>
  </conditionalFormatting>
  <conditionalFormatting sqref="C9:C11">
    <cfRule type="cellIs" dxfId="201" priority="15" operator="lessThan">
      <formula>$J$3</formula>
    </cfRule>
    <cfRule type="cellIs" dxfId="200" priority="16" operator="greaterThan">
      <formula>$J$3</formula>
    </cfRule>
    <cfRule type="cellIs" dxfId="199" priority="13" operator="lessThan">
      <formula>$J$3</formula>
    </cfRule>
    <cfRule type="cellIs" dxfId="198" priority="14" operator="greaterThan">
      <formula>$J$3</formula>
    </cfRule>
  </conditionalFormatting>
  <conditionalFormatting sqref="O6:O9">
    <cfRule type="cellIs" dxfId="197" priority="11" operator="lessThan">
      <formula>$J$3</formula>
    </cfRule>
    <cfRule type="cellIs" dxfId="196" priority="12" operator="greaterThan">
      <formula>$J$3</formula>
    </cfRule>
    <cfRule type="cellIs" dxfId="195" priority="9" operator="lessThan">
      <formula>$J$3</formula>
    </cfRule>
    <cfRule type="cellIs" dxfId="194" priority="10" operator="greaterThan">
      <formula>$J$3</formula>
    </cfRule>
  </conditionalFormatting>
  <conditionalFormatting sqref="S5">
    <cfRule type="cellIs" dxfId="193" priority="7" operator="lessThan">
      <formula>$J$3</formula>
    </cfRule>
    <cfRule type="cellIs" dxfId="192" priority="8" operator="greaterThan">
      <formula>$J$3</formula>
    </cfRule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G12">
    <cfRule type="cellIs" dxfId="189" priority="3" operator="lessThan">
      <formula>$J$3</formula>
    </cfRule>
    <cfRule type="cellIs" dxfId="188" priority="4" operator="greaterThan">
      <formula>$J$3</formula>
    </cfRule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S4" sqref="S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254.05570708427521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180.83368930903387</v>
      </c>
      <c r="K4" s="4">
        <f>(J4/D17-1)</f>
        <v>-8.9695062430655281E-2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0.11197509400000001</v>
      </c>
      <c r="O6" s="23">
        <f>($S$8*[1]Params!K8)</f>
        <v>369.11958296726232</v>
      </c>
      <c r="P6" s="23">
        <f>(O6*N6)</f>
        <v>41.3322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5.970309116480467E-2</v>
      </c>
      <c r="I7" t="s">
        <v>11</v>
      </c>
      <c r="J7">
        <v>1</v>
      </c>
      <c r="N7" s="26">
        <f>($R$8/5)</f>
        <v>0.11197509400000001</v>
      </c>
      <c r="O7" s="23">
        <f>($S$8*[1]Params!K9)</f>
        <v>454.30102519047671</v>
      </c>
      <c r="P7" s="23">
        <f>(O7*N7)</f>
        <v>50.870400000000004</v>
      </c>
      <c r="R7" s="49">
        <f>(B7+B8+B10)</f>
        <v>2.5952800000000002E-3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2.4130211058864461E-2</v>
      </c>
      <c r="I8" t="s">
        <v>13</v>
      </c>
      <c r="J8" s="49">
        <f>(J7-B17)</f>
        <v>0.28821245000000006</v>
      </c>
      <c r="N8" s="26">
        <f>($R$8/5)</f>
        <v>0.11197509400000001</v>
      </c>
      <c r="O8" s="23">
        <f>($S$8*[1]Params!K10)</f>
        <v>624.66390963690549</v>
      </c>
      <c r="P8" s="23">
        <f>(O8*N8)</f>
        <v>69.94680000000001</v>
      </c>
      <c r="R8" s="49">
        <f>(B11)</f>
        <v>0.55987547000000004</v>
      </c>
      <c r="S8" s="23">
        <f>(C11)</f>
        <v>283.93814074404793</v>
      </c>
      <c r="T8" s="23">
        <f>(R8*S8)</f>
        <v>158.97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73.222017775241326</v>
      </c>
      <c r="N9" s="26">
        <f>($R$8/5)</f>
        <v>0.11197509400000001</v>
      </c>
      <c r="O9" s="23">
        <f>($S$8*[1]Params!K11)</f>
        <v>1419.6907037202395</v>
      </c>
      <c r="P9" s="23">
        <f>(O9*N9)</f>
        <v>158.97</v>
      </c>
      <c r="R9" s="49">
        <f>(B12)</f>
        <v>0.13957243999999999</v>
      </c>
      <c r="S9" s="23">
        <f>(C12)</f>
        <v>284.44010866328631</v>
      </c>
      <c r="T9" s="23">
        <f>(R9*S9)</f>
        <v>39.70000000000001</v>
      </c>
      <c r="U9" t="s">
        <v>15</v>
      </c>
    </row>
    <row r="10" spans="2:21">
      <c r="B10" s="50">
        <v>2.2653E-3</v>
      </c>
      <c r="C10" s="28">
        <v>0</v>
      </c>
      <c r="D10" s="29">
        <v>0</v>
      </c>
      <c r="E10" s="23">
        <f>(B10*J3)</f>
        <v>0.57551239325800863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0.55987547000000004</v>
      </c>
      <c r="C11" s="23">
        <f>(D11/B11)</f>
        <v>283.93814074404793</v>
      </c>
      <c r="D11" s="23">
        <v>158.97</v>
      </c>
      <c r="E11" t="s">
        <v>10</v>
      </c>
      <c r="P11" s="23">
        <f>(SUM(P6:P9))</f>
        <v>321.11940000000004</v>
      </c>
    </row>
    <row r="12" spans="2:21">
      <c r="B12" s="49">
        <v>0.13957243999999999</v>
      </c>
      <c r="C12" s="23">
        <f>(D12/B12)</f>
        <v>284.44010866328631</v>
      </c>
      <c r="D12" s="23">
        <v>39.700000000000003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2.7914487999999998E-2</v>
      </c>
      <c r="O14" s="23">
        <f>($S$9*[1]Params!K8)</f>
        <v>369.77214126227221</v>
      </c>
      <c r="P14" s="23">
        <f>(O14*N14)</f>
        <v>10.322000000000001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2.7914487999999998E-2</v>
      </c>
      <c r="O15" s="23">
        <f>($S$9*[1]Params!K9)</f>
        <v>455.10417386125812</v>
      </c>
      <c r="P15" s="23">
        <f>(O15*N15)</f>
        <v>12.704000000000002</v>
      </c>
    </row>
    <row r="16" spans="2:21">
      <c r="N16" s="26">
        <f>($R$9/5)</f>
        <v>2.7914487999999998E-2</v>
      </c>
      <c r="O16" s="23">
        <f>($S$9*[1]Params!K10)</f>
        <v>625.76823905922993</v>
      </c>
      <c r="P16" s="23">
        <f>(O16*N16)</f>
        <v>17.468000000000004</v>
      </c>
    </row>
    <row r="17" spans="2:16">
      <c r="B17" s="49">
        <f>(SUM(B5:B16))</f>
        <v>0.71178754999999994</v>
      </c>
      <c r="D17" s="23">
        <f>(SUM(D5:D16))</f>
        <v>198.65177244</v>
      </c>
      <c r="F17" t="s">
        <v>9</v>
      </c>
      <c r="G17" s="23">
        <f>(SUM(D5:D16)/SUM(B5:B16))</f>
        <v>279.08857416795223</v>
      </c>
      <c r="N17" s="26">
        <f>($R$9/5)</f>
        <v>2.7914487999999998E-2</v>
      </c>
      <c r="O17" s="23">
        <f>($S$9*[1]Params!K11)</f>
        <v>1422.2005433164315</v>
      </c>
      <c r="P17" s="23">
        <f>(O17*N17)</f>
        <v>39.700000000000003</v>
      </c>
    </row>
    <row r="18" spans="2:16">
      <c r="P18" s="23"/>
    </row>
    <row r="19" spans="2:16">
      <c r="P19" s="23">
        <f>(SUM(P14:P17))</f>
        <v>80.194000000000017</v>
      </c>
    </row>
    <row r="21" spans="2:16">
      <c r="N21" t="s">
        <v>32</v>
      </c>
      <c r="O21" t="s">
        <v>1</v>
      </c>
      <c r="P21" t="s">
        <v>2</v>
      </c>
    </row>
    <row r="22" spans="2:16">
      <c r="M22" t="s">
        <v>11</v>
      </c>
      <c r="N22" s="26">
        <f>(($R$5+$R$7)/5)</f>
        <v>9.826040000000002E-4</v>
      </c>
      <c r="O22" s="23">
        <f>($S$5*[1]Params!K8)</f>
        <v>323.96134165178148</v>
      </c>
      <c r="P22" s="23">
        <f>(O22*N22)</f>
        <v>0.31832571015240718</v>
      </c>
    </row>
    <row r="23" spans="2:16">
      <c r="N23" s="26">
        <f>(($R$5+$R$7)/5)</f>
        <v>9.826040000000002E-4</v>
      </c>
      <c r="O23" s="23">
        <f>($S$5*[1]Params!K9)</f>
        <v>398.72165126373102</v>
      </c>
      <c r="P23" s="23">
        <f>(O23*N23)</f>
        <v>0.39178548941834723</v>
      </c>
    </row>
    <row r="24" spans="2:16">
      <c r="N24" s="26">
        <f>(($R$5+$R$7)/5)</f>
        <v>9.826040000000002E-4</v>
      </c>
      <c r="O24" s="23">
        <f>($S$5*[1]Params!K10)</f>
        <v>548.24227048763021</v>
      </c>
      <c r="P24" s="23">
        <f>(O24*N24)</f>
        <v>0.53870504795022756</v>
      </c>
    </row>
    <row r="25" spans="2:16">
      <c r="N25" s="26">
        <f>(($R$5+$R$7)/5)</f>
        <v>9.826040000000002E-4</v>
      </c>
      <c r="O25" s="23">
        <f>($S$5*[1]Params!K11)</f>
        <v>1246.0051601991595</v>
      </c>
      <c r="P25" s="23">
        <f>(O25*N25)</f>
        <v>1.2243296544323352</v>
      </c>
    </row>
    <row r="26" spans="2:16">
      <c r="P26" s="23"/>
    </row>
    <row r="27" spans="2:16">
      <c r="P27" s="23">
        <f>(SUM(P22:P25))</f>
        <v>2.4731459019533171</v>
      </c>
    </row>
    <row r="37" spans="18:20">
      <c r="R37" s="49">
        <f>(SUM(R5:R27))</f>
        <v>0.71178755000000005</v>
      </c>
      <c r="T37" s="23">
        <f>(SUM(T5:T27))</f>
        <v>198.65177244</v>
      </c>
    </row>
  </sheetData>
  <conditionalFormatting sqref="C5:C6 C9 C11:C14 O6:O9 O14 S5:S6 S8:S9">
    <cfRule type="cellIs" dxfId="185" priority="11" operator="lessThan">
      <formula>$J$3</formula>
    </cfRule>
    <cfRule type="cellIs" dxfId="184" priority="12" operator="greaterThan">
      <formula>$J$3</formula>
    </cfRule>
  </conditionalFormatting>
  <conditionalFormatting sqref="O15:O17">
    <cfRule type="cellIs" dxfId="183" priority="7" operator="lessThan">
      <formula>$J$3</formula>
    </cfRule>
    <cfRule type="cellIs" dxfId="182" priority="8" operator="greaterThan">
      <formula>$J$3</formula>
    </cfRule>
  </conditionalFormatting>
  <conditionalFormatting sqref="O22:O25">
    <cfRule type="cellIs" dxfId="181" priority="5" operator="lessThan">
      <formula>$J$3</formula>
    </cfRule>
    <cfRule type="cellIs" dxfId="180" priority="6" operator="greaterThan">
      <formula>$J$3</formula>
    </cfRule>
  </conditionalFormatting>
  <conditionalFormatting sqref="G17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C5" sqref="C5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9.0716527672301636E-2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5.5695196304431986</v>
      </c>
      <c r="K4" s="4">
        <f>(J4/D13-1)</f>
        <v>0.11390392608863964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0.27564366000000001</v>
      </c>
      <c r="C6" s="28">
        <v>0</v>
      </c>
      <c r="D6" s="29">
        <f>(B6*C6)</f>
        <v>0</v>
      </c>
      <c r="E6" s="23">
        <f>(B6*J3)</f>
        <v>2.5005435710084505E-2</v>
      </c>
      <c r="M6" t="s">
        <v>11</v>
      </c>
      <c r="N6" s="35">
        <f>($B$13/5)</f>
        <v>12.278952409999999</v>
      </c>
      <c r="O6" s="23">
        <f>($C$5*[1]Params!K8)</f>
        <v>0.10634970155367125</v>
      </c>
      <c r="P6" s="23">
        <f>(O6*N6)</f>
        <v>1.3058629241952322</v>
      </c>
    </row>
    <row r="7" spans="2:16">
      <c r="N7" s="35">
        <f>($B$13/5)</f>
        <v>12.278952409999999</v>
      </c>
      <c r="O7" s="23">
        <f>($C$5*[1]Params!K9)</f>
        <v>0.13089194037374924</v>
      </c>
      <c r="P7" s="23">
        <f>(O7*N7)</f>
        <v>1.6072159067018243</v>
      </c>
    </row>
    <row r="8" spans="2:16">
      <c r="N8" s="35">
        <f>($B$13/5)</f>
        <v>12.278952409999999</v>
      </c>
      <c r="O8" s="23">
        <f>($C$5*[1]Params!K10)</f>
        <v>0.17997641801390521</v>
      </c>
      <c r="P8" s="23">
        <f>(O8*N8)</f>
        <v>2.2099218717150086</v>
      </c>
    </row>
    <row r="9" spans="2:16">
      <c r="N9" s="35">
        <f>($B$13/5)</f>
        <v>12.278952409999999</v>
      </c>
      <c r="O9" s="23">
        <f>($C$5*[1]Params!K11)</f>
        <v>0.40903731366796636</v>
      </c>
      <c r="P9" s="23">
        <f>(O9*N9)</f>
        <v>5.0225497084432007</v>
      </c>
    </row>
    <row r="11" spans="2:16">
      <c r="P11" s="23">
        <f>(SUM(P6:P9))</f>
        <v>10.145550411055266</v>
      </c>
    </row>
    <row r="12" spans="2:16">
      <c r="F12" t="s">
        <v>9</v>
      </c>
      <c r="G12" s="23">
        <f>(D13/B13)</f>
        <v>8.1440172305383182E-2</v>
      </c>
    </row>
    <row r="13" spans="2:16">
      <c r="B13" s="35">
        <f>(SUM(B5:B12))</f>
        <v>61.394762049999997</v>
      </c>
      <c r="D13" s="23">
        <f>(SUM(D5:D12))</f>
        <v>5</v>
      </c>
    </row>
  </sheetData>
  <conditionalFormatting sqref="O6:O9">
    <cfRule type="cellIs" dxfId="177" priority="5" operator="lessThan">
      <formula>$J$3</formula>
    </cfRule>
    <cfRule type="cellIs" dxfId="176" priority="6" operator="greaterThan">
      <formula>$J$3</formula>
    </cfRule>
  </conditionalFormatting>
  <conditionalFormatting sqref="C5">
    <cfRule type="cellIs" dxfId="175" priority="3" operator="lessThan">
      <formula>$J$3</formula>
    </cfRule>
    <cfRule type="cellIs" dxfId="174" priority="4" operator="greaterThan">
      <formula>$J$3</formula>
    </cfRule>
  </conditionalFormatting>
  <conditionalFormatting sqref="G12">
    <cfRule type="cellIs" dxfId="173" priority="1" operator="lessThan">
      <formula>$J$3</formula>
    </cfRule>
    <cfRule type="cellIs" dxfId="172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33" sqref="J3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6.746487127540199</v>
      </c>
      <c r="M3" t="s">
        <v>4</v>
      </c>
      <c r="N3" s="26">
        <f>(INDEX(N5:N16,MATCH(MAX(O6),O5:O16,0))/0.9)</f>
        <v>1.5256666666666665</v>
      </c>
      <c r="O3" s="24">
        <f>(MAX(O6)*0.85)</f>
        <v>6.1249660527274052</v>
      </c>
      <c r="P3" s="45">
        <f>(O3*N3)</f>
        <v>9.3446565411111102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39.599788432440654</v>
      </c>
      <c r="K4" s="4">
        <f>(J4/D14-1)</f>
        <v>0.3156075371052387</v>
      </c>
      <c r="R4" t="s">
        <v>5</v>
      </c>
      <c r="S4" t="s">
        <v>6</v>
      </c>
      <c r="T4" t="s">
        <v>7</v>
      </c>
    </row>
    <row r="5" spans="2:21">
      <c r="B5" s="26">
        <v>7.0827390699999997</v>
      </c>
      <c r="C5" s="23">
        <f>(D5/B5)</f>
        <v>5.6051761342098976</v>
      </c>
      <c r="D5" s="23">
        <v>39.700000000000003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7.2269539999999993E-2</v>
      </c>
      <c r="S5" s="28">
        <v>0</v>
      </c>
      <c r="T5" s="29">
        <f>(D6)</f>
        <v>0</v>
      </c>
      <c r="U5">
        <f>(R5*J3)</f>
        <v>0.48756552132325148</v>
      </c>
    </row>
    <row r="6" spans="2:21">
      <c r="B6" s="27">
        <v>7.2269539999999993E-2</v>
      </c>
      <c r="C6" s="28">
        <v>0</v>
      </c>
      <c r="D6" s="29">
        <f>(B6*C6)</f>
        <v>0</v>
      </c>
      <c r="E6" s="23">
        <f>(B6*J3)</f>
        <v>0.48756552132325148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</f>
        <v>5.7096390699999997</v>
      </c>
      <c r="S6" s="23">
        <f>(T6/R6)</f>
        <v>5.6208502160189964</v>
      </c>
      <c r="T6" s="23">
        <f>D5+B11*5.54</f>
        <v>32.093026000000002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2*($B$14-$B$11)/5-N6</f>
        <v>1.5240160239999998</v>
      </c>
      <c r="O7" s="23">
        <f>($S$6*[1]Params!K9)</f>
        <v>8.9933603456303945</v>
      </c>
      <c r="P7" s="23">
        <f>(O7*N7)</f>
        <v>13.706025276346898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($B$14-$B$11)/5</f>
        <v>1.4485580119999999</v>
      </c>
      <c r="O8" s="23">
        <f>($C$5*[1]Params!K10)</f>
        <v>12.331387495261776</v>
      </c>
      <c r="P8" s="23">
        <f>(O8*N8)</f>
        <v>17.862730155338056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1.4485580119999999</v>
      </c>
      <c r="O9" s="23">
        <f>($C$5*[1]Params!K11)</f>
        <v>28.025880671049489</v>
      </c>
      <c r="P9" s="23">
        <f>(O9*N9)</f>
        <v>40.597113989404669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N12" s="26"/>
      <c r="P12" s="23">
        <f>(SUM(P6:P9))</f>
        <v>82.060211641089623</v>
      </c>
    </row>
    <row r="13" spans="2:21">
      <c r="F13" t="s">
        <v>9</v>
      </c>
      <c r="G13" s="23">
        <f>(D14/B14)</f>
        <v>5.1280392801523833</v>
      </c>
      <c r="N13" s="26"/>
      <c r="P13" s="23"/>
      <c r="R13" s="26">
        <f>(SUM(R5:R12))</f>
        <v>5.869690059999999</v>
      </c>
      <c r="T13" s="23">
        <f>(SUM(T5:T12))</f>
        <v>30.100001190000004</v>
      </c>
    </row>
    <row r="14" spans="2:21">
      <c r="B14">
        <f>(SUM(B5:B13))</f>
        <v>5.8696900599999999</v>
      </c>
      <c r="D14" s="23">
        <f>(SUM(D5:D13))</f>
        <v>30.10000119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7:O9 S6:S7">
    <cfRule type="cellIs" dxfId="171" priority="17" operator="lessThan">
      <formula>$J$3</formula>
    </cfRule>
    <cfRule type="cellIs" dxfId="170" priority="18" operator="greaterThan">
      <formula>$J$3</formula>
    </cfRule>
  </conditionalFormatting>
  <conditionalFormatting sqref="O3">
    <cfRule type="cellIs" dxfId="169" priority="1" operator="greaterThan">
      <formula>$J$3</formula>
    </cfRule>
    <cfRule type="cellIs" dxfId="168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Q13"/>
  <sheetViews>
    <sheetView workbookViewId="0">
      <selection activeCell="D7" sqref="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58.083815440919807</v>
      </c>
      <c r="M3" t="s">
        <v>4</v>
      </c>
      <c r="N3" s="26">
        <f>(INDEX(N5:N16,MATCH(MAX(O6),O5:O16,0))/0.9)</f>
        <v>2.75E-2</v>
      </c>
      <c r="O3" s="24">
        <f>(MAX(O6)*0.85)</f>
        <v>48.820710242424241</v>
      </c>
      <c r="P3" s="45">
        <f>(O3*N3)</f>
        <v>1.3425695316666666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5.7526611591013523</v>
      </c>
      <c r="K4" s="4">
        <f>(J4/D13-1)</f>
        <v>0.52249000089567077</v>
      </c>
    </row>
    <row r="5" spans="2:17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</row>
    <row r="6" spans="2:17">
      <c r="B6" s="27">
        <v>2.9430200000000002E-3</v>
      </c>
      <c r="C6" s="28">
        <v>0</v>
      </c>
      <c r="D6" s="29">
        <f>(B6*C6)</f>
        <v>0</v>
      </c>
      <c r="E6" s="23">
        <f>(B6*J3)</f>
        <v>0.17094183051893583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</row>
    <row r="7" spans="2:17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($B$13-$B$7)/5</f>
        <v>2.4758138000000002E-2</v>
      </c>
      <c r="O7" s="23">
        <f>($C$5*[1]Params!K9)</f>
        <v>68.847999999999999</v>
      </c>
      <c r="P7" s="23">
        <f>(O7*N7)</f>
        <v>1.7045482850240001</v>
      </c>
    </row>
    <row r="8" spans="2:17">
      <c r="N8" s="26">
        <f>($B$13-$B$7)/5</f>
        <v>2.4758138000000002E-2</v>
      </c>
      <c r="O8" s="23">
        <f>($C$5*[1]Params!K10)</f>
        <v>94.666000000000011</v>
      </c>
      <c r="P8" s="23">
        <f>(O8*N8)</f>
        <v>2.3437538919080003</v>
      </c>
    </row>
    <row r="9" spans="2:17">
      <c r="N9" s="26">
        <f>($B$13-$B$7)/5</f>
        <v>2.4758138000000002E-2</v>
      </c>
      <c r="O9" s="23">
        <f>($C$5*[1]Params!K11)</f>
        <v>215.15</v>
      </c>
      <c r="P9" s="23">
        <f>(O9*N9)</f>
        <v>5.326713390700001</v>
      </c>
    </row>
    <row r="11" spans="2:17">
      <c r="P11" s="23">
        <f>(SUM(P6:P9))</f>
        <v>10.796559777632002</v>
      </c>
    </row>
    <row r="12" spans="2:17">
      <c r="F12" t="s">
        <v>9</v>
      </c>
      <c r="G12" s="23">
        <f>(D13/B13)</f>
        <v>38.15053984377532</v>
      </c>
    </row>
    <row r="13" spans="2:17">
      <c r="B13">
        <f>(SUM(B5:B12))</f>
        <v>9.9040690000000015E-2</v>
      </c>
      <c r="D13" s="23">
        <f>(SUM(D5:D12))</f>
        <v>3.7784557900000002</v>
      </c>
    </row>
  </sheetData>
  <conditionalFormatting sqref="C5">
    <cfRule type="cellIs" dxfId="167" priority="9" operator="lessThan">
      <formula>$J$3</formula>
    </cfRule>
    <cfRule type="cellIs" dxfId="166" priority="10" operator="greaterThan">
      <formula>$J$3</formula>
    </cfRule>
  </conditionalFormatting>
  <conditionalFormatting sqref="O7:O9">
    <cfRule type="cellIs" dxfId="165" priority="7" operator="lessThan">
      <formula>$J$3</formula>
    </cfRule>
    <cfRule type="cellIs" dxfId="164" priority="8" operator="greaterThan">
      <formula>$J$3</formula>
    </cfRule>
  </conditionalFormatting>
  <conditionalFormatting sqref="G12"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O3">
    <cfRule type="cellIs" dxfId="161" priority="1" operator="greaterThan">
      <formula>$J$3</formula>
    </cfRule>
    <cfRule type="cellIs" dxfId="160" priority="2" operator="less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0.15665260213965271</v>
      </c>
      <c r="M3" t="s">
        <v>4</v>
      </c>
      <c r="N3" s="35">
        <f>(INDEX(N5:N29,MATCH(MAX(O6:O8),O5:O29,0))/0.9)</f>
        <v>17.499576300000001</v>
      </c>
      <c r="O3" s="52">
        <f>(MAX(O6:O8)*0.85)</f>
        <v>0.11792713112298792</v>
      </c>
      <c r="P3" s="23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4.2198024193655579</v>
      </c>
      <c r="K4" s="4">
        <f>(J4/D14-1)</f>
        <v>-7.4589834115216496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59" priority="23" operator="lessThan">
      <formula>$J$3</formula>
    </cfRule>
    <cfRule type="cellIs" dxfId="158" priority="24" operator="greaterThan">
      <formula>$J$3</formula>
    </cfRule>
  </conditionalFormatting>
  <conditionalFormatting sqref="O3">
    <cfRule type="cellIs" dxfId="157" priority="17" operator="greaterThan">
      <formula>$J$3</formula>
    </cfRule>
    <cfRule type="cellIs" dxfId="156" priority="18" operator="lessThan">
      <formula>$J$3</formula>
    </cfRule>
  </conditionalFormatting>
  <conditionalFormatting sqref="W33">
    <cfRule type="cellIs" dxfId="155" priority="1" operator="lessThan">
      <formula>$J$3</formula>
    </cfRule>
    <cfRule type="cellIs" dxfId="154" priority="2" operator="greaterThan">
      <formula>$J$3</formula>
    </cfRule>
    <cfRule type="cellIs" dxfId="153" priority="3" operator="lessThan">
      <formula>$J$3</formula>
    </cfRule>
    <cfRule type="cellIs" dxfId="152" priority="4" operator="greaterThan">
      <formula>$J$3</formula>
    </cfRule>
    <cfRule type="cellIs" dxfId="151" priority="5" operator="lessThan">
      <formula>$J$3</formula>
    </cfRule>
    <cfRule type="cellIs" dxfId="150" priority="6" operator="greaterThan">
      <formula>$J$3</formula>
    </cfRule>
    <cfRule type="cellIs" dxfId="149" priority="7" operator="lessThan">
      <formula>$J$3</formula>
    </cfRule>
    <cfRule type="cellIs" dxfId="14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42415.186280256043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1235.2710428995067</v>
      </c>
      <c r="K4" s="4">
        <f>(J4/D38-1)</f>
        <v>0.80601566831322713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3.4979999999999999E-4</v>
      </c>
      <c r="C6" s="28">
        <v>0</v>
      </c>
      <c r="D6" s="29">
        <f>(B6*C6)</f>
        <v>0</v>
      </c>
      <c r="E6" s="23">
        <f>(B6*J3)</f>
        <v>14.836832160833563</v>
      </c>
      <c r="I6" t="s">
        <v>11</v>
      </c>
      <c r="J6">
        <v>0.03</v>
      </c>
      <c r="R6" s="26">
        <f t="shared" si="0"/>
        <v>3.4979999999999999E-4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8.7667999999999427E-4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37.184545508174622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6.5453099999999995E-3</v>
      </c>
      <c r="S19" s="23">
        <f t="shared" si="2"/>
        <v>24591.042868863351</v>
      </c>
      <c r="T19" s="23">
        <f>(D23+17438.6*B32)</f>
        <v>160.95599879999997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1.4935899999999999E-3</v>
      </c>
      <c r="S20" s="23">
        <f t="shared" si="2"/>
        <v>25980.328535943605</v>
      </c>
      <c r="T20" s="23">
        <f>(D24+17211.7*B31)</f>
        <v>38.803958898000005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6.8873099999999998E-3</v>
      </c>
      <c r="C23" s="23">
        <f t="shared" si="3"/>
        <v>24235.877287358926</v>
      </c>
      <c r="D23" s="23">
        <v>166.92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1.54565E-3</v>
      </c>
      <c r="C24" s="23">
        <f t="shared" si="3"/>
        <v>25684.986898715753</v>
      </c>
      <c r="D24" s="23">
        <v>39.700000000000003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1.7846299999999999E-3</v>
      </c>
      <c r="S24" s="23">
        <f>(T24/R24)</f>
        <v>27372.620655261875</v>
      </c>
      <c r="T24" s="23">
        <f>(D34)</f>
        <v>48.85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1.7846299999999999E-3</v>
      </c>
      <c r="C34" s="23">
        <f>(D34/B34)</f>
        <v>27372.620655261875</v>
      </c>
      <c r="D34" s="23">
        <v>48.85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23485.502935791668</v>
      </c>
      <c r="R37">
        <f>(SUM(R5:R25))</f>
        <v>2.9479119999999994E-2</v>
      </c>
      <c r="T37" s="23">
        <f>(SUM(T5:T25))</f>
        <v>546.31980017000001</v>
      </c>
    </row>
    <row r="38" spans="2:20">
      <c r="B38">
        <f>(SUM(B5:B37))</f>
        <v>2.9123320000000005E-2</v>
      </c>
      <c r="D38" s="23">
        <f>(SUM(D5:D37))</f>
        <v>683.97581736000029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2.4129239999999999E-3</v>
      </c>
      <c r="N50" s="23">
        <f>($S$19*[1]Params!K16)</f>
        <v>49182.085737726702</v>
      </c>
      <c r="O50" s="30">
        <f>(N50*M50)</f>
        <v>118.67263504661845</v>
      </c>
    </row>
    <row r="51" spans="12:16">
      <c r="M51">
        <f>($B$23/5)</f>
        <v>1.3774619999999999E-3</v>
      </c>
      <c r="N51" s="23">
        <f>($S$19*[1]Params!K17)</f>
        <v>98364.171475453404</v>
      </c>
      <c r="O51" s="30">
        <f>(N51*M51)</f>
        <v>135.49290836892098</v>
      </c>
    </row>
    <row r="52" spans="12:16">
      <c r="M52">
        <f>($B$23/5)</f>
        <v>1.3774619999999999E-3</v>
      </c>
      <c r="N52" s="23">
        <f>($S$19*[1]Params!K18)</f>
        <v>196728.34295090681</v>
      </c>
      <c r="O52" s="30">
        <f>(N52*M52)</f>
        <v>270.98581673784196</v>
      </c>
    </row>
    <row r="54" spans="12:16">
      <c r="O54" s="30">
        <f>(SUM(O49:O52))</f>
        <v>532.60696015338135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5.6619999999999999E-4</v>
      </c>
      <c r="N58" s="23">
        <f>($S$20*[1]Params!K16)</f>
        <v>51960.65707188721</v>
      </c>
      <c r="O58" s="30">
        <f>(N58*M58)</f>
        <v>29.420124034102539</v>
      </c>
    </row>
    <row r="59" spans="12:16">
      <c r="M59">
        <f>($B$24/5)</f>
        <v>3.0913000000000002E-4</v>
      </c>
      <c r="N59" s="23">
        <f>($S$20*[1]Params!K17)</f>
        <v>103921.31414377442</v>
      </c>
      <c r="O59" s="30">
        <f>(N59*M59)</f>
        <v>32.12519584126499</v>
      </c>
    </row>
    <row r="60" spans="12:16">
      <c r="M60">
        <f>($B$24/5)</f>
        <v>3.0913000000000002E-4</v>
      </c>
      <c r="N60" s="23">
        <f>($S$20*[1]Params!K18)</f>
        <v>207842.62828754884</v>
      </c>
      <c r="O60" s="30">
        <f>(N60*M60)</f>
        <v>64.25039168252998</v>
      </c>
    </row>
    <row r="62" spans="12:16">
      <c r="O62" s="30">
        <f>(SUM(O57:O60))</f>
        <v>126.91812515789751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3.5692599999999998E-4</v>
      </c>
      <c r="N73" s="23">
        <f>($S$24*[1]Params!K15)</f>
        <v>41058.930982892809</v>
      </c>
      <c r="O73" s="30">
        <f>(N73*M73)</f>
        <v>14.654999999999998</v>
      </c>
    </row>
    <row r="74" spans="12:16">
      <c r="M74">
        <f>($R$24/5)</f>
        <v>3.5692599999999998E-4</v>
      </c>
      <c r="N74" s="23">
        <f>($S$24*[1]Params!K16)</f>
        <v>54745.24131052375</v>
      </c>
      <c r="O74" s="30">
        <f>(N74*M74)</f>
        <v>19.54</v>
      </c>
    </row>
    <row r="75" spans="12:16">
      <c r="M75">
        <f>($R$24/5)</f>
        <v>3.5692599999999998E-4</v>
      </c>
      <c r="N75" s="23">
        <f>($S$24*[1]Params!K17)</f>
        <v>109490.4826210475</v>
      </c>
      <c r="O75" s="30">
        <f>(N75*M75)</f>
        <v>39.08</v>
      </c>
    </row>
    <row r="76" spans="12:16">
      <c r="M76">
        <f>($R$24/5)</f>
        <v>3.5692599999999998E-4</v>
      </c>
      <c r="N76" s="23">
        <f>($S$24*[1]Params!K18)</f>
        <v>218980.965242095</v>
      </c>
      <c r="O76" s="30">
        <f>(N76*M76)</f>
        <v>78.16</v>
      </c>
    </row>
    <row r="78" spans="12:16">
      <c r="O78" s="30">
        <f>(SUM(O73:O76))</f>
        <v>151.435</v>
      </c>
    </row>
  </sheetData>
  <conditionalFormatting sqref="C5 C7:C17 C19:C20 C22:C25 C34:C36 G37 N10:N12 N20 N26:N28 N34:N35 S5 S7:S21 S24">
    <cfRule type="cellIs" dxfId="291" priority="45" operator="lessThan">
      <formula>$J$3</formula>
    </cfRule>
    <cfRule type="cellIs" dxfId="290" priority="46" operator="greaterThan">
      <formula>$J$3</formula>
    </cfRule>
  </conditionalFormatting>
  <conditionalFormatting sqref="N36">
    <cfRule type="cellIs" dxfId="289" priority="19" operator="lessThan">
      <formula>$J$3</formula>
    </cfRule>
    <cfRule type="cellIs" dxfId="288" priority="20" operator="greaterThan">
      <formula>$J$3</formula>
    </cfRule>
  </conditionalFormatting>
  <conditionalFormatting sqref="N42:N44">
    <cfRule type="cellIs" dxfId="287" priority="17" operator="lessThan">
      <formula>$J$3</formula>
    </cfRule>
    <cfRule type="cellIs" dxfId="286" priority="18" operator="greaterThan">
      <formula>$J$3</formula>
    </cfRule>
  </conditionalFormatting>
  <conditionalFormatting sqref="N50:N52">
    <cfRule type="cellIs" dxfId="285" priority="15" operator="lessThan">
      <formula>$J$3</formula>
    </cfRule>
    <cfRule type="cellIs" dxfId="284" priority="16" operator="greaterThan">
      <formula>$J$3</formula>
    </cfRule>
  </conditionalFormatting>
  <conditionalFormatting sqref="N58:N60">
    <cfRule type="cellIs" dxfId="283" priority="13" operator="lessThan">
      <formula>$J$3</formula>
    </cfRule>
    <cfRule type="cellIs" dxfId="282" priority="14" operator="greaterThan">
      <formula>$J$3</formula>
    </cfRule>
  </conditionalFormatting>
  <conditionalFormatting sqref="N66:N68">
    <cfRule type="cellIs" dxfId="281" priority="11" operator="lessThan">
      <formula>$J$3</formula>
    </cfRule>
    <cfRule type="cellIs" dxfId="280" priority="12" operator="greaterThan">
      <formula>$J$3</formula>
    </cfRule>
  </conditionalFormatting>
  <conditionalFormatting sqref="N73:N76">
    <cfRule type="cellIs" dxfId="279" priority="9" operator="lessThan">
      <formula>$J$3</formula>
    </cfRule>
    <cfRule type="cellIs" dxfId="278" priority="10" operator="greaterThan">
      <formula>$J$3</formula>
    </cfRule>
  </conditionalFormatting>
  <conditionalFormatting sqref="N4">
    <cfRule type="cellIs" dxfId="277" priority="1" operator="greaterThan">
      <formula>$J$3</formula>
    </cfRule>
    <cfRule type="cellIs" dxfId="27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U9" sqref="U9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9.3924582558221648</v>
      </c>
      <c r="M3" t="s">
        <v>4</v>
      </c>
      <c r="N3" s="26">
        <f>(INDEX(N5:N18,MATCH(MAX(O6:O7),O5:O18,0))/0.9)</f>
        <v>0.54833333333333334</v>
      </c>
      <c r="O3" s="24">
        <f>(MAX(O6:O7)*0.85)</f>
        <v>7.4624592380952368</v>
      </c>
      <c r="P3" s="45">
        <f>(O3*N3)</f>
        <v>4.0919151488888881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13.698521004727677</v>
      </c>
      <c r="K4" s="4">
        <f>(J4/D12-1)</f>
        <v>2.8141217251861232</v>
      </c>
      <c r="R4" t="s">
        <v>5</v>
      </c>
      <c r="S4" t="s">
        <v>6</v>
      </c>
      <c r="T4" t="s">
        <v>7</v>
      </c>
    </row>
    <row r="5" spans="2:21">
      <c r="B5" s="1">
        <v>2.33660749</v>
      </c>
      <c r="C5" s="23">
        <f>(D5/B5)</f>
        <v>4.6734421791997249</v>
      </c>
      <c r="D5" s="23">
        <v>10.92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1.40110749</v>
      </c>
      <c r="S5" s="23">
        <f>(T5/R5)</f>
        <v>4.6919287041995608</v>
      </c>
      <c r="T5" s="23">
        <f>(D5)+(B7)*4.615+(B8)*4.6733</f>
        <v>6.5738964499999994</v>
      </c>
    </row>
    <row r="6" spans="2:21">
      <c r="B6" s="2">
        <v>2.2619099999999998E-3</v>
      </c>
      <c r="C6" s="28">
        <v>0</v>
      </c>
      <c r="D6" s="29">
        <f>(B6*C6)</f>
        <v>0</v>
      </c>
      <c r="E6" s="23">
        <f>(B6*J3)</f>
        <v>2.124489525342671E-2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2.2619099999999998E-3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0.50087576600000006</v>
      </c>
      <c r="O8" s="23">
        <f>($C$5*[1]Params!K10)</f>
        <v>10.281572794239395</v>
      </c>
      <c r="P8" s="23">
        <f>(O8*N8)</f>
        <v>5.1497906489994181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0.467321498</v>
      </c>
      <c r="O9" s="23">
        <f>($C$5*[1]Params!K11)</f>
        <v>23.367210895998625</v>
      </c>
      <c r="P9" s="23">
        <f>(O9*N9)</f>
        <v>10.92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2.4625481126625104</v>
      </c>
      <c r="P11" s="23">
        <f>(SUM(P6:P9))</f>
        <v>23.108483118999416</v>
      </c>
      <c r="R11" s="1"/>
      <c r="S11" s="23"/>
      <c r="T11" s="23"/>
    </row>
    <row r="12" spans="2:21">
      <c r="B12">
        <f>(SUM(B5:B11))</f>
        <v>1.4584596100000002</v>
      </c>
      <c r="D12" s="23">
        <f>(SUM(D5:D11))</f>
        <v>3.5915269600000013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1.4584596100000002</v>
      </c>
      <c r="T24" s="23">
        <f>(SUM(T5:T23))</f>
        <v>3.5915269600000013</v>
      </c>
    </row>
  </sheetData>
  <conditionalFormatting sqref="C5 G11 O8:O9 S5">
    <cfRule type="cellIs" dxfId="147" priority="11" operator="lessThan">
      <formula>$J$3</formula>
    </cfRule>
    <cfRule type="cellIs" dxfId="146" priority="12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conditionalFormatting sqref="C10">
    <cfRule type="cellIs" dxfId="143" priority="1" operator="lessThan">
      <formula>$J$3</formula>
    </cfRule>
    <cfRule type="cellIs" dxfId="14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0.77171570642226661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2.2567429028890564</v>
      </c>
      <c r="K4" s="4">
        <f>(J4/D10-1)</f>
        <v>-0.24775236570364789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41" priority="5" operator="lessThan">
      <formula>$J$3</formula>
    </cfRule>
    <cfRule type="cellIs" dxfId="140" priority="6" operator="greaterThan">
      <formula>$J$3</formula>
    </cfRule>
  </conditionalFormatting>
  <conditionalFormatting sqref="G9">
    <cfRule type="cellIs" dxfId="139" priority="3" operator="lessThan">
      <formula>$J$3</formula>
    </cfRule>
    <cfRule type="cellIs" dxfId="138" priority="4" operator="greaterThan">
      <formula>$J$3</formula>
    </cfRule>
  </conditionalFormatting>
  <conditionalFormatting sqref="O6:O9">
    <cfRule type="cellIs" dxfId="137" priority="1" operator="lessThan">
      <formula>$J$3</formula>
    </cfRule>
    <cfRule type="cellIs" dxfId="13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2.0594622162886558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11.589405113223263</v>
      </c>
      <c r="K4" s="4">
        <f>(J4/D10-1)</f>
        <v>-4.6139496854052497E-2</v>
      </c>
    </row>
    <row r="5" spans="2:16">
      <c r="B5" s="1">
        <v>5.6098783900000004</v>
      </c>
      <c r="C5" s="23">
        <f>(D5/B5)</f>
        <v>2.1658223503843188</v>
      </c>
      <c r="D5" s="23">
        <v>12.15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1.7515510000000001E-2</v>
      </c>
      <c r="C6" s="28">
        <v>0</v>
      </c>
      <c r="D6" s="29">
        <f>(B6*C6)</f>
        <v>0</v>
      </c>
      <c r="E6" s="23">
        <f>(B6*J3)</f>
        <v>3.6072531044026114E-2</v>
      </c>
      <c r="M6" t="s">
        <v>11</v>
      </c>
      <c r="N6" s="1">
        <f>($B$10/5)</f>
        <v>1.1254787800000001</v>
      </c>
      <c r="O6" s="23">
        <f>($C$5*[1]Params!K8)</f>
        <v>2.8155690554996147</v>
      </c>
      <c r="P6" s="23">
        <f>(O6*N6)</f>
        <v>3.1688632255894591</v>
      </c>
    </row>
    <row r="7" spans="2:16">
      <c r="N7" s="1">
        <f>($B$10/5)</f>
        <v>1.1254787800000001</v>
      </c>
      <c r="O7" s="23">
        <f>($C$5*[1]Params!K9)</f>
        <v>3.4653157606149101</v>
      </c>
      <c r="P7" s="23">
        <f>(O7*N7)</f>
        <v>3.9001393545716416</v>
      </c>
    </row>
    <row r="8" spans="2:16">
      <c r="N8" s="1">
        <f>($B$10/5)</f>
        <v>1.1254787800000001</v>
      </c>
      <c r="O8" s="23">
        <f>($C$5*[1]Params!K10)</f>
        <v>4.7648091708455018</v>
      </c>
      <c r="P8" s="23">
        <f>(O8*N8)</f>
        <v>5.3626916125360076</v>
      </c>
    </row>
    <row r="9" spans="2:16">
      <c r="F9" t="s">
        <v>9</v>
      </c>
      <c r="G9" s="23">
        <f>(D10/B10)</f>
        <v>2.1590811334532667</v>
      </c>
      <c r="N9" s="1">
        <f>($B$10/5)</f>
        <v>1.1254787800000001</v>
      </c>
      <c r="O9" s="23">
        <f>($C$5*[1]Params!K11)</f>
        <v>10.829111751921594</v>
      </c>
      <c r="P9" s="23">
        <f>(O9*N9)</f>
        <v>12.18793548303638</v>
      </c>
    </row>
    <row r="10" spans="2:16">
      <c r="B10" s="1">
        <f>(SUM(B5:B9))</f>
        <v>5.6273939000000004</v>
      </c>
      <c r="D10" s="23">
        <f>(SUM(D5:D9))</f>
        <v>12.15</v>
      </c>
    </row>
    <row r="11" spans="2:16">
      <c r="P11" s="23">
        <f>(SUM(P6:P9))</f>
        <v>24.619629675733488</v>
      </c>
    </row>
  </sheetData>
  <conditionalFormatting sqref="C5">
    <cfRule type="cellIs" dxfId="135" priority="5" operator="lessThan">
      <formula>$J$3</formula>
    </cfRule>
    <cfRule type="cellIs" dxfId="134" priority="6" operator="greaterThan">
      <formula>$J$3</formula>
    </cfRule>
  </conditionalFormatting>
  <conditionalFormatting sqref="O6:O9">
    <cfRule type="cellIs" dxfId="133" priority="3" operator="lessThan">
      <formula>$J$3</formula>
    </cfRule>
    <cfRule type="cellIs" dxfId="132" priority="4" operator="greaterThan">
      <formula>$J$3</formula>
    </cfRule>
  </conditionalFormatting>
  <conditionalFormatting sqref="G9">
    <cfRule type="cellIs" dxfId="131" priority="1" operator="lessThan">
      <formula>$J$3</formula>
    </cfRule>
    <cfRule type="cellIs" dxfId="130" priority="2" operator="greater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14.16523007862571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7.7924535583087904</v>
      </c>
      <c r="K4" s="4">
        <f>(J4/D11-1)</f>
        <v>-25.233721002539678</v>
      </c>
      <c r="R4" t="s">
        <v>5</v>
      </c>
      <c r="S4" t="s">
        <v>6</v>
      </c>
      <c r="T4" t="s">
        <v>7</v>
      </c>
    </row>
    <row r="5" spans="2:21">
      <c r="B5" s="1">
        <v>1.3293727399999999</v>
      </c>
      <c r="C5" s="23">
        <f>(D5/B5)</f>
        <v>7.0183476155829707</v>
      </c>
      <c r="D5" s="23">
        <v>9.33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0.54777273999999987</v>
      </c>
      <c r="S5" s="23">
        <f>(T5/R5)</f>
        <v>7.1847884945862788</v>
      </c>
      <c r="T5" s="23">
        <f>(D5)+(B7+B8+B9)*6.9017</f>
        <v>3.93563128</v>
      </c>
    </row>
    <row r="6" spans="2:21">
      <c r="B6" s="2">
        <v>2.3385900000000002E-3</v>
      </c>
      <c r="C6" s="28">
        <v>0</v>
      </c>
      <c r="D6" s="29">
        <f>(B6*C6)</f>
        <v>0</v>
      </c>
      <c r="E6" s="23">
        <f>(B6*J3)</f>
        <v>3.3126665409573298E-2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2.3385900000000002E-3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0.2837690639999999</v>
      </c>
      <c r="O9" s="23">
        <f>($C$5*[1]Params!K11)</f>
        <v>35.091738077914854</v>
      </c>
      <c r="P9" s="23">
        <f>(O9*N9)</f>
        <v>9.9579496685030531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-0.58452559048365715</v>
      </c>
      <c r="O10" s="23"/>
      <c r="P10" s="23"/>
      <c r="R10" s="1"/>
      <c r="S10" s="23"/>
      <c r="T10" s="23"/>
      <c r="U10" s="24"/>
    </row>
    <row r="11" spans="2:21">
      <c r="B11">
        <f>(SUM(B5:B10))</f>
        <v>0.55011132999999979</v>
      </c>
      <c r="C11" s="23"/>
      <c r="D11" s="23">
        <f>(SUM(D5:D10))</f>
        <v>-0.32155414999999987</v>
      </c>
      <c r="O11" s="23"/>
      <c r="P11" s="23">
        <f>(SUM(P6:P9))</f>
        <v>19.60950381850305</v>
      </c>
      <c r="R11" s="1"/>
      <c r="S11" s="23"/>
      <c r="T11" s="24"/>
    </row>
    <row r="22" spans="18:20">
      <c r="R22">
        <f>(SUM(R5:R21))</f>
        <v>0.5501113299999999</v>
      </c>
      <c r="T22" s="23">
        <f>(SUM(T5:T21))</f>
        <v>-0.32155414999999987</v>
      </c>
    </row>
  </sheetData>
  <conditionalFormatting sqref="C5 G10 O9 S5">
    <cfRule type="cellIs" dxfId="129" priority="9" operator="lessThan">
      <formula>$J$3</formula>
    </cfRule>
    <cfRule type="cellIs" dxfId="128" priority="10" operator="greaterThan">
      <formula>$J$3</formula>
    </cfRule>
  </conditionalFormatting>
  <conditionalFormatting sqref="O3">
    <cfRule type="cellIs" dxfId="127" priority="3" operator="greaterThan">
      <formula>$J$3</formula>
    </cfRule>
    <cfRule type="cellIs" dxfId="126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70.965182156176624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11.64498472889758</v>
      </c>
      <c r="K4" s="4">
        <f>(J4/D15-1)</f>
        <v>0.17165985829750818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1.13675E-3</v>
      </c>
      <c r="C6" s="28">
        <v>0</v>
      </c>
      <c r="D6" s="29">
        <f>(B6*C6)</f>
        <v>0</v>
      </c>
      <c r="E6" s="23">
        <f>(B6*J3)</f>
        <v>8.0669670816033781E-2</v>
      </c>
      <c r="M6" t="s">
        <v>11</v>
      </c>
      <c r="N6" s="49">
        <f>(SUM(R$5:R$8)/5)</f>
        <v>3.2818868000000001E-2</v>
      </c>
      <c r="O6" s="23">
        <f>($C$7*[1]Params!K8)</f>
        <v>89.451451451451447</v>
      </c>
      <c r="P6" s="23">
        <f>(O6*N6)</f>
        <v>2.9356953775935937</v>
      </c>
      <c r="R6" s="2">
        <f>(B6)</f>
        <v>1.13675E-3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3.2818868000000001E-2</v>
      </c>
      <c r="O7" s="23">
        <f>($C$7*[1]Params!K9)</f>
        <v>110.09409409409409</v>
      </c>
      <c r="P7" s="23">
        <f>(O7*N7)</f>
        <v>3.6131635416536536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3.2818868000000001E-2</v>
      </c>
      <c r="O8" s="23">
        <f>($C$7*[1]Params!K10)</f>
        <v>151.37937937937937</v>
      </c>
      <c r="P8" s="23">
        <f>(O8*N8)</f>
        <v>4.9680998697737735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1.2732665846966582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3.2818868000000001E-2</v>
      </c>
      <c r="O9" s="23">
        <f>($C$7*[1]Params!K11)</f>
        <v>344.04404404404403</v>
      </c>
      <c r="P9" s="23">
        <f>(O9*N9)</f>
        <v>11.291136067667667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22.80809485668869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60.568074986620502</v>
      </c>
    </row>
    <row r="15" spans="2:21">
      <c r="B15" s="1">
        <f>(SUM(B5:B14))</f>
        <v>0.16409434000000001</v>
      </c>
      <c r="D15" s="23">
        <f>(SUM(D5:D14))</f>
        <v>9.9388782899999999</v>
      </c>
    </row>
    <row r="21" spans="18:20">
      <c r="R21">
        <f>(SUM(R5:R20))</f>
        <v>0.16409434000000001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C12:C13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6:O7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14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N12" sqref="N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0.97564469639187801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4.0613141288166092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5.5915779999999998E-2</v>
      </c>
      <c r="C6" s="28">
        <v>0</v>
      </c>
      <c r="D6" s="29">
        <f>(B6*C6)</f>
        <v>0</v>
      </c>
      <c r="E6" s="23">
        <f>(B6*J3)</f>
        <v>5.4553934201615042E-2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4.1626979000000013</v>
      </c>
      <c r="D22" s="23">
        <f>(SUM(D5:D21))</f>
        <v>-5.3974319099999999</v>
      </c>
    </row>
  </sheetData>
  <conditionalFormatting sqref="N6">
    <cfRule type="cellIs" dxfId="115" priority="5" operator="lessThan">
      <formula>$J$3</formula>
    </cfRule>
    <cfRule type="cellIs" dxfId="114" priority="6" operator="greaterThan">
      <formula>$J$3</formula>
    </cfRule>
  </conditionalFormatting>
  <conditionalFormatting sqref="N12">
    <cfRule type="cellIs" dxfId="113" priority="1" operator="greaterThan">
      <formula>$J$3</formula>
    </cfRule>
    <cfRule type="cellIs" dxfId="11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N13" sqref="N13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1.6306270855957671E-4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20.873906056382097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32002.881346650131</v>
      </c>
      <c r="P9" s="23">
        <f>(O9*N9)</f>
        <v>16.001440673325067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C37/2.5</f>
        <v>1.0267246810666668E-4</v>
      </c>
      <c r="O12" s="36">
        <f>-B37-B36</f>
        <v>212000</v>
      </c>
      <c r="P12" s="23">
        <f>(O12*N12)</f>
        <v>21.766563238613337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4856.7826526700001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4856.7826526700001</v>
      </c>
      <c r="C18" s="28">
        <v>0</v>
      </c>
      <c r="D18" s="29">
        <f>(B18*C18)</f>
        <v>0</v>
      </c>
      <c r="E18" s="23">
        <f>(B18*J3)</f>
        <v>0.79196013422953615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-10.109887930693755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-24.459406283936506</v>
      </c>
    </row>
    <row r="39" spans="2:20">
      <c r="B39">
        <f>(SUM(B5:B38))</f>
        <v>128011.52538660052</v>
      </c>
      <c r="D39" s="23">
        <f>(SUM(D5:D38))</f>
        <v>-76.307382291799911</v>
      </c>
      <c r="F39" t="s">
        <v>9</v>
      </c>
      <c r="G39" s="33">
        <f>(D39/B39)</f>
        <v>-5.9609775027169001E-4</v>
      </c>
      <c r="R39">
        <f>(SUM(R5:R38))</f>
        <v>128011.52538660052</v>
      </c>
      <c r="T39" s="23">
        <f>(SUM(T5:T38))</f>
        <v>-76.307382291799911</v>
      </c>
    </row>
  </sheetData>
  <conditionalFormatting sqref="C5:C9 C14:C16 C25:C26 C28 C30 C32 C35">
    <cfRule type="cellIs" dxfId="111" priority="15" operator="lessThan">
      <formula>$J$3</formula>
    </cfRule>
    <cfRule type="cellIs" dxfId="110" priority="16" operator="greaterThan">
      <formula>$J$3</formula>
    </cfRule>
  </conditionalFormatting>
  <conditionalFormatting sqref="N6">
    <cfRule type="cellIs" dxfId="109" priority="11" operator="lessThan">
      <formula>$J$3</formula>
    </cfRule>
    <cfRule type="cellIs" dxfId="108" priority="12" operator="greaterThan">
      <formula>$J$3</formula>
    </cfRule>
  </conditionalFormatting>
  <conditionalFormatting sqref="N9">
    <cfRule type="cellIs" dxfId="107" priority="7" operator="lessThan">
      <formula>$J$3</formula>
    </cfRule>
    <cfRule type="cellIs" dxfId="106" priority="8" operator="greaterThan">
      <formula>$J$3</formula>
    </cfRule>
  </conditionalFormatting>
  <conditionalFormatting sqref="S5:S9 S13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G39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N12">
    <cfRule type="cellIs" dxfId="101" priority="1" operator="greaterThan">
      <formula>$J$3</formula>
    </cfRule>
    <cfRule type="cellIs" dxfId="100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J3" sqref="J3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0.76818699481653463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44.121150260149264</v>
      </c>
      <c r="K4" s="4">
        <f>(J4/D18-1)</f>
        <v>-0.11698245598171497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0.31848029</v>
      </c>
      <c r="C6" s="28">
        <v>0</v>
      </c>
      <c r="D6" s="29">
        <f>(B6*C6)</f>
        <v>0</v>
      </c>
      <c r="E6" s="23">
        <f>(B6*J3)</f>
        <v>0.24465241688339845</v>
      </c>
      <c r="M6" t="s">
        <v>11</v>
      </c>
      <c r="N6" s="19">
        <f>($B$7+$R$9)/5</f>
        <v>8.7486941297777783</v>
      </c>
      <c r="O6" s="23">
        <f>($S$7*[1]Params!K8)</f>
        <v>1.1970987859777258</v>
      </c>
      <c r="P6" s="23">
        <f>(O6*N6)</f>
        <v>10.473051121647435</v>
      </c>
      <c r="R6" s="47">
        <f>(B6)</f>
        <v>0.31848029</v>
      </c>
      <c r="S6" s="28">
        <v>0</v>
      </c>
      <c r="T6" s="29">
        <f>(D6)</f>
        <v>0</v>
      </c>
      <c r="U6" s="23">
        <f>(R6*J3)</f>
        <v>0.24465241688339845</v>
      </c>
    </row>
    <row r="7" spans="2:21">
      <c r="B7" s="19">
        <v>43.112565650000001</v>
      </c>
      <c r="C7" s="23">
        <f t="shared" ref="C7:C14" si="0">(D7/B7)</f>
        <v>0.92084521998286595</v>
      </c>
      <c r="D7" s="23">
        <v>39.700000000000003</v>
      </c>
      <c r="E7" t="s">
        <v>15</v>
      </c>
      <c r="N7" s="19">
        <f>($B$7+$R$9)/5</f>
        <v>8.7486941297777783</v>
      </c>
      <c r="O7" s="23">
        <f>($S$7*[1]Params!K9)</f>
        <v>1.4733523519725855</v>
      </c>
      <c r="P7" s="23">
        <f>(O7*N7)</f>
        <v>12.889909072796842</v>
      </c>
      <c r="R7" s="19">
        <f>B7</f>
        <v>43.112565650000001</v>
      </c>
      <c r="S7" s="23">
        <f>(T7/R7)</f>
        <v>0.92084521998286595</v>
      </c>
      <c r="T7" s="23">
        <f>D7</f>
        <v>39.700000000000003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($B$7+$R$9)/5</f>
        <v>8.7486941297777783</v>
      </c>
      <c r="O8" s="23">
        <f>($S$7*[1]Params!K10)</f>
        <v>2.0258594839623054</v>
      </c>
      <c r="P8" s="23">
        <f>(O8*N8)</f>
        <v>17.72362497509566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($B$7+$R$9)/5</f>
        <v>8.7486941297777783</v>
      </c>
      <c r="O9" s="23">
        <f>($C$7*[1]Params!K11)</f>
        <v>4.6042260999143299</v>
      </c>
      <c r="P9" s="23">
        <f>(O9*N9)</f>
        <v>40.280965852490134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81.367551022030071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0.86995666169983532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57.435429859999999</v>
      </c>
      <c r="S17" s="23"/>
      <c r="T17" s="23">
        <f>(SUM(T5:T12))</f>
        <v>49.966334824300645</v>
      </c>
    </row>
    <row r="18" spans="2:20">
      <c r="B18" s="19">
        <f>(SUM(B5:B17))</f>
        <v>57.435429860000006</v>
      </c>
      <c r="D18" s="23">
        <f>(SUM(D5:D17))</f>
        <v>49.966334824300645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99" priority="25" operator="lessThan">
      <formula>$J$3</formula>
    </cfRule>
    <cfRule type="cellIs" dxfId="98" priority="26" operator="greaterThan">
      <formula>$J$3</formula>
    </cfRule>
  </conditionalFormatting>
  <conditionalFormatting sqref="S8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1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D5" sqref="D5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51" width="9.140625" style="14" customWidth="1"/>
    <col min="52" max="16384" width="9.140625" style="14"/>
  </cols>
  <sheetData>
    <row r="3" spans="2:16">
      <c r="I3" t="s">
        <v>3</v>
      </c>
      <c r="J3" s="23">
        <v>3.1255126957965021E-2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2.0250997740580625</v>
      </c>
      <c r="K4" s="4">
        <f>(J4/D10-1)</f>
        <v>1.2549887029031259E-2</v>
      </c>
    </row>
    <row r="5" spans="2:16">
      <c r="B5" s="35">
        <v>64.74873341</v>
      </c>
      <c r="C5" s="23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4.3829319999999998E-2</v>
      </c>
      <c r="C6" s="28">
        <v>0</v>
      </c>
      <c r="D6" s="29">
        <f>(B6*C6)</f>
        <v>0</v>
      </c>
      <c r="E6" s="23">
        <f>(B6*J3)</f>
        <v>1.3698909610812755E-3</v>
      </c>
      <c r="M6" t="s">
        <v>11</v>
      </c>
      <c r="N6" s="35">
        <f>($B$10/5)</f>
        <v>12.958512546</v>
      </c>
      <c r="O6" s="23">
        <f>($C$5*[1]Params!K8)</f>
        <v>4.0155225640266315E-2</v>
      </c>
      <c r="P6" s="23">
        <f>(O6*N6)</f>
        <v>0.52035199524685194</v>
      </c>
    </row>
    <row r="7" spans="2:16">
      <c r="B7" s="35"/>
      <c r="C7" s="23"/>
      <c r="D7" s="25"/>
      <c r="E7" s="23"/>
      <c r="N7" s="35">
        <f>($B$10/5)</f>
        <v>12.958512546</v>
      </c>
      <c r="O7" s="23">
        <f>($C$5*[1]Params!K9)</f>
        <v>4.9421816172635469E-2</v>
      </c>
      <c r="P7" s="23">
        <f>(O7*N7)</f>
        <v>0.6404332249192024</v>
      </c>
    </row>
    <row r="8" spans="2:16">
      <c r="N8" s="35">
        <f>($B$10/5)</f>
        <v>12.958512546</v>
      </c>
      <c r="O8" s="23">
        <f>($C$5*[1]Params!K10)</f>
        <v>6.7954997237373763E-2</v>
      </c>
      <c r="P8" s="23">
        <f>(O8*N8)</f>
        <v>0.88059568426390322</v>
      </c>
    </row>
    <row r="9" spans="2:16">
      <c r="F9" t="s">
        <v>9</v>
      </c>
      <c r="G9" s="23">
        <f>(D10/B10)</f>
        <v>3.086774030430452E-2</v>
      </c>
      <c r="N9" s="35">
        <f>($B$10/5)</f>
        <v>12.958512546</v>
      </c>
      <c r="O9" s="23">
        <f>($C$5*[1]Params!K11)</f>
        <v>0.15444317553948583</v>
      </c>
      <c r="P9" s="23">
        <f>(O9*N9)</f>
        <v>2.0013538278725074</v>
      </c>
    </row>
    <row r="10" spans="2:16">
      <c r="B10" s="35">
        <f>(SUM(B5:B9))</f>
        <v>64.79256273</v>
      </c>
      <c r="D10" s="23">
        <f>(SUM(D5:D9))</f>
        <v>2</v>
      </c>
    </row>
    <row r="11" spans="2:16">
      <c r="P11" s="23">
        <f>(SUM(P6:P9))</f>
        <v>4.0427347323024652</v>
      </c>
    </row>
    <row r="22" spans="10:10">
      <c r="J22" s="26"/>
    </row>
  </sheetData>
  <conditionalFormatting sqref="C5">
    <cfRule type="cellIs" dxfId="93" priority="11" operator="lessThan">
      <formula>$J$3</formula>
    </cfRule>
    <cfRule type="cellIs" dxfId="92" priority="12" operator="greaterThan">
      <formula>$J$3</formula>
    </cfRule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O6:O9">
    <cfRule type="cellIs" dxfId="89" priority="9" operator="lessThan">
      <formula>$J$3</formula>
    </cfRule>
    <cfRule type="cellIs" dxfId="88" priority="10" operator="greaterThan">
      <formula>$J$3</formula>
    </cfRule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7" operator="lessThan">
      <formula>$J$3</formula>
    </cfRule>
    <cfRule type="cellIs" dxfId="84" priority="8" operator="greaterThan">
      <formula>$J$3</formula>
    </cfRule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L11" sqref="L1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0.78882065763680642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43.353992071142635</v>
      </c>
      <c r="K4" s="4">
        <f>(J4/D10-1)</f>
        <v>9.5074313491857243E-2</v>
      </c>
    </row>
    <row r="5" spans="2:16">
      <c r="B5" s="35">
        <v>52.247700000000002</v>
      </c>
      <c r="C5" s="23">
        <f>(D5/B5)</f>
        <v>0.7577367041994193</v>
      </c>
      <c r="D5" s="23">
        <v>39.590000000000003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0.33181814999999998</v>
      </c>
      <c r="C6" s="28">
        <v>0</v>
      </c>
      <c r="D6" s="29">
        <f>(B6*C6)</f>
        <v>0</v>
      </c>
      <c r="E6" s="23">
        <f>(B6*J3)</f>
        <v>0.26174501129882849</v>
      </c>
      <c r="M6" t="s">
        <v>11</v>
      </c>
      <c r="N6" s="35">
        <f>($B$10/5)</f>
        <v>10.992103629999999</v>
      </c>
      <c r="O6" s="23">
        <f>($C$5*[1]Params!K8)</f>
        <v>0.98505771545924514</v>
      </c>
      <c r="P6" s="23">
        <f>(O6*N6)</f>
        <v>10.827856489859075</v>
      </c>
    </row>
    <row r="7" spans="2:16">
      <c r="B7" s="35">
        <v>2.3809999999999998</v>
      </c>
      <c r="C7" s="23">
        <v>0</v>
      </c>
      <c r="D7" s="25">
        <f>(B7*C7)</f>
        <v>0</v>
      </c>
      <c r="E7" s="23">
        <f>(B7*J3)</f>
        <v>1.8781819858332358</v>
      </c>
      <c r="N7" s="35">
        <f>($B$10/5)</f>
        <v>10.992103629999999</v>
      </c>
      <c r="O7" s="23">
        <f>($C$5*[1]Params!K9)</f>
        <v>1.2123787267190709</v>
      </c>
      <c r="P7" s="23">
        <f>(O7*N7)</f>
        <v>13.326592602903476</v>
      </c>
    </row>
    <row r="8" spans="2:16">
      <c r="N8" s="35">
        <f>($B$10/5)</f>
        <v>10.992103629999999</v>
      </c>
      <c r="O8" s="23">
        <f>($C$5*[1]Params!K10)</f>
        <v>1.6670207492387226</v>
      </c>
      <c r="P8" s="23">
        <f>(O8*N8)</f>
        <v>18.324064828992281</v>
      </c>
    </row>
    <row r="9" spans="2:16">
      <c r="F9" t="s">
        <v>9</v>
      </c>
      <c r="G9" s="23">
        <f>(D10/B10)</f>
        <v>0.72033527580561951</v>
      </c>
      <c r="N9" s="35">
        <f>($B$10/5)</f>
        <v>10.992103629999999</v>
      </c>
      <c r="O9" s="23">
        <f>($C$5*[1]Params!K11)</f>
        <v>3.7886835209970964</v>
      </c>
      <c r="P9" s="23">
        <f>(O9*N9)</f>
        <v>41.645601884073358</v>
      </c>
    </row>
    <row r="10" spans="2:16">
      <c r="B10" s="35">
        <f>(SUM(B5:B9))</f>
        <v>54.960518149999999</v>
      </c>
      <c r="D10" s="23">
        <f>(SUM(D5:D9))</f>
        <v>39.590000000000003</v>
      </c>
    </row>
    <row r="11" spans="2:16">
      <c r="P11" s="23">
        <f>(SUM(P6:P9))</f>
        <v>84.124115805828183</v>
      </c>
    </row>
    <row r="22" spans="10:10">
      <c r="J22" s="26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O6:O9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G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4"/>
  <sheetViews>
    <sheetView workbookViewId="0">
      <selection activeCell="M1" sqref="M1:P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2.5411798573716178</v>
      </c>
      <c r="M3" t="s">
        <v>4</v>
      </c>
      <c r="N3" s="26">
        <f>(INDEX(N5:N27,MATCH(MAX(O6,O14),O5:O27,0))/0.9)</f>
        <v>4.7777777777777777</v>
      </c>
      <c r="O3" s="24">
        <f>(MAX(O6,O14)*0.85)</f>
        <v>2.0080046913953487</v>
      </c>
      <c r="P3" s="23">
        <f>(O3*N3)</f>
        <v>9.5938001922222202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(B21*J3)</f>
        <v>50.614636285201421</v>
      </c>
      <c r="K4" s="4">
        <f>(J4/D21-1)</f>
        <v>0.61096437217444688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22.44807059</v>
      </c>
      <c r="C6" s="23">
        <f>(D6/B6)</f>
        <v>1.7685261564388195</v>
      </c>
      <c r="D6" s="23">
        <v>39.700000000000003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</f>
        <v>18.14807059</v>
      </c>
      <c r="S6" s="23">
        <f>(T6/R6)</f>
        <v>1.775285137900712</v>
      </c>
      <c r="T6" s="23">
        <f>D6+B19*1.74</f>
        <v>32.218000000000004</v>
      </c>
      <c r="U6" s="23" t="str">
        <f>(E6)</f>
        <v>DCA2</v>
      </c>
    </row>
    <row r="7" spans="2:22">
      <c r="B7" s="2">
        <v>0.10027621</v>
      </c>
      <c r="C7" s="28">
        <v>0</v>
      </c>
      <c r="D7" s="29">
        <v>0</v>
      </c>
      <c r="E7" s="24">
        <f>B7*J3</f>
        <v>0.25481988502556641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R7" s="2">
        <f>(B7)</f>
        <v>0.10027621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19" si="0">(D8/B8)</f>
        <v>1.9313681166666667</v>
      </c>
      <c r="D8" s="23">
        <v>-1.15882087</v>
      </c>
      <c r="N8" s="1">
        <f>(($B$5+$R$9)/5)</f>
        <v>0.38226118247719681</v>
      </c>
      <c r="O8" s="23">
        <f>($C$5*[1]Params!K10)</f>
        <v>3.6871508379888271</v>
      </c>
      <c r="P8" s="23">
        <f>(O8*N8)</f>
        <v>1.4094546393013963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15</v>
      </c>
      <c r="V8" s="24">
        <f>-T8+R8*$J$3</f>
        <v>0.47995189844748787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0.47436514113534883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86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6.4599085572055852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S12" s="23"/>
      <c r="T12" s="23"/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S13" s="23"/>
      <c r="T13" s="23"/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S14" s="23"/>
      <c r="T14" s="23"/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(($B$6+$R$8)/5)</f>
        <v>4.5167771719999994</v>
      </c>
      <c r="O15" s="23">
        <f>($S$6*[1]Params!K9)</f>
        <v>2.8404562206411392</v>
      </c>
      <c r="P15" s="23">
        <f>(O15*N15)</f>
        <v>12.829707815457292</v>
      </c>
      <c r="S15" s="23"/>
      <c r="T15" s="23"/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(($B$6+$R$8)/5)</f>
        <v>4.5167771719999994</v>
      </c>
      <c r="O16" s="23">
        <f>($C$6*[1]Params!K10)</f>
        <v>3.8907575441654032</v>
      </c>
      <c r="P16" s="23">
        <f>(O16*N16)</f>
        <v>17.573684857273072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(($B$6+$R$8)/5)</f>
        <v>4.5167771719999994</v>
      </c>
      <c r="O17" s="23">
        <f>($C$6*[1]Params!K11)</f>
        <v>8.8426307821940977</v>
      </c>
      <c r="P17" s="23">
        <f>(O17*N17)</f>
        <v>39.940192857438802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80.501726910169168</v>
      </c>
      <c r="S19" s="23"/>
      <c r="T19" s="23"/>
    </row>
    <row r="20" spans="2:20">
      <c r="C20" s="23"/>
      <c r="D20" s="23"/>
      <c r="F20" t="s">
        <v>9</v>
      </c>
      <c r="G20" s="23">
        <f>(D21/B21)</f>
        <v>1.5774277204787497</v>
      </c>
      <c r="S20" s="23"/>
      <c r="T20" s="23"/>
    </row>
    <row r="21" spans="2:20">
      <c r="B21" s="1">
        <f>(SUM(B5:B20))</f>
        <v>19.917770140659361</v>
      </c>
      <c r="C21" s="23"/>
      <c r="D21" s="23">
        <f>(SUM(D5:D20))</f>
        <v>31.41884275</v>
      </c>
      <c r="S21" s="23"/>
      <c r="T21" s="23"/>
    </row>
    <row r="22" spans="2:20">
      <c r="S22" s="23"/>
      <c r="T22" s="23"/>
    </row>
    <row r="23" spans="2:20">
      <c r="S23" s="23"/>
      <c r="T23" s="23"/>
    </row>
    <row r="24" spans="2:20">
      <c r="R24" s="1">
        <f>(SUM(R5:R23))</f>
        <v>19.917770140659364</v>
      </c>
      <c r="S24" s="23"/>
      <c r="T24" s="23">
        <f>(SUM(T5:T23))</f>
        <v>31.41884275</v>
      </c>
    </row>
  </sheetData>
  <conditionalFormatting sqref="C5:C6 C12:C14 C16:C17 O7:O9 O15:O17 S5:S6">
    <cfRule type="cellIs" dxfId="75" priority="19" operator="lessThan">
      <formula>$J$3</formula>
    </cfRule>
    <cfRule type="cellIs" dxfId="74" priority="20" operator="greaterThan">
      <formula>$J$3</formula>
    </cfRule>
  </conditionalFormatting>
  <conditionalFormatting sqref="O3">
    <cfRule type="cellIs" dxfId="73" priority="1" operator="greaterThan">
      <formula>$J$3</formula>
    </cfRule>
    <cfRule type="cellIs" dxfId="72" priority="2" operator="less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U29" sqref="U2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72" width="9.140625" style="14" customWidth="1"/>
    <col min="73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0.35346149409678929</v>
      </c>
      <c r="M3" t="s">
        <v>4</v>
      </c>
      <c r="N3" s="26">
        <f>(INDEX(N5:N22,MATCH(MAX(O6:O7),O5:O22,0))/0.9)</f>
        <v>2.1072222222222221</v>
      </c>
      <c r="O3" s="24">
        <f>(MAX(O6:O7)*0.85)</f>
        <v>0.3145</v>
      </c>
      <c r="P3" s="23">
        <f>(O3*N3)</f>
        <v>0.66272138888888887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2.0116834980072227</v>
      </c>
      <c r="K4" s="4">
        <f>(J4/D14-1)</f>
        <v>1.2219194745204285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7.4724789999999999E-2</v>
      </c>
      <c r="C6" s="28">
        <v>0</v>
      </c>
      <c r="D6" s="28">
        <f>(B6*C6)</f>
        <v>0</v>
      </c>
      <c r="E6" s="23">
        <f>(B6*J3)</f>
        <v>2.6412335919468819E-2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/>
      <c r="R6" s="47">
        <f>(B6)</f>
        <v>7.4724789999999999E-2</v>
      </c>
      <c r="S6" s="28">
        <v>0</v>
      </c>
      <c r="T6" s="28">
        <f>(D6)</f>
        <v>0</v>
      </c>
      <c r="U6" s="23">
        <f>(E6)</f>
        <v>2.6412335919468819E-2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/>
      <c r="R7" s="35"/>
      <c r="S7" s="23"/>
      <c r="T7" s="23"/>
      <c r="U7" s="24"/>
    </row>
    <row r="8" spans="2:21">
      <c r="B8" s="35"/>
      <c r="C8" s="23"/>
      <c r="D8" s="23"/>
      <c r="N8" s="35">
        <f>($B$14-B7)/5</f>
        <v>1.896875898</v>
      </c>
      <c r="O8" s="23">
        <f>($C$5*[1]Params!K10)</f>
        <v>0.51436531459544421</v>
      </c>
      <c r="P8" s="23">
        <f>(O8*N8)</f>
        <v>0.9756871680232857</v>
      </c>
      <c r="Q8" s="24"/>
      <c r="R8" s="35"/>
      <c r="S8" s="23"/>
      <c r="T8" s="23"/>
    </row>
    <row r="9" spans="2:21">
      <c r="B9" s="35"/>
      <c r="C9" s="23"/>
      <c r="D9" s="23"/>
      <c r="N9" s="35">
        <f>($B$14-B7)/5</f>
        <v>1.896875898</v>
      </c>
      <c r="O9" s="23">
        <f>($C$5*[1]Params!K11)</f>
        <v>1.1690120786260096</v>
      </c>
      <c r="P9" s="23">
        <f>(O9*N9)</f>
        <v>2.2174708364165587</v>
      </c>
      <c r="Q9" s="24"/>
    </row>
    <row r="10" spans="2:21">
      <c r="B10" s="35"/>
      <c r="C10" s="23"/>
      <c r="D10" s="23"/>
    </row>
    <row r="12" spans="2:21">
      <c r="P12" s="23">
        <f>(SUM(P6:P9))</f>
        <v>4.4638130044398441</v>
      </c>
    </row>
    <row r="13" spans="2:21">
      <c r="F13" t="s">
        <v>9</v>
      </c>
      <c r="G13" s="23">
        <f>(D14/B14)</f>
        <v>0.159079344751267</v>
      </c>
    </row>
    <row r="14" spans="2:21">
      <c r="B14" s="35">
        <f>(SUM(B5:B13))</f>
        <v>5.6913794900000001</v>
      </c>
      <c r="D14" s="23">
        <f>(SUM(D5:D13))</f>
        <v>0.90538092000000026</v>
      </c>
    </row>
    <row r="17" spans="11:20">
      <c r="N17" s="35"/>
      <c r="R17" s="35">
        <f>(SUM(R5:R16))</f>
        <v>9.4843794900000002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71" priority="13" operator="lessThan">
      <formula>$J$3</formula>
    </cfRule>
    <cfRule type="cellIs" dxfId="70" priority="14" operator="greaterThan">
      <formula>$J$3</formula>
    </cfRule>
  </conditionalFormatting>
  <conditionalFormatting sqref="O8:O9">
    <cfRule type="cellIs" dxfId="69" priority="9" operator="lessThan">
      <formula>$J$3</formula>
    </cfRule>
    <cfRule type="cellIs" dxfId="68" priority="10" operator="greaterThan">
      <formula>$J$3</formula>
    </cfRule>
  </conditionalFormatting>
  <conditionalFormatting sqref="S5">
    <cfRule type="cellIs" dxfId="67" priority="7" operator="lessThan">
      <formula>$J$3</formula>
    </cfRule>
    <cfRule type="cellIs" dxfId="66" priority="8" operator="greaterThan">
      <formula>$J$3</formula>
    </cfRule>
  </conditionalFormatting>
  <conditionalFormatting sqref="G13">
    <cfRule type="cellIs" dxfId="65" priority="3" operator="lessThan">
      <formula>$J$3</formula>
    </cfRule>
    <cfRule type="cellIs" dxfId="64" priority="4" operator="greaterThan">
      <formula>$J$3</formula>
    </cfRule>
  </conditionalFormatting>
  <conditionalFormatting sqref="O3">
    <cfRule type="cellIs" dxfId="63" priority="1" operator="greaterThan">
      <formula>$J$3</formula>
    </cfRule>
    <cfRule type="cellIs" dxfId="62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1.013952099480107E-5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4.4592563894712143</v>
      </c>
      <c r="K4" s="4">
        <f>(J4/D13-1)</f>
        <v>-0.11346791461804895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257.97000000000003</v>
      </c>
      <c r="C6" s="28">
        <v>0</v>
      </c>
      <c r="D6" s="29">
        <f>(B6*C6)</f>
        <v>0</v>
      </c>
      <c r="E6" s="23">
        <f>(B6*J3)</f>
        <v>2.6156922310288325E-3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1.1437285984333648E-5</v>
      </c>
    </row>
    <row r="13" spans="2:16">
      <c r="B13">
        <f>(SUM(B5:B12))</f>
        <v>439789.64999999997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61" priority="5" operator="lessThan">
      <formula>$J$3</formula>
    </cfRule>
    <cfRule type="cellIs" dxfId="60" priority="6" operator="greaterThan">
      <formula>$J$3</formula>
    </cfRule>
  </conditionalFormatting>
  <conditionalFormatting sqref="J3">
    <cfRule type="cellIs" dxfId="59" priority="3" operator="lessThan">
      <formula>$J$3</formula>
    </cfRule>
    <cfRule type="cellIs" dxfId="58" priority="4" operator="greaterThan">
      <formula>$J$3</formula>
    </cfRule>
  </conditionalFormatting>
  <conditionalFormatting sqref="O6:O9">
    <cfRule type="cellIs" dxfId="57" priority="1" operator="lessThan">
      <formula>$J$3</formula>
    </cfRule>
    <cfRule type="cellIs" dxfId="56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Y36" sqref="Y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5.1627087682260542E-3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3.0945276356746967</v>
      </c>
      <c r="K4" s="4">
        <f>(J4/D10-1)</f>
        <v>3.1509211891565636E-2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55" priority="5" operator="lessThan">
      <formula>$J$3</formula>
    </cfRule>
    <cfRule type="cellIs" dxfId="54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47"/>
  <sheetViews>
    <sheetView workbookViewId="0">
      <selection activeCell="N3" sqref="N3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73.878756838677205</v>
      </c>
      <c r="M3" t="s">
        <v>4</v>
      </c>
      <c r="N3" s="26">
        <f>(INDEX(N5:N26,MATCH(MAX(O6:O9,O23:O25,O14:O16),O5:O26,0))/0.9)</f>
        <v>0.1209481488888889</v>
      </c>
      <c r="O3" s="24">
        <f>(MAX(O14:O16,O23:O25,O6:O9)*0.85)</f>
        <v>54.583817503516599</v>
      </c>
      <c r="P3" s="23">
        <f>(O3*N3)</f>
        <v>6.601811686339266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(B43*J3)</f>
        <v>281.07814979180785</v>
      </c>
      <c r="K4" s="4">
        <f>(J4/D43-1)</f>
        <v>5.359858772577919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87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0.15514538936122213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88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(B17+B21+B37-N16)</f>
        <v>2.4472813499999999</v>
      </c>
      <c r="S13" s="23">
        <f>(T13/R13)</f>
        <v>22.327006666397384</v>
      </c>
      <c r="T13" s="23">
        <f>(D17+11.97*B21+B37*19.42078-N16*19.42078)</f>
        <v>54.640467015999988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0.45516798130693276</v>
      </c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6.2427249999999997E-2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3.8991582526803861E-2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0.76582934999999985</v>
      </c>
      <c r="S15" s="23">
        <f>(T15/R15)</f>
        <v>23.390195740082312</v>
      </c>
      <c r="T15" s="23">
        <f>(D19+12.6*B22+20.2393*B39-20.2393*N25)</f>
        <v>17.912898400000003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6.04098135</v>
      </c>
      <c r="C17" s="23">
        <f>(D17/B17)</f>
        <v>20.251676492926105</v>
      </c>
      <c r="D17" s="23">
        <v>122.34</v>
      </c>
      <c r="E17" t="s">
        <v>10</v>
      </c>
      <c r="N17" s="26">
        <f>(($R$13+N14+$R$21)/5)</f>
        <v>0.55465079399999995</v>
      </c>
      <c r="O17" s="23">
        <f>($S$13*[1]Params!K11)</f>
        <v>111.63503333198692</v>
      </c>
      <c r="P17" s="23">
        <f>(O17*N17)</f>
        <v>61.918459875803002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6.2427249999999997E-2</v>
      </c>
      <c r="C18" s="28">
        <v>0</v>
      </c>
      <c r="D18" s="29">
        <v>0</v>
      </c>
      <c r="E18" s="24">
        <f>B18*J3</f>
        <v>4.6120476228573111</v>
      </c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1.8692693499999999</v>
      </c>
      <c r="C19" s="23">
        <f t="shared" ref="C19:C32" si="1">(D19/B19)</f>
        <v>21.238244771947929</v>
      </c>
      <c r="D19" s="23">
        <v>39.700000000000003</v>
      </c>
      <c r="E19" t="s">
        <v>15</v>
      </c>
      <c r="O19" s="23"/>
      <c r="P19" s="23">
        <f>(SUM(P14:P17))</f>
        <v>189.19318431603338</v>
      </c>
      <c r="R19" s="26">
        <f>(B26+B27)</f>
        <v>6.3844300000000034E-3</v>
      </c>
      <c r="S19" s="23">
        <v>0</v>
      </c>
      <c r="T19" s="23">
        <f>(D26+D27)</f>
        <v>-6.9880729999999947E-2</v>
      </c>
      <c r="U19" t="s">
        <v>89</v>
      </c>
      <c r="V19" s="24">
        <f>-T19+R19*$J$3</f>
        <v>0.54155448152355612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3.3282808798918011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3.7850610530620985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37.424313184131698</v>
      </c>
      <c r="P24" s="23">
        <f>(O24*N24)</f>
        <v>24.325803569685604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($R$15+$N$23+$R$19)/5</f>
        <v>0.16873075599999998</v>
      </c>
      <c r="O26" s="23">
        <f>($S$15*[1]Params!K11)</f>
        <v>116.95097870041155</v>
      </c>
      <c r="P26" s="23">
        <f>(O26*N26)</f>
        <v>19.733227051060336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63.123072980515573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S29" s="23"/>
      <c r="T29" s="23"/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1" si="2">D33/B33</f>
        <v>28.47092</v>
      </c>
      <c r="D33" s="23">
        <f>-2.8715+0.024408</f>
        <v>-2.847092</v>
      </c>
      <c r="E33" s="23"/>
      <c r="S33" s="23"/>
      <c r="T33" s="23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C42" s="23"/>
      <c r="D42" s="23"/>
      <c r="E42" s="23"/>
      <c r="S42" s="23"/>
      <c r="T42" s="23"/>
    </row>
    <row r="43" spans="2:23">
      <c r="B43" s="26">
        <f>(SUM(B5:B42))</f>
        <v>3.8045868909999991</v>
      </c>
      <c r="C43" s="23"/>
      <c r="D43" s="23">
        <f>(SUM(D5:D42))</f>
        <v>44.195659029999973</v>
      </c>
      <c r="E43" s="23"/>
      <c r="F43" t="s">
        <v>9</v>
      </c>
      <c r="G43" s="23">
        <f>(D43/B43)</f>
        <v>11.616414684744806</v>
      </c>
      <c r="R43" s="26">
        <f>(SUM(R5:R36))</f>
        <v>3.8045868909999987</v>
      </c>
      <c r="S43" s="23"/>
      <c r="T43" s="23">
        <f>(SUM(T5:T36))</f>
        <v>44.193659160230382</v>
      </c>
      <c r="V43" t="s">
        <v>9</v>
      </c>
      <c r="W43" s="23">
        <f>(T43/R43)</f>
        <v>11.615889037722702</v>
      </c>
    </row>
    <row r="44" spans="2:23">
      <c r="M44" s="26"/>
      <c r="S44" s="23"/>
      <c r="T44" s="23"/>
    </row>
    <row r="47" spans="2:23">
      <c r="N47" s="26"/>
    </row>
  </sheetData>
  <conditionalFormatting sqref="C5 C8:C10 S5">
    <cfRule type="cellIs" dxfId="53" priority="95" operator="lessThan">
      <formula>$J$3</formula>
    </cfRule>
    <cfRule type="cellIs" dxfId="52" priority="96" operator="greaterThan">
      <formula>$J$3</formula>
    </cfRule>
  </conditionalFormatting>
  <conditionalFormatting sqref="C16:C17">
    <cfRule type="cellIs" dxfId="51" priority="79" operator="lessThan">
      <formula>$J$3</formula>
    </cfRule>
    <cfRule type="cellIs" dxfId="50" priority="80" operator="greaterThan">
      <formula>$J$3</formula>
    </cfRule>
    <cfRule type="cellIs" dxfId="49" priority="81" operator="lessThan">
      <formula>$J$3</formula>
    </cfRule>
    <cfRule type="cellIs" dxfId="48" priority="82" operator="greaterThan">
      <formula>$J$3</formula>
    </cfRule>
    <cfRule type="cellIs" dxfId="47" priority="89" operator="lessThan">
      <formula>$J$3</formula>
    </cfRule>
    <cfRule type="cellIs" dxfId="46" priority="90" operator="greaterThan">
      <formula>$J$3</formula>
    </cfRule>
  </conditionalFormatting>
  <conditionalFormatting sqref="C19:C20 G43 W43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  <cfRule type="cellIs" dxfId="41" priority="77" operator="lessThan">
      <formula>$J$3</formula>
    </cfRule>
    <cfRule type="cellIs" dxfId="40" priority="78" operator="greaterThan">
      <formula>$J$3</formula>
    </cfRule>
    <cfRule type="cellIs" dxfId="39" priority="87" operator="lessThan">
      <formula>$J$3</formula>
    </cfRule>
    <cfRule type="cellIs" dxfId="38" priority="88" operator="greaterThan">
      <formula>$J$3</formula>
    </cfRule>
  </conditionalFormatting>
  <conditionalFormatting sqref="C27:C28 C30:C31 C34:C35">
    <cfRule type="cellIs" dxfId="37" priority="65" operator="lessThan">
      <formula>$J$3</formula>
    </cfRule>
    <cfRule type="cellIs" dxfId="36" priority="66" operator="greaterThan">
      <formula>$J$3</formula>
    </cfRule>
    <cfRule type="cellIs" dxfId="35" priority="67" operator="lessThan">
      <formula>$J$3</formula>
    </cfRule>
    <cfRule type="cellIs" dxfId="34" priority="68" operator="greaterThan">
      <formula>$J$3</formula>
    </cfRule>
    <cfRule type="cellIs" dxfId="33" priority="69" operator="lessThan">
      <formula>$J$3</formula>
    </cfRule>
    <cfRule type="cellIs" dxfId="32" priority="70" operator="greaterThan">
      <formula>$J$3</formula>
    </cfRule>
    <cfRule type="cellIs" dxfId="31" priority="71" operator="lessThan">
      <formula>$J$3</formula>
    </cfRule>
    <cfRule type="cellIs" dxfId="30" priority="72" operator="greaterThan">
      <formula>$J$3</formula>
    </cfRule>
    <cfRule type="cellIs" dxfId="29" priority="85" operator="lessThan">
      <formula>$J$3</formula>
    </cfRule>
    <cfRule type="cellIs" dxfId="28" priority="86" operator="greaterThan">
      <formula>$J$3</formula>
    </cfRule>
  </conditionalFormatting>
  <conditionalFormatting sqref="O17 O26 S12:S13 S15:S16">
    <cfRule type="cellIs" dxfId="27" priority="59" operator="lessThan">
      <formula>$J$3</formula>
    </cfRule>
    <cfRule type="cellIs" dxfId="26" priority="60" operator="greaterThan">
      <formula>$J$3</formula>
    </cfRule>
    <cfRule type="cellIs" dxfId="25" priority="61" operator="lessThan">
      <formula>$J$3</formula>
    </cfRule>
    <cfRule type="cellIs" dxfId="24" priority="62" operator="greaterThan">
      <formula>$J$3</formula>
    </cfRule>
  </conditionalFormatting>
  <conditionalFormatting sqref="O3">
    <cfRule type="cellIs" dxfId="23" priority="41" operator="greaterThan">
      <formula>$J$3</formula>
    </cfRule>
    <cfRule type="cellIs" dxfId="22" priority="42" operator="less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R23" sqref="R2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0.1008094206012476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0.94226046670707719</v>
      </c>
      <c r="K4" s="4">
        <f>(J4/D13-1)</f>
        <v>0.88452093341415439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0.24569017000000001</v>
      </c>
      <c r="C6" s="28">
        <v>0</v>
      </c>
      <c r="D6" s="29">
        <f>(B6*C6)</f>
        <v>0</v>
      </c>
      <c r="E6" s="23">
        <f>(B6*J3)</f>
        <v>2.4767883685122026E-2</v>
      </c>
      <c r="G6" s="23"/>
      <c r="M6" t="s">
        <v>11</v>
      </c>
      <c r="N6" s="19">
        <f>($B$13/5)</f>
        <v>1.8693897079999999</v>
      </c>
      <c r="O6" s="45">
        <f>($C$5*[1]Params!K8)</f>
        <v>7.1418695478700056E-2</v>
      </c>
      <c r="P6" s="23">
        <f>(O6*N6)</f>
        <v>0.13350937428666801</v>
      </c>
      <c r="Q6" s="23">
        <f>N6*$J$3</f>
        <v>0.18845209334141544</v>
      </c>
    </row>
    <row r="7" spans="2:17">
      <c r="C7" s="23"/>
      <c r="D7" s="23"/>
      <c r="E7" s="23"/>
      <c r="G7" s="23"/>
      <c r="N7" s="19">
        <f>($B$13/5)</f>
        <v>1.8693897079999999</v>
      </c>
      <c r="O7" s="45">
        <f>($C$5*[1]Params!K9)</f>
        <v>8.7899932896861599E-2</v>
      </c>
      <c r="P7" s="23">
        <f>(O7*N7)</f>
        <v>0.1643192298912837</v>
      </c>
      <c r="Q7" s="23">
        <f>Q6*2</f>
        <v>0.37690418668283088</v>
      </c>
    </row>
    <row r="8" spans="2:17">
      <c r="C8" s="23"/>
      <c r="D8" s="23"/>
      <c r="E8" s="23"/>
      <c r="G8" s="23"/>
      <c r="N8" s="19">
        <f>($B$13/5)</f>
        <v>1.8693897079999999</v>
      </c>
      <c r="O8" s="45">
        <f>($C$5*[1]Params!K10)</f>
        <v>0.12086240773318471</v>
      </c>
      <c r="P8" s="23">
        <f>(O8*N8)</f>
        <v>0.2259389411005151</v>
      </c>
      <c r="Q8" s="23">
        <f>Q6*3</f>
        <v>0.56535628002424632</v>
      </c>
    </row>
    <row r="9" spans="2:17">
      <c r="C9" s="23"/>
      <c r="D9" s="23"/>
      <c r="E9" s="23"/>
      <c r="G9" s="23"/>
      <c r="N9" s="19">
        <f>($B$13/5)</f>
        <v>1.8693897079999999</v>
      </c>
      <c r="O9" s="45">
        <f>($C$5*[1]Params!K11)</f>
        <v>0.27468729030269251</v>
      </c>
      <c r="P9" s="23">
        <f>(O9*N9)</f>
        <v>0.51349759341026158</v>
      </c>
      <c r="Q9" s="23">
        <f>Q6*4</f>
        <v>0.75380837336566175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1.0372651386887284</v>
      </c>
    </row>
    <row r="12" spans="2:17">
      <c r="C12" s="23"/>
      <c r="D12" s="23"/>
      <c r="E12" s="23"/>
      <c r="F12" t="s">
        <v>9</v>
      </c>
      <c r="G12" s="23">
        <f>(D13/B13)</f>
        <v>5.3493393898582438E-2</v>
      </c>
    </row>
    <row r="13" spans="2:17">
      <c r="B13">
        <f>(SUM(B5:B12))</f>
        <v>9.3469485399999996</v>
      </c>
      <c r="C13" s="23"/>
      <c r="D13" s="23">
        <f>(SUM(D5:D12))</f>
        <v>0.5</v>
      </c>
      <c r="E13" s="23"/>
      <c r="G13" s="23"/>
    </row>
  </sheetData>
  <conditionalFormatting sqref="C5">
    <cfRule type="cellIs" dxfId="21" priority="7" operator="lessThan">
      <formula>$J$3</formula>
    </cfRule>
    <cfRule type="cellIs" dxfId="20" priority="8" operator="greaterThan">
      <formula>$J$3</formula>
    </cfRule>
  </conditionalFormatting>
  <conditionalFormatting sqref="O6:O9">
    <cfRule type="cellIs" dxfId="19" priority="5" operator="lessThan">
      <formula>$J$3</formula>
    </cfRule>
    <cfRule type="cellIs" dxfId="18" priority="6" operator="greaterThan">
      <formula>$J$3</formula>
    </cfRule>
    <cfRule type="cellIs" dxfId="17" priority="1" operator="lessThan">
      <formula>$J$3</formula>
    </cfRule>
    <cfRule type="cellIs" dxfId="16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23"/>
      <c r="D3" s="23"/>
      <c r="E3" s="23"/>
      <c r="G3" s="23"/>
      <c r="H3" s="23"/>
      <c r="I3" t="s">
        <v>3</v>
      </c>
      <c r="J3" s="23">
        <v>5.8625075760047887</v>
      </c>
      <c r="O3" s="23"/>
      <c r="P3" s="23"/>
    </row>
    <row r="4" spans="2:16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12.023724862401339</v>
      </c>
      <c r="K4" s="4">
        <f>(J4/D10-1)</f>
        <v>6.8775543324563593E-2</v>
      </c>
      <c r="O4" s="23"/>
      <c r="P4" s="23"/>
    </row>
    <row r="5" spans="2:16">
      <c r="B5" s="1">
        <v>2.0483723700000001</v>
      </c>
      <c r="C5" s="23">
        <f>(D5/B5)</f>
        <v>5.4921654698945188</v>
      </c>
      <c r="D5" s="23">
        <v>11.25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2.5801800000000001E-3</v>
      </c>
      <c r="C6" s="28">
        <v>0</v>
      </c>
      <c r="D6" s="28">
        <f>(B6*C6)</f>
        <v>0</v>
      </c>
      <c r="E6" s="23">
        <f>(B6*J3)</f>
        <v>1.5126324797456035E-2</v>
      </c>
      <c r="G6" s="23"/>
      <c r="H6" s="23"/>
      <c r="J6" s="23"/>
      <c r="M6" t="s">
        <v>11</v>
      </c>
      <c r="N6" s="1">
        <f>($B$5/5)</f>
        <v>0.40967447400000001</v>
      </c>
      <c r="O6" s="45">
        <f>($C$5*[1]Params!K8)</f>
        <v>7.1398151108628749</v>
      </c>
      <c r="P6" s="23">
        <f>(O6*N6)</f>
        <v>2.9249999999999998</v>
      </c>
    </row>
    <row r="7" spans="2:16">
      <c r="C7" s="23"/>
      <c r="D7" s="23"/>
      <c r="E7" s="23"/>
      <c r="G7" s="23"/>
      <c r="H7" s="23"/>
      <c r="J7" s="23"/>
      <c r="N7" s="1">
        <f>($B$5/5)</f>
        <v>0.40967447400000001</v>
      </c>
      <c r="O7" s="45">
        <f>($C$5*[1]Params!K9)</f>
        <v>8.7874647518312301</v>
      </c>
      <c r="P7" s="23">
        <f>(O7*N7)</f>
        <v>3.5999999999999996</v>
      </c>
    </row>
    <row r="8" spans="2:16">
      <c r="C8" s="23"/>
      <c r="D8" s="23"/>
      <c r="E8" s="23"/>
      <c r="G8" s="23"/>
      <c r="H8" s="23"/>
      <c r="J8" s="23"/>
      <c r="N8" s="1">
        <f>($B$5/5)</f>
        <v>0.40967447400000001</v>
      </c>
      <c r="O8" s="45">
        <f>($C$5*[1]Params!K10)</f>
        <v>12.082764033767942</v>
      </c>
      <c r="P8" s="23">
        <f>(O8*N8)</f>
        <v>4.95</v>
      </c>
    </row>
    <row r="9" spans="2:16">
      <c r="C9" s="23"/>
      <c r="D9" s="23"/>
      <c r="E9" s="23"/>
      <c r="F9" t="s">
        <v>9</v>
      </c>
      <c r="G9" s="23">
        <f>(D10/B10)</f>
        <v>5.4852561069733188</v>
      </c>
      <c r="H9" s="23"/>
      <c r="J9" s="23"/>
      <c r="N9" s="1">
        <f>($B$5/5)</f>
        <v>0.40967447400000001</v>
      </c>
      <c r="O9" s="45">
        <f>($C$5*[1]Params!K11)</f>
        <v>27.460827349472595</v>
      </c>
      <c r="P9" s="23">
        <f>(O9*N9)</f>
        <v>11.25</v>
      </c>
    </row>
    <row r="10" spans="2:16">
      <c r="B10" s="1">
        <f>(SUM(B5:B9))</f>
        <v>2.0509525499999999</v>
      </c>
      <c r="C10" s="23"/>
      <c r="D10" s="23">
        <f>(SUM(D5:D9))</f>
        <v>11.25</v>
      </c>
      <c r="E10" s="23"/>
      <c r="G10" s="23"/>
      <c r="H10" s="23"/>
      <c r="J10" s="23"/>
      <c r="O10" s="23"/>
      <c r="P10" s="23"/>
    </row>
    <row r="11" spans="2:16">
      <c r="O11" s="23"/>
      <c r="P11" s="23">
        <f>(SUM(P6:P9))</f>
        <v>22.725000000000001</v>
      </c>
    </row>
    <row r="12" spans="2:16">
      <c r="O12" s="23"/>
      <c r="P12" s="23"/>
    </row>
    <row r="13" spans="2:16">
      <c r="O13" s="23"/>
      <c r="P13" s="23"/>
    </row>
  </sheetData>
  <conditionalFormatting sqref="C5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6:O9">
    <cfRule type="cellIs" dxfId="13" priority="3" operator="lessThan">
      <formula>$J$3</formula>
    </cfRule>
    <cfRule type="cellIs" dxfId="12" priority="4" operator="greaterThan">
      <formula>$J$3</formula>
    </cfRule>
  </conditionalFormatting>
  <conditionalFormatting sqref="G9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V28" sqref="V2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0.60534101907429516</v>
      </c>
      <c r="M3" t="s">
        <v>4</v>
      </c>
      <c r="N3" s="19">
        <f>(INDEX(N5:N14,MATCH(MAX(O6:O7),O5:O14,0))/0.9)</f>
        <v>11.468009966666667</v>
      </c>
      <c r="O3" s="52">
        <f>(MAX(O6:O7)*0.85)</f>
        <v>0.48540838895304461</v>
      </c>
      <c r="P3" s="23">
        <f>(O3*N3)</f>
        <v>5.5666682424171254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18.743553467935669</v>
      </c>
      <c r="K4" s="4">
        <f>(J4/D14-1)</f>
        <v>7.0162920510214004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54.370901310000001</v>
      </c>
      <c r="S5" s="23">
        <f>(T5/R5)</f>
        <v>0.35129084749027495</v>
      </c>
      <c r="T5" s="23">
        <f>(SUM(D5:D7))</f>
        <v>19.100000000000001</v>
      </c>
    </row>
    <row r="6" spans="2:21">
      <c r="B6" s="20">
        <v>0.79588983999999996</v>
      </c>
      <c r="C6" s="28">
        <v>0</v>
      </c>
      <c r="D6" s="28">
        <f>(B6*C6)</f>
        <v>0</v>
      </c>
      <c r="E6" s="23">
        <f>(B6*J3)</f>
        <v>0.48178476681647769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(B$14/3)</f>
        <v>10.321208970000001</v>
      </c>
      <c r="O7" s="23">
        <f>($C$5*[1]Params!K9)</f>
        <v>0.57106869288593487</v>
      </c>
      <c r="P7" s="23">
        <f>(O7*N7)</f>
        <v>5.894119315500487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10.321208970000001</v>
      </c>
      <c r="O8" s="23">
        <f>($C$5*[1]Params!K10)</f>
        <v>0.78521945271816052</v>
      </c>
      <c r="P8" s="23">
        <f>(O8*N8)</f>
        <v>8.1044140588131697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10.321208970000001</v>
      </c>
      <c r="O9" s="23">
        <f>($C$5*[1]Params!K11)</f>
        <v>1.7845896652685465</v>
      </c>
      <c r="P9" s="23">
        <f>(O9*N9)</f>
        <v>18.419122860939019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37.470353595252675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7.551384296149305E-2</v>
      </c>
    </row>
    <row r="14" spans="2:21">
      <c r="B14" s="19">
        <f>(SUM(B5:B13))</f>
        <v>30.963626910000002</v>
      </c>
      <c r="D14" s="23">
        <f>(SUM(D5:D13))</f>
        <v>2.3381824600000005</v>
      </c>
    </row>
    <row r="18" spans="12:20">
      <c r="R18">
        <f>(SUM(R5:R17))</f>
        <v>30.963626910000002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R12" sqref="R12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35" width="9.140625" style="14" customWidth="1"/>
    <col min="36" max="16384" width="9.140625" style="14"/>
  </cols>
  <sheetData>
    <row r="3" spans="2:21">
      <c r="I3" t="s">
        <v>3</v>
      </c>
      <c r="J3" s="45">
        <v>11.89292407497279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0.90996579726244875</v>
      </c>
      <c r="K4" s="4">
        <f>(J4/D14-1)</f>
        <v>-8.857592421629723E-2</v>
      </c>
      <c r="R4" t="s">
        <v>5</v>
      </c>
      <c r="S4" t="s">
        <v>6</v>
      </c>
      <c r="T4" t="s">
        <v>7</v>
      </c>
    </row>
    <row r="5" spans="2:21">
      <c r="B5" s="1">
        <v>7.6510499999999995E-2</v>
      </c>
      <c r="C5" s="23">
        <f>(D5/B5)</f>
        <v>13.049189326955124</v>
      </c>
      <c r="D5" s="23">
        <v>0.99839999999999995</v>
      </c>
      <c r="E5" t="s">
        <v>99</v>
      </c>
      <c r="N5" t="s">
        <v>32</v>
      </c>
      <c r="O5" t="s">
        <v>1</v>
      </c>
      <c r="P5" t="s">
        <v>2</v>
      </c>
      <c r="R5" s="19">
        <f>B5</f>
        <v>7.6510499999999995E-2</v>
      </c>
      <c r="S5" s="23">
        <f>(T5/R5)</f>
        <v>13.049189326955124</v>
      </c>
      <c r="T5" s="23">
        <f>D5</f>
        <v>0.99839999999999995</v>
      </c>
    </row>
    <row r="6" spans="2:21">
      <c r="B6" s="2">
        <v>2.7099999999999999E-6</v>
      </c>
      <c r="C6" s="28">
        <v>0</v>
      </c>
      <c r="D6" s="28">
        <f>(B6*C6)</f>
        <v>0</v>
      </c>
      <c r="E6" s="23">
        <f>(B6*J3)</f>
        <v>3.2229824243176261E-5</v>
      </c>
      <c r="M6" t="s">
        <v>11</v>
      </c>
      <c r="N6" s="19">
        <f>(B$14/5)</f>
        <v>1.5302642E-2</v>
      </c>
      <c r="O6" s="23">
        <f>($C$5*[1]Params!K8)</f>
        <v>16.963946125041662</v>
      </c>
      <c r="P6" s="23">
        <f>(O6*N6)</f>
        <v>0.2595931944587998</v>
      </c>
      <c r="R6" s="19">
        <f>(B6)</f>
        <v>2.7099999999999999E-6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1.5302642E-2</v>
      </c>
      <c r="O7" s="23">
        <f>($C$5*[1]Params!K9)</f>
        <v>20.878702923128202</v>
      </c>
      <c r="P7" s="23">
        <f>(O7*N7)</f>
        <v>0.31949931625698441</v>
      </c>
      <c r="R7" s="19"/>
      <c r="S7" s="23"/>
      <c r="T7" s="24"/>
      <c r="U7" s="24"/>
    </row>
    <row r="8" spans="2:21">
      <c r="C8" s="23"/>
      <c r="D8" s="23"/>
      <c r="N8" s="19">
        <f>(B$14/5)</f>
        <v>1.5302642E-2</v>
      </c>
      <c r="O8" s="23">
        <f>($C$5*[1]Params!K10)</f>
        <v>28.708216519301278</v>
      </c>
      <c r="P8" s="23">
        <f>(O8*N8)</f>
        <v>0.43931155985335352</v>
      </c>
      <c r="R8" s="19"/>
      <c r="S8" s="24"/>
      <c r="T8" s="24"/>
    </row>
    <row r="9" spans="2:21">
      <c r="C9" s="24"/>
      <c r="D9" s="23"/>
      <c r="N9" s="19">
        <f>(B$14/5)</f>
        <v>1.5302642E-2</v>
      </c>
      <c r="O9" s="23">
        <f>($C$5*[1]Params!K11)</f>
        <v>65.245946634775621</v>
      </c>
      <c r="P9" s="23">
        <f>(O9*N9)</f>
        <v>0.99843536330307603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2.0168394338722138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13.048727141365523</v>
      </c>
    </row>
    <row r="14" spans="2:21">
      <c r="B14" s="19">
        <f>(SUM(B5:B13))</f>
        <v>7.6513209999999998E-2</v>
      </c>
      <c r="D14" s="23">
        <f>(SUM(D5:D13))</f>
        <v>0.99839999999999995</v>
      </c>
    </row>
    <row r="18" spans="12:20">
      <c r="R18">
        <f>(SUM(R5:R17))</f>
        <v>7.6513209999999998E-2</v>
      </c>
      <c r="T18" s="23">
        <f>(SUM(T5:T17))</f>
        <v>0.99839999999999995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Q24" sqref="Q24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35" width="9.140625" style="14" customWidth="1"/>
    <col min="36" max="16384" width="9.140625" style="14"/>
  </cols>
  <sheetData>
    <row r="3" spans="2:21">
      <c r="I3" t="s">
        <v>3</v>
      </c>
      <c r="J3" s="45">
        <v>2.863879491308913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0.98661877079893823</v>
      </c>
      <c r="K4" s="4">
        <f>(J4/D14-1)</f>
        <v>-1.1800109376063461E-2</v>
      </c>
      <c r="R4" t="s">
        <v>5</v>
      </c>
      <c r="S4" t="s">
        <v>6</v>
      </c>
      <c r="T4" t="s">
        <v>7</v>
      </c>
    </row>
    <row r="5" spans="2:21">
      <c r="B5" s="35">
        <v>0.34450372000000001</v>
      </c>
      <c r="C5" s="23">
        <f>(D5/B5)</f>
        <v>2.8980819133099636</v>
      </c>
      <c r="D5" s="23">
        <v>0.99839999999999995</v>
      </c>
      <c r="E5" t="s">
        <v>99</v>
      </c>
      <c r="N5" t="s">
        <v>32</v>
      </c>
      <c r="O5" t="s">
        <v>1</v>
      </c>
      <c r="P5" t="s">
        <v>2</v>
      </c>
      <c r="R5" s="19">
        <f>B5</f>
        <v>0.34450372000000001</v>
      </c>
      <c r="S5" s="23">
        <f>(T5/R5)</f>
        <v>2.8980819133099636</v>
      </c>
      <c r="T5" s="23">
        <f>D5</f>
        <v>0.99839999999999995</v>
      </c>
    </row>
    <row r="6" spans="2:21">
      <c r="B6" s="47">
        <v>5.7000000000000005E-7</v>
      </c>
      <c r="C6" s="28">
        <v>0</v>
      </c>
      <c r="D6" s="28">
        <f>(B6*C6)</f>
        <v>0</v>
      </c>
      <c r="E6" s="23">
        <f>(B6*J3)</f>
        <v>1.6324113100460805E-6</v>
      </c>
      <c r="M6" t="s">
        <v>11</v>
      </c>
      <c r="N6" s="19">
        <f>(B$14/5)</f>
        <v>6.8900857999999995E-2</v>
      </c>
      <c r="O6" s="23">
        <f>($C$5*[1]Params!K8)</f>
        <v>3.7675064873029527</v>
      </c>
      <c r="P6" s="23">
        <f>(O6*N6)</f>
        <v>0.25958442949573951</v>
      </c>
      <c r="R6" s="19">
        <f>(B6)</f>
        <v>5.7000000000000005E-7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6.8900857999999995E-2</v>
      </c>
      <c r="O7" s="23">
        <f>($C$5*[1]Params!K9)</f>
        <v>4.6369310612959422</v>
      </c>
      <c r="P7" s="23">
        <f>(O7*N7)</f>
        <v>0.31948852861014099</v>
      </c>
      <c r="R7" s="19"/>
      <c r="S7" s="23"/>
      <c r="T7" s="24"/>
      <c r="U7" s="24"/>
    </row>
    <row r="8" spans="2:21">
      <c r="C8" s="23"/>
      <c r="D8" s="23"/>
      <c r="N8" s="19">
        <f>(B$14/5)</f>
        <v>6.8900857999999995E-2</v>
      </c>
      <c r="O8" s="23">
        <f>($C$5*[1]Params!K10)</f>
        <v>6.3757802092819205</v>
      </c>
      <c r="P8" s="23">
        <f>(O8*N8)</f>
        <v>0.43929672683894383</v>
      </c>
      <c r="R8" s="19"/>
      <c r="S8" s="24"/>
      <c r="T8" s="24"/>
    </row>
    <row r="9" spans="2:21">
      <c r="C9" s="24"/>
      <c r="D9" s="23"/>
      <c r="N9" s="19">
        <f>(B$14/5)</f>
        <v>6.8900857999999995E-2</v>
      </c>
      <c r="O9" s="23">
        <f>($C$5*[1]Params!K11)</f>
        <v>14.490409566549818</v>
      </c>
      <c r="P9" s="23">
        <f>(O9*N9)</f>
        <v>0.9984016519066905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2.016771336851515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2.8980771182849421</v>
      </c>
    </row>
    <row r="14" spans="2:21">
      <c r="B14" s="19">
        <f>(SUM(B5:B13))</f>
        <v>0.34450428999999999</v>
      </c>
      <c r="D14" s="23">
        <f>(SUM(D5:D13))</f>
        <v>0.99839999999999995</v>
      </c>
    </row>
    <row r="18" spans="12:20">
      <c r="R18">
        <f>(SUM(R5:R17))</f>
        <v>0.34450428999999999</v>
      </c>
      <c r="T18" s="23">
        <f>(SUM(T5:T17))</f>
        <v>0.99839999999999995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0.47315969805900898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2.8786089710513987</v>
      </c>
      <c r="K4" s="4">
        <f>(J4/D9-1)</f>
        <v>-0.90028211313150575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75" priority="9" operator="lessThan">
      <formula>$J$3</formula>
    </cfRule>
    <cfRule type="cellIs" dxfId="274" priority="10" operator="greaterThan">
      <formula>$J$3</formula>
    </cfRule>
  </conditionalFormatting>
  <conditionalFormatting sqref="O11:O14">
    <cfRule type="cellIs" dxfId="273" priority="7" operator="lessThan">
      <formula>$J$3</formula>
    </cfRule>
    <cfRule type="cellIs" dxfId="272" priority="8" operator="greaterThan">
      <formula>$J$3</formula>
    </cfRule>
  </conditionalFormatting>
  <conditionalFormatting sqref="O20:O23">
    <cfRule type="cellIs" dxfId="271" priority="5" operator="lessThan">
      <formula>$J$3</formula>
    </cfRule>
    <cfRule type="cellIs" dxfId="270" priority="6" operator="greaterThan">
      <formula>$J$3</formula>
    </cfRule>
  </conditionalFormatting>
  <conditionalFormatting sqref="O29:O32">
    <cfRule type="cellIs" dxfId="269" priority="3" operator="lessThan">
      <formula>$J$3</formula>
    </cfRule>
    <cfRule type="cellIs" dxfId="268" priority="4" operator="greaterThan">
      <formula>$J$3</formula>
    </cfRule>
  </conditionalFormatting>
  <conditionalFormatting sqref="N6">
    <cfRule type="cellIs" dxfId="267" priority="1" operator="lessThan">
      <formula>$J$3</formula>
    </cfRule>
    <cfRule type="cellIs" dxfId="26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topLeftCell="A13"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733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5.5975118599529E-3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0.80249999999999999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9.7194165297285231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-56.516639999999938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-251.2972234702714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-133.5472234702714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733</v>
      </c>
      <c r="E35">
        <f t="shared" ref="E35:E41" si="1">C35*D35</f>
        <v>4584.1819999999998</v>
      </c>
      <c r="F35" s="35">
        <f t="shared" ref="F35:F41" si="2">E35*$N$5</f>
        <v>3678.806055</v>
      </c>
      <c r="G35" s="23">
        <v>3.5</v>
      </c>
      <c r="H35" s="36">
        <f>G51</f>
        <v>1.5615590400000001</v>
      </c>
      <c r="I35" s="24">
        <f t="shared" ref="I35:I42" si="3">((F35-H35*D35)*$J$3-G35)</f>
        <v>10.685120957705623</v>
      </c>
      <c r="J35">
        <v>1</v>
      </c>
      <c r="K35" s="37">
        <f t="shared" ref="K35:K41" si="4">I35*J35</f>
        <v>10.685120957705623</v>
      </c>
      <c r="L35" s="38">
        <v>33.5</v>
      </c>
      <c r="M35" s="38">
        <f t="shared" ref="M35:M41" si="5">L35*J35</f>
        <v>33.5</v>
      </c>
    </row>
    <row r="36" spans="2:22">
      <c r="B36" s="8" t="s">
        <v>45</v>
      </c>
      <c r="C36">
        <v>0.96599999999999997</v>
      </c>
      <c r="D36">
        <f>$H$2</f>
        <v>733</v>
      </c>
      <c r="E36">
        <f t="shared" si="1"/>
        <v>708.07799999999997</v>
      </c>
      <c r="F36" s="35">
        <f t="shared" si="2"/>
        <v>568.23259499999995</v>
      </c>
      <c r="G36" s="23">
        <v>3.5</v>
      </c>
      <c r="H36" s="36">
        <f>G52</f>
        <v>0.21337130135885166</v>
      </c>
      <c r="I36" s="24">
        <f t="shared" si="3"/>
        <v>-1.194768680094199</v>
      </c>
      <c r="J36">
        <v>1</v>
      </c>
      <c r="K36" s="37">
        <f t="shared" si="4"/>
        <v>-1.194768680094199</v>
      </c>
      <c r="L36" s="38">
        <v>9</v>
      </c>
      <c r="M36" s="38">
        <f t="shared" si="5"/>
        <v>9</v>
      </c>
    </row>
    <row r="37" spans="2:22">
      <c r="B37" s="8" t="s">
        <v>47</v>
      </c>
      <c r="C37">
        <v>0.85099999999999998</v>
      </c>
      <c r="D37">
        <f>$H$2</f>
        <v>733</v>
      </c>
      <c r="E37">
        <f t="shared" si="1"/>
        <v>623.78300000000002</v>
      </c>
      <c r="F37" s="35">
        <f t="shared" si="2"/>
        <v>500.58585750000003</v>
      </c>
      <c r="G37" s="23">
        <v>3.5</v>
      </c>
      <c r="H37" s="36">
        <f>G53</f>
        <v>0.18479602162162162</v>
      </c>
      <c r="I37" s="24">
        <f t="shared" si="3"/>
        <v>-1.4561784030575264</v>
      </c>
      <c r="J37">
        <v>1</v>
      </c>
      <c r="K37" s="37">
        <f t="shared" si="4"/>
        <v>-1.4561784030575264</v>
      </c>
      <c r="L37" s="38">
        <v>6.5</v>
      </c>
      <c r="M37" s="38">
        <f t="shared" si="5"/>
        <v>6.5</v>
      </c>
    </row>
    <row r="38" spans="2:22">
      <c r="B38" s="8" t="s">
        <v>47</v>
      </c>
      <c r="C38">
        <v>0.85099999999999998</v>
      </c>
      <c r="D38">
        <f>$H$2-34</f>
        <v>699</v>
      </c>
      <c r="E38">
        <f t="shared" si="1"/>
        <v>594.84899999999993</v>
      </c>
      <c r="F38" s="35">
        <f t="shared" si="2"/>
        <v>477.36632249999997</v>
      </c>
      <c r="G38" s="23">
        <v>0</v>
      </c>
      <c r="H38" s="36">
        <f>G53</f>
        <v>0.18479602162162162</v>
      </c>
      <c r="I38" s="24">
        <f t="shared" si="3"/>
        <v>1.9490195037691522</v>
      </c>
      <c r="J38">
        <v>3</v>
      </c>
      <c r="K38" s="37">
        <f t="shared" si="4"/>
        <v>5.8470585113074565</v>
      </c>
      <c r="L38" s="38">
        <f>L37</f>
        <v>6.5</v>
      </c>
      <c r="M38" s="38">
        <f t="shared" si="5"/>
        <v>19.5</v>
      </c>
    </row>
    <row r="39" spans="2:22">
      <c r="B39" s="8" t="s">
        <v>47</v>
      </c>
      <c r="C39">
        <v>0.85099999999999998</v>
      </c>
      <c r="D39">
        <f>$H$2-34-58</f>
        <v>641</v>
      </c>
      <c r="E39">
        <f t="shared" si="1"/>
        <v>545.49099999999999</v>
      </c>
      <c r="F39" s="35">
        <f t="shared" si="2"/>
        <v>437.7565275</v>
      </c>
      <c r="G39" s="23">
        <v>0</v>
      </c>
      <c r="H39" s="36">
        <f>H38</f>
        <v>0.18479602162162162</v>
      </c>
      <c r="I39" s="24">
        <f t="shared" si="3"/>
        <v>1.7872982860028992</v>
      </c>
      <c r="J39">
        <v>1</v>
      </c>
      <c r="K39" s="37">
        <f t="shared" si="4"/>
        <v>1.7872982860028992</v>
      </c>
      <c r="L39" s="38">
        <f>L38</f>
        <v>6.5</v>
      </c>
      <c r="M39" s="38">
        <f t="shared" si="5"/>
        <v>6.5</v>
      </c>
    </row>
    <row r="40" spans="2:22">
      <c r="B40" s="8" t="s">
        <v>47</v>
      </c>
      <c r="C40">
        <v>0.85099999999999998</v>
      </c>
      <c r="D40">
        <f>$H$2-140</f>
        <v>593</v>
      </c>
      <c r="E40">
        <f t="shared" si="1"/>
        <v>504.64299999999997</v>
      </c>
      <c r="F40" s="35">
        <f t="shared" si="2"/>
        <v>404.97600749999998</v>
      </c>
      <c r="G40" s="23">
        <v>0</v>
      </c>
      <c r="H40" s="36">
        <f>H39</f>
        <v>0.18479602162162162</v>
      </c>
      <c r="I40" s="24">
        <f t="shared" si="3"/>
        <v>1.6534600368170347</v>
      </c>
      <c r="J40">
        <v>1</v>
      </c>
      <c r="K40" s="37">
        <f t="shared" si="4"/>
        <v>1.6534600368170347</v>
      </c>
      <c r="L40" s="38">
        <f>L39</f>
        <v>6.5</v>
      </c>
      <c r="M40" s="38">
        <f t="shared" si="5"/>
        <v>6.5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54.265050000000002</v>
      </c>
      <c r="G41" s="39">
        <v>0</v>
      </c>
      <c r="H41" s="40">
        <f>H36</f>
        <v>0.21337130135885166</v>
      </c>
      <c r="I41" s="39">
        <f t="shared" si="3"/>
        <v>0.22014487366085417</v>
      </c>
      <c r="J41" s="16">
        <v>1</v>
      </c>
      <c r="K41" s="41">
        <f t="shared" si="4"/>
        <v>0.22014487366085417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300.48809999999997</v>
      </c>
      <c r="G42" s="39">
        <v>0</v>
      </c>
      <c r="H42" s="40">
        <f>(H38)</f>
        <v>0.18479602162162162</v>
      </c>
      <c r="I42" s="39">
        <f t="shared" si="3"/>
        <v>1.2268506175370915</v>
      </c>
      <c r="J42" s="16">
        <v>1</v>
      </c>
      <c r="K42" s="41">
        <f>(I42*J42)</f>
        <v>1.2268506175370915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17</v>
      </c>
      <c r="M43" s="38">
        <f>L43*J43</f>
        <v>34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117.75</v>
      </c>
      <c r="O47" s="38">
        <f>(J13+SUM(G35:G41)-D77)</f>
        <v>1.7396645297285254</v>
      </c>
      <c r="P47">
        <f>(O47/J3)</f>
        <v>310.79246873505753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65" priority="17" operator="lessThan">
      <formula>$C$5</formula>
    </cfRule>
    <cfRule type="cellIs" dxfId="264" priority="18" operator="greaterThan">
      <formula>$C$5</formula>
    </cfRule>
  </conditionalFormatting>
  <conditionalFormatting sqref="L36">
    <cfRule type="cellIs" dxfId="263" priority="15" operator="lessThan">
      <formula>$C$6</formula>
    </cfRule>
    <cfRule type="cellIs" dxfId="262" priority="16" operator="greaterThan">
      <formula>$C$6</formula>
    </cfRule>
  </conditionalFormatting>
  <conditionalFormatting sqref="L40">
    <cfRule type="cellIs" dxfId="261" priority="13" operator="lessThan">
      <formula>$C$20</formula>
    </cfRule>
    <cfRule type="cellIs" dxfId="260" priority="14" operator="greaterThan">
      <formula>$C$20</formula>
    </cfRule>
  </conditionalFormatting>
  <conditionalFormatting sqref="L39">
    <cfRule type="cellIs" dxfId="259" priority="11" operator="lessThan">
      <formula>$C$19</formula>
    </cfRule>
    <cfRule type="cellIs" dxfId="258" priority="12" operator="greaterThan">
      <formula>$C$19</formula>
    </cfRule>
  </conditionalFormatting>
  <conditionalFormatting sqref="L38">
    <cfRule type="cellIs" dxfId="257" priority="9" operator="lessThan">
      <formula>$C$17</formula>
    </cfRule>
    <cfRule type="cellIs" dxfId="256" priority="10" operator="greaterThan">
      <formula>$C$17</formula>
    </cfRule>
  </conditionalFormatting>
  <conditionalFormatting sqref="L37">
    <cfRule type="cellIs" dxfId="255" priority="7" operator="lessThan">
      <formula>$C$7</formula>
    </cfRule>
    <cfRule type="cellIs" dxfId="254" priority="8" operator="greaterThan">
      <formula>$C$7</formula>
    </cfRule>
  </conditionalFormatting>
  <conditionalFormatting sqref="L43">
    <cfRule type="cellIs" dxfId="253" priority="3" operator="lessThan">
      <formula>$C$27</formula>
    </cfRule>
    <cfRule type="cellIs" dxfId="252" priority="4" operator="greaterThan">
      <formula>$C$27</formula>
    </cfRule>
  </conditionalFormatting>
  <conditionalFormatting sqref="L44:L46">
    <cfRule type="cellIs" dxfId="251" priority="1" operator="lessThan">
      <formula>$C$7</formula>
    </cfRule>
    <cfRule type="cellIs" dxfId="25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(-369/3)</f>
        <v>-123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tabSelected="1" workbookViewId="0">
      <selection activeCell="D41" sqref="D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42" width="9.140625" style="14" customWidth="1"/>
    <col min="43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13.328455621870321</v>
      </c>
      <c r="M3" t="s">
        <v>4</v>
      </c>
      <c r="N3" s="26">
        <f>(INDEX(N5:N21,MATCH(MAX(O6:O8),O5:O21,0))/0.9)</f>
        <v>0.13208747777777777</v>
      </c>
      <c r="O3" s="24">
        <f>(MAX(O6:O8)*0.85)</f>
        <v>7.48</v>
      </c>
      <c r="P3" s="45">
        <f>(O3*N3)</f>
        <v>0.98801433377777781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4.1830768851501512</v>
      </c>
      <c r="K4" s="4">
        <f>(J4/D13-1)</f>
        <v>-3.5782861172847462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5.7899999999999996E-6</v>
      </c>
      <c r="C6" s="28">
        <v>0</v>
      </c>
      <c r="D6" s="28">
        <f>(B6*C6)</f>
        <v>0</v>
      </c>
      <c r="E6" s="23">
        <f>(B6*J3)</f>
        <v>7.7171758050629155E-5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5.7899999999999996E-6</v>
      </c>
      <c r="S6" s="28">
        <v>0</v>
      </c>
      <c r="T6" s="28">
        <f>(D6)</f>
        <v>0</v>
      </c>
      <c r="U6" s="23">
        <f>(R6*J3)</f>
        <v>7.7171758050629155E-5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0.118879888</v>
      </c>
      <c r="O9" s="23">
        <f>($C$5*[1]Params!K11)</f>
        <v>20</v>
      </c>
      <c r="P9" s="23">
        <f>(O9*N9)</f>
        <v>2.37759776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4.8027238519999997</v>
      </c>
    </row>
    <row r="12" spans="2:21">
      <c r="F12" t="s">
        <v>9</v>
      </c>
      <c r="G12" s="45">
        <f>(D13/B13)</f>
        <v>-5.1695021481583394</v>
      </c>
    </row>
    <row r="13" spans="2:21">
      <c r="B13" s="1">
        <f>(SUM(B5:B12))</f>
        <v>0.31384558000000001</v>
      </c>
      <c r="D13" s="23">
        <f>(SUM(D5:D12))</f>
        <v>-1.6224254</v>
      </c>
      <c r="R13" s="1">
        <f>(SUM(R5:R12))</f>
        <v>0.59439944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1.0140599590134933</v>
      </c>
    </row>
    <row r="21" spans="5:15">
      <c r="E21" s="46"/>
    </row>
  </sheetData>
  <conditionalFormatting sqref="C5 G12 S5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O9">
    <cfRule type="cellIs" dxfId="247" priority="5" operator="lessThan">
      <formula>$J$3</formula>
    </cfRule>
    <cfRule type="cellIs" dxfId="246" priority="6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I15" sqref="I1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0.57957156006868293</v>
      </c>
      <c r="M3" t="s">
        <v>4</v>
      </c>
      <c r="N3" s="26">
        <f>(INDEX(N5:N21,MATCH(MAX(O6:O7),O5:O21,0))/0.9)</f>
        <v>25</v>
      </c>
      <c r="O3" s="24">
        <f>(MAX(O6:O7)*0.85)</f>
        <v>0.47670222236733878</v>
      </c>
      <c r="P3" s="45">
        <f>(O3*N3)</f>
        <v>11.917555559183469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41.90709517885238</v>
      </c>
      <c r="K4" s="4">
        <f>(J4/D13-1)</f>
        <v>1.3541185758846854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0.72173041000000004</v>
      </c>
      <c r="C6" s="28">
        <v>0</v>
      </c>
      <c r="D6" s="28">
        <f>(B6*C6)</f>
        <v>0</v>
      </c>
      <c r="E6" s="23">
        <f>(B6*J3)</f>
        <v>0.41829441967271019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0.72173041000000004</v>
      </c>
      <c r="S6" s="28">
        <v>0</v>
      </c>
      <c r="T6" s="28">
        <f>(D6)</f>
        <v>0</v>
      </c>
      <c r="U6" s="23">
        <f>(R6*J3)</f>
        <v>0.41829441967271019</v>
      </c>
    </row>
    <row r="7" spans="2:21">
      <c r="B7" s="1">
        <v>114.01590521</v>
      </c>
      <c r="C7" s="23">
        <f>(D7/B7)</f>
        <v>0.34819703379873734</v>
      </c>
      <c r="D7" s="23">
        <v>39.700000000000003</v>
      </c>
      <c r="E7" t="s">
        <v>15</v>
      </c>
      <c r="N7" s="1">
        <f>-B11</f>
        <v>22.5</v>
      </c>
      <c r="O7" s="23">
        <f>($S$7*[1]Params!K9)</f>
        <v>0.56082614396157504</v>
      </c>
      <c r="P7" s="23">
        <f>-D11</f>
        <v>12.305999999999999</v>
      </c>
      <c r="Q7" t="s">
        <v>12</v>
      </c>
      <c r="R7" s="35">
        <f>B7+B10</f>
        <v>91.445905210000006</v>
      </c>
      <c r="S7" s="23">
        <f>(T7/R7)</f>
        <v>0.35051633997598441</v>
      </c>
      <c r="T7" s="23">
        <f>D7+B10*0.3388</f>
        <v>32.053284000000005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25.356214892000004</v>
      </c>
      <c r="O8" s="23">
        <f>($C$7*[1]Params!K10)</f>
        <v>0.76603347435722224</v>
      </c>
      <c r="P8" s="23">
        <f>(O8*N8)</f>
        <v>19.423709390267103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14.461404964000002</v>
      </c>
      <c r="O9" s="23">
        <f>($C$7*[1]Params!K11)</f>
        <v>1.7409851689936868</v>
      </c>
      <c r="P9" s="23">
        <f>(O9*N9)</f>
        <v>25.177091565135683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66.989229925402782</v>
      </c>
    </row>
    <row r="12" spans="2:21">
      <c r="F12" t="s">
        <v>9</v>
      </c>
      <c r="G12" s="45">
        <f>(D13/B13)</f>
        <v>0.24619471848433888</v>
      </c>
    </row>
    <row r="13" spans="2:21">
      <c r="B13" s="1">
        <f>(SUM(B5:B12))</f>
        <v>72.307024820000009</v>
      </c>
      <c r="D13" s="23">
        <f>(SUM(D5:D12))</f>
        <v>17.801607620000006</v>
      </c>
      <c r="R13" s="1">
        <f>(SUM(R5:R12))</f>
        <v>94.807024820000009</v>
      </c>
      <c r="T13" s="23">
        <f>(SUM(T5:T12))</f>
        <v>30.107607620000007</v>
      </c>
    </row>
  </sheetData>
  <conditionalFormatting sqref="C5 C7 G12 S5 S7">
    <cfRule type="cellIs" dxfId="243" priority="19" operator="lessThan">
      <formula>$J$3</formula>
    </cfRule>
    <cfRule type="cellIs" dxfId="242" priority="20" operator="greaterThan">
      <formula>$J$3</formula>
    </cfRule>
  </conditionalFormatting>
  <conditionalFormatting sqref="O8:O9">
    <cfRule type="cellIs" dxfId="241" priority="15" operator="lessThan">
      <formula>$J$3</formula>
    </cfRule>
    <cfRule type="cellIs" dxfId="240" priority="16" operator="greaterThan">
      <formula>$J$3</formula>
    </cfRule>
  </conditionalFormatting>
  <conditionalFormatting sqref="C9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O3">
    <cfRule type="cellIs" dxfId="237" priority="1" operator="greaterThan">
      <formula>$J$3</formula>
    </cfRule>
    <cfRule type="cellIs" dxfId="23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2023-12-20T00:41:39Z</dcterms:modified>
</cp:coreProperties>
</file>