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0" activeTab="8" autoFilterDateGrouping="1"/>
  </bookViews>
  <sheets>
    <sheet name="ETH" sheetId="1" state="visible" r:id="rId1"/>
    <sheet name="BTC" sheetId="2" state="visible" r:id="rId2"/>
    <sheet name="Cake" sheetId="3" state="visible" r:id="rId3"/>
    <sheet name="POLIS" sheetId="4" state="visible" r:id="rId4"/>
    <sheet name="ATLAS" sheetId="5" state="visible" r:id="rId5"/>
    <sheet name="BIGTIME" sheetId="6" state="visible" r:id="rId6"/>
    <sheet name="ACE" sheetId="7" state="visible" r:id="rId7"/>
    <sheet name="ADA" sheetId="8" state="visible" r:id="rId8"/>
    <sheet name="ALGO" sheetId="9" state="visible" r:id="rId9"/>
    <sheet name="AMP" sheetId="10" state="visible" r:id="rId10"/>
    <sheet name="APE" sheetId="11" state="visible" r:id="rId11"/>
    <sheet name="ATOM" sheetId="12" state="visible" r:id="rId12"/>
    <sheet name="AVAX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GRT" sheetId="18" state="visible" r:id="rId18"/>
    <sheet name="ICP" sheetId="19" state="visible" r:id="rId19"/>
    <sheet name="KAVA" sheetId="20" state="visible" r:id="rId20"/>
    <sheet name="LDO" sheetId="21" state="visible" r:id="rId21"/>
    <sheet name="LINK" sheetId="22" state="visible" r:id="rId22"/>
    <sheet name="LTC" sheetId="23" state="visible" r:id="rId23"/>
    <sheet name="LUNA" sheetId="24" state="visible" r:id="rId24"/>
    <sheet name="LUNC" sheetId="25" state="visible" r:id="rId25"/>
    <sheet name="MATIC" sheetId="26" state="visible" r:id="rId26"/>
    <sheet name="MEME" sheetId="27" state="visible" r:id="rId27"/>
    <sheet name="MINA" sheetId="28" state="visible" r:id="rId28"/>
    <sheet name="NEAR" sheetId="29" state="visible" r:id="rId29"/>
    <sheet name="SEI" sheetId="30" state="visible" r:id="rId30"/>
    <sheet name="SHIB" sheetId="31" state="visible" r:id="rId31"/>
    <sheet name="SHPING" sheetId="32" state="visible" r:id="rId32"/>
    <sheet name="SOL" sheetId="33" state="visible" r:id="rId33"/>
    <sheet name="TRX" sheetId="34" state="visible" r:id="rId34"/>
    <sheet name="UNI" sheetId="35" state="visible" r:id="rId35"/>
    <sheet name="XRP" sheetId="36" state="visible" r:id="rId36"/>
    <sheet name="TIA" sheetId="37" state="visible" r:id="rId37"/>
    <sheet name="DYDX" sheetId="38" state="visible" r:id="rId38"/>
  </sheets>
  <externalReferences>
    <externalReference r:id="rId39"/>
  </externalReferences>
  <definedNames/>
  <calcPr calcId="124519" fullCalcOnLoad="1"/>
</workbook>
</file>

<file path=xl/styles.xml><?xml version="1.0" encoding="utf-8"?>
<styleSheet xmlns="http://schemas.openxmlformats.org/spreadsheetml/2006/main">
  <numFmts count="15">
    <numFmt numFmtId="164" formatCode="0.0000"/>
    <numFmt numFmtId="165" formatCode="0.00000"/>
    <numFmt numFmtId="166" formatCode="_(&quot;$&quot;* #,##0.00_);_(&quot;$&quot;* \(#,##0.00\);_(&quot;$&quot;* &quot;-&quot;??_);_(@_)"/>
    <numFmt numFmtId="167" formatCode="_([$$-409]* #,##0.00_);_([$$-409]* \(#,##0.00\);_([$$-409]* &quot;-&quot;??_);_(@_)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0.00000000"/>
    <numFmt numFmtId="174" formatCode="_(&quot;$&quot;* #,##0.00000_);_(&quot;$&quot;* \(#,##0.00000\);_(&quot;$&quot;* &quot;-&quot;??_);_(@_)"/>
    <numFmt numFmtId="175" formatCode="0.000000"/>
    <numFmt numFmtId="176" formatCode="_(&quot;$&quot;* #,##0.0000_);_(&quot;$&quot;* \(#,##0.0000\);_(&quot;$&quot;* &quot;-&quot;??_);_(@_)"/>
    <numFmt numFmtId="177" formatCode="_(&quot;$&quot;* #,##0.0000000_);_(&quot;$&quot;* \(#,##0.0000000\);_(&quot;$&quot;* &quot;-&quot;??_);_(@_)"/>
    <numFmt numFmtId="178" formatCode="_(&quot;$&quot;* #,##0.00000000_);_(&quot;$&quot;* \(#,##0.0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92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" fontId="0" fillId="2" borderId="0" pivotButton="0" quotePrefix="0" xfId="0"/>
    <xf numFmtId="165" fontId="0" fillId="0" borderId="0" pivotButton="0" quotePrefix="0" xfId="0"/>
    <xf numFmtId="165" fontId="0" fillId="2" borderId="0" pivotButton="0" quotePrefix="0" xfId="0"/>
    <xf numFmtId="0" fontId="0" fillId="0" borderId="0" pivotButton="0" quotePrefix="0" xfId="0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0" fillId="0" borderId="0" applyAlignment="1" pivotButton="0" quotePrefix="0" xfId="0">
      <alignment horizontal="left" vertical="top"/>
    </xf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4" fontId="0" fillId="0" borderId="0" pivotButton="0" quotePrefix="0" xfId="0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78" fontId="0" fillId="0" borderId="0" pivotButton="0" quotePrefix="0" xfId="1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0" fillId="0" borderId="0" applyAlignment="1" pivotButton="0" quotePrefix="0" xfId="0">
      <alignment horizontal="left" vertical="top"/>
    </xf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4" fontId="0" fillId="0" borderId="0" pivotButton="0" quotePrefix="0" xfId="0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78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80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externalLink" Target="/xl/externalLinks/externalLink1.xml" Id="rId39" /><Relationship Type="http://schemas.openxmlformats.org/officeDocument/2006/relationships/styles" Target="styles.xml" Id="rId40" /><Relationship Type="http://schemas.openxmlformats.org/officeDocument/2006/relationships/theme" Target="theme/theme1.xml" Id="rId41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  <pt idx="203">
                  <v>45312</v>
                </pt>
                <pt idx="204">
                  <v>45349</v>
                </pt>
              </numCache>
            </numRef>
          </cat>
          <val>
            <numRef>
              <f>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  <pt idx="203">
                  <v>43.31</v>
                </pt>
                <pt idx="204">
                  <v>41.4</v>
                </pt>
              </numCache>
            </numRef>
          </val>
        </ser>
        <ser>
          <idx val="1"/>
          <order val="1"/>
          <tx>
            <strRef>
              <f>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  <pt idx="203">
                  <v>45312</v>
                </pt>
                <pt idx="204">
                  <v>45349</v>
                </pt>
              </numCache>
            </numRef>
          </cat>
          <val>
            <numRef>
              <f>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  <pt idx="203">
                  <v>6.920699999999999</v>
                </pt>
                <pt idx="204">
                  <v>4.947</v>
                </pt>
              </numCache>
            </numRef>
          </val>
        </ser>
        <ser>
          <idx val="2"/>
          <order val="2"/>
          <tx>
            <strRef>
              <f>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  <pt idx="203">
                  <v>45312</v>
                </pt>
                <pt idx="204">
                  <v>45349</v>
                </pt>
              </numCache>
            </numRef>
          </cat>
          <val>
            <numRef>
              <f>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  <pt idx="203">
                  <v>195.8589787431507</v>
                </pt>
                <pt idx="204">
                  <v>267.6056338028169</v>
                </pt>
              </numCache>
            </numRef>
          </val>
        </ser>
        <marker val="1"/>
        <axId val="78413824"/>
        <axId val="78415744"/>
      </lineChart>
      <dateAx>
        <axId val="78413824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8415744"/>
        <crosses val="autoZero"/>
        <lblOffset val="100"/>
      </dateAx>
      <valAx>
        <axId val="78415744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8413824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Vision%20Genera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euil1"/>
      <sheetName val="Investissement"/>
      <sheetName val="Params"/>
    </sheetNames>
    <sheetDataSet>
      <sheetData sheetId="0" refreshError="1"/>
      <sheetData sheetId="1" refreshError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4"/>
  <sheetViews>
    <sheetView topLeftCell="A10" workbookViewId="0">
      <selection activeCell="B41" sqref="B41"/>
    </sheetView>
  </sheetViews>
  <sheetFormatPr baseColWidth="10" defaultColWidth="9.140625" defaultRowHeight="15"/>
  <cols>
    <col width="12" bestFit="1" customWidth="1" style="25" min="3" max="3"/>
    <col width="12.28515625" bestFit="1" customWidth="1" style="25" min="4" max="4"/>
    <col width="9.85546875" bestFit="1" customWidth="1" style="25" min="5" max="5"/>
    <col width="10.5703125" bestFit="1" customWidth="1" style="25" min="7" max="7"/>
    <col width="12.42578125" bestFit="1" customWidth="1" style="25" min="9" max="9"/>
    <col width="10.5703125" bestFit="1" customWidth="1" style="25" min="10" max="10"/>
    <col width="12" bestFit="1" customWidth="1" style="25" min="14" max="14"/>
    <col width="11.5703125" bestFit="1" customWidth="1" style="25" min="15" max="15"/>
    <col width="10.5703125" bestFit="1" customWidth="1" style="25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9" t="n">
        <v>3295.805855267275</v>
      </c>
      <c r="M3" t="inlineStr">
        <is>
          <t>Objectif :</t>
        </is>
      </c>
      <c r="N3" s="23">
        <f>(INDEX(N5:N25,MATCH(MAX(O6,O14),O5:O25,0))/0.85)</f>
        <v/>
      </c>
      <c r="O3" s="60">
        <f>(MAX(O6,O14)*0.75)</f>
        <v/>
      </c>
      <c r="P3" s="5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(B44*J3)</f>
        <v/>
      </c>
      <c r="K4" s="4">
        <f>(J4/D44-1)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3" t="n">
        <v>0.25</v>
      </c>
      <c r="C5" s="60" t="n">
        <v>4000</v>
      </c>
      <c r="D5" s="61">
        <f>B5*C5</f>
        <v/>
      </c>
      <c r="M5" t="inlineStr">
        <is>
          <t>DCA1</t>
        </is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3">
        <f>(B5)</f>
        <v/>
      </c>
      <c r="S5" s="60" t="n">
        <v>4000</v>
      </c>
      <c r="T5" s="61">
        <f>(R5*S5)</f>
        <v/>
      </c>
    </row>
    <row r="6">
      <c r="B6" s="23" t="n">
        <v>0.0005999999999999999</v>
      </c>
      <c r="C6" s="60" t="n">
        <v>3950</v>
      </c>
      <c r="D6" s="61">
        <f>B6*C6</f>
        <v/>
      </c>
      <c r="M6" t="inlineStr">
        <is>
          <t>Objectif</t>
        </is>
      </c>
      <c r="N6">
        <f>(-B39)</f>
        <v/>
      </c>
      <c r="O6" s="60">
        <f>(C39)</f>
        <v/>
      </c>
      <c r="P6" s="61">
        <f>(O6*N6)</f>
        <v/>
      </c>
      <c r="Q6" t="inlineStr">
        <is>
          <t>Done</t>
        </is>
      </c>
      <c r="R6" s="23">
        <f>(B6)</f>
        <v/>
      </c>
      <c r="S6" s="60" t="n">
        <v>3950</v>
      </c>
      <c r="T6" s="61">
        <f>(R6*S6)</f>
        <v/>
      </c>
    </row>
    <row r="7">
      <c r="B7" s="23" t="n">
        <v>0.0034</v>
      </c>
      <c r="C7" s="60" t="n">
        <v>3428</v>
      </c>
      <c r="D7" s="61">
        <f>B7*C7</f>
        <v/>
      </c>
      <c r="F7" t="inlineStr">
        <is>
          <t>Moy</t>
        </is>
      </c>
      <c r="G7" s="59">
        <f>(D44/B44)</f>
        <v/>
      </c>
      <c r="N7">
        <f>(2*($R$18+N6)/5-N6)</f>
        <v/>
      </c>
      <c r="O7" s="60">
        <f>($S$18*[1]Params!K16)</f>
        <v/>
      </c>
      <c r="P7" s="61">
        <f>(O7*N7)</f>
        <v/>
      </c>
      <c r="R7" s="23">
        <f>(B7)</f>
        <v/>
      </c>
      <c r="S7" s="60" t="n">
        <v>3428</v>
      </c>
      <c r="T7" s="61">
        <f>(R7*S7)</f>
        <v/>
      </c>
    </row>
    <row r="8">
      <c r="B8" s="23" t="n">
        <v>-0.0076</v>
      </c>
      <c r="C8" s="59" t="n">
        <v>3216.89</v>
      </c>
      <c r="D8" s="61">
        <f>B8*C8</f>
        <v/>
      </c>
      <c r="N8">
        <f>($B$35/5)</f>
        <v/>
      </c>
      <c r="O8" s="60">
        <f>($S$18*[1]Params!K17)</f>
        <v/>
      </c>
      <c r="P8" s="61">
        <f>(O8*N8)</f>
        <v/>
      </c>
      <c r="R8" s="23">
        <f>(B11+B10+B9+B8)</f>
        <v/>
      </c>
      <c r="S8" s="59" t="n">
        <v>0</v>
      </c>
      <c r="T8" s="61">
        <f>(D11+D10+D9+D8)</f>
        <v/>
      </c>
    </row>
    <row r="9">
      <c r="B9" s="23" t="n">
        <v>-0.0076</v>
      </c>
      <c r="C9" s="59" t="n">
        <v>3214.67</v>
      </c>
      <c r="D9" s="61">
        <f>B9*C9</f>
        <v/>
      </c>
      <c r="N9">
        <f>($B$35/5)</f>
        <v/>
      </c>
      <c r="O9" s="60">
        <f>($S$18*[1]Params!K18)</f>
        <v/>
      </c>
      <c r="P9" s="61">
        <f>(O9*N9)</f>
        <v/>
      </c>
      <c r="R9" s="23">
        <f>(B12)</f>
        <v/>
      </c>
      <c r="S9" s="59" t="n">
        <v>0</v>
      </c>
      <c r="T9" s="61">
        <f>(R9*S9)</f>
        <v/>
      </c>
    </row>
    <row r="10">
      <c r="B10" s="23" t="n">
        <v>-0.0076</v>
      </c>
      <c r="C10" s="59" t="n">
        <v>3213.16</v>
      </c>
      <c r="D10" s="61">
        <f>B10*C10</f>
        <v/>
      </c>
      <c r="R10" s="23">
        <f>(SUM(B13:B20))</f>
        <v/>
      </c>
      <c r="S10" s="60">
        <f>(T10/R10)</f>
        <v/>
      </c>
      <c r="T10" s="61">
        <f>(SUM(D13:D20))</f>
        <v/>
      </c>
    </row>
    <row r="11">
      <c r="B11" s="23" t="n">
        <v>0.0243</v>
      </c>
      <c r="C11" s="60" t="n">
        <v>3010</v>
      </c>
      <c r="D11" s="61">
        <f>B11*C11</f>
        <v/>
      </c>
      <c r="I11" t="inlineStr">
        <is>
          <t>Objectif</t>
        </is>
      </c>
      <c r="J11" t="n">
        <v>0.6</v>
      </c>
      <c r="P11" s="61">
        <f>(SUM(P6:P9))</f>
        <v/>
      </c>
      <c r="R11" s="23">
        <f>(B21)</f>
        <v/>
      </c>
      <c r="S11" s="60" t="n">
        <v>1895</v>
      </c>
      <c r="T11" s="61">
        <f>(R11*S11)</f>
        <v/>
      </c>
    </row>
    <row r="12">
      <c r="B12" s="24" t="n">
        <v>0.00745988</v>
      </c>
      <c r="C12" s="62" t="n">
        <v>0</v>
      </c>
      <c r="D12" s="63">
        <f>B12*C12</f>
        <v/>
      </c>
      <c r="E12" s="59">
        <f>(B12*J3)</f>
        <v/>
      </c>
      <c r="I12" t="inlineStr">
        <is>
          <t>Difference</t>
        </is>
      </c>
      <c r="J12">
        <f>(J11-B44)</f>
        <v/>
      </c>
      <c r="R12" s="23">
        <f>(B22)</f>
        <v/>
      </c>
      <c r="S12" s="60" t="n">
        <v>1890.15</v>
      </c>
      <c r="T12" s="61">
        <f>(R12*S12)</f>
        <v/>
      </c>
    </row>
    <row r="13">
      <c r="B13" s="23" t="n">
        <v>-0.008</v>
      </c>
      <c r="C13" s="59" t="n">
        <v>2340</v>
      </c>
      <c r="D13" s="61">
        <f>B13*C13</f>
        <v/>
      </c>
      <c r="I13" t="inlineStr">
        <is>
          <t>Diff in $</t>
        </is>
      </c>
      <c r="J13" s="59">
        <f>(J12*J3)</f>
        <v/>
      </c>
      <c r="M13" t="inlineStr">
        <is>
          <t>DCA2</t>
        </is>
      </c>
      <c r="N13" t="inlineStr">
        <is>
          <t>Qty to Buy</t>
        </is>
      </c>
      <c r="O13" t="inlineStr">
        <is>
          <t>Token Price</t>
        </is>
      </c>
      <c r="P13" t="inlineStr">
        <is>
          <t>Value</t>
        </is>
      </c>
      <c r="R13" s="23">
        <f>(B23)</f>
        <v/>
      </c>
      <c r="S13" s="60">
        <f>(T13/R13)</f>
        <v/>
      </c>
      <c r="T13" s="61">
        <f>(82.1)</f>
        <v/>
      </c>
    </row>
    <row r="14">
      <c r="B14" s="23" t="n">
        <v>-0.01</v>
      </c>
      <c r="C14" s="59" t="n">
        <v>2263</v>
      </c>
      <c r="D14" s="61">
        <f>B14*C14</f>
        <v/>
      </c>
      <c r="M14" t="inlineStr">
        <is>
          <t>Objectif</t>
        </is>
      </c>
      <c r="N14">
        <f>(-B38)</f>
        <v/>
      </c>
      <c r="O14" s="60">
        <f>(C38)</f>
        <v/>
      </c>
      <c r="P14" s="61">
        <f>(O14*N14)</f>
        <v/>
      </c>
      <c r="Q14" t="inlineStr">
        <is>
          <t>Done</t>
        </is>
      </c>
      <c r="R14" s="23">
        <f>(B24)</f>
        <v/>
      </c>
      <c r="S14" s="60" t="n">
        <v>1709</v>
      </c>
      <c r="T14" s="61">
        <f>(S14*R14)</f>
        <v/>
      </c>
    </row>
    <row r="15">
      <c r="B15" s="23" t="n">
        <v>-0.008999999999999999</v>
      </c>
      <c r="C15" s="59" t="n">
        <v>2114</v>
      </c>
      <c r="D15" s="61">
        <f>B15*C15</f>
        <v/>
      </c>
      <c r="N15">
        <f>(2*($R$19+N14)/5-N14)</f>
        <v/>
      </c>
      <c r="O15" s="60">
        <f>($S$19*[1]Params!K16)</f>
        <v/>
      </c>
      <c r="P15" s="61">
        <f>(O15*N15)</f>
        <v/>
      </c>
      <c r="R15" s="23">
        <f>(B25)</f>
        <v/>
      </c>
      <c r="S15" s="60" t="n">
        <v>1617.3</v>
      </c>
      <c r="T15" s="61">
        <f>(S15*R15)</f>
        <v/>
      </c>
    </row>
    <row r="16">
      <c r="B16" s="23" t="n">
        <v>-0.008</v>
      </c>
      <c r="C16" s="59" t="n">
        <v>2027.47</v>
      </c>
      <c r="D16" s="61">
        <f>B16*C16</f>
        <v/>
      </c>
      <c r="N16">
        <f>($B$36/5)</f>
        <v/>
      </c>
      <c r="O16" s="60">
        <f>($S$19*[1]Params!K17)</f>
        <v/>
      </c>
      <c r="P16" s="61">
        <f>(O16*N16)</f>
        <v/>
      </c>
      <c r="R16" s="23">
        <f>(SUM(B26:B33))</f>
        <v/>
      </c>
      <c r="S16" s="59" t="n">
        <v>0</v>
      </c>
      <c r="T16" s="61">
        <f>(SUM(D26:D33))</f>
        <v/>
      </c>
    </row>
    <row r="17">
      <c r="B17" s="23" t="n">
        <v>-0.008200000000000001</v>
      </c>
      <c r="C17" s="59" t="n">
        <v>1961</v>
      </c>
      <c r="D17" s="61">
        <f>B17*C17</f>
        <v/>
      </c>
      <c r="N17">
        <f>($B$36/5)</f>
        <v/>
      </c>
      <c r="O17" s="60">
        <f>($S$19*[1]Params!K18)</f>
        <v/>
      </c>
      <c r="P17" s="61">
        <f>(O17*N17)</f>
        <v/>
      </c>
      <c r="R17" s="23">
        <f>(B34)</f>
        <v/>
      </c>
      <c r="S17" s="59">
        <f>(T17/R17)</f>
        <v/>
      </c>
      <c r="T17" s="61" t="n">
        <v>-12.19326523</v>
      </c>
    </row>
    <row r="18">
      <c r="B18" s="23" t="n">
        <v>0.016</v>
      </c>
      <c r="C18" s="60">
        <f>1/0.00048218</f>
        <v/>
      </c>
      <c r="D18" s="61">
        <f>B18*C18</f>
        <v/>
      </c>
      <c r="R18" s="23">
        <f>(B35+B39)</f>
        <v/>
      </c>
      <c r="S18" s="60">
        <f>(T18/R18)</f>
        <v/>
      </c>
      <c r="T18" s="61">
        <f>(D35+1283.68*B39)</f>
        <v/>
      </c>
      <c r="U18" t="inlineStr">
        <is>
          <t>DCA1</t>
        </is>
      </c>
    </row>
    <row r="19">
      <c r="B19" s="23" t="n">
        <v>0.012</v>
      </c>
      <c r="C19" s="60">
        <f>1/0.0008564</f>
        <v/>
      </c>
      <c r="D19" s="61">
        <f>B19*C19</f>
        <v/>
      </c>
      <c r="P19" s="61">
        <f>(SUM(P14:P17))</f>
        <v/>
      </c>
      <c r="R19" s="23">
        <f>(B36+B38)</f>
        <v/>
      </c>
      <c r="S19" s="60">
        <f>(T19/R19)</f>
        <v/>
      </c>
      <c r="T19" s="61">
        <f>(D36+1269.75*B38)</f>
        <v/>
      </c>
      <c r="U19" t="inlineStr">
        <is>
          <t>DCA2</t>
        </is>
      </c>
    </row>
    <row r="20">
      <c r="B20" s="23" t="n">
        <v>0.03210429</v>
      </c>
      <c r="C20" s="60">
        <f>D20/B20</f>
        <v/>
      </c>
      <c r="D20" s="61" t="n">
        <v>50</v>
      </c>
      <c r="R20" s="23">
        <f>(B37)</f>
        <v/>
      </c>
      <c r="S20" s="60">
        <f>(C37)</f>
        <v/>
      </c>
      <c r="T20" s="61">
        <f>(D37)</f>
        <v/>
      </c>
    </row>
    <row r="21">
      <c r="B21" s="23" t="n">
        <v>0.01</v>
      </c>
      <c r="C21" s="60" t="n">
        <v>1895</v>
      </c>
      <c r="D21" s="61">
        <f>B21*C21</f>
        <v/>
      </c>
      <c r="M21" t="inlineStr">
        <is>
          <t>DCA3</t>
        </is>
      </c>
      <c r="N21" t="inlineStr">
        <is>
          <t>Qty to Buy</t>
        </is>
      </c>
      <c r="O21" t="inlineStr">
        <is>
          <t>Token Price</t>
        </is>
      </c>
      <c r="P21" t="inlineStr">
        <is>
          <t>Value</t>
        </is>
      </c>
      <c r="R21" s="23">
        <f>(B38-B38)</f>
        <v/>
      </c>
      <c r="S21" s="59" t="n">
        <v>0</v>
      </c>
      <c r="T21" s="61">
        <f>(1269.75*-B38+D38)</f>
        <v/>
      </c>
      <c r="U21" t="inlineStr">
        <is>
          <t>DCA2 1/5</t>
        </is>
      </c>
    </row>
    <row r="22">
      <c r="B22" s="23" t="n">
        <v>0.01</v>
      </c>
      <c r="C22" s="60" t="n">
        <v>1890.15</v>
      </c>
      <c r="D22" s="61">
        <f>B22*C22</f>
        <v/>
      </c>
      <c r="M22" t="inlineStr">
        <is>
          <t>Objectif</t>
        </is>
      </c>
      <c r="N22">
        <f>($R$23/5)</f>
        <v/>
      </c>
      <c r="O22" s="60">
        <f>($S$23*[1]Params!K15)</f>
        <v/>
      </c>
      <c r="P22" s="61">
        <f>(O22*N22)</f>
        <v/>
      </c>
      <c r="R22" s="23">
        <f>(B39-B39)</f>
        <v/>
      </c>
      <c r="S22" s="59" t="n">
        <v>0</v>
      </c>
      <c r="T22" s="61">
        <f>(1283.68*-B39+D39)</f>
        <v/>
      </c>
      <c r="U22" t="inlineStr">
        <is>
          <t>DCA1 1/5</t>
        </is>
      </c>
    </row>
    <row r="23">
      <c r="B23" s="23">
        <f>0.05-0.00005</f>
        <v/>
      </c>
      <c r="C23" s="60">
        <f>D23/B23</f>
        <v/>
      </c>
      <c r="D23" s="61">
        <f>82.1</f>
        <v/>
      </c>
      <c r="N23">
        <f>($R$23/5)</f>
        <v/>
      </c>
      <c r="O23" s="60">
        <f>($S$23*[1]Params!K16)</f>
        <v/>
      </c>
      <c r="P23" s="61">
        <f>(O23*N23)</f>
        <v/>
      </c>
      <c r="R23" s="23">
        <f>(B40)</f>
        <v/>
      </c>
      <c r="S23" s="60">
        <f>(T23/R23)</f>
        <v/>
      </c>
      <c r="T23" s="61">
        <f>(D40)</f>
        <v/>
      </c>
      <c r="U23" t="inlineStr">
        <is>
          <t>DCA3</t>
        </is>
      </c>
    </row>
    <row r="24">
      <c r="B24" s="23" t="n">
        <v>0.01</v>
      </c>
      <c r="C24" s="60" t="n">
        <v>1709</v>
      </c>
      <c r="D24" s="61">
        <f>C24*B24</f>
        <v/>
      </c>
      <c r="N24">
        <f>($R$23/5)</f>
        <v/>
      </c>
      <c r="O24" s="60">
        <f>($S$23*[1]Params!K17)</f>
        <v/>
      </c>
      <c r="P24" s="61">
        <f>(O24*N24)</f>
        <v/>
      </c>
      <c r="R24" s="23">
        <f>B41</f>
        <v/>
      </c>
      <c r="S24" s="60">
        <f>(T24/R24)</f>
        <v/>
      </c>
      <c r="T24" s="61">
        <f>D41</f>
        <v/>
      </c>
    </row>
    <row r="25">
      <c r="B25" s="23" t="n">
        <v>0.01</v>
      </c>
      <c r="C25" s="60" t="n">
        <v>1617.3</v>
      </c>
      <c r="D25" s="61">
        <f>(C25*B25)</f>
        <v/>
      </c>
      <c r="N25">
        <f>($R$23/5)</f>
        <v/>
      </c>
      <c r="O25" s="60">
        <f>($S$23*[1]Params!K18)</f>
        <v/>
      </c>
      <c r="P25" s="61">
        <f>(O25*N25)</f>
        <v/>
      </c>
    </row>
    <row r="26">
      <c r="B26" s="23" t="n">
        <v>-0.01</v>
      </c>
      <c r="C26" s="59" t="n">
        <v>1530</v>
      </c>
      <c r="D26" s="61">
        <f>(C26*B26)</f>
        <v/>
      </c>
    </row>
    <row r="27">
      <c r="B27" s="23" t="n">
        <v>0.01</v>
      </c>
      <c r="C27" s="60" t="n">
        <v>1500</v>
      </c>
      <c r="D27" s="61">
        <f>(C27*B27)</f>
        <v/>
      </c>
      <c r="P27" s="61">
        <f>(SUM(P22:P25))</f>
        <v/>
      </c>
    </row>
    <row r="28">
      <c r="B28" s="23" t="n">
        <v>-0.01</v>
      </c>
      <c r="C28" s="59">
        <f>(D28/B28)</f>
        <v/>
      </c>
      <c r="D28" s="61" t="n">
        <v>-14.43</v>
      </c>
    </row>
    <row r="29">
      <c r="B29" s="23" t="n">
        <v>0.01</v>
      </c>
      <c r="C29" s="60" t="n">
        <v>1428.89</v>
      </c>
      <c r="D29" s="61">
        <f>(C29*B29)</f>
        <v/>
      </c>
    </row>
    <row r="30">
      <c r="B30" s="23" t="n">
        <v>-0.01</v>
      </c>
      <c r="C30" s="59" t="n">
        <v>1402.5</v>
      </c>
      <c r="D30" s="61">
        <f>(C30*B30)</f>
        <v/>
      </c>
    </row>
    <row r="31">
      <c r="B31" s="23" t="n">
        <v>0.01</v>
      </c>
      <c r="C31" s="60" t="n">
        <v>1372</v>
      </c>
      <c r="D31" s="61">
        <f>(C31*B31)</f>
        <v/>
      </c>
    </row>
    <row r="32">
      <c r="B32" s="23" t="n">
        <v>-0.01</v>
      </c>
      <c r="C32" s="59" t="n">
        <v>1286.66</v>
      </c>
      <c r="D32" s="61">
        <f>(C32*B32)</f>
        <v/>
      </c>
      <c r="R32">
        <f>(SUM(R5:R31))</f>
        <v/>
      </c>
      <c r="T32" s="61">
        <f>(SUM(T5:T31))</f>
        <v/>
      </c>
    </row>
    <row r="33">
      <c r="B33" s="23" t="n">
        <v>0.01</v>
      </c>
      <c r="C33" s="60" t="n">
        <v>1250</v>
      </c>
      <c r="D33" s="61">
        <f>(C33*B33)</f>
        <v/>
      </c>
    </row>
    <row r="34">
      <c r="B34" s="23" t="n">
        <v>-0.01</v>
      </c>
      <c r="C34" s="59">
        <f>(D34/B34)</f>
        <v/>
      </c>
      <c r="D34" s="61" t="n">
        <v>-12.19326523</v>
      </c>
    </row>
    <row r="35">
      <c r="B35" s="23" t="n">
        <v>0.12760939</v>
      </c>
      <c r="C35" s="60">
        <f>(D35/B35)</f>
        <v/>
      </c>
      <c r="D35" s="61" t="n">
        <v>224.04</v>
      </c>
      <c r="E35" t="inlineStr">
        <is>
          <t>DCA1</t>
        </is>
      </c>
    </row>
    <row r="36">
      <c r="B36" s="23" t="n">
        <v>0.02564412</v>
      </c>
      <c r="C36" s="60">
        <f>(D36/B36)</f>
        <v/>
      </c>
      <c r="D36" s="61" t="n">
        <v>45.7</v>
      </c>
      <c r="E36" t="inlineStr">
        <is>
          <t>DCA2</t>
        </is>
      </c>
    </row>
    <row r="37">
      <c r="B37" s="23" t="n">
        <v>0.00041228</v>
      </c>
      <c r="C37" s="60">
        <f>(D37/B37)</f>
        <v/>
      </c>
      <c r="D37" s="61" t="n">
        <v>0.5</v>
      </c>
    </row>
    <row r="38">
      <c r="B38" s="23">
        <f>(-0.000705)</f>
        <v/>
      </c>
      <c r="C38" s="59" t="n">
        <v>1605</v>
      </c>
      <c r="D38" s="61">
        <f>(C38*B38)</f>
        <v/>
      </c>
    </row>
    <row r="39">
      <c r="B39" s="23">
        <f>(-0.00535-B38)</f>
        <v/>
      </c>
      <c r="C39" s="59" t="n">
        <v>1605</v>
      </c>
      <c r="D39" s="61">
        <f>(C39*B39)</f>
        <v/>
      </c>
    </row>
    <row r="40">
      <c r="B40" s="23" t="n">
        <v>0.0581538</v>
      </c>
      <c r="C40" s="60">
        <f>(D40/B40)</f>
        <v/>
      </c>
      <c r="D40" s="61" t="n">
        <v>110.65</v>
      </c>
      <c r="E40" t="inlineStr">
        <is>
          <t>DCA3</t>
        </is>
      </c>
    </row>
    <row r="41">
      <c r="B41" s="23">
        <f>0.0203796-0.02</f>
        <v/>
      </c>
      <c r="C41" s="60" t="n">
        <v>0</v>
      </c>
      <c r="D41" s="61" t="n">
        <v>0</v>
      </c>
      <c r="E41" s="64" t="inlineStr">
        <is>
          <t>ETH/BTC</t>
        </is>
      </c>
    </row>
    <row r="42">
      <c r="B42" s="23">
        <f>0.0943*0.999</f>
        <v/>
      </c>
      <c r="C42" s="60" t="n">
        <v>0</v>
      </c>
      <c r="D42" s="61" t="n">
        <v>0</v>
      </c>
      <c r="E42" s="64" t="inlineStr">
        <is>
          <t>ETH/BTC</t>
        </is>
      </c>
      <c r="F42" t="n">
        <v>0.5298</v>
      </c>
    </row>
    <row r="43">
      <c r="F43" t="inlineStr">
        <is>
          <t>Moy</t>
        </is>
      </c>
      <c r="G43" s="60">
        <f>D44/B44</f>
        <v/>
      </c>
    </row>
    <row r="44">
      <c r="B44">
        <f>(SUM(B5:B43))</f>
        <v/>
      </c>
      <c r="D44" s="61">
        <f>(SUM(D5:D43))</f>
        <v/>
      </c>
    </row>
  </sheetData>
  <conditionalFormatting sqref="C5:C7 C11 C18:C25 C27 C29 C31 C33 C35:C37 C40 G43 O3 O7:O9 O15:O17 O22:O25 S5:S7 S10:S15 S18:S20 S23:S24">
    <cfRule type="cellIs" priority="39" operator="lessThan" dxfId="1">
      <formula>$J$3</formula>
    </cfRule>
    <cfRule type="cellIs" priority="4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2:T21"/>
  <sheetViews>
    <sheetView workbookViewId="0">
      <selection activeCell="U12" sqref="U12"/>
    </sheetView>
  </sheetViews>
  <sheetFormatPr baseColWidth="10" defaultColWidth="9.140625" defaultRowHeight="15"/>
  <cols>
    <col width="10" bestFit="1" customWidth="1" style="25" min="3" max="3"/>
    <col width="10.28515625" bestFit="1" customWidth="1" style="25" min="4" max="4"/>
    <col width="10" bestFit="1" customWidth="1" style="25" min="7" max="7"/>
    <col width="12.42578125" bestFit="1" customWidth="1" style="25" min="9" max="9"/>
    <col width="10" bestFit="1" customWidth="1" style="25" min="10" max="10"/>
    <col width="10.140625" bestFit="1" customWidth="1" style="25" min="14" max="14"/>
    <col width="11.28515625" bestFit="1" customWidth="1" style="25" min="15" max="15"/>
    <col width="10" bestFit="1" customWidth="1" style="25" min="19" max="19"/>
    <col width="10.28515625" bestFit="1" customWidth="1" style="25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83" t="n">
        <v>0.00477436080279614</v>
      </c>
      <c r="M3" t="inlineStr">
        <is>
          <t>Objectif :</t>
        </is>
      </c>
      <c r="N3" s="23">
        <f>(INDEX(N5:N18,MATCH(MAX(O6),O5:O18,0))/0.85)</f>
        <v/>
      </c>
      <c r="O3" s="84">
        <f>(MAX(O6)*0.75)</f>
        <v/>
      </c>
      <c r="P3" s="5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0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8" t="n">
        <v>883.65</v>
      </c>
      <c r="C5" s="83">
        <f>(D5/B5)</f>
        <v/>
      </c>
      <c r="D5" s="59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8">
        <f>(B5)</f>
        <v/>
      </c>
      <c r="S5" s="83">
        <f>(T5/R5)</f>
        <v/>
      </c>
      <c r="T5" s="60">
        <f>(D5)</f>
        <v/>
      </c>
    </row>
    <row r="6">
      <c r="B6" s="18" t="n">
        <v>-170.21276596</v>
      </c>
      <c r="C6" s="83">
        <f>(D6/B6)</f>
        <v/>
      </c>
      <c r="D6" s="59" t="n">
        <v>-0.778379</v>
      </c>
      <c r="M6" t="inlineStr">
        <is>
          <t>Objectif</t>
        </is>
      </c>
      <c r="N6" s="18">
        <f>-B12</f>
        <v/>
      </c>
      <c r="O6" s="83">
        <f>P6/N6</f>
        <v/>
      </c>
      <c r="P6" s="59">
        <f>-D12</f>
        <v/>
      </c>
      <c r="Q6" t="inlineStr">
        <is>
          <t>Done</t>
        </is>
      </c>
      <c r="R6" s="18">
        <f>(SUM(B6:B11))</f>
        <v/>
      </c>
      <c r="S6" s="83" t="n">
        <v>0</v>
      </c>
      <c r="T6" s="60">
        <f>(SUM(D6:D11))</f>
        <v/>
      </c>
    </row>
    <row r="7">
      <c r="B7" s="18" t="n">
        <v>-175.57251908</v>
      </c>
      <c r="C7" s="83">
        <f>(D7/B7)</f>
        <v/>
      </c>
      <c r="D7" s="59" t="n">
        <v>-0.893567</v>
      </c>
      <c r="N7" s="18">
        <f>-B13</f>
        <v/>
      </c>
      <c r="O7" s="83">
        <f>($C$5*[1]Params!K9)</f>
        <v/>
      </c>
      <c r="P7" s="59">
        <f>-D13</f>
        <v/>
      </c>
      <c r="Q7" t="inlineStr">
        <is>
          <t>Done</t>
        </is>
      </c>
      <c r="R7" s="18">
        <f>B12</f>
        <v/>
      </c>
      <c r="S7" s="83">
        <f>T7/R7</f>
        <v/>
      </c>
      <c r="T7" s="60">
        <f>D12</f>
        <v/>
      </c>
    </row>
    <row r="8">
      <c r="B8" s="18" t="n">
        <v>-167.7852349</v>
      </c>
      <c r="C8" s="83">
        <f>(D8/B8)</f>
        <v/>
      </c>
      <c r="D8" s="59" t="n">
        <v>-1.213721</v>
      </c>
      <c r="N8" s="18">
        <f>($B$15/3)</f>
        <v/>
      </c>
      <c r="O8" s="83">
        <f>($C$5*[1]Params!K10)</f>
        <v/>
      </c>
      <c r="P8" s="59">
        <f>(O8*N8)</f>
        <v/>
      </c>
      <c r="R8" s="18">
        <f>B13</f>
        <v/>
      </c>
      <c r="S8" s="83">
        <f>T8/R8</f>
        <v/>
      </c>
      <c r="T8" s="60">
        <f>D13</f>
        <v/>
      </c>
    </row>
    <row r="9">
      <c r="B9" s="18" t="n">
        <v>196.03891277</v>
      </c>
      <c r="C9" s="83">
        <f>(D9/B9)</f>
        <v/>
      </c>
      <c r="D9" s="59" t="n">
        <v>1.130011</v>
      </c>
      <c r="N9" s="18">
        <f>($B$15/3)</f>
        <v/>
      </c>
      <c r="O9" s="83">
        <f>($C$5*[1]Params!K11)</f>
        <v/>
      </c>
      <c r="P9" s="59">
        <f>(O9*N9)</f>
        <v/>
      </c>
    </row>
    <row r="10">
      <c r="B10" s="18" t="n">
        <v>197.79050008</v>
      </c>
      <c r="C10" s="83">
        <f>(D10/B10)</f>
        <v/>
      </c>
      <c r="D10" s="59" t="n">
        <v>0.85006</v>
      </c>
    </row>
    <row r="11">
      <c r="B11" s="18" t="n">
        <v>191.37734579</v>
      </c>
      <c r="C11" s="83">
        <f>(D11/B11)</f>
        <v/>
      </c>
      <c r="D11" s="59" t="n">
        <v>0.737757</v>
      </c>
      <c r="P11" s="59">
        <f>(SUM(P6:P9))</f>
        <v/>
      </c>
    </row>
    <row r="12">
      <c r="B12" s="18" t="n">
        <v>-184.21052632</v>
      </c>
      <c r="C12" s="83">
        <f>(D12/B12)</f>
        <v/>
      </c>
      <c r="D12" s="59" t="n">
        <v>-0.821395</v>
      </c>
    </row>
    <row r="13">
      <c r="B13" s="18" t="n">
        <v>-188.84892086</v>
      </c>
      <c r="C13" s="83">
        <f>(D13/B13)</f>
        <v/>
      </c>
      <c r="D13" s="59" t="n">
        <v>-1.027149</v>
      </c>
    </row>
    <row r="14">
      <c r="F14" t="inlineStr">
        <is>
          <t>Moy</t>
        </is>
      </c>
      <c r="G14" s="83">
        <f>(D15/B15)</f>
        <v/>
      </c>
    </row>
    <row r="15">
      <c r="B15">
        <f>(SUM(B5:B14))</f>
        <v/>
      </c>
      <c r="D15" s="60">
        <f>(SUM(D5:D14))</f>
        <v/>
      </c>
    </row>
    <row r="17">
      <c r="R17">
        <f>(SUM(R5:R16))</f>
        <v/>
      </c>
      <c r="T17" s="60">
        <f>(SUM(T5:T16))</f>
        <v/>
      </c>
    </row>
    <row r="21">
      <c r="K21" s="60" t="n"/>
    </row>
  </sheetData>
  <conditionalFormatting sqref="C5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C9:C11 G14 O8:O9 S5">
    <cfRule type="cellIs" priority="15" operator="lessThan" dxfId="1">
      <formula>$J$3</formula>
    </cfRule>
    <cfRule type="cellIs" priority="16" operator="greaterThan" dxfId="0">
      <formula>$J$3</formula>
    </cfRule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R7" sqref="R7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59" t="n">
        <v>1.855947420883564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70" t="n">
        <v>17.02563031</v>
      </c>
      <c r="C5" s="59">
        <f>(D5/B5)</f>
        <v/>
      </c>
      <c r="D5" s="59" t="n">
        <v>45.7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(B6)</f>
        <v/>
      </c>
      <c r="S5" s="62" t="n">
        <v>0</v>
      </c>
      <c r="T5" s="63">
        <f>(D6)</f>
        <v/>
      </c>
      <c r="U5" s="59">
        <f>(R5*J3)</f>
        <v/>
      </c>
    </row>
    <row r="6">
      <c r="B6" s="82" t="n">
        <v>0.60177371</v>
      </c>
      <c r="C6" s="62" t="n">
        <v>0</v>
      </c>
      <c r="D6" s="63">
        <f>(B6*C6)</f>
        <v/>
      </c>
      <c r="E6" s="59">
        <f>(B6*J3)</f>
        <v/>
      </c>
      <c r="M6" t="inlineStr">
        <is>
          <t>Objectif</t>
        </is>
      </c>
      <c r="N6" s="70">
        <f>(SUM(R5:R7)/5)</f>
        <v/>
      </c>
      <c r="O6" s="59">
        <f>($C$5*[1]Params!K8)</f>
        <v/>
      </c>
      <c r="P6" s="59">
        <f>(O6*N6)</f>
        <v/>
      </c>
      <c r="R6" s="70">
        <f>(B5)</f>
        <v/>
      </c>
      <c r="S6" s="59">
        <f>(T6/R6)</f>
        <v/>
      </c>
      <c r="T6" s="59">
        <f>(D5)</f>
        <v/>
      </c>
      <c r="U6" t="inlineStr">
        <is>
          <t>DCA2</t>
        </is>
      </c>
    </row>
    <row r="7">
      <c r="B7" s="70" t="n">
        <v>-0.2273</v>
      </c>
      <c r="C7" s="59">
        <f>(D7/B7)</f>
        <v/>
      </c>
      <c r="D7" s="59" t="n">
        <v>-1.125135</v>
      </c>
      <c r="N7" s="70">
        <f>(SUM(R5:R7)/5)</f>
        <v/>
      </c>
      <c r="O7" s="59">
        <f>($C$5*[1]Params!K9)</f>
        <v/>
      </c>
      <c r="P7" s="59">
        <f>(O7*N7)</f>
        <v/>
      </c>
      <c r="R7" s="70">
        <f>(SUM(B7:B12))</f>
        <v/>
      </c>
      <c r="S7" s="59" t="n">
        <v>0</v>
      </c>
      <c r="T7" s="59">
        <f>(SUM(D7:D12))</f>
        <v/>
      </c>
      <c r="U7" s="60">
        <f>-T7+R7*J3</f>
        <v/>
      </c>
    </row>
    <row r="8">
      <c r="B8" s="70" t="n">
        <v>-0.305</v>
      </c>
      <c r="C8" s="59">
        <f>(D8/B8)</f>
        <v/>
      </c>
      <c r="D8" s="59" t="n">
        <v>-1.91101378</v>
      </c>
      <c r="N8" s="70">
        <f>(SUM(R5:R7)/5)</f>
        <v/>
      </c>
      <c r="O8" s="59">
        <f>($C$5*[1]Params!K10)</f>
        <v/>
      </c>
      <c r="P8" s="59">
        <f>(O8*N8)</f>
        <v/>
      </c>
    </row>
    <row r="9">
      <c r="B9" s="70" t="n">
        <v>0.34203371</v>
      </c>
      <c r="C9" s="59">
        <f>(D9/B9)</f>
        <v/>
      </c>
      <c r="D9" s="59" t="n">
        <v>1.8</v>
      </c>
      <c r="N9" s="70">
        <f>(SUM(R5:R7)/5)</f>
        <v/>
      </c>
      <c r="O9" s="59">
        <f>($C$5*[1]Params!K11)</f>
        <v/>
      </c>
      <c r="P9" s="59">
        <f>(O9*N9)</f>
        <v/>
      </c>
    </row>
    <row r="10">
      <c r="B10" s="70" t="n">
        <v>0.25620803</v>
      </c>
      <c r="C10" s="59">
        <f>(D10/B10)</f>
        <v/>
      </c>
      <c r="D10" s="59" t="n">
        <v>1.06</v>
      </c>
    </row>
    <row r="11">
      <c r="B11" s="70" t="n">
        <v>-0.4</v>
      </c>
      <c r="C11" s="59">
        <f>(D11/B11)</f>
        <v/>
      </c>
      <c r="D11" s="59" t="n">
        <v>-1.66251396</v>
      </c>
      <c r="P11" s="59">
        <f>(SUM(P6:P9))</f>
        <v/>
      </c>
    </row>
    <row r="12">
      <c r="B12" s="70" t="n">
        <v>0.4</v>
      </c>
      <c r="C12" s="59">
        <f>(D12/B12)</f>
        <v/>
      </c>
      <c r="D12" s="59">
        <f>(1.64908115)</f>
        <v/>
      </c>
    </row>
    <row r="13">
      <c r="F13" t="inlineStr">
        <is>
          <t>Moy</t>
        </is>
      </c>
      <c r="G13" s="59">
        <f>(D14/B14)</f>
        <v/>
      </c>
    </row>
    <row r="14">
      <c r="B14" s="70">
        <f>(SUM(B5:B13))</f>
        <v/>
      </c>
      <c r="D14" s="59">
        <f>(SUM(D5:D13))</f>
        <v/>
      </c>
      <c r="R14" s="70">
        <f>(SUM(R5:R13))</f>
        <v/>
      </c>
      <c r="T14" s="59">
        <f>(SUM(T5:T13))</f>
        <v/>
      </c>
    </row>
    <row r="15"/>
    <row r="16"/>
    <row r="17"/>
    <row r="18"/>
    <row r="19"/>
    <row r="20"/>
    <row r="21"/>
    <row r="22">
      <c r="D22" s="70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J41" sqref="J41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59" t="n">
        <v>11.18666561202845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(B14*J3)</f>
        <v/>
      </c>
      <c r="K4" s="4">
        <f>(J4/D14-1)</f>
        <v/>
      </c>
    </row>
    <row r="5">
      <c r="B5" s="70" t="n">
        <v>1.11</v>
      </c>
      <c r="C5" s="59">
        <f>(D5/B5)</f>
        <v/>
      </c>
      <c r="D5" s="59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0" t="n">
        <v>0.08793607000000001</v>
      </c>
      <c r="C6" s="59" t="n">
        <v>0</v>
      </c>
      <c r="D6" s="59">
        <f>(B6*C6)</f>
        <v/>
      </c>
      <c r="E6" s="59">
        <f>(B6*J3)</f>
        <v/>
      </c>
      <c r="M6" t="inlineStr">
        <is>
          <t>Objectif</t>
        </is>
      </c>
      <c r="N6" s="1">
        <f>(SUM($B$5:$B$7)/5)</f>
        <v/>
      </c>
      <c r="O6" s="59">
        <f>($C$5*[1]Params!K8)</f>
        <v/>
      </c>
      <c r="P6" s="59">
        <f>(O6*N6)</f>
        <v/>
      </c>
    </row>
    <row r="7">
      <c r="B7" s="82" t="n">
        <v>0.02981135</v>
      </c>
      <c r="C7" s="62" t="n">
        <v>0</v>
      </c>
      <c r="D7" s="63">
        <f>(C7*B7)</f>
        <v/>
      </c>
      <c r="E7" s="59">
        <f>(B7*J4)</f>
        <v/>
      </c>
      <c r="N7" s="1">
        <f>(SUM($B$5:$B$7)/5)</f>
        <v/>
      </c>
      <c r="O7" s="59">
        <f>($C$5*[1]Params!K9)</f>
        <v/>
      </c>
      <c r="P7" s="59">
        <f>(O7*N7)</f>
        <v/>
      </c>
    </row>
    <row r="8">
      <c r="N8" s="1">
        <f>(SUM($B$5:$B$7)/5)</f>
        <v/>
      </c>
      <c r="O8" s="59">
        <f>($C$5*[1]Params!K10)</f>
        <v/>
      </c>
      <c r="P8" s="59">
        <f>(O8*N8)</f>
        <v/>
      </c>
    </row>
    <row r="9">
      <c r="N9" s="1">
        <f>(SUM($B$5:$B$7)/5)</f>
        <v/>
      </c>
      <c r="O9" s="59">
        <f>($C$5*[1]Params!K11)</f>
        <v/>
      </c>
      <c r="P9" s="59">
        <f>(O9*N9)</f>
        <v/>
      </c>
    </row>
    <row r="10"/>
    <row r="11"/>
    <row r="12">
      <c r="P12" s="59">
        <f>(SUM(P6:P9))</f>
        <v/>
      </c>
    </row>
    <row r="13">
      <c r="F13" t="inlineStr">
        <is>
          <t>Moy</t>
        </is>
      </c>
      <c r="G13" s="59">
        <f>(D14/B14)</f>
        <v/>
      </c>
    </row>
    <row r="14">
      <c r="B14" s="18">
        <f>(SUM(B5:B13))</f>
        <v/>
      </c>
      <c r="D14" s="59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1:V32"/>
  <sheetViews>
    <sheetView workbookViewId="0">
      <selection activeCell="M2" sqref="M2:P3"/>
    </sheetView>
  </sheetViews>
  <sheetFormatPr baseColWidth="10" defaultColWidth="9.140625" defaultRowHeight="15"/>
  <cols>
    <col width="10.28515625" bestFit="1" customWidth="1" style="25" min="4" max="4"/>
    <col width="9.140625" customWidth="1" style="25" min="5" max="5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5703125" bestFit="1" customWidth="1" style="25" min="18" max="18"/>
    <col width="10.285156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9" t="n">
        <v>38.94542735831328</v>
      </c>
      <c r="M3" t="inlineStr">
        <is>
          <t>Objectif :</t>
        </is>
      </c>
      <c r="N3" s="23">
        <f>(INDEX(N5:N17,MATCH(MAX(O14:O16,O6:O8),O5:O17,0))/0.85)</f>
        <v/>
      </c>
      <c r="O3" s="60">
        <f>(MAX(O14:O16,O6:O8)*0.75)</f>
        <v/>
      </c>
      <c r="P3" s="5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3" t="n">
        <v>2.69064257</v>
      </c>
      <c r="C5" s="59">
        <f>(D5/B5)</f>
        <v/>
      </c>
      <c r="D5" s="59" t="n">
        <v>45.7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(B6)</f>
        <v/>
      </c>
      <c r="S5" s="62" t="n">
        <v>0</v>
      </c>
      <c r="T5" s="63">
        <f>(D6)</f>
        <v/>
      </c>
      <c r="U5" s="59">
        <f>(R5*J3)</f>
        <v/>
      </c>
    </row>
    <row r="6">
      <c r="B6" s="24" t="n">
        <v>0.01681315</v>
      </c>
      <c r="C6" s="62" t="n">
        <v>0</v>
      </c>
      <c r="D6" s="63">
        <f>(B6*C6)</f>
        <v/>
      </c>
      <c r="E6" s="59">
        <f>(B6*J3)</f>
        <v/>
      </c>
      <c r="M6" t="inlineStr">
        <is>
          <t>Objectif</t>
        </is>
      </c>
      <c r="N6" s="23">
        <f>($B$5+$R$7)/5</f>
        <v/>
      </c>
      <c r="O6" s="59">
        <f>($C$5*[1]Params!K8)</f>
        <v/>
      </c>
      <c r="P6" s="59">
        <f>(O6*N6)</f>
        <v/>
      </c>
      <c r="Q6" t="inlineStr">
        <is>
          <t>Done</t>
        </is>
      </c>
      <c r="R6" s="23">
        <f>B5+B13+B15+B17</f>
        <v/>
      </c>
      <c r="S6" s="59">
        <f>(T6/R6)</f>
        <v/>
      </c>
      <c r="T6" s="59">
        <f>D5-(-B13-B15)*15.13+B17*15.25</f>
        <v/>
      </c>
      <c r="U6" t="inlineStr">
        <is>
          <t>DCA2</t>
        </is>
      </c>
    </row>
    <row r="7">
      <c r="B7" s="23" t="n">
        <v>-0.0717</v>
      </c>
      <c r="C7" s="59">
        <f>(D7/B7)</f>
        <v/>
      </c>
      <c r="D7" s="59" t="n">
        <v>-1.132143</v>
      </c>
      <c r="N7" s="23">
        <f>-B15</f>
        <v/>
      </c>
      <c r="O7" s="59">
        <f>P7/N7</f>
        <v/>
      </c>
      <c r="P7" s="59">
        <f>-D15</f>
        <v/>
      </c>
      <c r="Q7" t="inlineStr">
        <is>
          <t>Done</t>
        </is>
      </c>
      <c r="R7" s="23">
        <f>(B7+B11+B8+B9)</f>
        <v/>
      </c>
      <c r="S7" s="59" t="n">
        <v>0</v>
      </c>
      <c r="T7" s="59">
        <f>D7+D11+D8+D9</f>
        <v/>
      </c>
      <c r="U7" t="inlineStr">
        <is>
          <t>DCA2 *</t>
        </is>
      </c>
      <c r="V7" s="60">
        <f>-T7+R7*J3</f>
        <v/>
      </c>
    </row>
    <row r="8">
      <c r="B8" t="n">
        <v>-0.114356</v>
      </c>
      <c r="C8" s="59">
        <f>(D8/B8)</f>
        <v/>
      </c>
      <c r="D8" s="59" t="n">
        <v>-2.35151189</v>
      </c>
      <c r="N8" s="23">
        <f>-B17</f>
        <v/>
      </c>
      <c r="O8" s="59">
        <f>P8/N8</f>
        <v/>
      </c>
      <c r="P8" s="59">
        <f>-D17</f>
        <v/>
      </c>
      <c r="Q8" t="inlineStr">
        <is>
          <t>Done</t>
        </is>
      </c>
      <c r="R8" s="23">
        <f>(B10)+B12+B14+B16</f>
        <v/>
      </c>
      <c r="S8" s="59">
        <f>(T8/R8)</f>
        <v/>
      </c>
      <c r="T8" s="59">
        <f>(D10)-(-B12-B14-B16)*14.31</f>
        <v/>
      </c>
      <c r="U8">
        <f>E10</f>
        <v/>
      </c>
    </row>
    <row r="9">
      <c r="B9" s="23" t="n">
        <v>0.1272787</v>
      </c>
      <c r="C9" s="59">
        <f>(D9/B9)</f>
        <v/>
      </c>
      <c r="D9" s="59" t="n">
        <v>2.22</v>
      </c>
      <c r="N9" s="23">
        <f>4*($B$5+$R$7+R5)/5-N6-N7-N8</f>
        <v/>
      </c>
      <c r="O9" s="59">
        <f>($S$6*[1]Params!K11)</f>
        <v/>
      </c>
      <c r="P9" s="59">
        <f>(O9*N9)</f>
        <v/>
      </c>
      <c r="R9" s="23">
        <f>B12-B12</f>
        <v/>
      </c>
      <c r="S9" s="60" t="n">
        <v>0</v>
      </c>
      <c r="T9" s="60">
        <f>D12-B12*14.31</f>
        <v/>
      </c>
    </row>
    <row r="10">
      <c r="B10" s="23" t="n">
        <v>0.75996743</v>
      </c>
      <c r="C10" s="59">
        <f>(D10/B10)</f>
        <v/>
      </c>
      <c r="D10" s="59" t="n">
        <v>12.42</v>
      </c>
      <c r="E10" t="inlineStr">
        <is>
          <t>DCA4</t>
        </is>
      </c>
      <c r="R10" s="23">
        <f>B13-B13</f>
        <v/>
      </c>
      <c r="S10" s="60" t="n">
        <v>0</v>
      </c>
      <c r="T10" s="60">
        <f>D13-B13*15.13</f>
        <v/>
      </c>
    </row>
    <row r="11">
      <c r="B11" s="23" t="n">
        <v>0.09107438</v>
      </c>
      <c r="C11" s="59">
        <f>(D11/B11)</f>
        <v/>
      </c>
      <c r="D11" s="59" t="n">
        <v>1.06</v>
      </c>
      <c r="P11" s="59">
        <f>(SUM(P6:P9))</f>
        <v/>
      </c>
      <c r="R11" s="23">
        <f>B14-B14</f>
        <v/>
      </c>
      <c r="S11" s="60" t="n">
        <v>0</v>
      </c>
      <c r="T11" s="60">
        <f>D14-B14*14.31</f>
        <v/>
      </c>
    </row>
    <row r="12">
      <c r="B12" s="23" t="n">
        <v>-0.1375</v>
      </c>
      <c r="C12" s="59">
        <f>(D12/B12)</f>
        <v/>
      </c>
      <c r="D12" s="59" t="n">
        <v>-2.54918818</v>
      </c>
      <c r="P12" s="59" t="n"/>
      <c r="R12" s="23">
        <f>B15-B15</f>
        <v/>
      </c>
      <c r="S12" s="60" t="n">
        <v>0</v>
      </c>
      <c r="T12" s="60">
        <f>D15-B15*15.13</f>
        <v/>
      </c>
    </row>
    <row r="13">
      <c r="B13" s="23" t="n">
        <v>-0.4967</v>
      </c>
      <c r="C13" s="59">
        <f>(D13/B13)</f>
        <v/>
      </c>
      <c r="D13" s="59" t="n">
        <v>-10.84507767</v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3">
        <f>B16-B16</f>
        <v/>
      </c>
      <c r="S13" s="60" t="n">
        <v>0</v>
      </c>
      <c r="T13" s="60">
        <f>D16-B16*14.31</f>
        <v/>
      </c>
    </row>
    <row r="14">
      <c r="B14" s="23" t="n">
        <v>-0.137</v>
      </c>
      <c r="C14" s="59">
        <f>(D14/B14)</f>
        <v/>
      </c>
      <c r="D14" s="59">
        <f>-3.12512811</f>
        <v/>
      </c>
      <c r="M14" t="inlineStr">
        <is>
          <t>Objectif</t>
        </is>
      </c>
      <c r="N14" s="23">
        <f>-B12</f>
        <v/>
      </c>
      <c r="O14" s="59">
        <f>18.6</f>
        <v/>
      </c>
      <c r="P14" s="59">
        <f>-D12</f>
        <v/>
      </c>
      <c r="Q14" t="inlineStr">
        <is>
          <t>Done</t>
        </is>
      </c>
      <c r="R14" s="23">
        <f>B17-B17</f>
        <v/>
      </c>
      <c r="T14" s="60">
        <f>D17-B17*15.25</f>
        <v/>
      </c>
    </row>
    <row r="15">
      <c r="B15" s="23" t="n">
        <v>-0.4967</v>
      </c>
      <c r="C15" s="59">
        <f>(D15/B15)</f>
        <v/>
      </c>
      <c r="D15" s="59" t="n">
        <v>-12.12691623</v>
      </c>
      <c r="N15" s="23">
        <f>-B14</f>
        <v/>
      </c>
      <c r="O15" s="59">
        <f>C14</f>
        <v/>
      </c>
      <c r="P15" s="59">
        <f>-D14</f>
        <v/>
      </c>
      <c r="Q15" t="inlineStr">
        <is>
          <t>Done</t>
        </is>
      </c>
    </row>
    <row r="16">
      <c r="B16" s="23" t="n">
        <v>-0.138</v>
      </c>
      <c r="C16" s="59">
        <f>(D16/B16)</f>
        <v/>
      </c>
      <c r="D16" s="59" t="n">
        <v>-4.41956614</v>
      </c>
      <c r="N16" s="23">
        <f>-B16</f>
        <v/>
      </c>
      <c r="O16" s="59">
        <f>C16</f>
        <v/>
      </c>
      <c r="P16" s="59">
        <f>-D16</f>
        <v/>
      </c>
      <c r="Q16" t="inlineStr">
        <is>
          <t>Done</t>
        </is>
      </c>
    </row>
    <row r="17">
      <c r="B17" s="23" t="n">
        <v>-0.5049</v>
      </c>
      <c r="C17" s="59">
        <f>(D17/B17)</f>
        <v/>
      </c>
      <c r="D17" s="59" t="n">
        <v>-18.26254246</v>
      </c>
      <c r="N17" s="23">
        <f>4*($B$10)/5-N14-N15-N16</f>
        <v/>
      </c>
      <c r="O17" s="59">
        <f>($S$8*[1]Params!K11)</f>
        <v/>
      </c>
      <c r="P17" s="59">
        <f>(O17*N17)</f>
        <v/>
      </c>
    </row>
    <row r="18">
      <c r="F18" t="inlineStr">
        <is>
          <t>Moy</t>
        </is>
      </c>
      <c r="G18" s="59">
        <f>(D19/B19)</f>
        <v/>
      </c>
    </row>
    <row r="19">
      <c r="B19" s="23">
        <f>(SUM(B5:B18))</f>
        <v/>
      </c>
      <c r="D19" s="59">
        <f>(SUM(D5:D18))</f>
        <v/>
      </c>
      <c r="P19" s="59">
        <f>(SUM(P14:P17))</f>
        <v/>
      </c>
      <c r="R19" s="23">
        <f>(SUM(R5:R18))</f>
        <v/>
      </c>
      <c r="T19" s="59">
        <f>(SUM(T5:T18))</f>
        <v/>
      </c>
    </row>
    <row r="20"/>
    <row r="21"/>
    <row r="22"/>
    <row r="23"/>
    <row r="24"/>
    <row r="25"/>
    <row r="26"/>
    <row r="27"/>
    <row r="28"/>
    <row r="29"/>
    <row r="30"/>
    <row r="31"/>
    <row r="32">
      <c r="R32" s="60">
        <f>D19/B19</f>
        <v/>
      </c>
    </row>
  </sheetData>
  <conditionalFormatting sqref="C5 C9:C11 G18 O9 O17 S6 S8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D15" sqref="D15"/>
    </sheetView>
  </sheetViews>
  <sheetFormatPr baseColWidth="10" defaultColWidth="9.140625" defaultRowHeight="15"/>
  <cols>
    <col width="9.140625" customWidth="1" style="25" min="2" max="2"/>
    <col width="10.28515625" bestFit="1" customWidth="1" style="25" min="4" max="4"/>
    <col width="12.42578125" bestFit="1" customWidth="1" style="25" min="9" max="9"/>
    <col width="10.140625" bestFit="1" customWidth="1" style="25" min="14" max="14"/>
    <col width="10.5703125" bestFit="1" customWidth="1" style="25" min="15" max="15"/>
    <col width="10.28515625" bestFit="1" customWidth="1" style="25" min="20" max="20"/>
  </cols>
  <sheetData>
    <row r="1"/>
    <row r="2"/>
    <row r="3">
      <c r="I3" t="inlineStr">
        <is>
          <t>Actual Price :</t>
        </is>
      </c>
      <c r="J3" s="59" t="n">
        <v>408.1172148508497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85" t="n">
        <v>0.00021512</v>
      </c>
      <c r="C5" s="59" t="n">
        <v>244</v>
      </c>
      <c r="D5" s="59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85">
        <f>(B5+B13+B9)</f>
        <v/>
      </c>
      <c r="S5" s="59">
        <f>(T5/R5)</f>
        <v/>
      </c>
      <c r="T5" s="59">
        <f>(D5+D13+D9)</f>
        <v/>
      </c>
    </row>
    <row r="6">
      <c r="B6" s="85" t="n">
        <v>0.00664788</v>
      </c>
      <c r="C6" s="59" t="n">
        <v>373</v>
      </c>
      <c r="D6" s="59">
        <f>(C6*B6)</f>
        <v/>
      </c>
      <c r="M6" t="inlineStr">
        <is>
          <t>Objectif</t>
        </is>
      </c>
      <c r="N6" s="23">
        <f>($R$8/5)</f>
        <v/>
      </c>
      <c r="O6" s="59">
        <f>($S$8*[1]Params!K8)</f>
        <v/>
      </c>
      <c r="P6" s="59">
        <f>(O6*N6)</f>
        <v/>
      </c>
      <c r="R6" s="85">
        <f>(B6)</f>
        <v/>
      </c>
      <c r="S6" s="59">
        <f>(C6)</f>
        <v/>
      </c>
      <c r="T6" s="59">
        <f>(R6*S6)</f>
        <v/>
      </c>
    </row>
    <row r="7">
      <c r="B7" s="85" t="n">
        <v>0.000235</v>
      </c>
      <c r="C7" s="59" t="n">
        <v>0</v>
      </c>
      <c r="D7" s="59" t="n">
        <v>0</v>
      </c>
      <c r="E7" s="59">
        <f>(B7*J3)</f>
        <v/>
      </c>
      <c r="I7" t="inlineStr">
        <is>
          <t>Objectif</t>
        </is>
      </c>
      <c r="J7" t="n">
        <v>1</v>
      </c>
      <c r="N7" s="23">
        <f>($R$8/5)</f>
        <v/>
      </c>
      <c r="O7" s="59">
        <f>($S$8*[1]Params!K9)</f>
        <v/>
      </c>
      <c r="P7" s="59">
        <f>(O7*N7)</f>
        <v/>
      </c>
      <c r="R7" s="85">
        <f>(B7+B8+B10)</f>
        <v/>
      </c>
      <c r="S7" s="59">
        <f>(C7)</f>
        <v/>
      </c>
      <c r="T7" s="59">
        <f>(R7*S7)</f>
        <v/>
      </c>
    </row>
    <row r="8">
      <c r="B8" s="85" t="n">
        <v>9.498e-05</v>
      </c>
      <c r="C8" s="59" t="n">
        <v>0</v>
      </c>
      <c r="D8" s="59" t="n">
        <v>0</v>
      </c>
      <c r="E8" s="59">
        <f>(B8*J3)</f>
        <v/>
      </c>
      <c r="I8" t="inlineStr">
        <is>
          <t>Difference</t>
        </is>
      </c>
      <c r="J8" s="85">
        <f>(J7-B17)</f>
        <v/>
      </c>
      <c r="N8" s="23">
        <f>($R$8/5)</f>
        <v/>
      </c>
      <c r="O8" s="59">
        <f>($S$8*[1]Params!K10)</f>
        <v/>
      </c>
      <c r="P8" s="59">
        <f>(O8*N8)</f>
        <v/>
      </c>
      <c r="R8" s="85">
        <f>(B11)</f>
        <v/>
      </c>
      <c r="S8" s="59">
        <f>(C11)</f>
        <v/>
      </c>
      <c r="T8" s="59">
        <f>(R8*S8)</f>
        <v/>
      </c>
      <c r="U8" t="inlineStr">
        <is>
          <t>DCA1</t>
        </is>
      </c>
    </row>
    <row r="9">
      <c r="B9" s="85" t="n">
        <v>9.092e-05</v>
      </c>
      <c r="C9" s="59" t="n">
        <v>276</v>
      </c>
      <c r="D9" s="59">
        <f>(B9*C9)</f>
        <v/>
      </c>
      <c r="E9" s="59" t="n"/>
      <c r="I9" t="inlineStr">
        <is>
          <t>Diff in $</t>
        </is>
      </c>
      <c r="J9" s="65">
        <f>(J8*J3)</f>
        <v/>
      </c>
      <c r="N9" s="23">
        <f>($R$8/5)</f>
        <v/>
      </c>
      <c r="O9" s="59">
        <f>($S$8*[1]Params!K11)</f>
        <v/>
      </c>
      <c r="P9" s="59">
        <f>(O9*N9)</f>
        <v/>
      </c>
      <c r="R9" s="85">
        <f>(B12)</f>
        <v/>
      </c>
      <c r="S9" s="59">
        <f>(C12)</f>
        <v/>
      </c>
      <c r="T9" s="59">
        <f>(R9*S9)</f>
        <v/>
      </c>
      <c r="U9" t="inlineStr">
        <is>
          <t>DCA2</t>
        </is>
      </c>
    </row>
    <row r="10">
      <c r="B10" s="86" t="n">
        <v>0.00280971</v>
      </c>
      <c r="C10" s="62" t="n">
        <v>0</v>
      </c>
      <c r="D10" s="63" t="n">
        <v>0</v>
      </c>
      <c r="E10" s="59">
        <f>(B10*J3)</f>
        <v/>
      </c>
      <c r="P10" s="59" t="n"/>
      <c r="R10" s="85">
        <f>B14+B15</f>
        <v/>
      </c>
      <c r="S10" s="59" t="n">
        <v>0</v>
      </c>
      <c r="T10" s="60">
        <f>D14+D15</f>
        <v/>
      </c>
    </row>
    <row r="11">
      <c r="B11" s="85" t="n">
        <v>0.58610749</v>
      </c>
      <c r="C11" s="59">
        <f>(D11/B11)</f>
        <v/>
      </c>
      <c r="D11" s="59" t="n">
        <v>167.37</v>
      </c>
      <c r="E11" t="inlineStr">
        <is>
          <t>DCA1</t>
        </is>
      </c>
      <c r="P11" s="59">
        <f>(SUM(P6:P9))</f>
        <v/>
      </c>
    </row>
    <row r="12">
      <c r="B12" s="85" t="n">
        <v>0.15816218</v>
      </c>
      <c r="C12" s="59">
        <f>(D12/B12)</f>
        <v/>
      </c>
      <c r="D12" s="59" t="n">
        <v>45.7</v>
      </c>
      <c r="E12" t="inlineStr">
        <is>
          <t>DCA2</t>
        </is>
      </c>
    </row>
    <row r="13">
      <c r="B13" s="85" t="n">
        <v>0.0020117</v>
      </c>
      <c r="C13" s="59">
        <f>(D13/B13)</f>
        <v/>
      </c>
      <c r="D13" s="59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85" t="n">
        <v>0.29477874</v>
      </c>
      <c r="C14" s="59">
        <f>(D14/B14)</f>
        <v/>
      </c>
      <c r="D14" s="59">
        <f>39.9285+28.954</f>
        <v/>
      </c>
      <c r="M14" t="inlineStr">
        <is>
          <t>Objectif</t>
        </is>
      </c>
      <c r="N14" s="23">
        <f>($R$9/5)</f>
        <v/>
      </c>
      <c r="O14" s="59">
        <f>($S$9*[1]Params!K8)</f>
        <v/>
      </c>
      <c r="P14" s="59">
        <f>(O14*N14)</f>
        <v/>
      </c>
    </row>
    <row r="15">
      <c r="B15" s="85" t="n">
        <v>-0.294</v>
      </c>
      <c r="C15" s="59">
        <f>(D15/B15)</f>
        <v/>
      </c>
      <c r="D15" s="59" t="n">
        <v>-71.95797</v>
      </c>
      <c r="N15" s="23">
        <f>($R$9/5)</f>
        <v/>
      </c>
      <c r="O15" s="59">
        <f>($S$9*[1]Params!K9)</f>
        <v/>
      </c>
      <c r="P15" s="59">
        <f>(O15*N15)</f>
        <v/>
      </c>
    </row>
    <row r="16">
      <c r="N16" s="23">
        <f>($R$9/5)</f>
        <v/>
      </c>
      <c r="O16" s="59">
        <f>($S$9*[1]Params!K10)</f>
        <v/>
      </c>
      <c r="P16" s="59">
        <f>(O16*N16)</f>
        <v/>
      </c>
    </row>
    <row r="17">
      <c r="B17" s="85">
        <f>(SUM(B5:B16))</f>
        <v/>
      </c>
      <c r="D17" s="59">
        <f>(SUM(D5:D16))</f>
        <v/>
      </c>
      <c r="F17" t="inlineStr">
        <is>
          <t>Moy</t>
        </is>
      </c>
      <c r="G17" s="59">
        <f>(SUM(D5:D16)/SUM(B5:B16))</f>
        <v/>
      </c>
      <c r="N17" s="23">
        <f>($R$9/5)</f>
        <v/>
      </c>
      <c r="O17" s="59">
        <f>($S$9*[1]Params!K11)</f>
        <v/>
      </c>
      <c r="P17" s="59">
        <f>(O17*N17)</f>
        <v/>
      </c>
    </row>
    <row r="18">
      <c r="P18" s="59" t="n"/>
    </row>
    <row r="19">
      <c r="P19" s="59">
        <f>(SUM(P14:P17))</f>
        <v/>
      </c>
    </row>
    <row r="20"/>
    <row r="21"/>
    <row r="22">
      <c r="N22" s="23" t="n"/>
      <c r="O22" s="59" t="n"/>
      <c r="P22" s="59" t="n"/>
    </row>
    <row r="23">
      <c r="N23" s="23" t="n"/>
      <c r="O23" s="59" t="n"/>
      <c r="P23" s="59" t="n"/>
    </row>
    <row r="24">
      <c r="N24" s="23" t="n"/>
      <c r="O24" s="59" t="n"/>
      <c r="P24" s="59" t="n"/>
    </row>
    <row r="25">
      <c r="N25" s="23" t="n"/>
      <c r="O25" s="59" t="n"/>
      <c r="P25" s="59" t="n"/>
    </row>
    <row r="26">
      <c r="P26" s="59" t="n"/>
    </row>
    <row r="27">
      <c r="P27" s="59" t="n"/>
    </row>
    <row r="28"/>
    <row r="29"/>
    <row r="30"/>
    <row r="31"/>
    <row r="32"/>
    <row r="33"/>
    <row r="34"/>
    <row r="35"/>
    <row r="36"/>
    <row r="37">
      <c r="R37" s="85">
        <f>(SUM(R5:R27))</f>
        <v/>
      </c>
      <c r="T37" s="59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N6" sqref="N6"/>
    </sheetView>
  </sheetViews>
  <sheetFormatPr baseColWidth="10" defaultColWidth="9.140625" defaultRowHeight="15"/>
  <cols>
    <col width="9.28515625" customWidth="1" style="25" min="2" max="2"/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87" t="n">
        <v>0.1144030667647656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(B13*J3)</f>
        <v/>
      </c>
      <c r="K4" s="4">
        <f>(J4/D13-1)</f>
        <v/>
      </c>
    </row>
    <row r="5">
      <c r="B5" s="70" t="n">
        <v>61.11911839</v>
      </c>
      <c r="C5" s="80">
        <f>(D5/B5)</f>
        <v/>
      </c>
      <c r="D5" s="59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2" t="n">
        <v>0.29422767</v>
      </c>
      <c r="C6" s="62" t="n">
        <v>0</v>
      </c>
      <c r="D6" s="63">
        <f>(B6*C6)</f>
        <v/>
      </c>
      <c r="E6" s="59">
        <f>(B6*J3)</f>
        <v/>
      </c>
      <c r="M6" t="inlineStr">
        <is>
          <t>Objectif</t>
        </is>
      </c>
      <c r="N6" s="70">
        <f>($B$13/5)</f>
        <v/>
      </c>
      <c r="O6" s="59">
        <f>($C$5*[1]Params!K8)</f>
        <v/>
      </c>
      <c r="P6" s="59">
        <f>(O6*N6)</f>
        <v/>
      </c>
    </row>
    <row r="7">
      <c r="N7" s="70">
        <f>($B$13/5)</f>
        <v/>
      </c>
      <c r="O7" s="59">
        <f>($C$5*[1]Params!K9)</f>
        <v/>
      </c>
      <c r="P7" s="59">
        <f>(O7*N7)</f>
        <v/>
      </c>
    </row>
    <row r="8">
      <c r="N8" s="70">
        <f>($B$13/5)</f>
        <v/>
      </c>
      <c r="O8" s="59">
        <f>($C$5*[1]Params!K10)</f>
        <v/>
      </c>
      <c r="P8" s="59">
        <f>(O8*N8)</f>
        <v/>
      </c>
    </row>
    <row r="9">
      <c r="N9" s="70">
        <f>($B$13/5)</f>
        <v/>
      </c>
      <c r="O9" s="59">
        <f>($C$5*[1]Params!K11)</f>
        <v/>
      </c>
      <c r="P9" s="59">
        <f>(O9*N9)</f>
        <v/>
      </c>
    </row>
    <row r="10"/>
    <row r="11">
      <c r="P11" s="59">
        <f>(SUM(P6:P9))</f>
        <v/>
      </c>
    </row>
    <row r="12">
      <c r="F12" t="inlineStr">
        <is>
          <t>Moy</t>
        </is>
      </c>
      <c r="G12" s="59">
        <f>(D13/B13)</f>
        <v/>
      </c>
    </row>
    <row r="13">
      <c r="B13" s="70">
        <f>(SUM(B5:B12))</f>
        <v/>
      </c>
      <c r="D13" s="59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U28"/>
  <sheetViews>
    <sheetView workbookViewId="0">
      <selection activeCell="M20" sqref="M20"/>
    </sheetView>
  </sheetViews>
  <sheetFormatPr baseColWidth="10" defaultColWidth="9.140625" defaultRowHeight="15"/>
  <cols>
    <col width="9.140625" customWidth="1" style="25" min="2" max="2"/>
    <col width="12.42578125" bestFit="1" customWidth="1" style="25" min="9" max="9"/>
    <col width="11.28515625" bestFit="1" customWidth="1" style="25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9" t="n">
        <v>8.177734874522457</v>
      </c>
      <c r="M3" t="inlineStr">
        <is>
          <t>Objectif :</t>
        </is>
      </c>
      <c r="N3" s="23">
        <f>(INDEX(N5:N17,MATCH(MAX(O6),O5:O17,0))/0.85)</f>
        <v/>
      </c>
      <c r="O3" s="60">
        <f>(MAX(O6)*0.75)</f>
        <v/>
      </c>
      <c r="P3" s="80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3" t="n">
        <v>7.91583242</v>
      </c>
      <c r="C5" s="59">
        <f>(D5/B5)</f>
        <v/>
      </c>
      <c r="D5" s="59" t="n">
        <v>45.7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(B6)</f>
        <v/>
      </c>
      <c r="S5" s="62" t="n">
        <v>0</v>
      </c>
      <c r="T5" s="63">
        <f>(D6)</f>
        <v/>
      </c>
      <c r="U5">
        <f>(R5*J3)</f>
        <v/>
      </c>
    </row>
    <row r="6">
      <c r="B6" s="24" t="n">
        <v>0.08105438</v>
      </c>
      <c r="C6" s="62" t="n">
        <v>0</v>
      </c>
      <c r="D6" s="63">
        <f>(B6*C6)</f>
        <v/>
      </c>
      <c r="E6" s="59">
        <f>(B6*J3)</f>
        <v/>
      </c>
      <c r="M6" t="inlineStr">
        <is>
          <t>Objectif</t>
        </is>
      </c>
      <c r="N6" s="23">
        <f>-B11</f>
        <v/>
      </c>
      <c r="O6" s="59">
        <f>C11</f>
        <v/>
      </c>
      <c r="P6" s="59">
        <f>-D11</f>
        <v/>
      </c>
      <c r="Q6" t="inlineStr">
        <is>
          <t>Done</t>
        </is>
      </c>
      <c r="R6" s="23">
        <f>B5+B11</f>
        <v/>
      </c>
      <c r="S6" s="59">
        <f>(T6/R6)</f>
        <v/>
      </c>
      <c r="T6" s="59">
        <f>D5+B11*5.54</f>
        <v/>
      </c>
      <c r="U6" t="inlineStr">
        <is>
          <t>DCA2</t>
        </is>
      </c>
    </row>
    <row r="7">
      <c r="B7" s="23" t="n">
        <v>0.11156135</v>
      </c>
      <c r="C7" s="59">
        <f>(D7/B7)</f>
        <v/>
      </c>
      <c r="D7" s="59" t="n">
        <v>0.5</v>
      </c>
      <c r="N7" s="23">
        <f>2*($B$15+$N$6)/5-$N$6</f>
        <v/>
      </c>
      <c r="O7" s="59">
        <f>($C$5*[1]Params!K9)</f>
        <v/>
      </c>
      <c r="P7" s="59">
        <f>(O7*N7)</f>
        <v/>
      </c>
      <c r="R7" s="23">
        <f>B7</f>
        <v/>
      </c>
      <c r="S7" s="59">
        <f>(T7/R7)</f>
        <v/>
      </c>
      <c r="T7" s="60">
        <f>D7</f>
        <v/>
      </c>
    </row>
    <row r="8">
      <c r="B8" s="23">
        <f>(-0.2134+N16)</f>
        <v/>
      </c>
      <c r="C8" s="59">
        <f>(D8/B8)</f>
        <v/>
      </c>
      <c r="D8" s="59">
        <f>(-1.27565659-D9)</f>
        <v/>
      </c>
      <c r="N8" s="23">
        <f>2*($B$15+$N$6)/5-$N$6</f>
        <v/>
      </c>
      <c r="O8" s="59">
        <f>($C$5*[1]Params!K10)</f>
        <v/>
      </c>
      <c r="P8" s="59">
        <f>(O8*N8)</f>
        <v/>
      </c>
      <c r="R8" s="23">
        <f>SUM(B8:B10)+B13+B12</f>
        <v/>
      </c>
      <c r="S8" s="59">
        <f>(T8/R8)</f>
        <v/>
      </c>
      <c r="T8" s="59">
        <f>SUM(D8:D10)+D12+D13</f>
        <v/>
      </c>
    </row>
    <row r="9">
      <c r="B9">
        <f>-B7/5</f>
        <v/>
      </c>
      <c r="C9" s="59" t="n">
        <v>5.97777</v>
      </c>
      <c r="D9" s="59">
        <f>(C9*B9)</f>
        <v/>
      </c>
      <c r="N9" s="23">
        <f>2*($B$15+$N$6)/5-$N$6</f>
        <v/>
      </c>
      <c r="O9" s="59">
        <f>($C$5*[1]Params!K11)</f>
        <v/>
      </c>
      <c r="P9" s="59">
        <f>(O9*N9)</f>
        <v/>
      </c>
      <c r="R9" s="23">
        <f>B11-B11</f>
        <v/>
      </c>
      <c r="S9" s="59" t="n">
        <v>0</v>
      </c>
      <c r="T9" s="60">
        <f>D11-B11*5.54</f>
        <v/>
      </c>
    </row>
    <row r="10">
      <c r="B10" s="23" t="n">
        <v>0.21193237</v>
      </c>
      <c r="C10" s="59">
        <f>D10/B10</f>
        <v/>
      </c>
      <c r="D10" s="59" t="n">
        <v>1.07</v>
      </c>
      <c r="N10" s="23" t="n"/>
      <c r="P10" s="59" t="n"/>
      <c r="R10" s="23" t="n"/>
      <c r="S10" s="59" t="n"/>
      <c r="T10" s="60" t="n"/>
    </row>
    <row r="11">
      <c r="B11" s="23" t="n">
        <v>-1.3731</v>
      </c>
      <c r="C11" s="59">
        <f>(D11/B11)</f>
        <v/>
      </c>
      <c r="D11" s="59">
        <f>-9.89434222</f>
        <v/>
      </c>
      <c r="N11" s="23" t="n"/>
      <c r="P11" s="59" t="n"/>
    </row>
    <row r="12">
      <c r="B12" s="23" t="n">
        <v>-1.53</v>
      </c>
      <c r="C12" s="59">
        <f>(D12/B12)</f>
        <v/>
      </c>
      <c r="D12" s="59" t="n">
        <v>-13.78562829</v>
      </c>
      <c r="N12" s="23" t="n"/>
      <c r="P12" s="59">
        <f>(SUM(P6:P9))</f>
        <v/>
      </c>
    </row>
    <row r="13">
      <c r="B13" s="23" t="n">
        <v>1.7</v>
      </c>
      <c r="C13" s="59">
        <f>(D13/B13)</f>
        <v/>
      </c>
      <c r="D13" s="59" t="n">
        <v>12.6519626</v>
      </c>
      <c r="N13" s="23" t="n"/>
      <c r="P13" s="59" t="n"/>
    </row>
    <row r="14">
      <c r="F14" t="inlineStr">
        <is>
          <t>Moy</t>
        </is>
      </c>
      <c r="G14" s="59">
        <f>(D15/B15)</f>
        <v/>
      </c>
      <c r="N14" s="23" t="n"/>
      <c r="P14" s="59" t="n"/>
      <c r="R14" s="23">
        <f>(SUM(R5:R12))</f>
        <v/>
      </c>
      <c r="T14" s="59">
        <f>(SUM(T5:T12))</f>
        <v/>
      </c>
    </row>
    <row r="15">
      <c r="B15">
        <f>(SUM(B5:B14))</f>
        <v/>
      </c>
      <c r="D15" s="59">
        <f>(SUM(D5:D14))</f>
        <v/>
      </c>
    </row>
    <row r="16">
      <c r="N16" s="23" t="n"/>
      <c r="O16" s="59" t="n"/>
      <c r="P16" s="59" t="n"/>
    </row>
    <row r="17">
      <c r="N17" s="23" t="n"/>
      <c r="O17" s="59" t="n"/>
      <c r="P17" s="59" t="n"/>
    </row>
    <row r="18">
      <c r="N18" s="23" t="n"/>
      <c r="O18" s="59" t="n"/>
      <c r="P18" s="59" t="n"/>
    </row>
    <row r="19">
      <c r="N19" s="23" t="n"/>
      <c r="O19" s="59" t="n"/>
      <c r="P19" s="59" t="n"/>
    </row>
    <row r="20">
      <c r="P20" s="59" t="n"/>
    </row>
    <row r="21">
      <c r="P21" s="59" t="n"/>
    </row>
    <row r="22">
      <c r="P22" s="59" t="n"/>
    </row>
    <row r="23"/>
    <row r="24"/>
    <row r="25"/>
    <row r="26"/>
    <row r="27"/>
    <row r="28">
      <c r="G28" s="60" t="n"/>
    </row>
  </sheetData>
  <conditionalFormatting sqref="C5 C7 C10 G14 O7:O9 S6: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140625" customWidth="1" style="25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9" t="n">
        <v>58.62445743848581</v>
      </c>
      <c r="M3" t="inlineStr">
        <is>
          <t>Objectif :</t>
        </is>
      </c>
      <c r="N3" s="23">
        <f>(INDEX(N5:N16,MATCH(MAX(O6),O5:O16,0))/0.85)</f>
        <v/>
      </c>
      <c r="O3" s="60">
        <f>(MAX(O6)*0.75)</f>
        <v/>
      </c>
      <c r="P3" s="80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3" t="n">
        <v>0.12084767</v>
      </c>
      <c r="C5" s="59" t="n">
        <v>43.03</v>
      </c>
      <c r="D5" s="59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9">
        <f>(T5/R5)</f>
        <v/>
      </c>
      <c r="T5" s="59">
        <f>(D5)</f>
        <v/>
      </c>
    </row>
    <row r="6">
      <c r="B6" s="24" t="n">
        <v>0.00300612</v>
      </c>
      <c r="C6" s="62" t="n">
        <v>0</v>
      </c>
      <c r="D6" s="63">
        <f>(B6*C6)</f>
        <v/>
      </c>
      <c r="E6" s="59">
        <f>(B6*J3)</f>
        <v/>
      </c>
      <c r="M6" t="inlineStr">
        <is>
          <t>Objectif</t>
        </is>
      </c>
      <c r="N6" s="23">
        <f>-B7</f>
        <v/>
      </c>
      <c r="O6" s="59">
        <f>P6/N6</f>
        <v/>
      </c>
      <c r="P6" s="59">
        <f>-D7</f>
        <v/>
      </c>
      <c r="Q6" t="inlineStr">
        <is>
          <t>Done</t>
        </is>
      </c>
      <c r="R6" s="2">
        <f>(B6)</f>
        <v/>
      </c>
      <c r="S6" s="62">
        <f>(T6/R6)</f>
        <v/>
      </c>
      <c r="T6" s="63">
        <f>(D6)</f>
        <v/>
      </c>
    </row>
    <row r="7">
      <c r="B7" t="n">
        <v>-0.02475</v>
      </c>
      <c r="C7" s="59">
        <f>D7/B7</f>
        <v/>
      </c>
      <c r="D7" s="59">
        <f>-1.42154421</f>
        <v/>
      </c>
      <c r="N7" s="23">
        <f>2*($B$13-$B$7)/5+$B$7</f>
        <v/>
      </c>
      <c r="O7" s="59">
        <f>($C$5*[1]Params!K9)</f>
        <v/>
      </c>
      <c r="P7" s="59">
        <f>(O7*N7)</f>
        <v/>
      </c>
      <c r="R7" s="1">
        <f>B7</f>
        <v/>
      </c>
      <c r="S7" s="59" t="n">
        <v>0</v>
      </c>
      <c r="T7" s="59">
        <f>(D7)</f>
        <v/>
      </c>
    </row>
    <row r="8">
      <c r="B8" s="23">
        <f>-0.0247</f>
        <v/>
      </c>
      <c r="C8" s="59">
        <f>D8/B8</f>
        <v/>
      </c>
      <c r="D8" s="59" t="n">
        <v>-1.70058209</v>
      </c>
      <c r="N8" s="23">
        <f>2*($B$13-$B$7)/5+$B$7</f>
        <v/>
      </c>
      <c r="O8" s="59">
        <f>($C$5*[1]Params!K10)</f>
        <v/>
      </c>
      <c r="P8" s="59">
        <f>(O8*N8)</f>
        <v/>
      </c>
      <c r="R8" s="1">
        <f>(B8)+B9</f>
        <v/>
      </c>
      <c r="S8" s="59" t="n">
        <v>0</v>
      </c>
      <c r="T8" s="59">
        <f>(D8)+D9</f>
        <v/>
      </c>
    </row>
    <row r="9">
      <c r="B9" s="23">
        <f>0.02974335</f>
        <v/>
      </c>
      <c r="C9" s="59">
        <f>D9/B9</f>
        <v/>
      </c>
      <c r="D9" s="59" t="n">
        <v>1.706456</v>
      </c>
      <c r="N9" s="23">
        <f>2*($B$13-$B$7)/5+$B$7</f>
        <v/>
      </c>
      <c r="O9" s="59">
        <f>($C$5*[1]Params!K11)</f>
        <v/>
      </c>
      <c r="P9" s="59">
        <f>(O9*N9)</f>
        <v/>
      </c>
      <c r="R9" s="1" t="n"/>
      <c r="S9" s="59" t="n"/>
      <c r="T9" s="59" t="n"/>
    </row>
    <row r="10">
      <c r="R10" s="1" t="n"/>
      <c r="S10" s="59" t="n"/>
      <c r="T10" s="59" t="n"/>
    </row>
    <row r="11">
      <c r="P11" s="59">
        <f>(SUM(P6:P9))</f>
        <v/>
      </c>
      <c r="R11" s="1" t="n"/>
      <c r="S11" s="59" t="n"/>
      <c r="T11" s="60" t="n"/>
    </row>
    <row r="12">
      <c r="F12" t="inlineStr">
        <is>
          <t>Moy</t>
        </is>
      </c>
      <c r="G12" s="59">
        <f>(D13/B13)</f>
        <v/>
      </c>
    </row>
    <row r="13">
      <c r="B13">
        <f>(SUM(B5:B12))</f>
        <v/>
      </c>
      <c r="D13" s="59">
        <f>(SUM(D5:D12))</f>
        <v/>
      </c>
    </row>
    <row r="14"/>
    <row r="15"/>
    <row r="16"/>
    <row r="17"/>
    <row r="18"/>
    <row r="19"/>
    <row r="20"/>
    <row r="21"/>
    <row r="22">
      <c r="R22">
        <f>(SUM(R5:R21))</f>
        <v/>
      </c>
      <c r="T22" s="59">
        <f>(SUM(T5:T21))</f>
        <v/>
      </c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G12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S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P11" sqref="P11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28515625" bestFit="1" customWidth="1" style="25" min="18" max="18"/>
    <col width="9.140625" customWidth="1" style="25" min="19" max="19"/>
    <col width="10.28515625" bestFit="1" customWidth="1" style="25" min="20" max="20"/>
    <col width="9.140625" customWidth="1" style="25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80" t="n">
        <v>0.2960818654252093</v>
      </c>
      <c r="M3" t="inlineStr">
        <is>
          <t>Objectif :</t>
        </is>
      </c>
      <c r="N3" s="70">
        <f>(INDEX(N5:N29,MATCH(MAX(O6:O8),O5:O29,0))/0.85)</f>
        <v/>
      </c>
      <c r="O3" s="88">
        <f>(MAX(O6:O8)*0.75)</f>
        <v/>
      </c>
      <c r="P3" s="5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8" t="n">
        <v>63.429</v>
      </c>
      <c r="C5" s="80">
        <f>(D5/B5)</f>
        <v/>
      </c>
      <c r="D5" s="59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70">
        <f>(B5)</f>
        <v/>
      </c>
      <c r="S5" s="59">
        <f>(C5)</f>
        <v/>
      </c>
      <c r="T5" s="59">
        <f>(R5*S5)</f>
        <v/>
      </c>
    </row>
    <row r="6">
      <c r="B6" s="18" t="n">
        <v>-12.25728155</v>
      </c>
      <c r="C6" s="80">
        <f>(D6/B6)</f>
        <v/>
      </c>
      <c r="D6" s="59" t="n">
        <v>-0.983378</v>
      </c>
      <c r="M6" t="inlineStr">
        <is>
          <t>Objectif</t>
        </is>
      </c>
      <c r="N6" s="70">
        <f>(-B6)</f>
        <v/>
      </c>
      <c r="O6" s="59">
        <f>(C6)</f>
        <v/>
      </c>
      <c r="P6" s="59">
        <f>(O6*N6)</f>
        <v/>
      </c>
      <c r="Q6" t="inlineStr">
        <is>
          <t>Done</t>
        </is>
      </c>
      <c r="R6" s="70">
        <f>B6</f>
        <v/>
      </c>
      <c r="S6" s="59">
        <f>(C6)</f>
        <v/>
      </c>
      <c r="T6" s="59">
        <f>D6</f>
        <v/>
      </c>
    </row>
    <row r="7">
      <c r="B7" s="18" t="n">
        <v>-12.70325203</v>
      </c>
      <c r="C7" s="80">
        <f>(D7/B7)</f>
        <v/>
      </c>
      <c r="D7" s="59" t="n">
        <v>-1.217268</v>
      </c>
      <c r="N7" s="70">
        <f>-B11</f>
        <v/>
      </c>
      <c r="O7" s="59">
        <f>($C$5*[1]Params!K9)</f>
        <v/>
      </c>
      <c r="P7" s="59">
        <f>-D11</f>
        <v/>
      </c>
      <c r="Q7" t="inlineStr">
        <is>
          <t>Done</t>
        </is>
      </c>
      <c r="R7" s="70">
        <f>B7+B10+B8+B9</f>
        <v/>
      </c>
      <c r="S7" s="59">
        <f>(C7)</f>
        <v/>
      </c>
      <c r="T7" s="59">
        <f>D7+D10+D8+D9</f>
        <v/>
      </c>
    </row>
    <row r="8">
      <c r="B8" s="18" t="n">
        <v>-12.62063846</v>
      </c>
      <c r="C8" s="80">
        <f>(D8/B8)</f>
        <v/>
      </c>
      <c r="D8" s="59" t="n">
        <v>-1.656203</v>
      </c>
      <c r="N8" s="70">
        <f>3*($B$5+$R$7)/5-N7-N6</f>
        <v/>
      </c>
      <c r="O8" s="59">
        <f>($C$5*[1]Params!K10)</f>
        <v/>
      </c>
      <c r="P8" s="59">
        <f>(O8*N8)</f>
        <v/>
      </c>
      <c r="Q8" t="inlineStr">
        <is>
          <t>Done</t>
        </is>
      </c>
      <c r="R8" s="70">
        <f>B11</f>
        <v/>
      </c>
      <c r="S8" s="59">
        <f>T8/R8</f>
        <v/>
      </c>
      <c r="T8" s="59">
        <f>D11</f>
        <v/>
      </c>
    </row>
    <row r="9">
      <c r="B9" s="18" t="n">
        <v>15.03715876</v>
      </c>
      <c r="C9" s="80">
        <f>(D9/B9)</f>
        <v/>
      </c>
      <c r="D9" s="59" t="n">
        <v>1.549163</v>
      </c>
      <c r="N9" s="70">
        <f>4*($R$5+$R$7)/5+B12-N7-N6</f>
        <v/>
      </c>
      <c r="O9" s="59">
        <f>($C$5*[1]Params!K11)</f>
        <v/>
      </c>
      <c r="P9" s="59">
        <f>(O9*N9)</f>
        <v/>
      </c>
      <c r="R9" s="23">
        <f>B12</f>
        <v/>
      </c>
      <c r="S9" s="59">
        <f>T9/R9</f>
        <v/>
      </c>
      <c r="T9" s="59">
        <f>D12</f>
        <v/>
      </c>
    </row>
    <row r="10">
      <c r="B10" s="18" t="n">
        <v>14.46759533</v>
      </c>
      <c r="C10" s="80">
        <f>(D10/B10)</f>
        <v/>
      </c>
      <c r="D10" s="59" t="n">
        <v>1.150414</v>
      </c>
      <c r="N10" s="70" t="n"/>
      <c r="O10" s="59" t="n"/>
      <c r="P10" s="59" t="n"/>
      <c r="R10" s="23" t="n"/>
      <c r="S10" s="59" t="n"/>
      <c r="T10" s="59" t="n"/>
    </row>
    <row r="11">
      <c r="B11" s="18" t="n">
        <v>-12.55901794</v>
      </c>
      <c r="C11" s="80">
        <f>D11/B11</f>
        <v/>
      </c>
      <c r="D11" s="59">
        <f>-1.294159</f>
        <v/>
      </c>
      <c r="N11" s="70" t="n"/>
      <c r="O11" s="59" t="n"/>
      <c r="P11" s="59">
        <f>(SUM(P6:P9))</f>
        <v/>
      </c>
      <c r="R11" s="23" t="n"/>
      <c r="S11" s="59" t="n"/>
      <c r="T11" s="59" t="n"/>
    </row>
    <row r="12">
      <c r="B12" s="18" t="n">
        <v>-15.85623679</v>
      </c>
      <c r="C12" s="80">
        <f>D12/B12</f>
        <v/>
      </c>
      <c r="D12" s="59" t="n">
        <v>-2.201892</v>
      </c>
      <c r="N12" s="70" t="n"/>
      <c r="O12" s="59" t="n"/>
      <c r="P12" s="59" t="n"/>
      <c r="R12" s="23" t="n"/>
      <c r="S12" s="59" t="n"/>
      <c r="T12" s="59" t="n"/>
    </row>
    <row r="13">
      <c r="C13" s="59" t="n"/>
      <c r="D13" s="59" t="n"/>
      <c r="F13" t="inlineStr">
        <is>
          <t>Moy</t>
        </is>
      </c>
      <c r="G13" s="59">
        <f>(D14/B14)</f>
        <v/>
      </c>
      <c r="O13" s="59" t="n"/>
      <c r="R13" s="23" t="n"/>
      <c r="S13" s="59" t="n"/>
      <c r="T13" s="59" t="n"/>
    </row>
    <row r="14">
      <c r="B14" s="18">
        <f>(SUM(B5:B13))</f>
        <v/>
      </c>
      <c r="C14" s="59" t="n"/>
      <c r="D14" s="59">
        <f>(SUM(D5:D13))</f>
        <v/>
      </c>
      <c r="O14" s="59" t="n"/>
      <c r="R14" s="23" t="n"/>
      <c r="S14" s="59" t="n"/>
      <c r="T14" s="59" t="n"/>
    </row>
    <row r="15">
      <c r="R15" s="23" t="n"/>
      <c r="S15" s="59" t="n"/>
      <c r="T15" s="59" t="n"/>
    </row>
    <row r="16">
      <c r="R16" s="23" t="n"/>
      <c r="S16" s="59" t="n"/>
      <c r="T16" s="59" t="n"/>
    </row>
    <row r="17">
      <c r="R17" s="23" t="n"/>
      <c r="S17" s="59" t="n"/>
      <c r="T17" s="59" t="n"/>
    </row>
    <row r="18">
      <c r="R18" s="23" t="n"/>
      <c r="S18" s="59" t="n"/>
      <c r="T18" s="59" t="n"/>
    </row>
    <row r="19">
      <c r="R19" s="23" t="n"/>
      <c r="S19" s="59" t="n"/>
      <c r="T19" s="59" t="n"/>
    </row>
    <row r="20">
      <c r="R20" s="23" t="n"/>
      <c r="S20" s="59" t="n"/>
      <c r="T20" s="59" t="n"/>
    </row>
    <row r="21">
      <c r="R21" s="23" t="n"/>
      <c r="S21" s="59" t="n"/>
      <c r="T21" s="59" t="n"/>
    </row>
    <row r="22">
      <c r="R22" s="23" t="n"/>
      <c r="S22" s="59" t="n"/>
      <c r="T22" s="59" t="n"/>
    </row>
    <row r="23">
      <c r="R23" s="23" t="n"/>
      <c r="S23" s="59" t="n"/>
      <c r="T23" s="59" t="n"/>
    </row>
    <row r="24">
      <c r="R24" s="23" t="n"/>
      <c r="S24" s="59" t="n"/>
      <c r="T24" s="59" t="n"/>
      <c r="V24" s="60" t="n"/>
    </row>
    <row r="26">
      <c r="S26" s="59" t="n"/>
      <c r="T26" s="59" t="n"/>
    </row>
    <row r="27">
      <c r="L27" s="60" t="n"/>
      <c r="M27" s="60" t="n"/>
      <c r="S27" s="59" t="n"/>
      <c r="T27" s="59" t="n"/>
    </row>
    <row r="28">
      <c r="S28" s="59" t="n"/>
      <c r="T28" s="59" t="n"/>
    </row>
    <row r="29">
      <c r="S29" s="59" t="n"/>
      <c r="T29" s="59" t="n"/>
    </row>
    <row r="30">
      <c r="S30" s="59" t="n"/>
      <c r="T30" s="59" t="n"/>
    </row>
    <row r="31">
      <c r="S31" s="59" t="n"/>
      <c r="T31" s="59" t="n"/>
    </row>
    <row r="32">
      <c r="S32" s="59" t="n"/>
      <c r="T32" s="59" t="n"/>
    </row>
    <row r="33">
      <c r="R33" s="23">
        <f>(SUM(R5:R31))</f>
        <v/>
      </c>
      <c r="S33" s="59" t="n"/>
      <c r="T33" s="59">
        <f>(SUM(T5:T31))</f>
        <v/>
      </c>
      <c r="V33" t="inlineStr">
        <is>
          <t>Moy</t>
        </is>
      </c>
      <c r="W33" s="59">
        <f>(T33/R33)</f>
        <v/>
      </c>
    </row>
    <row r="34">
      <c r="S34" s="59" t="n"/>
      <c r="T34" s="59" t="n"/>
    </row>
    <row r="35">
      <c r="S35" s="59" t="n"/>
      <c r="T35" s="59" t="n"/>
    </row>
    <row r="36">
      <c r="S36" s="59" t="n"/>
      <c r="T36" s="59" t="n"/>
    </row>
    <row r="37">
      <c r="S37" s="59" t="n"/>
      <c r="T37" s="59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P11" sqref="P11"/>
    </sheetView>
  </sheetViews>
  <sheetFormatPr baseColWidth="10" defaultColWidth="9.140625" defaultRowHeight="15"/>
  <cols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140625" customWidth="1" style="25" min="18" max="19"/>
    <col width="10.285156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9" t="n">
        <v>12.43865339094237</v>
      </c>
      <c r="M3" t="inlineStr">
        <is>
          <t>Objectif :</t>
        </is>
      </c>
      <c r="N3" s="23">
        <f>(INDEX(N5:N19,MATCH(MAX(O6:O8),O5:O19,0))/0.85)</f>
        <v/>
      </c>
      <c r="O3" s="60">
        <f>(MAX(O6:O8)*0.75)</f>
        <v/>
      </c>
      <c r="P3" s="80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2.52050326</v>
      </c>
      <c r="C5" s="59">
        <f>(D5/B5)</f>
        <v/>
      </c>
      <c r="D5" s="59" t="n">
        <v>12.96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(B5)+B7+B8+B11</f>
        <v/>
      </c>
      <c r="S5" s="59">
        <f>(T5/R5)</f>
        <v/>
      </c>
      <c r="T5" s="59">
        <f>(D5)+(B7)*4.615+(B8)*4.6733+B11*4.7693</f>
        <v/>
      </c>
    </row>
    <row r="6">
      <c r="B6" s="2" t="n">
        <v>0.00237267</v>
      </c>
      <c r="C6" s="62" t="n">
        <v>0</v>
      </c>
      <c r="D6" s="63">
        <f>(B6*C6)</f>
        <v/>
      </c>
      <c r="E6" s="59">
        <f>(B6*J3)</f>
        <v/>
      </c>
      <c r="M6" t="inlineStr">
        <is>
          <t>Objectif</t>
        </is>
      </c>
      <c r="N6" s="23">
        <f>-B7</f>
        <v/>
      </c>
      <c r="O6" s="59">
        <f>P6/N6</f>
        <v/>
      </c>
      <c r="P6" s="59">
        <f>-D7</f>
        <v/>
      </c>
      <c r="Q6" t="inlineStr">
        <is>
          <t>Done</t>
        </is>
      </c>
      <c r="R6" s="2">
        <f>(B6)</f>
        <v/>
      </c>
      <c r="S6" s="62">
        <f>(T6/R6)</f>
        <v/>
      </c>
      <c r="T6" s="63">
        <f>(D6)</f>
        <v/>
      </c>
    </row>
    <row r="7">
      <c r="B7" s="1" t="n">
        <v>-0.442</v>
      </c>
      <c r="C7" s="60">
        <f>D7/B7</f>
        <v/>
      </c>
      <c r="D7" s="59" t="n">
        <v>-2.70607643</v>
      </c>
      <c r="N7" s="23">
        <f>-B8</f>
        <v/>
      </c>
      <c r="O7" s="59">
        <f>P7/N7</f>
        <v/>
      </c>
      <c r="P7" s="59">
        <f>-D8</f>
        <v/>
      </c>
      <c r="Q7" t="inlineStr">
        <is>
          <t>Done</t>
        </is>
      </c>
      <c r="R7" s="1">
        <f>(B7)-B7</f>
        <v/>
      </c>
      <c r="S7" s="59" t="n">
        <v>0</v>
      </c>
      <c r="T7" s="59">
        <f>(D7)-B7*4.615</f>
        <v/>
      </c>
    </row>
    <row r="8">
      <c r="B8" t="n">
        <v>-0.4935</v>
      </c>
      <c r="C8" s="60">
        <f>D8/B8</f>
        <v/>
      </c>
      <c r="D8" s="59" t="n">
        <v>-4.33261604</v>
      </c>
      <c r="N8" s="23">
        <f>-B11</f>
        <v/>
      </c>
      <c r="O8" s="59">
        <f>P8/N8</f>
        <v/>
      </c>
      <c r="P8" s="59">
        <f>-D11</f>
        <v/>
      </c>
      <c r="Q8" t="inlineStr">
        <is>
          <t>Done</t>
        </is>
      </c>
      <c r="R8" s="1">
        <f>(B8)-B8</f>
        <v/>
      </c>
      <c r="S8" s="59" t="n">
        <v>0</v>
      </c>
      <c r="T8" s="59">
        <f>(D8)-B8*4.6733</f>
        <v/>
      </c>
    </row>
    <row r="9">
      <c r="B9" t="n">
        <v>-0.4678</v>
      </c>
      <c r="C9" s="60">
        <f>D9/B9</f>
        <v/>
      </c>
      <c r="D9" s="59" t="n">
        <v>-5.19978057</v>
      </c>
      <c r="N9" s="23">
        <f>B13/2</f>
        <v/>
      </c>
      <c r="O9" s="59">
        <f>($S$5*[1]Params!K11)</f>
        <v/>
      </c>
      <c r="P9" s="59">
        <f>(O9*N9)</f>
        <v/>
      </c>
      <c r="R9" s="1">
        <f>(B9)+B10</f>
        <v/>
      </c>
      <c r="S9" s="59" t="n">
        <v>0</v>
      </c>
      <c r="T9" s="59">
        <f>(D9)+D10</f>
        <v/>
      </c>
      <c r="U9" s="60" t="n"/>
    </row>
    <row r="10">
      <c r="B10" s="1" t="n">
        <v>0.52289021</v>
      </c>
      <c r="C10" s="59">
        <f>(D10/B10)</f>
        <v/>
      </c>
      <c r="D10" s="59" t="n">
        <v>4.91</v>
      </c>
      <c r="R10" s="1">
        <f>B11-B11</f>
        <v/>
      </c>
      <c r="S10" s="59" t="n">
        <v>0</v>
      </c>
      <c r="T10" s="59">
        <f>(D11)-B11*4.7693</f>
        <v/>
      </c>
    </row>
    <row r="11">
      <c r="B11" s="1" t="n">
        <v>-0.53</v>
      </c>
      <c r="C11" s="59">
        <f>(D11/B11)</f>
        <v/>
      </c>
      <c r="D11" s="59">
        <f>-5.68000015</f>
        <v/>
      </c>
      <c r="P11" s="59">
        <f>(SUM(P6:P9))</f>
        <v/>
      </c>
      <c r="R11" s="1" t="n"/>
      <c r="S11" s="59" t="n"/>
      <c r="T11" s="59" t="n"/>
    </row>
    <row r="12">
      <c r="F12" t="inlineStr">
        <is>
          <t>Moy</t>
        </is>
      </c>
      <c r="G12" s="59">
        <f>(D13/B13)</f>
        <v/>
      </c>
      <c r="R12" s="1" t="n"/>
      <c r="S12" s="59" t="n"/>
      <c r="T12" s="59" t="n"/>
    </row>
    <row r="13">
      <c r="B13">
        <f>(SUM(B5:B12))</f>
        <v/>
      </c>
      <c r="D13" s="59">
        <f>(SUM(D5:D12))</f>
        <v/>
      </c>
      <c r="R13" s="1" t="n"/>
      <c r="S13" s="59" t="n"/>
      <c r="T13" s="59" t="n"/>
    </row>
    <row r="14">
      <c r="R14" s="1" t="n"/>
      <c r="S14" s="59" t="n"/>
      <c r="T14" s="60" t="n"/>
    </row>
    <row r="15">
      <c r="P15" s="59" t="n"/>
    </row>
    <row r="16"/>
    <row r="17"/>
    <row r="18"/>
    <row r="19"/>
    <row r="20"/>
    <row r="21"/>
    <row r="22"/>
    <row r="23"/>
    <row r="24"/>
    <row r="25">
      <c r="R25">
        <f>(SUM(R5:R24))</f>
        <v/>
      </c>
      <c r="T25" s="59">
        <f>(SUM(T5:T24))</f>
        <v/>
      </c>
    </row>
  </sheetData>
  <conditionalFormatting sqref="C5 C10 G12 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A77"/>
  <sheetViews>
    <sheetView workbookViewId="0">
      <selection activeCell="G25" sqref="G25"/>
    </sheetView>
  </sheetViews>
  <sheetFormatPr baseColWidth="10" defaultColWidth="9.140625" defaultRowHeight="15"/>
  <cols>
    <col width="11.7109375" bestFit="1" customWidth="1" style="25" min="2" max="2"/>
    <col width="11.5703125" bestFit="1" customWidth="1" style="25" min="3" max="3"/>
    <col width="9.85546875" bestFit="1" customWidth="1" style="25" min="5" max="5"/>
    <col width="11.5703125" bestFit="1" customWidth="1" style="25" min="7" max="7"/>
    <col width="12.42578125" bestFit="1" customWidth="1" style="25" min="9" max="9"/>
    <col width="11.5703125" bestFit="1" customWidth="1" style="25" min="10" max="10"/>
    <col width="9.140625" customWidth="1" style="25" min="12" max="12"/>
    <col width="12" bestFit="1" customWidth="1" style="25" min="14" max="14"/>
    <col width="12.5703125" bestFit="1" customWidth="1" style="25" min="15" max="15"/>
    <col width="11.57031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9" t="n">
        <v>60385.14226992022</v>
      </c>
      <c r="M3" t="inlineStr">
        <is>
          <t>Objectif :</t>
        </is>
      </c>
      <c r="N3">
        <f>(INDEX((N8:N67),MATCH(O3/0.85,O8:O67,0))/0.9)</f>
        <v/>
      </c>
      <c r="O3" s="60">
        <f>(MAX(O8,O16:O18,O48,O24,O32,O40,O56,O64)*0.85)</f>
        <v/>
      </c>
      <c r="P3" s="6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(B39*J3)</f>
        <v/>
      </c>
      <c r="K4" s="4">
        <f>(J4/D39-1)</f>
        <v/>
      </c>
      <c r="L4" s="4" t="n"/>
      <c r="S4" t="inlineStr">
        <is>
          <t>Qty</t>
        </is>
      </c>
      <c r="T4" t="inlineStr">
        <is>
          <t>Price</t>
        </is>
      </c>
      <c r="U4" t="inlineStr">
        <is>
          <t>Total price</t>
        </is>
      </c>
    </row>
    <row r="5">
      <c r="B5" s="23" t="n">
        <v>0.00399983</v>
      </c>
      <c r="C5" s="59" t="n">
        <v>41500</v>
      </c>
      <c r="D5" s="59">
        <f>(B5*C5)</f>
        <v/>
      </c>
      <c r="S5" s="23">
        <f>(B5)</f>
        <v/>
      </c>
      <c r="T5" s="59" t="n">
        <v>41500</v>
      </c>
      <c r="U5" s="59">
        <f>(S5*T5)</f>
        <v/>
      </c>
    </row>
    <row r="6">
      <c r="B6" s="24" t="n">
        <v>0.00035692</v>
      </c>
      <c r="C6" s="62" t="n">
        <v>0</v>
      </c>
      <c r="D6" s="63">
        <f>(B6*C6)</f>
        <v/>
      </c>
      <c r="E6" s="59">
        <f>(B6*J3)</f>
        <v/>
      </c>
      <c r="I6" t="inlineStr">
        <is>
          <t>Objectif</t>
        </is>
      </c>
      <c r="J6" t="n">
        <v>0.035</v>
      </c>
      <c r="S6" s="23">
        <f>(B6)</f>
        <v/>
      </c>
      <c r="T6" s="59" t="n">
        <v>0</v>
      </c>
      <c r="U6" s="59">
        <f>(S6*T6)</f>
        <v/>
      </c>
    </row>
    <row r="7">
      <c r="B7" s="23" t="n">
        <v>0.00051073</v>
      </c>
      <c r="C7" s="59">
        <f>D7/B7</f>
        <v/>
      </c>
      <c r="D7" s="59" t="n">
        <v>15.6</v>
      </c>
      <c r="I7" t="inlineStr">
        <is>
          <t>Difference</t>
        </is>
      </c>
      <c r="J7" s="66">
        <f>(J6-B39)</f>
        <v/>
      </c>
      <c r="N7" t="inlineStr">
        <is>
          <t>Qty to Buy</t>
        </is>
      </c>
      <c r="O7" t="inlineStr">
        <is>
          <t>Token Price</t>
        </is>
      </c>
      <c r="P7" t="inlineStr">
        <is>
          <t>Value</t>
        </is>
      </c>
      <c r="S7" s="23">
        <f>(B7)</f>
        <v/>
      </c>
      <c r="T7" s="59">
        <f>(U7/S7)</f>
        <v/>
      </c>
      <c r="U7" s="59" t="inlineStr">
        <is>
          <t>15.6</t>
        </is>
      </c>
    </row>
    <row r="8">
      <c r="B8" s="23" t="n">
        <v>0.00491083</v>
      </c>
      <c r="C8" s="59">
        <f>D8/B8</f>
        <v/>
      </c>
      <c r="D8" s="59" t="n">
        <v>105</v>
      </c>
      <c r="I8" t="inlineStr">
        <is>
          <t>Diff in $</t>
        </is>
      </c>
      <c r="J8" s="65">
        <f>(J7*J3)</f>
        <v/>
      </c>
      <c r="M8" t="inlineStr">
        <is>
          <t>Objectif</t>
        </is>
      </c>
      <c r="N8">
        <f>($B$16/5)</f>
        <v/>
      </c>
      <c r="O8" s="59">
        <f>(C26)</f>
        <v/>
      </c>
      <c r="P8" s="65">
        <f>(O8*N8)</f>
        <v/>
      </c>
      <c r="Q8" t="inlineStr">
        <is>
          <t>Done</t>
        </is>
      </c>
      <c r="S8" s="23">
        <f>(B8)</f>
        <v/>
      </c>
      <c r="T8" s="59">
        <f>(U8/S8)</f>
        <v/>
      </c>
      <c r="U8" s="59" t="inlineStr">
        <is>
          <t>105</t>
        </is>
      </c>
    </row>
    <row r="9">
      <c r="B9" s="23" t="n">
        <v>0.002</v>
      </c>
      <c r="C9" s="59">
        <f>D9/B9</f>
        <v/>
      </c>
      <c r="D9" s="59" t="n">
        <v>43.5</v>
      </c>
      <c r="N9">
        <f>($B$16/5)</f>
        <v/>
      </c>
      <c r="O9" s="59">
        <f>($C$16*[1]Params!K16)</f>
        <v/>
      </c>
      <c r="P9" s="65">
        <f>(O9*N9)</f>
        <v/>
      </c>
      <c r="S9" s="23">
        <f>(B9)</f>
        <v/>
      </c>
      <c r="T9" s="59">
        <f>(U9/S9)</f>
        <v/>
      </c>
      <c r="U9" s="59" t="inlineStr">
        <is>
          <t>43.5</t>
        </is>
      </c>
    </row>
    <row r="10">
      <c r="B10" s="23" t="n">
        <v>0.0007</v>
      </c>
      <c r="C10" s="59" t="n">
        <v>20458</v>
      </c>
      <c r="D10" s="59">
        <f>(C10*B10)</f>
        <v/>
      </c>
      <c r="N10">
        <f>($B$16/5)</f>
        <v/>
      </c>
      <c r="O10" s="59">
        <f>($C$16*[1]Params!K17)</f>
        <v/>
      </c>
      <c r="P10" s="65">
        <f>(O10*N10)</f>
        <v/>
      </c>
      <c r="S10" s="23">
        <f>(B10)</f>
        <v/>
      </c>
      <c r="T10" s="59" t="n">
        <v>20458</v>
      </c>
      <c r="U10" s="59">
        <f>(T10*S10)</f>
        <v/>
      </c>
    </row>
    <row r="11">
      <c r="B11" s="23" t="n">
        <v>0.00051</v>
      </c>
      <c r="C11" s="59" t="n">
        <v>19873.31</v>
      </c>
      <c r="D11" s="59">
        <f>(C11*B11)</f>
        <v/>
      </c>
      <c r="N11">
        <f>($B$16/5)</f>
        <v/>
      </c>
      <c r="O11" s="59">
        <f>($C$16*[1]Params!K18)</f>
        <v/>
      </c>
      <c r="P11" s="65">
        <f>(O11*N11)</f>
        <v/>
      </c>
      <c r="S11" s="23">
        <f>(B12)</f>
        <v/>
      </c>
      <c r="T11" s="59" t="n">
        <v>19169.31</v>
      </c>
      <c r="U11" s="59">
        <f>(T11*S11)</f>
        <v/>
      </c>
    </row>
    <row r="12">
      <c r="B12" s="23" t="n">
        <v>0.0006400000000000001</v>
      </c>
      <c r="C12" s="59" t="n">
        <v>19169.31</v>
      </c>
      <c r="D12" s="59">
        <f>(C12*B12)</f>
        <v/>
      </c>
      <c r="S12" s="23">
        <f>(B13+B11+B14)</f>
        <v/>
      </c>
      <c r="T12" s="59">
        <f>(U12/S12)</f>
        <v/>
      </c>
      <c r="U12" s="59">
        <f>(D13+D11+D14)</f>
        <v/>
      </c>
    </row>
    <row r="13">
      <c r="B13" s="23" t="n">
        <v>-0.0005</v>
      </c>
      <c r="C13" s="59" t="n">
        <v>20709.08</v>
      </c>
      <c r="D13" s="59">
        <f>(C13*B13)</f>
        <v/>
      </c>
      <c r="P13" s="65">
        <f>(SUM(P8:P11))</f>
        <v/>
      </c>
      <c r="S13" s="23">
        <f>(B15)</f>
        <v/>
      </c>
      <c r="T13" s="59" t="n">
        <v>18969</v>
      </c>
      <c r="U13" s="59">
        <f>(T13*S13)</f>
        <v/>
      </c>
    </row>
    <row r="14">
      <c r="B14" s="23" t="n">
        <v>0.00054</v>
      </c>
      <c r="C14" s="59" t="n">
        <v>19000</v>
      </c>
      <c r="D14" s="59">
        <f>(C14*B14)</f>
        <v/>
      </c>
      <c r="S14" s="23">
        <f>(B16+B26)</f>
        <v/>
      </c>
      <c r="T14" s="59">
        <f>(U14/S14)</f>
        <v/>
      </c>
      <c r="U14" s="59">
        <f>(D16+D26)</f>
        <v/>
      </c>
    </row>
    <row r="15">
      <c r="B15" s="23" t="n">
        <v>0.00258</v>
      </c>
      <c r="C15" s="59" t="n">
        <v>18969</v>
      </c>
      <c r="D15" s="59">
        <f>(C15*B15)</f>
        <v/>
      </c>
      <c r="N15" t="inlineStr">
        <is>
          <t>Qty to Buy</t>
        </is>
      </c>
      <c r="O15" t="inlineStr">
        <is>
          <t>Token Price</t>
        </is>
      </c>
      <c r="P15" t="inlineStr">
        <is>
          <t>Value</t>
        </is>
      </c>
      <c r="S15" s="23">
        <f>(B17+B18+B21+B33)</f>
        <v/>
      </c>
      <c r="T15" s="59">
        <f>(U15/S15)</f>
        <v/>
      </c>
      <c r="U15" s="59">
        <f>(D17+D18+D21+D33)</f>
        <v/>
      </c>
    </row>
    <row r="16">
      <c r="B16" s="23" t="n">
        <v>0.00168</v>
      </c>
      <c r="C16" s="59" t="n">
        <v>16620.02</v>
      </c>
      <c r="D16" s="59">
        <f>(C16*B16)</f>
        <v/>
      </c>
      <c r="M16" t="inlineStr">
        <is>
          <t>Objectif</t>
        </is>
      </c>
      <c r="N16">
        <f>($B$17/5)</f>
        <v/>
      </c>
      <c r="O16" s="59">
        <f>(C18)</f>
        <v/>
      </c>
      <c r="P16" s="65">
        <f>(O16*N16)</f>
        <v/>
      </c>
      <c r="Q16" t="inlineStr">
        <is>
          <t>Done</t>
        </is>
      </c>
      <c r="S16" s="23">
        <f>(B19+B27)</f>
        <v/>
      </c>
      <c r="T16" s="59">
        <f>(U16/S16)</f>
        <v/>
      </c>
      <c r="U16" s="59">
        <f>(D19+D27)</f>
        <v/>
      </c>
    </row>
    <row r="17">
      <c r="B17" s="23" t="n">
        <v>0.00092134</v>
      </c>
      <c r="C17" s="59">
        <f>(D17/B17)</f>
        <v/>
      </c>
      <c r="D17" s="59" t="n">
        <v>10.36</v>
      </c>
      <c r="N17">
        <f>($B$17/5)</f>
        <v/>
      </c>
      <c r="O17" s="59">
        <f>(C21)</f>
        <v/>
      </c>
      <c r="P17" s="65">
        <f>(O17*N17)</f>
        <v/>
      </c>
      <c r="Q17" t="inlineStr">
        <is>
          <t>Done</t>
        </is>
      </c>
      <c r="S17" s="23">
        <f>(B20+B28)</f>
        <v/>
      </c>
      <c r="T17" s="59">
        <f>(U17/S17)</f>
        <v/>
      </c>
      <c r="U17" s="59">
        <f>(D20+D28)</f>
        <v/>
      </c>
    </row>
    <row r="18">
      <c r="B18" s="23" t="n">
        <v>-0.00018</v>
      </c>
      <c r="C18" s="59">
        <f>(D18/B18)</f>
        <v/>
      </c>
      <c r="D18" s="59">
        <f>(-2.96)</f>
        <v/>
      </c>
      <c r="N18">
        <f>($B$17/5)</f>
        <v/>
      </c>
      <c r="O18" s="59">
        <f>(C33)</f>
        <v/>
      </c>
      <c r="P18" s="65">
        <f>(O18*N18)</f>
        <v/>
      </c>
      <c r="Q18" t="inlineStr">
        <is>
          <t>Done</t>
        </is>
      </c>
      <c r="S18" s="23">
        <f>(B22+B27)</f>
        <v/>
      </c>
      <c r="T18" s="59">
        <f>(U18/S18)</f>
        <v/>
      </c>
      <c r="U18" s="59">
        <f>(D22+D29)</f>
        <v/>
      </c>
    </row>
    <row r="19">
      <c r="B19" s="23" t="n">
        <v>0.000599999999999999</v>
      </c>
      <c r="C19" s="59">
        <f>(D19/B19)</f>
        <v/>
      </c>
      <c r="D19" s="59" t="n">
        <v>10.02</v>
      </c>
      <c r="F19" s="23" t="n"/>
      <c r="I19" s="60" t="n"/>
      <c r="N19">
        <f>($B$17/5)</f>
        <v/>
      </c>
      <c r="O19" s="59">
        <f>($C$17*[1]Params!K18)</f>
        <v/>
      </c>
      <c r="P19" s="65">
        <f>(O19*N19)</f>
        <v/>
      </c>
      <c r="S19" s="23">
        <f>(B23+B32)</f>
        <v/>
      </c>
      <c r="T19" s="59">
        <f>(U19/S19)</f>
        <v/>
      </c>
      <c r="U19" s="59">
        <f>(D23+17438.6*B32)</f>
        <v/>
      </c>
      <c r="V19" t="inlineStr">
        <is>
          <t>DCA1</t>
        </is>
      </c>
    </row>
    <row r="20">
      <c r="B20" s="23" t="n">
        <v>0.0009133</v>
      </c>
      <c r="C20" s="59">
        <f>(D20/B20)</f>
        <v/>
      </c>
      <c r="D20" s="59" t="n">
        <v>15.6</v>
      </c>
      <c r="S20" s="23">
        <f>(B24+B31)</f>
        <v/>
      </c>
      <c r="T20" s="59">
        <f>(U20/S20)</f>
        <v/>
      </c>
      <c r="U20" s="59">
        <f>(D24+17211.7*B31)</f>
        <v/>
      </c>
      <c r="V20" t="inlineStr">
        <is>
          <t>DCA2</t>
        </is>
      </c>
    </row>
    <row r="21">
      <c r="B21" s="23" t="n">
        <v>-0.000184</v>
      </c>
      <c r="C21" s="59">
        <f>(D21/B21)</f>
        <v/>
      </c>
      <c r="D21" s="59" t="n">
        <v>-3.15</v>
      </c>
      <c r="P21" s="65">
        <f>(SUM(P16:P19))</f>
        <v/>
      </c>
      <c r="S21" s="23">
        <f>(B25+B30)</f>
        <v/>
      </c>
      <c r="T21" s="59">
        <f>(U21/S21)</f>
        <v/>
      </c>
      <c r="U21" s="59">
        <f>(D25+D30)</f>
        <v/>
      </c>
    </row>
    <row r="22">
      <c r="B22" s="23" t="n">
        <v>0.00058</v>
      </c>
      <c r="C22" s="59">
        <f>(D22/B22)</f>
        <v/>
      </c>
      <c r="D22" s="59" t="n">
        <v>9.880000000000001</v>
      </c>
      <c r="S22" s="23">
        <f>(B31-B31)</f>
        <v/>
      </c>
      <c r="T22" s="59" t="n">
        <v>0</v>
      </c>
      <c r="U22" s="59">
        <f>(17211.7*-B31+D31)</f>
        <v/>
      </c>
      <c r="V22" t="inlineStr">
        <is>
          <t>DCA2 1/5</t>
        </is>
      </c>
    </row>
    <row r="23">
      <c r="B23" s="23" t="n">
        <v>0.00763535</v>
      </c>
      <c r="C23" s="59">
        <f>(D23/B23)</f>
        <v/>
      </c>
      <c r="D23" s="59" t="n">
        <v>200.25</v>
      </c>
      <c r="E23" t="inlineStr">
        <is>
          <t>DCA1</t>
        </is>
      </c>
      <c r="N23" t="inlineStr">
        <is>
          <t>Qty to Buy</t>
        </is>
      </c>
      <c r="O23" t="inlineStr">
        <is>
          <t>Token Price</t>
        </is>
      </c>
      <c r="P23" t="inlineStr">
        <is>
          <t>Value</t>
        </is>
      </c>
      <c r="S23" s="23">
        <f>(B32-B32)</f>
        <v/>
      </c>
      <c r="T23" s="59" t="n">
        <v>0</v>
      </c>
      <c r="U23" s="59">
        <f>(17438.6*-B32+D32)</f>
        <v/>
      </c>
      <c r="V23" t="inlineStr">
        <is>
          <t>DCA1 1/5</t>
        </is>
      </c>
    </row>
    <row r="24">
      <c r="B24" s="23" t="n">
        <v>0.00167938</v>
      </c>
      <c r="C24" s="59">
        <f>(D24/B24)</f>
        <v/>
      </c>
      <c r="D24" s="59" t="n">
        <v>45.7</v>
      </c>
      <c r="E24" t="inlineStr">
        <is>
          <t>DCA2</t>
        </is>
      </c>
      <c r="M24" t="inlineStr">
        <is>
          <t>Objectif</t>
        </is>
      </c>
      <c r="N24">
        <f>($B$19/5)</f>
        <v/>
      </c>
      <c r="O24" s="59">
        <f>(C27)</f>
        <v/>
      </c>
      <c r="P24" s="65">
        <f>(O24*N24)</f>
        <v/>
      </c>
      <c r="Q24" t="inlineStr">
        <is>
          <t>Done</t>
        </is>
      </c>
      <c r="S24" s="23">
        <f>(B34)</f>
        <v/>
      </c>
      <c r="T24" s="59">
        <f>(U24/S24)</f>
        <v/>
      </c>
      <c r="U24" s="59">
        <f>(D34)</f>
        <v/>
      </c>
      <c r="V24" t="inlineStr">
        <is>
          <t>DCA3</t>
        </is>
      </c>
    </row>
    <row r="25">
      <c r="B25" s="23" t="n">
        <v>2.97e-05</v>
      </c>
      <c r="C25" s="59">
        <f>(D25/B25)</f>
        <v/>
      </c>
      <c r="D25" s="59" t="n">
        <v>0.5</v>
      </c>
      <c r="N25">
        <f>($B$19/5)</f>
        <v/>
      </c>
      <c r="O25" s="59">
        <f>($C$19*[1]Params!K16)</f>
        <v/>
      </c>
      <c r="P25" s="65">
        <f>(O25*N25)</f>
        <v/>
      </c>
    </row>
    <row r="26">
      <c r="B26" s="23" t="n">
        <v>-0.000336</v>
      </c>
      <c r="C26" s="59">
        <f>(D26/B26)</f>
        <v/>
      </c>
      <c r="D26" s="59">
        <f>(-7.04895293)</f>
        <v/>
      </c>
      <c r="N26">
        <f>($B$19/5)</f>
        <v/>
      </c>
      <c r="O26" s="59">
        <f>($C$19*[1]Params!K17)</f>
        <v/>
      </c>
      <c r="P26" s="65">
        <f>(O26*N26)</f>
        <v/>
      </c>
    </row>
    <row r="27">
      <c r="B27" s="23" t="n">
        <v>-0.00012</v>
      </c>
      <c r="C27" s="59" t="n">
        <v>20900</v>
      </c>
      <c r="D27" s="59">
        <f>(C27*B27)</f>
        <v/>
      </c>
      <c r="N27">
        <f>($B$19/5)</f>
        <v/>
      </c>
      <c r="O27" s="59">
        <f>($C$19*[1]Params!K18)</f>
        <v/>
      </c>
      <c r="P27" s="65">
        <f>(O27*N27)</f>
        <v/>
      </c>
    </row>
    <row r="28">
      <c r="B28" s="23" t="n">
        <v>-0.00018</v>
      </c>
      <c r="C28" s="59" t="n">
        <v>21355</v>
      </c>
      <c r="D28" s="59">
        <f>(B28*C28)</f>
        <v/>
      </c>
    </row>
    <row r="29">
      <c r="B29" s="23" t="n">
        <v>-0.00012</v>
      </c>
      <c r="C29" s="59" t="n">
        <v>21355</v>
      </c>
      <c r="D29" s="59">
        <f>(C29*B29)</f>
        <v/>
      </c>
      <c r="P29" s="65">
        <f>(SUM(P24:P27))</f>
        <v/>
      </c>
    </row>
    <row r="30">
      <c r="B30" s="23">
        <f>(-N64)</f>
        <v/>
      </c>
      <c r="C30" s="59" t="n">
        <v>21560</v>
      </c>
      <c r="D30" s="59">
        <f>(C30*B30)</f>
        <v/>
      </c>
    </row>
    <row r="31">
      <c r="B31" s="23">
        <f>(-0.000058-B30)</f>
        <v/>
      </c>
      <c r="C31" s="59" t="n">
        <v>21560</v>
      </c>
      <c r="D31" s="59">
        <f>(C31*B31)</f>
        <v/>
      </c>
      <c r="N31" t="inlineStr">
        <is>
          <t>Qty to Buy</t>
        </is>
      </c>
      <c r="O31" t="inlineStr">
        <is>
          <t>Token Price</t>
        </is>
      </c>
      <c r="P31" t="inlineStr">
        <is>
          <t>Value</t>
        </is>
      </c>
      <c r="AA31" s="60" t="n"/>
    </row>
    <row r="32">
      <c r="B32" s="23" t="n">
        <v>-0.000342</v>
      </c>
      <c r="C32" s="59">
        <f>(D32/B32)</f>
        <v/>
      </c>
      <c r="D32" s="59" t="n">
        <v>-7.4556</v>
      </c>
      <c r="M32" t="inlineStr">
        <is>
          <t>Objectif</t>
        </is>
      </c>
      <c r="N32">
        <f>($B$20/5)</f>
        <v/>
      </c>
      <c r="O32" s="59">
        <f>(C28)</f>
        <v/>
      </c>
      <c r="P32" s="65">
        <f>(O32*N32)</f>
        <v/>
      </c>
      <c r="Q32" t="inlineStr">
        <is>
          <t>Done</t>
        </is>
      </c>
      <c r="AA32" s="60" t="n"/>
    </row>
    <row r="33">
      <c r="B33" s="23">
        <f>(-0.000184)</f>
        <v/>
      </c>
      <c r="C33" s="59">
        <f>(D33/B33)</f>
        <v/>
      </c>
      <c r="D33" s="59">
        <f>(-4.215072)</f>
        <v/>
      </c>
      <c r="N33">
        <f>($B$20/5)</f>
        <v/>
      </c>
      <c r="O33" s="59">
        <f>($C$20*[1]Params!K16)</f>
        <v/>
      </c>
      <c r="P33" s="65">
        <f>(O33*N33)</f>
        <v/>
      </c>
    </row>
    <row r="34">
      <c r="B34" s="23" t="n">
        <v>0.00217207</v>
      </c>
      <c r="C34" s="59">
        <f>(D34/B34)</f>
        <v/>
      </c>
      <c r="D34" s="59" t="n">
        <v>66.34999999999999</v>
      </c>
      <c r="E34" t="inlineStr">
        <is>
          <t>DCA3</t>
        </is>
      </c>
      <c r="N34">
        <f>($B$20/5)</f>
        <v/>
      </c>
      <c r="O34" s="59">
        <f>($C$20*[1]Params!K17)</f>
        <v/>
      </c>
      <c r="P34" s="65">
        <f>(O34*N34)</f>
        <v/>
      </c>
    </row>
    <row r="35">
      <c r="B35" s="23">
        <f>0.00073-0.00000073</f>
        <v/>
      </c>
      <c r="C35" s="59">
        <f>(D35/B35)</f>
        <v/>
      </c>
      <c r="D35" s="59" t="n">
        <v>19.978567</v>
      </c>
      <c r="N35">
        <f>($B$20/5)</f>
        <v/>
      </c>
      <c r="O35" s="59">
        <f>($C$20*[1]Params!K18)</f>
        <v/>
      </c>
      <c r="P35" s="65">
        <f>(O35*N35)</f>
        <v/>
      </c>
    </row>
    <row r="36">
      <c r="B36" s="23">
        <f>-0.00108507+0.0012102/1.001</f>
        <v/>
      </c>
      <c r="C36" s="59" t="n">
        <v>0</v>
      </c>
      <c r="D36" s="59">
        <f>C36*B36</f>
        <v/>
      </c>
      <c r="E36" s="60" t="inlineStr">
        <is>
          <t>ETH/BTC</t>
        </is>
      </c>
    </row>
    <row r="37">
      <c r="B37" s="23" t="n">
        <v>-0.005</v>
      </c>
      <c r="C37" s="59" t="n">
        <v>0</v>
      </c>
      <c r="D37" s="59" t="n">
        <v>0</v>
      </c>
      <c r="E37" s="60" t="inlineStr">
        <is>
          <t>ETH/BTC</t>
        </is>
      </c>
      <c r="F37" t="n">
        <v>0.5298</v>
      </c>
      <c r="P37" s="65">
        <f>(SUM(P32:P35))</f>
        <v/>
      </c>
    </row>
    <row r="38">
      <c r="F38" t="inlineStr">
        <is>
          <t>Moy</t>
        </is>
      </c>
      <c r="G38" s="60">
        <f>(D39/B39)</f>
        <v/>
      </c>
      <c r="S38">
        <f>(SUM(S5:S25))</f>
        <v/>
      </c>
      <c r="U38" s="59">
        <f>(SUM(U5:U25))</f>
        <v/>
      </c>
    </row>
    <row r="39">
      <c r="B39" s="23">
        <f>(SUM(B5:B38))</f>
        <v/>
      </c>
      <c r="D39" s="59">
        <f>(SUM(D5:D38))</f>
        <v/>
      </c>
      <c r="N39" t="inlineStr">
        <is>
          <t>Qty to Buy</t>
        </is>
      </c>
      <c r="O39" t="inlineStr">
        <is>
          <t>Token Price</t>
        </is>
      </c>
      <c r="P39" t="inlineStr">
        <is>
          <t>Value</t>
        </is>
      </c>
    </row>
    <row r="40">
      <c r="M40" t="inlineStr">
        <is>
          <t>Objectif</t>
        </is>
      </c>
      <c r="N40">
        <f>(-B29)</f>
        <v/>
      </c>
      <c r="O40" s="59">
        <f>(C29)</f>
        <v/>
      </c>
      <c r="P40" s="65">
        <f>(O40*N40)</f>
        <v/>
      </c>
      <c r="Q40" t="inlineStr">
        <is>
          <t>Done</t>
        </is>
      </c>
    </row>
    <row r="41">
      <c r="N41">
        <f>($B$22/5)</f>
        <v/>
      </c>
      <c r="O41" s="59">
        <f>($C$22*[1]Params!K16)</f>
        <v/>
      </c>
      <c r="P41" s="65">
        <f>(O41*N41)</f>
        <v/>
      </c>
    </row>
    <row r="42">
      <c r="N42">
        <f>($B$22/5)</f>
        <v/>
      </c>
      <c r="O42" s="59">
        <f>($C$22*[1]Params!K17)</f>
        <v/>
      </c>
      <c r="P42" s="65">
        <f>(O42*N42)</f>
        <v/>
      </c>
    </row>
    <row r="43">
      <c r="N43">
        <f>($B$22/5)</f>
        <v/>
      </c>
      <c r="O43" s="59">
        <f>($C$22*[1]Params!K18)</f>
        <v/>
      </c>
      <c r="P43" s="65">
        <f>(O43*N43)</f>
        <v/>
      </c>
    </row>
    <row r="44"/>
    <row r="45">
      <c r="P45" s="65">
        <f>(SUM(P40:P43))</f>
        <v/>
      </c>
    </row>
    <row r="46"/>
    <row r="47">
      <c r="M47" t="inlineStr">
        <is>
          <t>DCA1</t>
        </is>
      </c>
      <c r="N47" t="inlineStr">
        <is>
          <t>Qty to Buy</t>
        </is>
      </c>
      <c r="O47" t="inlineStr">
        <is>
          <t>Token Price</t>
        </is>
      </c>
      <c r="P47" t="inlineStr">
        <is>
          <t>Value</t>
        </is>
      </c>
    </row>
    <row r="48">
      <c r="M48" t="inlineStr">
        <is>
          <t>Objectif</t>
        </is>
      </c>
      <c r="N48">
        <f>(-B32)</f>
        <v/>
      </c>
      <c r="O48" s="59">
        <f>(C32)</f>
        <v/>
      </c>
      <c r="P48" s="65">
        <f>(O48*N48)</f>
        <v/>
      </c>
      <c r="Q48" t="inlineStr">
        <is>
          <t>Done</t>
        </is>
      </c>
    </row>
    <row r="49">
      <c r="N49">
        <f>(2*($S$19+N48)/5-N48)</f>
        <v/>
      </c>
      <c r="O49" s="59">
        <f>($T$19*[1]Params!K16)</f>
        <v/>
      </c>
      <c r="P49" s="65">
        <f>(O49*N49)</f>
        <v/>
      </c>
    </row>
    <row r="50">
      <c r="N50">
        <f>($B$23/5)</f>
        <v/>
      </c>
      <c r="O50" s="59">
        <f>($T$19*[1]Params!K17)</f>
        <v/>
      </c>
      <c r="P50" s="65">
        <f>(O50*N50)</f>
        <v/>
      </c>
    </row>
    <row r="51">
      <c r="N51">
        <f>($B$23/5)</f>
        <v/>
      </c>
      <c r="O51" s="59">
        <f>($T$19*[1]Params!K18)</f>
        <v/>
      </c>
      <c r="P51" s="65">
        <f>(O51*N51)</f>
        <v/>
      </c>
    </row>
    <row r="52"/>
    <row r="53">
      <c r="P53" s="65">
        <f>(SUM(P48:P51))</f>
        <v/>
      </c>
    </row>
    <row r="54"/>
    <row r="55">
      <c r="M55" t="inlineStr">
        <is>
          <t>DCA2</t>
        </is>
      </c>
      <c r="N55" t="inlineStr">
        <is>
          <t>Qty to Buy</t>
        </is>
      </c>
      <c r="O55" t="inlineStr">
        <is>
          <t>Token Price</t>
        </is>
      </c>
      <c r="P55" t="inlineStr">
        <is>
          <t>Value</t>
        </is>
      </c>
    </row>
    <row r="56">
      <c r="M56" t="inlineStr">
        <is>
          <t>Objectif</t>
        </is>
      </c>
      <c r="N56">
        <f>(-B31)</f>
        <v/>
      </c>
      <c r="O56" s="59">
        <f>(C31)</f>
        <v/>
      </c>
      <c r="P56" s="65">
        <f>(O56*N56)</f>
        <v/>
      </c>
      <c r="Q56" t="inlineStr">
        <is>
          <t>Done</t>
        </is>
      </c>
    </row>
    <row r="57">
      <c r="N57">
        <f>(2*($S$20+N56)/5-N56)</f>
        <v/>
      </c>
      <c r="O57" s="59">
        <f>($T$20*[1]Params!K16)</f>
        <v/>
      </c>
      <c r="P57" s="65">
        <f>(O57*N57)</f>
        <v/>
      </c>
    </row>
    <row r="58">
      <c r="N58">
        <f>($B$24/5)</f>
        <v/>
      </c>
      <c r="O58" s="59">
        <f>($T$20*[1]Params!K17)</f>
        <v/>
      </c>
      <c r="P58" s="65">
        <f>(O58*N58)</f>
        <v/>
      </c>
    </row>
    <row r="59">
      <c r="N59">
        <f>($B$24/5)</f>
        <v/>
      </c>
      <c r="O59" s="59">
        <f>($T$20*[1]Params!K18)</f>
        <v/>
      </c>
      <c r="P59" s="65">
        <f>(O59*N59)</f>
        <v/>
      </c>
    </row>
    <row r="60"/>
    <row r="61">
      <c r="P61" s="65">
        <f>(SUM(P56:P59))</f>
        <v/>
      </c>
    </row>
    <row r="62"/>
    <row r="63"/>
    <row r="64">
      <c r="O64" s="59" t="n"/>
      <c r="P64" s="65" t="n"/>
    </row>
    <row r="65">
      <c r="O65" s="59" t="n"/>
      <c r="P65" s="65" t="n"/>
    </row>
    <row r="66">
      <c r="O66" s="59" t="n"/>
      <c r="P66" s="65" t="n"/>
    </row>
    <row r="67">
      <c r="O67" s="59" t="n"/>
      <c r="P67" s="65" t="n"/>
    </row>
    <row r="68"/>
    <row r="69">
      <c r="P69" s="65" t="n"/>
    </row>
    <row r="70"/>
    <row r="71">
      <c r="M71" t="inlineStr">
        <is>
          <t>DCA 3</t>
        </is>
      </c>
      <c r="N71" t="inlineStr">
        <is>
          <t>Qty to Buy</t>
        </is>
      </c>
      <c r="O71" t="inlineStr">
        <is>
          <t>Token Price</t>
        </is>
      </c>
      <c r="P71" t="inlineStr">
        <is>
          <t>Value</t>
        </is>
      </c>
    </row>
    <row r="72">
      <c r="M72" t="inlineStr">
        <is>
          <t>Objectif</t>
        </is>
      </c>
      <c r="N72">
        <f>($S$24/5)</f>
        <v/>
      </c>
      <c r="O72" s="59">
        <f>($T$24*[1]Params!K15)</f>
        <v/>
      </c>
      <c r="P72" s="65">
        <f>(O72*N72)</f>
        <v/>
      </c>
    </row>
    <row r="73">
      <c r="N73">
        <f>($S$24/5)</f>
        <v/>
      </c>
      <c r="O73" s="59">
        <f>($T$24*[1]Params!K16)</f>
        <v/>
      </c>
      <c r="P73" s="65">
        <f>(O73*N73)</f>
        <v/>
      </c>
    </row>
    <row r="74">
      <c r="N74">
        <f>($S$24/5)</f>
        <v/>
      </c>
      <c r="O74" s="59">
        <f>($T$24*[1]Params!K17)</f>
        <v/>
      </c>
      <c r="P74" s="65">
        <f>(O74*N74)</f>
        <v/>
      </c>
    </row>
    <row r="75">
      <c r="N75">
        <f>($S$24/5)</f>
        <v/>
      </c>
      <c r="O75" s="59">
        <f>($T$24*[1]Params!K18)</f>
        <v/>
      </c>
      <c r="P75" s="65">
        <f>(O75*N75)</f>
        <v/>
      </c>
    </row>
    <row r="76"/>
    <row r="77">
      <c r="P77" s="65">
        <f>(SUM(P72:P75))</f>
        <v/>
      </c>
    </row>
  </sheetData>
  <conditionalFormatting sqref="C5 C7:C17 C19:C20 C22:C25 C34:C35 G38 O9:O11 O19 O25:O27 O33:O35 O41:O43 O49:O51 O57:O59 O65:O67 O72:O75 T5 T7:T21 T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25" min="2" max="2"/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3">
      <c r="I3" t="inlineStr">
        <is>
          <t>Actual Price :</t>
        </is>
      </c>
      <c r="J3" s="59" t="n">
        <v>0.8108283011692669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(B10*J3)</f>
        <v/>
      </c>
      <c r="K4" s="4">
        <f>(J4/D10-1)</f>
        <v/>
      </c>
    </row>
    <row r="5">
      <c r="B5" s="70" t="n">
        <v>2.924319</v>
      </c>
      <c r="C5" s="59">
        <f>(D5/B5)</f>
        <v/>
      </c>
      <c r="D5" s="59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3" t="n"/>
      <c r="C6" s="59" t="n"/>
      <c r="D6" s="59" t="n"/>
      <c r="M6" t="inlineStr">
        <is>
          <t>Objectif</t>
        </is>
      </c>
      <c r="N6" s="23">
        <f>($B$5/5)</f>
        <v/>
      </c>
      <c r="O6" s="59">
        <f>($C$5*[1]Params!K8)</f>
        <v/>
      </c>
      <c r="P6" s="59">
        <f>(O6*N6)</f>
        <v/>
      </c>
    </row>
    <row r="7">
      <c r="B7" s="23" t="n"/>
      <c r="C7" s="59" t="n"/>
      <c r="D7" s="59" t="n"/>
      <c r="N7" s="23">
        <f>($B$5/5)</f>
        <v/>
      </c>
      <c r="O7" s="59">
        <f>($C$5*[1]Params!K9)</f>
        <v/>
      </c>
      <c r="P7" s="59">
        <f>(O7*N7)</f>
        <v/>
      </c>
    </row>
    <row r="8">
      <c r="B8" s="23" t="n"/>
      <c r="C8" s="59" t="n"/>
      <c r="D8" s="59" t="n"/>
      <c r="N8" s="23">
        <f>($B$5/5)</f>
        <v/>
      </c>
      <c r="O8" s="59">
        <f>($C$5*[1]Params!K10)</f>
        <v/>
      </c>
      <c r="P8" s="59">
        <f>(O8*N8)</f>
        <v/>
      </c>
    </row>
    <row r="9">
      <c r="B9" s="23" t="n"/>
      <c r="C9" s="59" t="n"/>
      <c r="D9" s="59" t="n"/>
      <c r="F9" t="inlineStr">
        <is>
          <t>Moy</t>
        </is>
      </c>
      <c r="G9" s="59">
        <f>(D10/B10)</f>
        <v/>
      </c>
      <c r="H9" s="59" t="n"/>
      <c r="N9" s="23">
        <f>($B$5/5)</f>
        <v/>
      </c>
      <c r="O9" s="59">
        <f>($C$5*[1]Params!K11)</f>
        <v/>
      </c>
      <c r="P9" s="59">
        <f>(O9*N9)</f>
        <v/>
      </c>
    </row>
    <row r="10">
      <c r="B10" s="70">
        <f>(SUM(B5:B9))</f>
        <v/>
      </c>
      <c r="C10" s="59" t="n"/>
      <c r="D10" s="59">
        <f>(SUM(D5:D9))</f>
        <v/>
      </c>
      <c r="O10" s="59" t="n"/>
      <c r="P10" s="59" t="n"/>
    </row>
    <row r="11">
      <c r="C11" s="59" t="n"/>
      <c r="D11" s="59" t="n"/>
      <c r="O11" s="59" t="n"/>
      <c r="P11" s="59">
        <f>(SUM(P6:P9))</f>
        <v/>
      </c>
    </row>
    <row r="12">
      <c r="O12" s="59" t="n"/>
      <c r="P12" s="59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1:U23"/>
  <sheetViews>
    <sheetView workbookViewId="0">
      <selection activeCell="T5" sqref="T5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140625" customWidth="1" style="25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9" t="n">
        <v>3.314100227540098</v>
      </c>
      <c r="M3" t="inlineStr">
        <is>
          <t>Objectif :</t>
        </is>
      </c>
      <c r="N3" s="1">
        <f>(INDEX(N5:N17,MATCH(MAX(O6),O5:O17,0))/0.85)</f>
        <v/>
      </c>
      <c r="O3" s="60">
        <f>(MAX(O6)*0.75)</f>
        <v/>
      </c>
      <c r="P3" s="5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6.96025417</v>
      </c>
      <c r="C5" s="59">
        <f>(D5/B5)</f>
        <v/>
      </c>
      <c r="D5" s="59" t="n">
        <v>16.02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</f>
        <v/>
      </c>
      <c r="S5" s="59">
        <f>(T5/R5)</f>
        <v/>
      </c>
      <c r="T5" s="59">
        <f>(D5)+(B7)*2.1792</f>
        <v/>
      </c>
    </row>
    <row r="6">
      <c r="B6" s="2" t="n">
        <v>0.02064786</v>
      </c>
      <c r="C6" s="62" t="n">
        <v>0</v>
      </c>
      <c r="D6" s="63">
        <f>(B6*C6)</f>
        <v/>
      </c>
      <c r="E6" s="59">
        <f>(B6*J3)</f>
        <v/>
      </c>
      <c r="M6" t="inlineStr">
        <is>
          <t>Objectif</t>
        </is>
      </c>
      <c r="N6" s="1">
        <f>-B7</f>
        <v/>
      </c>
      <c r="O6" s="59">
        <f>P6/N6</f>
        <v/>
      </c>
      <c r="P6" s="59">
        <f>-D7</f>
        <v/>
      </c>
      <c r="Q6" t="inlineStr">
        <is>
          <t>Done</t>
        </is>
      </c>
      <c r="R6" s="2">
        <f>(B6)</f>
        <v/>
      </c>
      <c r="S6" s="62">
        <f>(T6/R6)</f>
        <v/>
      </c>
      <c r="T6" s="63">
        <f>(D6)</f>
        <v/>
      </c>
    </row>
    <row r="7">
      <c r="B7" s="1" t="n">
        <v>-1.193</v>
      </c>
      <c r="C7" s="60">
        <f>D7/B7</f>
        <v/>
      </c>
      <c r="D7" s="59">
        <f>-3.38566736</f>
        <v/>
      </c>
      <c r="N7" s="1">
        <f>2*($B$11+$N$6)/5-$N$6</f>
        <v/>
      </c>
      <c r="O7" s="59">
        <f>($C$5*[1]Params!K9)</f>
        <v/>
      </c>
      <c r="P7" s="59">
        <f>(O7*N7)</f>
        <v/>
      </c>
      <c r="R7" s="1">
        <f>(B7)-B7</f>
        <v/>
      </c>
      <c r="S7" s="59" t="n">
        <v>0</v>
      </c>
      <c r="T7" s="59">
        <f>(D7)-B7*2.1792</f>
        <v/>
      </c>
    </row>
    <row r="8">
      <c r="B8" s="1" t="n">
        <v>-1.19</v>
      </c>
      <c r="C8" s="60">
        <f>D8/B8</f>
        <v/>
      </c>
      <c r="D8" s="59" t="n">
        <v>-4.34436789</v>
      </c>
      <c r="N8" s="1">
        <f>($B$11+$N$6)/5</f>
        <v/>
      </c>
      <c r="O8" s="59">
        <f>($C$5*[1]Params!K10)</f>
        <v/>
      </c>
      <c r="P8" s="59">
        <f>(O8*N8)</f>
        <v/>
      </c>
      <c r="R8" s="1">
        <f>(B8)+B9</f>
        <v/>
      </c>
      <c r="S8" s="59" t="n">
        <v>0</v>
      </c>
      <c r="T8" s="59">
        <f>(D8)+D9</f>
        <v/>
      </c>
      <c r="U8" t="inlineStr">
        <is>
          <t>DCA4*</t>
        </is>
      </c>
    </row>
    <row r="9">
      <c r="B9" s="1" t="n">
        <v>1.40390836</v>
      </c>
      <c r="C9" s="59">
        <f>(D9/B9)</f>
        <v/>
      </c>
      <c r="D9" s="59" t="n">
        <v>3.83</v>
      </c>
      <c r="N9" s="1">
        <f>($B$11+$N$6)/5</f>
        <v/>
      </c>
      <c r="O9" s="59">
        <f>($C$5*[1]Params!K11)</f>
        <v/>
      </c>
      <c r="P9" s="59">
        <f>(O9*N9)</f>
        <v/>
      </c>
      <c r="R9" s="1" t="n"/>
      <c r="S9" s="59" t="n"/>
      <c r="T9" s="59" t="n"/>
    </row>
    <row r="10">
      <c r="F10" t="inlineStr">
        <is>
          <t>Moy</t>
        </is>
      </c>
      <c r="G10" s="59">
        <f>(D11/B11)</f>
        <v/>
      </c>
      <c r="R10" s="1" t="n"/>
      <c r="S10" s="59" t="n"/>
      <c r="T10" s="59" t="n"/>
    </row>
    <row r="11">
      <c r="B11" s="1">
        <f>(SUM(B5:B10))</f>
        <v/>
      </c>
      <c r="D11" s="59">
        <f>(SUM(D5:D10))</f>
        <v/>
      </c>
      <c r="P11" s="59">
        <f>(SUM(P6:P9))</f>
        <v/>
      </c>
      <c r="R11" s="1" t="n"/>
      <c r="S11" s="59" t="n"/>
      <c r="T11" s="59" t="n"/>
    </row>
    <row r="12">
      <c r="R12" s="1" t="n"/>
      <c r="S12" s="59" t="n"/>
      <c r="T12" s="60" t="n"/>
    </row>
    <row r="13"/>
    <row r="14"/>
    <row r="15"/>
    <row r="16"/>
    <row r="17"/>
    <row r="18"/>
    <row r="19"/>
    <row r="20"/>
    <row r="21"/>
    <row r="22"/>
    <row r="23">
      <c r="R23">
        <f>(SUM(R5:R22))</f>
        <v/>
      </c>
      <c r="T23" s="59">
        <f>(SUM(T5:T22))</f>
        <v/>
      </c>
    </row>
  </sheetData>
  <conditionalFormatting sqref="C5 G10 O7:O8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C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O9" sqref="O9"/>
    </sheetView>
  </sheetViews>
  <sheetFormatPr baseColWidth="10" defaultColWidth="9.140625" defaultRowHeight="15"/>
  <cols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140625" customWidth="1" style="25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9" t="n">
        <v>19.00396844825785</v>
      </c>
      <c r="M3" t="inlineStr">
        <is>
          <t>Objectif :</t>
        </is>
      </c>
      <c r="N3" s="23">
        <f>(INDEX(N5:N16,MATCH(MAX(O6:O8),O5:O16,0))/0.9)</f>
        <v/>
      </c>
      <c r="O3" s="60">
        <f>(MAX(O6:O8)*0.85)</f>
        <v/>
      </c>
      <c r="P3" s="80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1.47992576</v>
      </c>
      <c r="C5" s="59">
        <f>(D5/B5)</f>
        <v/>
      </c>
      <c r="D5" s="59" t="n">
        <v>11.7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9">
        <f>(T5/R5)</f>
        <v/>
      </c>
      <c r="T5" s="59">
        <f>(D5)+(B7+B8+B9)*6.9017</f>
        <v/>
      </c>
    </row>
    <row r="6">
      <c r="B6" s="2" t="n">
        <v>0.0025055</v>
      </c>
      <c r="C6" s="62" t="n">
        <v>0</v>
      </c>
      <c r="D6" s="63">
        <f>(B6*C6)</f>
        <v/>
      </c>
      <c r="E6" s="59">
        <f>(B6*J3)</f>
        <v/>
      </c>
      <c r="M6" t="inlineStr">
        <is>
          <t>Objectif</t>
        </is>
      </c>
      <c r="N6" s="23">
        <f>-B7</f>
        <v/>
      </c>
      <c r="O6" s="59">
        <f>P6/N6</f>
        <v/>
      </c>
      <c r="P6" s="59">
        <f>-D7</f>
        <v/>
      </c>
      <c r="Q6" t="inlineStr">
        <is>
          <t>Done</t>
        </is>
      </c>
      <c r="R6" s="2">
        <f>(B6)</f>
        <v/>
      </c>
      <c r="S6" s="62">
        <f>(T6/R6)</f>
        <v/>
      </c>
      <c r="T6" s="63">
        <f>(D6)</f>
        <v/>
      </c>
    </row>
    <row r="7">
      <c r="B7" s="1" t="n">
        <v>-0.25</v>
      </c>
      <c r="C7" s="59">
        <f>D7/B7</f>
        <v/>
      </c>
      <c r="D7" s="59">
        <f>-2.54970727</f>
        <v/>
      </c>
      <c r="N7" s="23">
        <f>-B8</f>
        <v/>
      </c>
      <c r="O7" s="59">
        <f>C8</f>
        <v/>
      </c>
      <c r="P7" s="59">
        <f>-D8</f>
        <v/>
      </c>
      <c r="Q7" t="inlineStr">
        <is>
          <t>Done</t>
        </is>
      </c>
      <c r="R7" s="1">
        <f>(B7)-B7</f>
        <v/>
      </c>
      <c r="S7" s="59" t="n">
        <v>0</v>
      </c>
      <c r="T7" s="59">
        <f>(D7)-B7*6.9017</f>
        <v/>
      </c>
    </row>
    <row r="8">
      <c r="B8" s="1" t="n">
        <v>-0.27</v>
      </c>
      <c r="C8" s="59">
        <f>D8/B8</f>
        <v/>
      </c>
      <c r="D8" s="59" t="n">
        <v>-3.09156748</v>
      </c>
      <c r="N8" s="23">
        <f>-B9</f>
        <v/>
      </c>
      <c r="O8" s="59">
        <f>P8/N8</f>
        <v/>
      </c>
      <c r="P8" s="59">
        <f>-D9</f>
        <v/>
      </c>
      <c r="Q8" t="inlineStr">
        <is>
          <t>Done</t>
        </is>
      </c>
      <c r="R8" s="1">
        <f>(B8)-B8</f>
        <v/>
      </c>
      <c r="S8" s="59" t="n">
        <v>0</v>
      </c>
      <c r="T8" s="59">
        <f>(D8)-B8*6.9017</f>
        <v/>
      </c>
      <c r="U8" s="60" t="n"/>
    </row>
    <row r="9">
      <c r="B9" s="1" t="n">
        <v>-0.2616</v>
      </c>
      <c r="C9" s="59">
        <f>D9/B9</f>
        <v/>
      </c>
      <c r="D9" s="59">
        <f>-4.0102794</f>
        <v/>
      </c>
      <c r="N9" s="23">
        <f>4*($B$5+B6)/5-N8-N7-N6</f>
        <v/>
      </c>
      <c r="O9" s="59">
        <f>($S$5*[1]Params!K11)</f>
        <v/>
      </c>
      <c r="P9" s="59">
        <f>(O9*N9)</f>
        <v/>
      </c>
      <c r="R9" s="1">
        <f>(B9)-B9</f>
        <v/>
      </c>
      <c r="S9" s="59" t="n">
        <v>0</v>
      </c>
      <c r="T9" s="59">
        <f>(D9)-B9*6.9017</f>
        <v/>
      </c>
      <c r="U9" s="60" t="n"/>
    </row>
    <row r="10">
      <c r="C10" s="59" t="n"/>
      <c r="D10" s="59" t="n"/>
      <c r="F10" t="inlineStr">
        <is>
          <t>Moy</t>
        </is>
      </c>
      <c r="G10" s="59">
        <f>(D11/B11)</f>
        <v/>
      </c>
      <c r="O10" s="59" t="n"/>
      <c r="P10" s="59" t="n"/>
      <c r="R10" s="1" t="n"/>
      <c r="S10" s="59" t="n"/>
      <c r="T10" s="59" t="n"/>
      <c r="U10" s="60" t="n"/>
    </row>
    <row r="11">
      <c r="B11">
        <f>(SUM(B5:B10))</f>
        <v/>
      </c>
      <c r="C11" s="59" t="n"/>
      <c r="D11" s="59">
        <f>(SUM(D5:D10))</f>
        <v/>
      </c>
      <c r="O11" s="59" t="n"/>
      <c r="P11" s="59">
        <f>(SUM(P6:P9))</f>
        <v/>
      </c>
      <c r="R11" s="1" t="n"/>
      <c r="S11" s="59" t="n"/>
      <c r="T11" s="60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9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59" t="n">
        <v>73.62136721009286</v>
      </c>
      <c r="N3" s="23" t="n"/>
      <c r="O3" s="60" t="n"/>
      <c r="P3" s="80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(B15*J3)</f>
        <v/>
      </c>
      <c r="K4" s="4">
        <f>(J4/D15-1)</f>
        <v/>
      </c>
      <c r="O4" s="59" t="n"/>
      <c r="P4" s="59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9">
        <f>(D5/B5)</f>
        <v/>
      </c>
      <c r="D5" s="59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9">
        <f>(T5/R5)</f>
        <v/>
      </c>
      <c r="T5" s="59">
        <f>(D5)</f>
        <v/>
      </c>
    </row>
    <row r="6">
      <c r="B6" s="2" t="n">
        <v>0.00136779</v>
      </c>
      <c r="C6" s="62" t="n">
        <v>0</v>
      </c>
      <c r="D6" s="63">
        <f>(B6*C6)</f>
        <v/>
      </c>
      <c r="E6" s="59">
        <f>(B6*J3)</f>
        <v/>
      </c>
      <c r="M6" t="inlineStr">
        <is>
          <t>Objectif</t>
        </is>
      </c>
      <c r="N6" s="85">
        <f>(SUM(R$5:R$8)/5)</f>
        <v/>
      </c>
      <c r="O6" s="59">
        <f>($C$7*[1]Params!K8)</f>
        <v/>
      </c>
      <c r="P6" s="59">
        <f>(O6*N6)</f>
        <v/>
      </c>
      <c r="R6" s="2">
        <f>(B6)</f>
        <v/>
      </c>
      <c r="S6" s="62">
        <f>(T6/R6)</f>
        <v/>
      </c>
      <c r="T6" s="63">
        <f>(D6)</f>
        <v/>
      </c>
    </row>
    <row r="7">
      <c r="B7" s="1" t="n">
        <v>0.144855</v>
      </c>
      <c r="C7" s="59">
        <f>(D7/B7)</f>
        <v/>
      </c>
      <c r="D7" s="59" t="n">
        <v>9.9673</v>
      </c>
      <c r="N7" s="85">
        <f>(SUM(R$5:R$8)/5)</f>
        <v/>
      </c>
      <c r="O7" s="59">
        <f>($C$7*[1]Params!K9)</f>
        <v/>
      </c>
      <c r="P7" s="59">
        <f>(O7*N7)</f>
        <v/>
      </c>
      <c r="R7" s="1">
        <f>(B7)</f>
        <v/>
      </c>
      <c r="S7" s="59">
        <f>(T7/R7)</f>
        <v/>
      </c>
      <c r="T7" s="59">
        <f>(D7)</f>
        <v/>
      </c>
    </row>
    <row r="8">
      <c r="B8" s="1" t="n">
        <v>-0.0305107</v>
      </c>
      <c r="C8" s="59">
        <f>(D8/B8)</f>
        <v/>
      </c>
      <c r="D8" s="59" t="n">
        <v>-2.78264645</v>
      </c>
      <c r="N8" s="85">
        <f>(SUM(R$5:R$8)/5)</f>
        <v/>
      </c>
      <c r="O8" s="59">
        <f>($C$7*[1]Params!K10)</f>
        <v/>
      </c>
      <c r="P8" s="59">
        <f>(O8*N8)</f>
        <v/>
      </c>
      <c r="R8" s="1">
        <f>(B8+B9)+B11+B12+B10+B13</f>
        <v/>
      </c>
      <c r="S8" s="59" t="n">
        <v>0</v>
      </c>
      <c r="T8" s="59">
        <f>(D8+D9)+D11+D12+D10+D13</f>
        <v/>
      </c>
      <c r="U8" s="60">
        <f>R8*J3-T8</f>
        <v/>
      </c>
    </row>
    <row r="9">
      <c r="B9" s="1" t="n">
        <v>0.03383532</v>
      </c>
      <c r="C9" s="59">
        <f>(D9/B9)</f>
        <v/>
      </c>
      <c r="D9" s="59" t="n">
        <v>2.62</v>
      </c>
      <c r="N9" s="85">
        <f>(SUM(R$5:R$8)/5)</f>
        <v/>
      </c>
      <c r="O9" s="59">
        <f>($C$7*[1]Params!K11)</f>
        <v/>
      </c>
      <c r="P9" s="59">
        <f>(O9*N9)</f>
        <v/>
      </c>
      <c r="R9" s="1" t="n"/>
      <c r="S9" s="59" t="n"/>
      <c r="T9" s="59" t="n"/>
      <c r="U9" s="60" t="n"/>
    </row>
    <row r="10">
      <c r="B10" s="1" t="n">
        <v>-0.031254</v>
      </c>
      <c r="C10" s="59">
        <f>(D10/B10)</f>
        <v/>
      </c>
      <c r="D10" s="59" t="n">
        <v>-2.85198602</v>
      </c>
      <c r="O10" s="59" t="n"/>
      <c r="P10" s="59" t="n"/>
      <c r="R10" s="1" t="n"/>
      <c r="S10" s="59" t="n"/>
      <c r="T10" s="60" t="n"/>
    </row>
    <row r="11">
      <c r="B11" s="1" t="n">
        <v>-0.031261</v>
      </c>
      <c r="C11" s="59">
        <f>(D11/B11)</f>
        <v/>
      </c>
      <c r="D11" s="59" t="n">
        <v>-3.46678924</v>
      </c>
      <c r="O11" s="59" t="n"/>
      <c r="P11" s="59">
        <f>(SUM(P6:P9))</f>
        <v/>
      </c>
    </row>
    <row r="12">
      <c r="B12" s="1" t="n">
        <v>0.03471228</v>
      </c>
      <c r="C12" s="59">
        <f>(D12/B12)</f>
        <v/>
      </c>
      <c r="D12" s="59" t="n">
        <v>3.26</v>
      </c>
      <c r="O12" s="59" t="n"/>
      <c r="P12" s="59" t="n"/>
    </row>
    <row r="13">
      <c r="B13" s="1" t="n">
        <v>0.03497402</v>
      </c>
      <c r="C13" s="59">
        <f>(D13/B13)</f>
        <v/>
      </c>
      <c r="D13" s="59" t="n">
        <v>2.693</v>
      </c>
      <c r="O13" s="59" t="n"/>
      <c r="P13" s="59" t="n"/>
    </row>
    <row r="14">
      <c r="F14" t="inlineStr">
        <is>
          <t>Moy</t>
        </is>
      </c>
      <c r="G14" s="59">
        <f>(D15/B15)</f>
        <v/>
      </c>
    </row>
    <row r="15">
      <c r="B15" s="1">
        <f>(SUM(B5:B14))</f>
        <v/>
      </c>
      <c r="D15" s="59">
        <f>(SUM(D5:D14))</f>
        <v/>
      </c>
    </row>
    <row r="16"/>
    <row r="17"/>
    <row r="18"/>
    <row r="19"/>
    <row r="20"/>
    <row r="21">
      <c r="R21">
        <f>(SUM(R5:R20))</f>
        <v/>
      </c>
      <c r="T21" s="59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60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P23"/>
  <sheetViews>
    <sheetView workbookViewId="0">
      <selection activeCell="O3" sqref="O3"/>
    </sheetView>
  </sheetViews>
  <sheetFormatPr baseColWidth="10" defaultColWidth="9.140625" defaultRowHeight="15"/>
  <cols>
    <col width="9.28515625" bestFit="1" customWidth="1" style="25" min="2" max="2"/>
    <col width="9.5703125" customWidth="1" style="25" min="3" max="3"/>
    <col width="10.28515625" bestFit="1" customWidth="1" style="25" min="4" max="4"/>
    <col width="12.42578125" bestFit="1" customWidth="1" style="25" min="9" max="9"/>
    <col width="9.140625" customWidth="1" style="25" min="13" max="13"/>
    <col width="11.5703125" bestFit="1" customWidth="1" style="25" min="14" max="14"/>
    <col width="11.28515625" bestFit="1" customWidth="1" style="25" min="15" max="15"/>
    <col width="9.140625" customWidth="1" style="25" min="16" max="16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9" t="n">
        <v>0.6800490635474239</v>
      </c>
      <c r="M3" t="inlineStr">
        <is>
          <t>Objectif :</t>
        </is>
      </c>
      <c r="N3" s="71">
        <f>-B7</f>
        <v/>
      </c>
      <c r="O3" s="68" t="n">
        <v>0</v>
      </c>
      <c r="P3" s="59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(B23*J3)</f>
        <v/>
      </c>
    </row>
    <row r="5">
      <c r="B5" t="n">
        <v>3.25270461</v>
      </c>
      <c r="C5" s="59" t="n">
        <v>0</v>
      </c>
      <c r="D5" s="59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6" t="n">
        <v>0.05868656</v>
      </c>
      <c r="C6" s="62" t="n">
        <v>0</v>
      </c>
      <c r="D6" s="63">
        <f>(B6*C6)</f>
        <v/>
      </c>
      <c r="E6" s="59">
        <f>(B6*J3)</f>
        <v/>
      </c>
      <c r="M6" t="inlineStr">
        <is>
          <t>Objectif :</t>
        </is>
      </c>
      <c r="N6" s="85">
        <f>B21</f>
        <v/>
      </c>
      <c r="O6" s="68">
        <f>(C21*2)</f>
        <v/>
      </c>
      <c r="P6" s="59">
        <f>(N6*O6)</f>
        <v/>
      </c>
    </row>
    <row r="7">
      <c r="B7" s="85">
        <f>-3.25700016-0.002</f>
        <v/>
      </c>
      <c r="C7" s="59">
        <f>(D7/B7)</f>
        <v/>
      </c>
      <c r="D7" s="59" t="n">
        <v>-5.39743191</v>
      </c>
    </row>
    <row r="8">
      <c r="B8" t="n">
        <v>0.31639059</v>
      </c>
      <c r="C8" s="59" t="n">
        <v>0</v>
      </c>
      <c r="D8" s="59">
        <f>(B8*C8)</f>
        <v/>
      </c>
    </row>
    <row r="9">
      <c r="B9" t="n">
        <v>0.31639059</v>
      </c>
      <c r="C9" s="59" t="n">
        <v>0</v>
      </c>
      <c r="D9" s="59">
        <f>(B9*C9)</f>
        <v/>
      </c>
      <c r="N9" s="20" t="n"/>
      <c r="O9" s="68" t="n"/>
      <c r="P9" s="59" t="n"/>
    </row>
    <row r="10">
      <c r="B10" t="n">
        <v>0.31639059</v>
      </c>
      <c r="C10" s="59" t="n">
        <v>0</v>
      </c>
      <c r="D10" s="59">
        <f>(B10*C10)</f>
        <v/>
      </c>
      <c r="O10" s="68" t="n"/>
    </row>
    <row r="11">
      <c r="B11" t="n">
        <v>0.31639059</v>
      </c>
      <c r="C11" s="59" t="n">
        <v>0</v>
      </c>
      <c r="D11" s="59">
        <f>(B11*C11)</f>
        <v/>
      </c>
    </row>
    <row r="12">
      <c r="B12" t="n">
        <v>0.31639059</v>
      </c>
      <c r="C12" s="59" t="n">
        <v>0</v>
      </c>
      <c r="D12" s="59">
        <f>(B12*C12)</f>
        <v/>
      </c>
    </row>
    <row r="13">
      <c r="B13" t="n">
        <v>0.31639059</v>
      </c>
      <c r="C13" s="59" t="n">
        <v>0</v>
      </c>
      <c r="D13" s="59">
        <f>(B13*C13)</f>
        <v/>
      </c>
    </row>
    <row r="14">
      <c r="B14" t="n">
        <v>0.31639059</v>
      </c>
      <c r="C14" s="59" t="n">
        <v>0</v>
      </c>
      <c r="D14" s="59">
        <f>(B14*C14)</f>
        <v/>
      </c>
    </row>
    <row r="15">
      <c r="B15" t="n">
        <v>0.31639059</v>
      </c>
      <c r="C15" s="59" t="n">
        <v>0</v>
      </c>
      <c r="D15" s="59">
        <f>(B15*C15)</f>
        <v/>
      </c>
    </row>
    <row r="16">
      <c r="B16" t="n">
        <v>0.31639059</v>
      </c>
      <c r="C16" s="59" t="n">
        <v>0</v>
      </c>
      <c r="D16" s="59">
        <f>(B16*C16)</f>
        <v/>
      </c>
    </row>
    <row r="17">
      <c r="B17" t="n">
        <v>0.31639059</v>
      </c>
      <c r="C17" s="59" t="n">
        <v>0</v>
      </c>
      <c r="D17" s="59">
        <f>(B17*C17)</f>
        <v/>
      </c>
    </row>
    <row r="18">
      <c r="B18" t="n">
        <v>0.31639059</v>
      </c>
      <c r="C18" s="59" t="n">
        <v>0</v>
      </c>
      <c r="D18" s="59">
        <f>(B18*C18)</f>
        <v/>
      </c>
    </row>
    <row r="19">
      <c r="B19" t="n">
        <v>0.31639059</v>
      </c>
      <c r="C19" s="59" t="n">
        <v>0</v>
      </c>
      <c r="D19" s="59">
        <f>(B19*C19)</f>
        <v/>
      </c>
    </row>
    <row r="20">
      <c r="B20" t="n">
        <v>0.31639059</v>
      </c>
      <c r="C20" s="59" t="n">
        <v>0</v>
      </c>
      <c r="D20" s="59">
        <f>(B20*C20)</f>
        <v/>
      </c>
    </row>
    <row r="21">
      <c r="B21" s="85" t="n">
        <v>3.25</v>
      </c>
      <c r="C21" s="59">
        <f>D21/B21</f>
        <v/>
      </c>
      <c r="D21" s="59" t="n">
        <v>2.31819162</v>
      </c>
    </row>
    <row r="22"/>
    <row r="23">
      <c r="B23">
        <f>(SUM(B5:B22))</f>
        <v/>
      </c>
      <c r="D23" s="59">
        <f>(SUM(D5:D22))</f>
        <v/>
      </c>
    </row>
  </sheetData>
  <conditionalFormatting sqref="C21 O6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T40"/>
  <sheetViews>
    <sheetView workbookViewId="0">
      <selection activeCell="L18" sqref="L18"/>
    </sheetView>
  </sheetViews>
  <sheetFormatPr baseColWidth="10" defaultColWidth="9.140625" defaultRowHeight="15"/>
  <cols>
    <col width="12.7109375" bestFit="1" customWidth="1" style="25" min="2" max="2"/>
    <col width="13" bestFit="1" customWidth="1" style="25" min="3" max="3"/>
    <col width="11.7109375" bestFit="1" customWidth="1" style="25" min="7" max="7"/>
    <col width="12.42578125" bestFit="1" customWidth="1" style="25" min="9" max="9"/>
    <col width="11" bestFit="1" customWidth="1" style="25" min="10" max="10"/>
    <col width="11.5703125" bestFit="1" customWidth="1" style="25" min="14" max="14"/>
    <col width="11.28515625" bestFit="1" customWidth="1" style="25" min="15" max="15"/>
    <col width="12" bestFit="1" customWidth="1" style="25" min="18" max="18"/>
    <col width="13" bestFit="1" customWidth="1" style="25" min="19" max="19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68" t="n">
        <v>0.000124874175729861</v>
      </c>
      <c r="M3" t="inlineStr">
        <is>
          <t>Objectif :</t>
        </is>
      </c>
      <c r="N3" s="71">
        <f>400000*1.01-B40</f>
        <v/>
      </c>
      <c r="O3" s="68" t="n">
        <v>0</v>
      </c>
      <c r="P3" s="59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(B40*J3)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70" t="n">
        <v>0.2363634506</v>
      </c>
      <c r="C5" s="68" t="n">
        <v>115.55</v>
      </c>
      <c r="D5" s="59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70">
        <f>(B5)</f>
        <v/>
      </c>
      <c r="S5" s="68" t="n">
        <v>115.55</v>
      </c>
      <c r="T5" s="59">
        <f>(R5*S5)</f>
        <v/>
      </c>
    </row>
    <row r="6">
      <c r="B6" s="70" t="n">
        <v>0.3</v>
      </c>
      <c r="C6" s="68" t="n">
        <v>91.3</v>
      </c>
      <c r="D6" s="59">
        <f>(B6*C6)</f>
        <v/>
      </c>
      <c r="M6" t="inlineStr">
        <is>
          <t>Objectif :</t>
        </is>
      </c>
      <c r="N6">
        <f>B38/1.5</f>
        <v/>
      </c>
      <c r="O6" s="68">
        <f>C38*2</f>
        <v/>
      </c>
      <c r="P6" s="60">
        <f>O6*N6</f>
        <v/>
      </c>
      <c r="R6" s="70">
        <f>(B6)</f>
        <v/>
      </c>
      <c r="S6" s="68" t="n">
        <v>91.3</v>
      </c>
      <c r="T6" s="59">
        <f>(R6*S6)</f>
        <v/>
      </c>
    </row>
    <row r="7">
      <c r="B7" s="70" t="n">
        <v>2.79041387</v>
      </c>
      <c r="C7" s="68" t="n">
        <v>6.5</v>
      </c>
      <c r="D7" s="59">
        <f>(B7*C7)</f>
        <v/>
      </c>
      <c r="N7">
        <f>(INDEX(B5:B17,MATCH(O7/2,C5:C17,0)))</f>
        <v/>
      </c>
      <c r="O7" s="68">
        <f>(MIN(C5:C8,C14:C16)*2)</f>
        <v/>
      </c>
      <c r="P7" s="59">
        <f>(N7*O7)</f>
        <v/>
      </c>
      <c r="R7" s="70">
        <f>(B7)</f>
        <v/>
      </c>
      <c r="S7" s="68" t="n">
        <v>6.5</v>
      </c>
      <c r="T7" s="59">
        <f>(R7*S7)</f>
        <v/>
      </c>
    </row>
    <row r="8">
      <c r="B8" s="70" t="n">
        <v>722</v>
      </c>
      <c r="C8" s="68">
        <f>(D8/B8)</f>
        <v/>
      </c>
      <c r="D8" s="59" t="n">
        <v>15</v>
      </c>
      <c r="N8" s="21">
        <f>B40/4</f>
        <v/>
      </c>
      <c r="O8" s="68" t="n">
        <v>0.0005</v>
      </c>
      <c r="P8" s="59">
        <f>(N8*O8)</f>
        <v/>
      </c>
      <c r="R8" s="70">
        <f>(B8)</f>
        <v/>
      </c>
      <c r="S8" s="68">
        <f>(T8/R8)</f>
        <v/>
      </c>
      <c r="T8" s="59" t="n">
        <v>15</v>
      </c>
    </row>
    <row r="9">
      <c r="B9" s="70">
        <f>(891400)</f>
        <v/>
      </c>
      <c r="C9" s="68">
        <f>(D9/B9)</f>
        <v/>
      </c>
      <c r="D9" s="59" t="n">
        <v>10</v>
      </c>
      <c r="R9" s="70">
        <f>(B9)</f>
        <v/>
      </c>
      <c r="S9" s="68">
        <f>(T9/R9)</f>
        <v/>
      </c>
      <c r="T9" s="59" t="n">
        <v>10</v>
      </c>
    </row>
    <row r="10">
      <c r="B10" s="70" t="n">
        <v>-200000</v>
      </c>
      <c r="C10" s="68">
        <f>(D10/B10)</f>
        <v/>
      </c>
      <c r="D10" s="59" t="n">
        <v>-12</v>
      </c>
      <c r="O10" s="68" t="n"/>
      <c r="R10" s="70">
        <f>(B10)</f>
        <v/>
      </c>
      <c r="S10" s="68">
        <f>(T10/R10)</f>
        <v/>
      </c>
      <c r="T10" s="59" t="n">
        <v>-12</v>
      </c>
    </row>
    <row r="11">
      <c r="B11" s="70" t="n">
        <v>-43873</v>
      </c>
      <c r="C11" s="68">
        <f>(D11/B11)</f>
        <v/>
      </c>
      <c r="D11" s="59" t="n">
        <v>-10</v>
      </c>
      <c r="R11" s="70">
        <f>(B11)</f>
        <v/>
      </c>
      <c r="S11" s="68">
        <f>(T11/R11)</f>
        <v/>
      </c>
      <c r="T11" s="59" t="n">
        <v>-10</v>
      </c>
    </row>
    <row r="12">
      <c r="B12" s="70" t="n">
        <v>-20000</v>
      </c>
      <c r="C12" s="68">
        <f>(D12/B12)</f>
        <v/>
      </c>
      <c r="D12" s="59" t="n">
        <v>-10</v>
      </c>
      <c r="R12" s="70">
        <f>(B12)</f>
        <v/>
      </c>
      <c r="S12" s="68">
        <f>(T12/R12)</f>
        <v/>
      </c>
      <c r="T12" s="59" t="n">
        <v>-10</v>
      </c>
    </row>
    <row r="13">
      <c r="B13" s="70" t="n">
        <v>-66800</v>
      </c>
      <c r="C13" s="68">
        <f>(D13/B13)</f>
        <v/>
      </c>
      <c r="D13" s="59" t="n">
        <v>-33.4</v>
      </c>
      <c r="R13" s="70">
        <f>(B13+B14+B15+B16)</f>
        <v/>
      </c>
      <c r="S13" s="68">
        <f>(T13/R13)</f>
        <v/>
      </c>
      <c r="T13" s="59">
        <f>(D13+D15+D14+D16)</f>
        <v/>
      </c>
    </row>
    <row r="14">
      <c r="B14" s="70" t="n">
        <v>22223</v>
      </c>
      <c r="C14" s="68">
        <f>(D14/B14)</f>
        <v/>
      </c>
      <c r="D14" s="59" t="n">
        <v>10.00035</v>
      </c>
      <c r="R14" s="70">
        <f>(B17)</f>
        <v/>
      </c>
      <c r="S14" s="68" t="n">
        <v>0.0001</v>
      </c>
      <c r="T14" s="59">
        <f>(S14*R14)</f>
        <v/>
      </c>
    </row>
    <row r="15">
      <c r="B15" s="70" t="n">
        <v>48000</v>
      </c>
      <c r="C15" s="68">
        <f>(D15/B15)</f>
        <v/>
      </c>
      <c r="D15" s="59" t="n">
        <v>18</v>
      </c>
      <c r="R15" s="82">
        <f>(B18)</f>
        <v/>
      </c>
      <c r="S15" s="62" t="n">
        <v>0</v>
      </c>
      <c r="T15" s="63">
        <f>(R15*S15)</f>
        <v/>
      </c>
    </row>
    <row r="16">
      <c r="B16" s="70" t="n">
        <v>40000</v>
      </c>
      <c r="C16" s="68">
        <f>(D16/B16)</f>
        <v/>
      </c>
      <c r="D16" s="59" t="n">
        <v>10</v>
      </c>
      <c r="R16" s="70">
        <f>(B19)</f>
        <v/>
      </c>
      <c r="S16" s="68" t="n">
        <v>0.0001829</v>
      </c>
      <c r="T16" s="59">
        <f>(S16*R16)</f>
        <v/>
      </c>
    </row>
    <row r="17">
      <c r="B17" s="70" t="n">
        <v>-150000</v>
      </c>
      <c r="C17" s="68" t="n">
        <v>0.0001</v>
      </c>
      <c r="D17" s="59">
        <f>(C17*B17)</f>
        <v/>
      </c>
      <c r="R17" s="70">
        <f>(B20)</f>
        <v/>
      </c>
      <c r="S17" s="68" t="n">
        <v>0.0001828</v>
      </c>
      <c r="T17" s="59">
        <f>(S17*R17)</f>
        <v/>
      </c>
    </row>
    <row r="18">
      <c r="B18" s="82" t="n">
        <v>5067.85860945</v>
      </c>
      <c r="C18" s="62" t="n">
        <v>0</v>
      </c>
      <c r="D18" s="63">
        <f>(B18*C18)</f>
        <v/>
      </c>
      <c r="E18" s="59">
        <f>(B18*J3)</f>
        <v/>
      </c>
      <c r="R18" s="70">
        <f>(B21)</f>
        <v/>
      </c>
      <c r="S18" s="68">
        <f>(T18/R18)</f>
        <v/>
      </c>
      <c r="T18" s="59" t="n">
        <v>-10.875</v>
      </c>
    </row>
    <row r="19">
      <c r="B19" s="70" t="n">
        <v>-60293.19</v>
      </c>
      <c r="C19" s="68" t="n">
        <v>0.0001829</v>
      </c>
      <c r="D19" s="59">
        <f>(C19*B19)</f>
        <v/>
      </c>
      <c r="R19" s="70">
        <f>(B22)</f>
        <v/>
      </c>
      <c r="S19" s="68">
        <f>(T19/R19)</f>
        <v/>
      </c>
      <c r="T19" s="59" t="n">
        <v>-15.777</v>
      </c>
    </row>
    <row r="20">
      <c r="B20" s="70" t="n">
        <v>-41141.35</v>
      </c>
      <c r="C20" s="68" t="n">
        <v>0.0001828</v>
      </c>
      <c r="D20" s="59">
        <f>(C20*B20)</f>
        <v/>
      </c>
      <c r="N20" s="70" t="n"/>
      <c r="R20" s="70">
        <f>(B23)</f>
        <v/>
      </c>
      <c r="S20" s="68">
        <f>(T20/R20)</f>
        <v/>
      </c>
      <c r="T20" s="59" t="n">
        <v>-12.7</v>
      </c>
    </row>
    <row r="21">
      <c r="B21" s="70" t="n">
        <v>-26969.34</v>
      </c>
      <c r="C21" s="68">
        <f>(D21/B21)</f>
        <v/>
      </c>
      <c r="D21" s="59" t="n">
        <v>-10.875</v>
      </c>
      <c r="R21" s="70">
        <f>(B24+B25+B26)</f>
        <v/>
      </c>
      <c r="S21" s="68">
        <f>(T21/R21)</f>
        <v/>
      </c>
      <c r="T21" s="59">
        <f>(D24+D25+D26)</f>
        <v/>
      </c>
    </row>
    <row r="22">
      <c r="B22" s="70" t="n">
        <v>-39131.89</v>
      </c>
      <c r="C22" s="68">
        <f>(D22/B22)</f>
        <v/>
      </c>
      <c r="D22" s="59" t="n">
        <v>-15.777</v>
      </c>
      <c r="R22" s="70">
        <f>(B27+B28)</f>
        <v/>
      </c>
      <c r="S22" s="68" t="n">
        <v>0</v>
      </c>
      <c r="T22" s="59">
        <f>(D27+D28)</f>
        <v/>
      </c>
    </row>
    <row r="23">
      <c r="B23" s="70" t="n">
        <v>-31019.52</v>
      </c>
      <c r="C23" s="68">
        <f>(D23/B23)</f>
        <v/>
      </c>
      <c r="D23" s="59" t="n">
        <v>-12.7</v>
      </c>
      <c r="R23" s="70">
        <f>(B29+B30)</f>
        <v/>
      </c>
      <c r="S23" s="68" t="n">
        <v>0</v>
      </c>
      <c r="T23" s="59">
        <f>(D29+D30)</f>
        <v/>
      </c>
    </row>
    <row r="24">
      <c r="B24" s="70" t="n">
        <v>-20035.65</v>
      </c>
      <c r="C24" s="68">
        <f>(D24/B24)</f>
        <v/>
      </c>
      <c r="D24" s="59" t="n">
        <v>-11.12</v>
      </c>
      <c r="R24" s="70">
        <f>(B31+B32)</f>
        <v/>
      </c>
      <c r="S24" s="68" t="n">
        <v>0</v>
      </c>
      <c r="T24" s="59">
        <f>(D31+D32)</f>
        <v/>
      </c>
    </row>
    <row r="25">
      <c r="B25" s="70">
        <f>(15252.99-15.25299)</f>
        <v/>
      </c>
      <c r="C25" s="68" t="n">
        <v>0.00051739</v>
      </c>
      <c r="D25" s="59">
        <f>(B25*C25)</f>
        <v/>
      </c>
      <c r="N25" s="70" t="n"/>
      <c r="R25" s="70">
        <f>(B33+B34+B35)</f>
        <v/>
      </c>
      <c r="S25" s="68" t="n">
        <v>0</v>
      </c>
      <c r="T25" s="59">
        <f>(D33+D34+D35)</f>
        <v/>
      </c>
    </row>
    <row r="26">
      <c r="B26" s="70">
        <f>(4747.01-4.74701)</f>
        <v/>
      </c>
      <c r="C26" s="68" t="n">
        <v>0.00051738</v>
      </c>
      <c r="D26" s="59">
        <f>(B26*C26)</f>
        <v/>
      </c>
      <c r="R26" s="70">
        <f>B38+B37+B36</f>
        <v/>
      </c>
      <c r="S26" s="68" t="n">
        <v>0</v>
      </c>
      <c r="T26" s="60">
        <f>D38+D37+D36</f>
        <v/>
      </c>
    </row>
    <row r="27">
      <c r="B27" s="70" t="n">
        <v>-40000</v>
      </c>
      <c r="C27" s="68">
        <f>(D27/B27)</f>
        <v/>
      </c>
      <c r="D27" s="59" t="n">
        <v>-12.44</v>
      </c>
      <c r="R27" s="70" t="n"/>
      <c r="S27" s="68" t="n"/>
      <c r="T27" s="60" t="n"/>
    </row>
    <row r="28">
      <c r="B28" s="70" t="n">
        <v>40000</v>
      </c>
      <c r="C28" s="68">
        <f>(D28/B28)</f>
        <v/>
      </c>
      <c r="D28" s="59" t="n">
        <v>10</v>
      </c>
    </row>
    <row r="29">
      <c r="B29" s="70" t="n">
        <v>-40000</v>
      </c>
      <c r="C29" s="68">
        <f>(D29/B29)</f>
        <v/>
      </c>
      <c r="D29" s="59" t="n">
        <v>-12.39</v>
      </c>
    </row>
    <row r="30">
      <c r="B30" s="70" t="n">
        <v>44000</v>
      </c>
      <c r="C30" s="68">
        <f>(D30/B30)</f>
        <v/>
      </c>
      <c r="D30" s="59" t="n">
        <v>10.42</v>
      </c>
    </row>
    <row r="31">
      <c r="B31" s="70" t="n">
        <v>-270017.67672339</v>
      </c>
      <c r="C31" s="68">
        <f>(D31/B31)</f>
        <v/>
      </c>
      <c r="D31" s="59" t="n">
        <v>-48.19233598</v>
      </c>
    </row>
    <row r="32">
      <c r="B32" s="70">
        <f>(272743.3*0.99)</f>
        <v/>
      </c>
      <c r="C32" s="68">
        <f>(D32/B32)</f>
        <v/>
      </c>
      <c r="D32" s="59" t="n">
        <v>34.21</v>
      </c>
      <c r="E32" s="60" t="n"/>
    </row>
    <row r="33">
      <c r="B33" s="70" t="n">
        <v>-33998.23</v>
      </c>
      <c r="C33" s="68">
        <f>(D33/B33)</f>
        <v/>
      </c>
      <c r="D33" s="59" t="n">
        <v>-6.45</v>
      </c>
    </row>
    <row r="34">
      <c r="B34" s="70" t="n">
        <v>-20001.77</v>
      </c>
      <c r="C34" s="68">
        <f>(D34/B34)</f>
        <v/>
      </c>
      <c r="D34" s="59" t="n">
        <v>-3.795</v>
      </c>
    </row>
    <row r="35">
      <c r="B35" s="70">
        <f>(62154.32-62.15432)</f>
        <v/>
      </c>
      <c r="C35" s="68">
        <f>(D35/B35)</f>
        <v/>
      </c>
      <c r="D35" s="59" t="n">
        <v>10.1</v>
      </c>
      <c r="E35" s="59" t="n"/>
    </row>
    <row r="36">
      <c r="B36" s="70" t="n">
        <v>-62000</v>
      </c>
      <c r="C36" s="68">
        <f>(D36/B36)</f>
        <v/>
      </c>
      <c r="D36" s="59" t="n">
        <v>-16.02484919</v>
      </c>
      <c r="E36" s="59" t="n"/>
    </row>
    <row r="37">
      <c r="B37" s="70" t="n">
        <v>-150000</v>
      </c>
      <c r="C37" s="68">
        <f>(D37/B37)</f>
        <v/>
      </c>
      <c r="D37" s="59" t="n">
        <v>-38.50217554</v>
      </c>
      <c r="E37" s="59" t="n"/>
    </row>
    <row r="38">
      <c r="B38" s="70" t="n">
        <v>276000</v>
      </c>
      <c r="C38" s="68">
        <f>(D38/B38)</f>
        <v/>
      </c>
      <c r="D38" s="59">
        <f>25.11510651</f>
        <v/>
      </c>
      <c r="E38" s="59">
        <f>B38*$J$3</f>
        <v/>
      </c>
    </row>
    <row r="39"/>
    <row r="40">
      <c r="B40">
        <f>(SUM(B5:B39))</f>
        <v/>
      </c>
      <c r="D40" s="59">
        <f>(SUM(D5:D39))</f>
        <v/>
      </c>
      <c r="F40" t="inlineStr">
        <is>
          <t>Moy</t>
        </is>
      </c>
      <c r="G40" s="68">
        <f>(D40/B40)</f>
        <v/>
      </c>
      <c r="R40">
        <f>(SUM(R5:R39))</f>
        <v/>
      </c>
      <c r="T40" s="59">
        <f>(SUM(T5:T39))</f>
        <v/>
      </c>
    </row>
  </sheetData>
  <conditionalFormatting sqref="C5:C9 C14:C16 C25:C26 C28 C30 C32 C35 C38 G40 O6:O8 S5:S9 S13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I12" sqref="I12"/>
    </sheetView>
  </sheetViews>
  <sheetFormatPr baseColWidth="10" defaultColWidth="9.140625" defaultRowHeight="15"/>
  <cols>
    <col width="8.85546875" customWidth="1" style="25" min="3" max="3"/>
    <col width="10.28515625" bestFit="1" customWidth="1" style="25" min="4" max="4"/>
    <col width="9.28515625" customWidth="1" style="25" min="6" max="6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59" t="n">
        <v>0.985946796904965</v>
      </c>
      <c r="N3" s="18" t="n"/>
      <c r="O3" s="60" t="n"/>
      <c r="P3" s="59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(B18*J3)</f>
        <v/>
      </c>
      <c r="K4" s="4">
        <f>(J4/D18-1)</f>
        <v/>
      </c>
      <c r="O4" s="59" t="n"/>
      <c r="P4" s="59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8" t="n">
        <v>12.2</v>
      </c>
      <c r="C5" s="59">
        <f>(D5/B5)</f>
        <v/>
      </c>
      <c r="D5" s="59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8">
        <f>B5</f>
        <v/>
      </c>
      <c r="S5" s="59">
        <f>(T5/R5)</f>
        <v/>
      </c>
      <c r="T5" s="59">
        <f>D5</f>
        <v/>
      </c>
    </row>
    <row r="6">
      <c r="B6" s="19" t="n">
        <v>0.33063562</v>
      </c>
      <c r="C6" s="62" t="n">
        <v>0</v>
      </c>
      <c r="D6" s="63">
        <f>(B6*C6)</f>
        <v/>
      </c>
      <c r="E6" s="59">
        <f>(B6*J3)</f>
        <v/>
      </c>
      <c r="M6" t="inlineStr">
        <is>
          <t>Objectif</t>
        </is>
      </c>
      <c r="N6" s="18">
        <f>($B$7+$R$9+$R$6)/5</f>
        <v/>
      </c>
      <c r="O6" s="59">
        <f>($S$7*[1]Params!K8)</f>
        <v/>
      </c>
      <c r="P6" s="59">
        <f>(O6*N6)</f>
        <v/>
      </c>
      <c r="R6" s="82">
        <f>(B6)</f>
        <v/>
      </c>
      <c r="S6" s="62" t="n">
        <v>0</v>
      </c>
      <c r="T6" s="63">
        <f>(D6)</f>
        <v/>
      </c>
      <c r="U6" s="59">
        <f>(R6*J3)</f>
        <v/>
      </c>
    </row>
    <row r="7">
      <c r="B7" s="18" t="n">
        <v>50.16572808</v>
      </c>
      <c r="C7" s="59">
        <f>(D7/B7)</f>
        <v/>
      </c>
      <c r="D7" s="59" t="n">
        <v>45.7</v>
      </c>
      <c r="E7" t="inlineStr">
        <is>
          <t>DCA2</t>
        </is>
      </c>
      <c r="N7" s="18">
        <f>($B$7+$R$9+$R$6)/5</f>
        <v/>
      </c>
      <c r="O7" s="59">
        <f>($S$7*[1]Params!K9)</f>
        <v/>
      </c>
      <c r="P7" s="59">
        <f>(O7*N7)</f>
        <v/>
      </c>
      <c r="R7" s="18">
        <f>B7</f>
        <v/>
      </c>
      <c r="S7" s="59">
        <f>(T7/R7)</f>
        <v/>
      </c>
      <c r="T7" s="59">
        <f>D7</f>
        <v/>
      </c>
      <c r="U7" t="inlineStr">
        <is>
          <t>DCA2</t>
        </is>
      </c>
    </row>
    <row r="8">
      <c r="B8" s="18" t="n">
        <v>0.63003905</v>
      </c>
      <c r="C8" s="59">
        <f>(D8/B8)</f>
        <v/>
      </c>
      <c r="D8" s="59" t="n">
        <v>0.5</v>
      </c>
      <c r="N8" s="18">
        <f>($B$7+$R$9+$R$6)/5</f>
        <v/>
      </c>
      <c r="O8" s="59">
        <f>($S$7*[1]Params!K10)</f>
        <v/>
      </c>
      <c r="P8" s="59">
        <f>(O8*N8)</f>
        <v/>
      </c>
      <c r="R8" s="18">
        <f>B8</f>
        <v/>
      </c>
      <c r="S8" s="59">
        <f>C8</f>
        <v/>
      </c>
      <c r="T8" s="60">
        <f>D8</f>
        <v/>
      </c>
    </row>
    <row r="9">
      <c r="B9" s="18" t="n">
        <v>-1.08</v>
      </c>
      <c r="C9" s="59">
        <f>(D9/B9)</f>
        <v/>
      </c>
      <c r="D9" s="59" t="n">
        <v>-1.134</v>
      </c>
      <c r="N9" s="18">
        <f>($B$7+$R$9+$R$6)/5</f>
        <v/>
      </c>
      <c r="O9" s="59">
        <f>($C$7*[1]Params!K11)</f>
        <v/>
      </c>
      <c r="P9" s="59">
        <f>(O9*N9)</f>
        <v/>
      </c>
      <c r="R9" s="18">
        <f>SUM(B9,B12,B13,B16)</f>
        <v/>
      </c>
      <c r="S9" s="59" t="n">
        <v>0</v>
      </c>
      <c r="T9" s="59">
        <f>SUM(D9,D12,D13,D16)</f>
        <v/>
      </c>
      <c r="U9" t="inlineStr">
        <is>
          <t>DCA2*</t>
        </is>
      </c>
    </row>
    <row r="10">
      <c r="B10" s="18" t="n">
        <v>-2.44</v>
      </c>
      <c r="C10" s="59">
        <f>(D10/B10)</f>
        <v/>
      </c>
      <c r="D10" s="59" t="n">
        <v>-2.64426302</v>
      </c>
      <c r="O10" s="59" t="n"/>
      <c r="P10" s="59" t="n"/>
      <c r="R10" s="18">
        <f>SUM(B10,B11,B14,B15)</f>
        <v/>
      </c>
      <c r="S10" s="59" t="n">
        <v>0</v>
      </c>
      <c r="T10" s="59">
        <f>SUM(D10,D11,D14,D15)</f>
        <v/>
      </c>
      <c r="U10" t="inlineStr">
        <is>
          <t>*</t>
        </is>
      </c>
    </row>
    <row r="11">
      <c r="B11" s="18" t="n">
        <v>-2.44</v>
      </c>
      <c r="C11" s="59">
        <f>(D11/B11)</f>
        <v/>
      </c>
      <c r="D11" s="59" t="n">
        <v>-3.18898028</v>
      </c>
      <c r="O11" s="59" t="n"/>
      <c r="P11" s="59">
        <f>(SUM(P6:P9))</f>
        <v/>
      </c>
      <c r="R11" s="18" t="n"/>
      <c r="S11" s="59" t="n"/>
      <c r="T11" s="59" t="n"/>
    </row>
    <row r="12">
      <c r="B12" s="18" t="n">
        <v>-2.72</v>
      </c>
      <c r="C12" s="59">
        <f>(D12/B12)</f>
        <v/>
      </c>
      <c r="D12" s="59" t="n">
        <v>-4.01642344</v>
      </c>
      <c r="O12" s="59" t="n"/>
      <c r="P12" s="59" t="n"/>
      <c r="S12" s="59" t="n"/>
      <c r="T12" s="59" t="n"/>
    </row>
    <row r="13">
      <c r="B13" s="18" t="n">
        <v>3.02232854</v>
      </c>
      <c r="C13" s="59">
        <f>(D13/B13)</f>
        <v/>
      </c>
      <c r="D13" s="59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9" t="n"/>
      <c r="T13" s="59" t="n"/>
    </row>
    <row r="14">
      <c r="B14" s="18" t="n">
        <v>2.71232876</v>
      </c>
      <c r="C14" s="59">
        <f>(D14/B14)</f>
        <v/>
      </c>
      <c r="D14" s="59" t="n">
        <v>2.97</v>
      </c>
      <c r="M14" t="inlineStr">
        <is>
          <t>Objectif</t>
        </is>
      </c>
      <c r="N14" s="18">
        <f>($B$5+$R$10)/5</f>
        <v/>
      </c>
      <c r="O14" s="59">
        <f>($C$5*[1]Params!K8)</f>
        <v/>
      </c>
      <c r="P14" s="59">
        <f>(O14*N14)</f>
        <v/>
      </c>
      <c r="S14" s="59" t="n"/>
      <c r="T14" s="59" t="n"/>
    </row>
    <row r="15">
      <c r="B15" s="18">
        <f>2.44/0.9</f>
        <v/>
      </c>
      <c r="C15" s="59" t="n">
        <v>0.847152</v>
      </c>
      <c r="D15" s="59">
        <f>B15*C15</f>
        <v/>
      </c>
      <c r="N15" s="18">
        <f>($B$5+$R$10)/5</f>
        <v/>
      </c>
      <c r="O15" s="59">
        <f>($C$5*[1]Params!K9)</f>
        <v/>
      </c>
      <c r="P15" s="59">
        <f>(O15*N15)</f>
        <v/>
      </c>
      <c r="S15" s="59" t="n"/>
      <c r="T15" s="59" t="n"/>
    </row>
    <row r="16">
      <c r="B16" s="18">
        <f>4.11968757-B15</f>
        <v/>
      </c>
      <c r="C16" s="59" t="n">
        <v>0.847152</v>
      </c>
      <c r="D16" s="59">
        <f>B16*C16</f>
        <v/>
      </c>
      <c r="N16" s="18">
        <f>($B$5+$R$10)/5</f>
        <v/>
      </c>
      <c r="O16" s="59">
        <f>($C$5*[1]Params!K10)</f>
        <v/>
      </c>
      <c r="P16" s="59">
        <f>(O16*N16)</f>
        <v/>
      </c>
      <c r="S16" s="59" t="n"/>
      <c r="T16" s="59" t="n"/>
    </row>
    <row r="17">
      <c r="B17" s="18" t="n"/>
      <c r="F17" t="inlineStr">
        <is>
          <t>Moy</t>
        </is>
      </c>
      <c r="G17" s="59">
        <f>(D18/B18)</f>
        <v/>
      </c>
      <c r="N17" s="18">
        <f>($B$5+$R$10)/5</f>
        <v/>
      </c>
      <c r="O17" s="59">
        <f>($C$5*[1]Params!K11)</f>
        <v/>
      </c>
      <c r="P17" s="59">
        <f>(O17*N17)</f>
        <v/>
      </c>
      <c r="R17">
        <f>(SUM(R5:R12))</f>
        <v/>
      </c>
      <c r="S17" s="59" t="n"/>
      <c r="T17" s="59">
        <f>(SUM(T5:T12))</f>
        <v/>
      </c>
    </row>
    <row r="18">
      <c r="B18" s="18">
        <f>(SUM(B5:B17))</f>
        <v/>
      </c>
      <c r="D18" s="59">
        <f>(SUM(D5:D17))</f>
        <v/>
      </c>
      <c r="O18" s="59" t="n"/>
      <c r="P18" s="59" t="n"/>
    </row>
    <row r="19">
      <c r="O19" s="59" t="n"/>
      <c r="P19" s="59" t="n"/>
    </row>
    <row r="20">
      <c r="O20" s="59" t="n"/>
      <c r="P20" s="59">
        <f>(SUM(P14:P17))</f>
        <v/>
      </c>
    </row>
    <row r="21"/>
    <row r="22"/>
    <row r="23"/>
    <row r="24"/>
    <row r="25"/>
    <row r="26"/>
    <row r="27">
      <c r="H27" s="60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S41" sqref="S41"/>
    </sheetView>
  </sheetViews>
  <sheetFormatPr baseColWidth="10" defaultColWidth="9.140625" defaultRowHeight="15"/>
  <cols>
    <col width="9.140625" customWidth="1" style="25" min="1" max="3"/>
    <col width="10.28515625" bestFit="1" customWidth="1" style="25" min="4" max="4"/>
    <col width="9.140625" customWidth="1" style="25" min="5" max="8"/>
    <col width="12.42578125" bestFit="1" customWidth="1" style="25" min="9" max="9"/>
    <col width="9.140625" customWidth="1" style="25" min="10" max="13"/>
    <col width="10.140625" bestFit="1" customWidth="1" style="25" min="14" max="14"/>
    <col width="11.28515625" bestFit="1" customWidth="1" style="25" min="15" max="15"/>
    <col width="9.140625" customWidth="1" style="25" min="16" max="384"/>
    <col width="9.140625" customWidth="1" style="25" min="385" max="16384"/>
  </cols>
  <sheetData>
    <row r="1"/>
    <row r="2"/>
    <row r="3">
      <c r="I3" t="inlineStr">
        <is>
          <t>Actual Price :</t>
        </is>
      </c>
      <c r="J3" s="80" t="n">
        <v>0.03269086287950593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(B10*J3)</f>
        <v/>
      </c>
      <c r="K4" s="4">
        <f>(J4/D10-1)</f>
        <v/>
      </c>
    </row>
    <row r="5">
      <c r="B5" s="70" t="n">
        <v>64.74873341</v>
      </c>
      <c r="C5" s="80">
        <f>(D5/B5)</f>
        <v/>
      </c>
      <c r="D5" s="59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2" t="n">
        <v>0.06945970999999999</v>
      </c>
      <c r="C6" s="62" t="n">
        <v>0</v>
      </c>
      <c r="D6" s="63">
        <f>(B6*C6)</f>
        <v/>
      </c>
      <c r="E6" s="59">
        <f>(B6*J3)</f>
        <v/>
      </c>
      <c r="M6" t="inlineStr">
        <is>
          <t>Objectif</t>
        </is>
      </c>
      <c r="N6" s="70">
        <f>($B$10/5)</f>
        <v/>
      </c>
      <c r="O6" s="80">
        <f>($C$5*[1]Params!K8)</f>
        <v/>
      </c>
      <c r="P6" s="59">
        <f>(O6*N6)</f>
        <v/>
      </c>
    </row>
    <row r="7">
      <c r="B7" s="70" t="n"/>
      <c r="C7" s="59" t="n"/>
      <c r="D7" s="61" t="n"/>
      <c r="E7" s="59" t="n"/>
      <c r="N7" s="70">
        <f>($B$10/5)</f>
        <v/>
      </c>
      <c r="O7" s="80">
        <f>($C$5*[1]Params!K9)</f>
        <v/>
      </c>
      <c r="P7" s="59">
        <f>(O7*N7)</f>
        <v/>
      </c>
    </row>
    <row r="8">
      <c r="N8" s="70">
        <f>($B$10/5)</f>
        <v/>
      </c>
      <c r="O8" s="80">
        <f>($C$5*[1]Params!K10)</f>
        <v/>
      </c>
      <c r="P8" s="59">
        <f>(O8*N8)</f>
        <v/>
      </c>
    </row>
    <row r="9">
      <c r="F9" t="inlineStr">
        <is>
          <t>Moy</t>
        </is>
      </c>
      <c r="G9" s="59">
        <f>(D10/B10)</f>
        <v/>
      </c>
      <c r="N9" s="70">
        <f>($B$10/5)</f>
        <v/>
      </c>
      <c r="O9" s="80">
        <f>($C$5*[1]Params!K11)</f>
        <v/>
      </c>
      <c r="P9" s="59">
        <f>(O9*N9)</f>
        <v/>
      </c>
    </row>
    <row r="10">
      <c r="B10" s="70">
        <f>(SUM(B5:B9))</f>
        <v/>
      </c>
      <c r="D10" s="59">
        <f>(SUM(D5:D9))</f>
        <v/>
      </c>
    </row>
    <row r="11">
      <c r="P11" s="59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23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V30"/>
  <sheetViews>
    <sheetView workbookViewId="0">
      <selection activeCell="O28" sqref="O28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140625" customWidth="1" style="25" min="18" max="22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80" t="n">
        <v>1.272575348012241</v>
      </c>
      <c r="M3" t="inlineStr">
        <is>
          <t>Objectif :</t>
        </is>
      </c>
      <c r="N3" s="23">
        <f>(INDEX(N5:N33,MATCH(MAX(O6:O7),O5:O33,0))/0.85)</f>
        <v/>
      </c>
      <c r="O3" s="60">
        <f>(MAX(O6:O7)*0.75)</f>
        <v/>
      </c>
      <c r="P3" s="5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70" t="n">
        <v>52.2477</v>
      </c>
      <c r="C5" s="59">
        <f>(D5/B5)</f>
        <v/>
      </c>
      <c r="D5" s="59" t="n">
        <v>39.59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70">
        <f>(B5)</f>
        <v/>
      </c>
      <c r="S5" s="59">
        <f>(T5/R5)</f>
        <v/>
      </c>
      <c r="T5" s="59">
        <f>(D5)</f>
        <v/>
      </c>
    </row>
    <row r="6">
      <c r="B6" s="82" t="n">
        <v>0.35225087</v>
      </c>
      <c r="C6" s="62" t="n">
        <v>0</v>
      </c>
      <c r="D6" s="63">
        <f>(B6*C6)</f>
        <v/>
      </c>
      <c r="E6" s="59">
        <f>(B6*J3)</f>
        <v/>
      </c>
      <c r="M6" t="inlineStr">
        <is>
          <t>Objectif</t>
        </is>
      </c>
      <c r="N6" s="70">
        <f>-B8</f>
        <v/>
      </c>
      <c r="O6" s="59">
        <f>($C$5*[1]Params!K8)</f>
        <v/>
      </c>
      <c r="P6" s="59">
        <f>-D8</f>
        <v/>
      </c>
      <c r="Q6" t="inlineStr">
        <is>
          <t>Done</t>
        </is>
      </c>
      <c r="R6" s="82" t="n">
        <v>0.33622555</v>
      </c>
      <c r="S6" s="62" t="n">
        <v>0</v>
      </c>
      <c r="T6" s="63">
        <f>(R6*S6)</f>
        <v/>
      </c>
      <c r="U6" s="59">
        <f>(E6)</f>
        <v/>
      </c>
    </row>
    <row r="7">
      <c r="B7" s="70" t="n">
        <v>2.381</v>
      </c>
      <c r="C7" s="59" t="n">
        <v>0</v>
      </c>
      <c r="D7" s="61">
        <f>(B7*C7)</f>
        <v/>
      </c>
      <c r="E7" s="59">
        <f>(B7*J3)</f>
        <v/>
      </c>
      <c r="N7" s="70">
        <f>-B9</f>
        <v/>
      </c>
      <c r="O7" s="59">
        <f>P7/N7</f>
        <v/>
      </c>
      <c r="P7" s="59">
        <f>-D9</f>
        <v/>
      </c>
      <c r="Q7" t="inlineStr">
        <is>
          <t>Done</t>
        </is>
      </c>
      <c r="R7" s="70">
        <f>(B7)</f>
        <v/>
      </c>
      <c r="S7" s="59" t="n">
        <v>0</v>
      </c>
      <c r="T7" s="61">
        <f>(D7)</f>
        <v/>
      </c>
    </row>
    <row r="8">
      <c r="B8" s="70" t="n">
        <v>-10.99</v>
      </c>
      <c r="C8" s="60">
        <f>D8/B8</f>
        <v/>
      </c>
      <c r="D8" s="59">
        <f>-12.41601718</f>
        <v/>
      </c>
      <c r="N8" s="70">
        <f>3*($B$13+$N$7+$N$6)/5-N7-N6</f>
        <v/>
      </c>
      <c r="O8" s="59">
        <f>($C$5*[1]Params!K10)</f>
        <v/>
      </c>
      <c r="P8" s="59">
        <f>N8*O8</f>
        <v/>
      </c>
      <c r="R8" s="70">
        <f>B8</f>
        <v/>
      </c>
      <c r="S8" s="59">
        <f>T8/R8</f>
        <v/>
      </c>
      <c r="T8" s="59">
        <f>D8</f>
        <v/>
      </c>
      <c r="V8" s="60" t="n"/>
    </row>
    <row r="9">
      <c r="B9" s="70" t="n">
        <v>-10.99</v>
      </c>
      <c r="C9" s="60">
        <f>D9/B9</f>
        <v/>
      </c>
      <c r="D9" s="59" t="n">
        <v>-13.55613194</v>
      </c>
      <c r="N9" s="70">
        <f>($B$13+$N$7+$N$6)/5</f>
        <v/>
      </c>
      <c r="O9" s="59">
        <f>($C$5*[1]Params!K11)</f>
        <v/>
      </c>
      <c r="P9" s="59">
        <f>(O9*N9)</f>
        <v/>
      </c>
      <c r="R9" s="70">
        <f>B9</f>
        <v/>
      </c>
      <c r="S9" s="59">
        <f>T9/R9</f>
        <v/>
      </c>
      <c r="T9" s="59">
        <f>D9</f>
        <v/>
      </c>
      <c r="U9" s="59" t="n"/>
      <c r="V9" s="60" t="n"/>
    </row>
    <row r="10">
      <c r="B10" s="70" t="n">
        <v>-11</v>
      </c>
      <c r="C10" s="60">
        <f>D10/B10</f>
        <v/>
      </c>
      <c r="D10" s="59">
        <f>-18.46116585</f>
        <v/>
      </c>
      <c r="R10" s="70">
        <f>B10+B11</f>
        <v/>
      </c>
      <c r="S10" s="59" t="n">
        <v>0</v>
      </c>
      <c r="T10" s="59">
        <f>D10+D11</f>
        <v/>
      </c>
      <c r="U10" s="59">
        <f>-T10+R10*J3</f>
        <v/>
      </c>
      <c r="V10" s="60" t="n"/>
    </row>
    <row r="11">
      <c r="B11" s="70" t="n">
        <v>13</v>
      </c>
      <c r="C11" s="59">
        <f>(D11/B11)</f>
        <v/>
      </c>
      <c r="D11" s="59" t="n">
        <v>16.10266887</v>
      </c>
      <c r="F11" t="inlineStr">
        <is>
          <t>Moy</t>
        </is>
      </c>
      <c r="G11" s="59">
        <f>(D13/B13)</f>
        <v/>
      </c>
      <c r="P11" s="59">
        <f>(SUM(P6:P9))</f>
        <v/>
      </c>
      <c r="R11" s="1" t="n"/>
      <c r="S11" s="59" t="n"/>
      <c r="T11" s="59" t="n"/>
      <c r="V11" s="60" t="n"/>
    </row>
    <row r="12">
      <c r="G12" s="59" t="n"/>
      <c r="P12" s="59" t="n"/>
      <c r="R12" s="1" t="n"/>
      <c r="S12" s="59" t="n"/>
      <c r="T12" s="59" t="n"/>
      <c r="V12" s="60" t="n"/>
    </row>
    <row r="13">
      <c r="B13" s="70">
        <f>(SUM(B5:B11))</f>
        <v/>
      </c>
      <c r="D13" s="59">
        <f>(SUM(D5:D11))</f>
        <v/>
      </c>
      <c r="R13" s="1" t="n"/>
      <c r="S13" s="59" t="n"/>
      <c r="T13" s="59" t="n"/>
    </row>
    <row r="14">
      <c r="R14" s="1" t="n"/>
      <c r="S14" s="59" t="n"/>
      <c r="T14" s="60" t="n"/>
    </row>
    <row r="15">
      <c r="R15" s="1" t="n"/>
      <c r="S15" s="59" t="n"/>
      <c r="T15" s="59" t="n"/>
    </row>
    <row r="16">
      <c r="R16" s="1" t="n"/>
      <c r="S16" s="59" t="n"/>
      <c r="T16" s="59" t="n"/>
    </row>
    <row r="17">
      <c r="S17" s="59" t="n"/>
      <c r="T17" s="59" t="n"/>
    </row>
    <row r="18">
      <c r="S18" s="59" t="n"/>
      <c r="T18" s="59" t="n"/>
    </row>
    <row r="19">
      <c r="S19" s="59" t="n"/>
      <c r="T19" s="59" t="n"/>
    </row>
    <row r="20">
      <c r="S20" s="59" t="n"/>
      <c r="T20" s="59" t="n"/>
    </row>
    <row r="21">
      <c r="S21" s="59" t="n"/>
      <c r="T21" s="59" t="n"/>
    </row>
    <row r="22">
      <c r="S22" s="59" t="n"/>
      <c r="T22" s="59" t="n"/>
    </row>
    <row r="23">
      <c r="S23" s="59" t="n"/>
      <c r="T23" s="59" t="n"/>
    </row>
    <row r="24">
      <c r="S24" s="59" t="n"/>
      <c r="T24" s="59" t="n"/>
    </row>
    <row r="25">
      <c r="J25" s="23" t="n"/>
      <c r="S25" s="59" t="n"/>
      <c r="T25" s="59" t="n"/>
    </row>
    <row r="26">
      <c r="S26" s="59" t="n"/>
      <c r="T26" s="59" t="n"/>
    </row>
    <row r="27">
      <c r="S27" s="59" t="n"/>
      <c r="T27" s="59" t="n"/>
    </row>
    <row r="28">
      <c r="S28" s="59" t="n"/>
      <c r="T28" s="59" t="n"/>
    </row>
    <row r="29">
      <c r="S29" s="59" t="n"/>
      <c r="T29" s="59" t="n"/>
    </row>
    <row r="30">
      <c r="R30" s="1">
        <f>(SUM(R5:R29))</f>
        <v/>
      </c>
      <c r="S30" s="59" t="n"/>
      <c r="T30" s="59">
        <f>(SUM(T5:T29))</f>
        <v/>
      </c>
    </row>
  </sheetData>
  <conditionalFormatting sqref="C5 G11 O8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C11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V35"/>
  <sheetViews>
    <sheetView workbookViewId="0">
      <selection activeCell="U13" sqref="U13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9" t="n">
        <v>3.788232014573082</v>
      </c>
      <c r="M3" t="inlineStr">
        <is>
          <t>Objectif :</t>
        </is>
      </c>
      <c r="N3" s="23">
        <f>(INDEX(N5:N34,MATCH(MAX(O6:O8,O14:O15),O5:O34,0))/0.85)</f>
        <v/>
      </c>
      <c r="O3" s="60">
        <f>(MAX(O6:O8,O14:O15)*0.75)</f>
        <v/>
      </c>
      <c r="P3" s="5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(B28*J3)</f>
        <v/>
      </c>
      <c r="K4" s="4">
        <f>(J4/D28-1)</f>
        <v/>
      </c>
      <c r="O4" s="59" t="n"/>
      <c r="P4" s="59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9">
        <f>(D5/B5)</f>
        <v/>
      </c>
      <c r="D5" s="59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9">
        <f>(T5/R5)</f>
        <v/>
      </c>
      <c r="T5" s="59">
        <f>(D5)</f>
        <v/>
      </c>
    </row>
    <row r="6">
      <c r="B6" s="1" t="n">
        <v>24.36636807</v>
      </c>
      <c r="C6" s="59">
        <f>(D6/B6)</f>
        <v/>
      </c>
      <c r="D6" s="59" t="n">
        <v>45.7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9">
        <f>P6/N6</f>
        <v/>
      </c>
      <c r="P6" s="59">
        <f>-D18</f>
        <v/>
      </c>
      <c r="Q6" t="inlineStr">
        <is>
          <t>Done</t>
        </is>
      </c>
      <c r="R6" s="1">
        <f>B6+B19+B21</f>
        <v/>
      </c>
      <c r="S6" s="59">
        <f>(T6/R6)</f>
        <v/>
      </c>
      <c r="T6" s="59">
        <f>D6+B19*1.74+B21*1.7718</f>
        <v/>
      </c>
      <c r="U6" s="59">
        <f>(E6)</f>
        <v/>
      </c>
    </row>
    <row r="7">
      <c r="B7" s="2" t="n">
        <v>0.10351666</v>
      </c>
      <c r="C7" s="62" t="n">
        <v>0</v>
      </c>
      <c r="D7" s="63" t="n">
        <v>0</v>
      </c>
      <c r="E7" s="60">
        <f>B7*J3</f>
        <v/>
      </c>
      <c r="N7" s="1">
        <f>-B20</f>
        <v/>
      </c>
      <c r="O7" s="59">
        <f>($C$5*[1]Params!K9)</f>
        <v/>
      </c>
      <c r="P7" s="59">
        <f>(O7*N7)</f>
        <v/>
      </c>
      <c r="Q7" t="inlineStr">
        <is>
          <t>Done</t>
        </is>
      </c>
      <c r="R7" s="2">
        <f>(B7)</f>
        <v/>
      </c>
      <c r="S7" s="62" t="n">
        <v>0</v>
      </c>
      <c r="T7" s="63">
        <f>(D7)</f>
        <v/>
      </c>
    </row>
    <row r="8">
      <c r="B8" s="1" t="n">
        <v>-0.6</v>
      </c>
      <c r="C8" s="59">
        <f>(D8/B8)</f>
        <v/>
      </c>
      <c r="D8" s="59" t="n">
        <v>-1.15882087</v>
      </c>
      <c r="N8" s="1">
        <f>-B26</f>
        <v/>
      </c>
      <c r="O8" s="59">
        <f>P8/N8</f>
        <v/>
      </c>
      <c r="P8" s="59">
        <f>-D26</f>
        <v/>
      </c>
      <c r="Q8" t="inlineStr">
        <is>
          <t>Done</t>
        </is>
      </c>
      <c r="R8" s="1">
        <f>B10+B13+B8+B17+B23+B24</f>
        <v/>
      </c>
      <c r="S8" s="59" t="n">
        <v>0</v>
      </c>
      <c r="T8" s="59">
        <f>(D10+D13+D8+D17+D23+D24)</f>
        <v/>
      </c>
      <c r="U8" t="inlineStr">
        <is>
          <t>DCA2*</t>
        </is>
      </c>
      <c r="V8" s="60">
        <f>-T8+R8*$J$3</f>
        <v/>
      </c>
    </row>
    <row r="9">
      <c r="B9" s="1" t="n">
        <v>-0.358</v>
      </c>
      <c r="C9" s="59">
        <f>(D9/B9)</f>
        <v/>
      </c>
      <c r="D9" s="59">
        <f>(-0.764+0.005)</f>
        <v/>
      </c>
      <c r="N9" s="1">
        <f>(($B$5+$R$9)/5)</f>
        <v/>
      </c>
      <c r="O9" s="59">
        <f>($C$5*[1]Params!K11)</f>
        <v/>
      </c>
      <c r="P9" s="59">
        <f>(O9*N9)</f>
        <v/>
      </c>
      <c r="R9" s="1">
        <f>(B12+B11+B9+B14+B15+B16+B22+B25)</f>
        <v/>
      </c>
      <c r="S9" s="59" t="n">
        <v>0</v>
      </c>
      <c r="T9" s="59">
        <f>(D12+D11+D9+D14)+D15+D16+D22+D25</f>
        <v/>
      </c>
      <c r="U9" t="inlineStr">
        <is>
          <t>Learn*</t>
        </is>
      </c>
      <c r="V9" s="60">
        <f>-T9+R9*$J$3</f>
        <v/>
      </c>
    </row>
    <row r="10">
      <c r="B10" s="1" t="n">
        <v>-0.6</v>
      </c>
      <c r="C10" s="59">
        <f>(D10/B10)</f>
        <v/>
      </c>
      <c r="D10" s="59" t="n">
        <v>-1.353</v>
      </c>
      <c r="N10" s="1" t="n"/>
      <c r="O10" s="59" t="n"/>
      <c r="P10" s="59" t="n"/>
      <c r="R10" s="1">
        <f>B18</f>
        <v/>
      </c>
      <c r="S10" s="59">
        <f>T10/R10</f>
        <v/>
      </c>
      <c r="T10" s="59">
        <f>D18</f>
        <v/>
      </c>
      <c r="U10" t="inlineStr">
        <is>
          <t>Learn 1/5</t>
        </is>
      </c>
    </row>
    <row r="11">
      <c r="B11" s="1" t="n">
        <v>-0.357420357420357</v>
      </c>
      <c r="C11" s="59">
        <f>(D11/B11)</f>
        <v/>
      </c>
      <c r="D11" s="59" t="n">
        <v>-0.895829</v>
      </c>
      <c r="N11" s="1" t="n"/>
      <c r="O11" s="59" t="n"/>
      <c r="P11" s="59">
        <f>(SUM(P6:P9))</f>
        <v/>
      </c>
      <c r="R11" s="1">
        <f>B19-B19</f>
        <v/>
      </c>
      <c r="S11" s="59" t="n">
        <v>0</v>
      </c>
      <c r="T11" s="60">
        <f>D19-B19*1.74</f>
        <v/>
      </c>
    </row>
    <row r="12">
      <c r="B12" s="1" t="n">
        <v>0.388533371311533</v>
      </c>
      <c r="C12" s="59">
        <f>(D12/B12)</f>
        <v/>
      </c>
      <c r="D12" s="59" t="n">
        <v>0.84983</v>
      </c>
      <c r="N12" s="1" t="n"/>
      <c r="O12" s="59" t="n"/>
      <c r="P12" s="59" t="n"/>
      <c r="R12" s="1">
        <f>B20</f>
        <v/>
      </c>
      <c r="S12" s="59">
        <f>T12/R12</f>
        <v/>
      </c>
      <c r="T12" s="59">
        <f>D20</f>
        <v/>
      </c>
      <c r="U12" t="inlineStr">
        <is>
          <t>Learn 2/5</t>
        </is>
      </c>
    </row>
    <row r="13">
      <c r="B13" s="1" t="n">
        <v>0.66773927</v>
      </c>
      <c r="C13" s="59">
        <f>(D13/B13)</f>
        <v/>
      </c>
      <c r="D13" s="59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1">
        <f>B21-B21</f>
        <v/>
      </c>
      <c r="S13" s="59" t="n">
        <v>0</v>
      </c>
      <c r="T13" s="59">
        <f>D21-B21*1.7718</f>
        <v/>
      </c>
    </row>
    <row r="14">
      <c r="B14" s="1" t="n">
        <v>0.393802115862377</v>
      </c>
      <c r="C14" s="59">
        <f>(D14/B14)</f>
        <v/>
      </c>
      <c r="D14" s="59" t="n">
        <v>0.696157</v>
      </c>
      <c r="M14" t="inlineStr">
        <is>
          <t>Objectif</t>
        </is>
      </c>
      <c r="N14" s="1">
        <f>-B19</f>
        <v/>
      </c>
      <c r="O14" s="59">
        <f>P14/N14</f>
        <v/>
      </c>
      <c r="P14" s="59">
        <f>-D19</f>
        <v/>
      </c>
      <c r="Q14" t="inlineStr">
        <is>
          <t>Done</t>
        </is>
      </c>
      <c r="R14" s="1">
        <f>-N8</f>
        <v/>
      </c>
      <c r="S14" s="59">
        <f>T14/R14</f>
        <v/>
      </c>
      <c r="T14" s="59">
        <f>-P8</f>
        <v/>
      </c>
      <c r="U14" t="inlineStr">
        <is>
          <t>Learn 3/5</t>
        </is>
      </c>
    </row>
    <row r="15">
      <c r="B15" s="1" t="n">
        <v>-0.364896073903002</v>
      </c>
      <c r="C15" s="59">
        <f>(D15/B15)</f>
        <v/>
      </c>
      <c r="D15" s="59" t="n">
        <v>-0.767007</v>
      </c>
      <c r="N15" s="1">
        <f>-B21</f>
        <v/>
      </c>
      <c r="O15" s="59">
        <f>P15/N15</f>
        <v/>
      </c>
      <c r="P15" s="59">
        <f>-D21</f>
        <v/>
      </c>
      <c r="Q15" t="inlineStr">
        <is>
          <t>Done</t>
        </is>
      </c>
      <c r="R15" s="1" t="n"/>
      <c r="S15" s="59" t="n"/>
      <c r="T15" s="59" t="n"/>
      <c r="U15" s="60" t="n"/>
    </row>
    <row r="16">
      <c r="B16" s="1" t="n">
        <v>0.419286856535433</v>
      </c>
      <c r="C16" s="59">
        <f>(D16/B16)</f>
        <v/>
      </c>
      <c r="D16" s="59" t="n">
        <v>0.709744</v>
      </c>
      <c r="N16" s="1">
        <f>3*(($B$6+$R$8+$R$7)/5)-$N$15-$N$14</f>
        <v/>
      </c>
      <c r="O16" s="59">
        <f>($S$6*[1]Params!K10)</f>
        <v/>
      </c>
      <c r="P16" s="59">
        <f>(O16*N16)</f>
        <v/>
      </c>
      <c r="S16" s="59" t="n"/>
      <c r="T16" s="59" t="n"/>
    </row>
    <row r="17">
      <c r="B17" s="1" t="n">
        <v>0.668076</v>
      </c>
      <c r="C17" s="59">
        <f>(D17/B17)</f>
        <v/>
      </c>
      <c r="D17" s="59" t="n">
        <v>1.1</v>
      </c>
      <c r="N17" s="1">
        <f>3*(($B$6+$R$8+$R$7)/5)-$N$15-$N$14</f>
        <v/>
      </c>
      <c r="O17" s="59">
        <f>($S$6*[1]Params!K11)</f>
        <v/>
      </c>
      <c r="P17" s="59">
        <f>(O17*N17)</f>
        <v/>
      </c>
      <c r="S17" s="59" t="n"/>
      <c r="T17" s="59" t="n"/>
    </row>
    <row r="18">
      <c r="B18" s="1" t="n">
        <v>-0.377697841726618</v>
      </c>
      <c r="C18" s="59">
        <f>(D18/B18)</f>
        <v/>
      </c>
      <c r="D18" s="59" t="n">
        <v>-0.82209</v>
      </c>
      <c r="E18">
        <f>U10</f>
        <v/>
      </c>
      <c r="N18" s="1" t="n"/>
      <c r="O18" s="59" t="n"/>
      <c r="P18" s="59" t="n"/>
      <c r="S18" s="59" t="n"/>
      <c r="T18" s="59" t="n"/>
    </row>
    <row r="19">
      <c r="B19" s="1" t="n">
        <v>-4.3</v>
      </c>
      <c r="C19" s="59">
        <f>(D19/B19)</f>
        <v/>
      </c>
      <c r="D19" s="59" t="n">
        <v>-10.15814138</v>
      </c>
      <c r="O19" s="59" t="n"/>
      <c r="P19" s="59">
        <f>(SUM(P14:P17))</f>
        <v/>
      </c>
      <c r="S19" s="59" t="n"/>
      <c r="T19" s="59" t="n"/>
    </row>
    <row r="20">
      <c r="B20" s="1" t="n">
        <v>-0.37687523</v>
      </c>
      <c r="C20" s="59">
        <f>(D20/B20)</f>
        <v/>
      </c>
      <c r="D20" s="59">
        <f>-1.008661</f>
        <v/>
      </c>
      <c r="O20" s="59" t="n"/>
      <c r="P20" s="59" t="n"/>
      <c r="S20" s="59" t="n"/>
      <c r="T20" s="59" t="n"/>
    </row>
    <row r="21">
      <c r="B21" s="1" t="n">
        <v>-4.53</v>
      </c>
      <c r="C21" s="59">
        <f>D21/B21</f>
        <v/>
      </c>
      <c r="D21" s="59" t="n">
        <v>-13.0025235</v>
      </c>
      <c r="O21" s="59" t="n"/>
      <c r="P21" s="59" t="n"/>
      <c r="S21" s="59" t="n"/>
      <c r="T21" s="59" t="n"/>
    </row>
    <row r="22">
      <c r="B22" s="1" t="n">
        <v>-0.37933818</v>
      </c>
      <c r="C22" s="59">
        <f>D22/B22</f>
        <v/>
      </c>
      <c r="D22" s="59" t="n">
        <v>-1.381056</v>
      </c>
      <c r="O22" s="59" t="n"/>
      <c r="P22" s="59" t="n"/>
      <c r="S22" s="59" t="n"/>
      <c r="T22" s="59" t="n"/>
    </row>
    <row r="23">
      <c r="B23" s="1" t="n">
        <v>-4.82</v>
      </c>
      <c r="C23" s="59">
        <f>D23/B23</f>
        <v/>
      </c>
      <c r="D23" s="59">
        <f>-18.93992355</f>
        <v/>
      </c>
      <c r="O23" s="59" t="n"/>
      <c r="P23" s="59" t="n"/>
      <c r="S23" s="59" t="n"/>
      <c r="T23" s="59" t="n"/>
    </row>
    <row r="24">
      <c r="B24" s="1">
        <f>5.7*0.999</f>
        <v/>
      </c>
      <c r="C24" s="59">
        <f>(D24/B24)</f>
        <v/>
      </c>
      <c r="D24" s="59" t="n">
        <v>16.4103</v>
      </c>
      <c r="O24" s="59" t="n"/>
      <c r="P24" s="59" t="n"/>
      <c r="S24" s="59" t="n"/>
      <c r="T24" s="59" t="n"/>
    </row>
    <row r="25">
      <c r="B25" s="1" t="n">
        <v>0.446786248131539</v>
      </c>
      <c r="C25" s="59">
        <f>(D25/B25)</f>
        <v/>
      </c>
      <c r="D25" s="59" t="n">
        <v>1.22</v>
      </c>
      <c r="O25" s="59" t="n"/>
      <c r="P25" s="59" t="n"/>
      <c r="S25" s="59" t="n"/>
      <c r="T25" s="59" t="n"/>
    </row>
    <row r="26">
      <c r="B26" s="1" t="n">
        <v>-0.383597883597883</v>
      </c>
      <c r="C26" s="59">
        <f>D26/B26</f>
        <v/>
      </c>
      <c r="D26" s="59" t="n">
        <v>-1.419872</v>
      </c>
      <c r="O26" s="59" t="n"/>
      <c r="P26" s="59" t="n"/>
      <c r="S26" s="59" t="n"/>
      <c r="T26" s="59" t="n"/>
    </row>
    <row r="27">
      <c r="C27" s="59" t="n"/>
      <c r="D27" s="59" t="n"/>
      <c r="F27" t="inlineStr">
        <is>
          <t>Moy</t>
        </is>
      </c>
      <c r="G27" s="59">
        <f>(D28/B28)</f>
        <v/>
      </c>
      <c r="S27" s="59" t="n"/>
      <c r="T27" s="59" t="n"/>
    </row>
    <row r="28">
      <c r="B28" s="1">
        <f>(SUM(B5:B27))</f>
        <v/>
      </c>
      <c r="C28" s="59" t="n"/>
      <c r="D28" s="59">
        <f>(SUM(D5:D27))</f>
        <v/>
      </c>
      <c r="S28" s="59" t="n"/>
      <c r="T28" s="59" t="n"/>
    </row>
    <row r="29">
      <c r="S29" s="59" t="n"/>
      <c r="T29" s="59" t="n"/>
    </row>
    <row r="30">
      <c r="S30" s="59" t="n"/>
      <c r="T30" s="59" t="n"/>
    </row>
    <row r="31">
      <c r="R31" s="1">
        <f>(SUM(R5:R30))</f>
        <v/>
      </c>
      <c r="S31" s="59" t="n"/>
      <c r="T31" s="59">
        <f>(SUM(T5:T30))</f>
        <v/>
      </c>
    </row>
    <row r="32"/>
    <row r="33"/>
    <row r="34"/>
    <row r="35">
      <c r="K35" s="60" t="n"/>
    </row>
  </sheetData>
  <conditionalFormatting sqref="C5:C6 C12:C14 C16:C17 O9 O16:O17 S5:S6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G2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24:C2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6"/>
  <sheetViews>
    <sheetView topLeftCell="A13" zoomScale="85" zoomScaleNormal="85" workbookViewId="0">
      <selection activeCell="E237" sqref="E237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25" min="3" max="3"/>
    <col width="10.28515625" bestFit="1" customWidth="1" style="25" min="4" max="4"/>
    <col width="12.28515625" bestFit="1" customWidth="1" style="25" min="5" max="5"/>
    <col width="13.85546875" bestFit="1" customWidth="1" style="25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8">
        <f>(C235)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67" t="n">
        <v>44537</v>
      </c>
      <c r="C32" s="18" t="n">
        <v>235</v>
      </c>
      <c r="D32" s="18">
        <f>4.6*M3</f>
        <v/>
      </c>
      <c r="E32" s="18">
        <f>50000*N3</f>
        <v/>
      </c>
    </row>
    <row r="33">
      <c r="B33" s="67" t="n">
        <v>44538</v>
      </c>
      <c r="C33" s="18" t="n">
        <v>272.32</v>
      </c>
      <c r="D33" s="18">
        <f>5.2*M3</f>
        <v/>
      </c>
      <c r="E33" s="18">
        <f>50500*N3</f>
        <v/>
      </c>
    </row>
    <row r="34">
      <c r="B34" s="67" t="n">
        <v>44539</v>
      </c>
      <c r="C34" s="18" t="n">
        <v>259.28</v>
      </c>
      <c r="D34" s="18">
        <f>4.8*M3</f>
        <v/>
      </c>
      <c r="E34" s="18">
        <f>47800*N3</f>
        <v/>
      </c>
    </row>
    <row r="35">
      <c r="B35" s="67" t="n">
        <v>44540</v>
      </c>
      <c r="C35" s="18" t="n">
        <v>255</v>
      </c>
      <c r="D35" s="18">
        <f>4.68*M3</f>
        <v/>
      </c>
      <c r="E35" s="18">
        <f>48150*N3</f>
        <v/>
      </c>
    </row>
    <row r="36">
      <c r="B36" s="67" t="n">
        <v>44541</v>
      </c>
      <c r="C36" s="18" t="n">
        <v>251.56</v>
      </c>
      <c r="D36" s="18">
        <f>4.55*M3</f>
        <v/>
      </c>
      <c r="E36" s="18">
        <f>48500*N3</f>
        <v/>
      </c>
    </row>
    <row r="37">
      <c r="B37" s="67" t="n">
        <v>44542</v>
      </c>
      <c r="C37" s="18" t="n">
        <v>251.63</v>
      </c>
      <c r="D37" s="18">
        <f>4.49*M3</f>
        <v/>
      </c>
      <c r="E37" s="18">
        <f>50200*N3</f>
        <v/>
      </c>
    </row>
    <row r="38">
      <c r="B38" s="67" t="n">
        <v>44543</v>
      </c>
      <c r="C38" s="18" t="n">
        <v>216.13</v>
      </c>
      <c r="D38" s="18">
        <f>3.6*M3</f>
        <v/>
      </c>
      <c r="E38" s="18">
        <f>47600*N3</f>
        <v/>
      </c>
    </row>
    <row r="39">
      <c r="B39" s="67" t="n">
        <v>44544</v>
      </c>
      <c r="C39" s="18" t="n">
        <v>232.52</v>
      </c>
      <c r="D39" s="18">
        <f>4.05*M3</f>
        <v/>
      </c>
      <c r="E39" s="18">
        <f>46660*N3</f>
        <v/>
      </c>
    </row>
    <row r="40">
      <c r="B40" s="67" t="n">
        <v>44545</v>
      </c>
      <c r="C40" s="18" t="n">
        <v>232.35</v>
      </c>
      <c r="D40" s="18">
        <f>4*M3</f>
        <v/>
      </c>
      <c r="E40" s="18">
        <f>47250*N3</f>
        <v/>
      </c>
    </row>
    <row r="41">
      <c r="B41" s="67" t="n">
        <v>44546</v>
      </c>
      <c r="C41" s="18" t="n">
        <v>232.2</v>
      </c>
      <c r="D41" s="18">
        <f>4*M3</f>
        <v/>
      </c>
      <c r="E41" s="18">
        <f>47830*N3</f>
        <v/>
      </c>
    </row>
    <row r="42">
      <c r="B42" s="67" t="n">
        <v>44547</v>
      </c>
      <c r="C42" s="18" t="n">
        <v>228</v>
      </c>
      <c r="D42" s="18">
        <f>3.8*M3</f>
        <v/>
      </c>
      <c r="E42" s="18">
        <f>47000*N3</f>
        <v/>
      </c>
    </row>
    <row r="43">
      <c r="B43" s="67" t="n">
        <v>44548</v>
      </c>
      <c r="C43" s="18" t="n">
        <v>224.35</v>
      </c>
      <c r="D43" s="18">
        <f>3.75*M3</f>
        <v/>
      </c>
      <c r="E43" s="18">
        <f>47000*N3</f>
        <v/>
      </c>
    </row>
    <row r="44">
      <c r="B44" s="67" t="n">
        <v>44549</v>
      </c>
      <c r="C44" s="18" t="n">
        <v>219.73</v>
      </c>
      <c r="D44" s="18">
        <f>3.62*M3</f>
        <v/>
      </c>
      <c r="E44" s="18">
        <f>47135*N3</f>
        <v/>
      </c>
    </row>
    <row r="45">
      <c r="B45" s="67" t="n">
        <v>44550</v>
      </c>
      <c r="C45" s="18" t="n">
        <v>210.32</v>
      </c>
      <c r="D45" s="18">
        <f>3.41*M3</f>
        <v/>
      </c>
      <c r="E45" s="18">
        <f>45600*N3</f>
        <v/>
      </c>
    </row>
    <row r="46">
      <c r="B46" s="67" t="n">
        <v>44551</v>
      </c>
      <c r="C46" s="18" t="n">
        <v>216</v>
      </c>
      <c r="D46" s="18">
        <f>3.48*M3</f>
        <v/>
      </c>
      <c r="E46" s="18">
        <f>47300*N3</f>
        <v/>
      </c>
    </row>
    <row r="47">
      <c r="B47" s="67" t="n">
        <v>44552</v>
      </c>
      <c r="C47" s="18" t="n">
        <v>222.58</v>
      </c>
      <c r="D47" s="18">
        <f>3.55*M3</f>
        <v/>
      </c>
      <c r="E47" s="18">
        <f>49000*N3</f>
        <v/>
      </c>
    </row>
    <row r="48">
      <c r="B48" s="67" t="n">
        <v>44553</v>
      </c>
      <c r="C48" s="18" t="n">
        <v>223.95</v>
      </c>
      <c r="D48" s="18">
        <f>3.38*M3</f>
        <v/>
      </c>
      <c r="E48" s="18">
        <f>51000*N3</f>
        <v/>
      </c>
    </row>
    <row r="49">
      <c r="B49" s="67" t="n">
        <v>44554</v>
      </c>
      <c r="C49" s="18" t="n">
        <v>233.46</v>
      </c>
      <c r="D49" s="18">
        <f>3.44*M3</f>
        <v/>
      </c>
      <c r="E49" s="18">
        <f>51100*N3</f>
        <v/>
      </c>
    </row>
    <row r="50">
      <c r="B50" s="67" t="n">
        <v>44555</v>
      </c>
      <c r="C50" s="18" t="n">
        <v>231.2</v>
      </c>
      <c r="D50" s="18">
        <f>3.44*M3</f>
        <v/>
      </c>
      <c r="E50" s="18">
        <f>50600*N3</f>
        <v/>
      </c>
    </row>
    <row r="51">
      <c r="B51" s="67" t="n">
        <v>44556</v>
      </c>
      <c r="C51" s="18" t="n">
        <v>233</v>
      </c>
      <c r="D51" s="18">
        <f>3.37*M3</f>
        <v/>
      </c>
      <c r="E51" s="18">
        <f>50000*N3</f>
        <v/>
      </c>
    </row>
    <row r="52">
      <c r="B52" s="67" t="n">
        <v>44557</v>
      </c>
      <c r="C52" s="18" t="n">
        <v>234.81</v>
      </c>
      <c r="D52" s="18">
        <f>3.3*M3</f>
        <v/>
      </c>
      <c r="E52" s="18">
        <f>50700*N3</f>
        <v/>
      </c>
    </row>
    <row r="53">
      <c r="B53" s="67" t="n">
        <v>44558</v>
      </c>
      <c r="C53" s="18" t="n">
        <v>227.26</v>
      </c>
      <c r="D53" s="18">
        <f>3.4*M3</f>
        <v/>
      </c>
      <c r="E53" s="18">
        <f>48000*N3</f>
        <v/>
      </c>
    </row>
    <row r="54">
      <c r="B54" s="67" t="n">
        <v>44559</v>
      </c>
      <c r="C54" s="18" t="n">
        <v>224.71</v>
      </c>
      <c r="D54" s="18">
        <f>3.31*M3</f>
        <v/>
      </c>
      <c r="E54" s="18">
        <f>47133*N3</f>
        <v/>
      </c>
    </row>
    <row r="55">
      <c r="B55" s="67" t="n">
        <v>44560</v>
      </c>
      <c r="C55" s="18" t="n">
        <v>223.77</v>
      </c>
      <c r="D55" s="18">
        <f>3.32*M3</f>
        <v/>
      </c>
      <c r="E55" s="18">
        <f>47500*N3</f>
        <v/>
      </c>
    </row>
    <row r="56">
      <c r="B56" s="67" t="n">
        <v>44561</v>
      </c>
      <c r="C56" s="18" t="n">
        <v>224.5</v>
      </c>
      <c r="D56" s="18">
        <f>3.33*M3</f>
        <v/>
      </c>
      <c r="E56" s="18">
        <f>47350*N3</f>
        <v/>
      </c>
    </row>
    <row r="57">
      <c r="B57" s="67" t="n">
        <v>44562</v>
      </c>
      <c r="C57" s="18" t="n">
        <v>225.2</v>
      </c>
      <c r="D57" s="18">
        <f>3.34*M3</f>
        <v/>
      </c>
      <c r="E57" s="18">
        <f>47120*N3</f>
        <v/>
      </c>
    </row>
    <row r="58">
      <c r="B58" s="67" t="n">
        <v>44563</v>
      </c>
      <c r="C58" s="18" t="n">
        <v>225.91</v>
      </c>
      <c r="D58" s="18">
        <f>3.35*M3</f>
        <v/>
      </c>
      <c r="E58" s="18">
        <f>47000*N3</f>
        <v/>
      </c>
    </row>
    <row r="59">
      <c r="B59" s="67" t="n">
        <v>44564</v>
      </c>
      <c r="C59" s="18">
        <f>230</f>
        <v/>
      </c>
      <c r="D59" s="18">
        <f>3.45*M3</f>
        <v/>
      </c>
      <c r="E59" s="18">
        <f>46750*N3</f>
        <v/>
      </c>
    </row>
    <row r="60">
      <c r="B60" s="67" t="n">
        <v>44565</v>
      </c>
      <c r="C60" s="18" t="n">
        <v>234.54</v>
      </c>
      <c r="D60" s="18">
        <f>3.56*M3</f>
        <v/>
      </c>
      <c r="E60" s="18">
        <f>46500*N3</f>
        <v/>
      </c>
    </row>
    <row r="61">
      <c r="B61" s="67" t="n">
        <v>44566</v>
      </c>
      <c r="C61" s="18" t="n">
        <v>231.39</v>
      </c>
      <c r="D61" s="18">
        <f>3.46*M3</f>
        <v/>
      </c>
      <c r="E61" s="18">
        <f>45800*N3</f>
        <v/>
      </c>
    </row>
    <row r="62">
      <c r="B62" s="67" t="n">
        <v>44567</v>
      </c>
      <c r="C62" s="18" t="n">
        <v>207</v>
      </c>
      <c r="D62" s="18">
        <f>3.05*M3</f>
        <v/>
      </c>
      <c r="E62" s="18">
        <f>43500*$N$3</f>
        <v/>
      </c>
    </row>
    <row r="63">
      <c r="B63" s="67" t="n">
        <v>44568</v>
      </c>
      <c r="C63" s="18" t="n">
        <v>200</v>
      </c>
      <c r="D63" s="18">
        <f>2.9*M3</f>
        <v/>
      </c>
      <c r="E63" s="18">
        <f>42900*$N$3</f>
        <v/>
      </c>
    </row>
    <row r="64">
      <c r="B64" s="67" t="n">
        <v>44569</v>
      </c>
      <c r="C64" s="18" t="n">
        <v>193</v>
      </c>
      <c r="D64" s="18">
        <f>2.8*M3</f>
        <v/>
      </c>
      <c r="E64" s="18">
        <f>42300*$N$3</f>
        <v/>
      </c>
    </row>
    <row r="65">
      <c r="B65" s="67" t="n">
        <v>44570</v>
      </c>
      <c r="C65" s="18" t="n">
        <v>189</v>
      </c>
      <c r="D65" s="18">
        <f>2.69*M3</f>
        <v/>
      </c>
      <c r="E65" s="18">
        <f>41800*N3</f>
        <v/>
      </c>
    </row>
    <row r="66">
      <c r="B66" s="67" t="n">
        <v>44571</v>
      </c>
      <c r="C66" s="18" t="n">
        <v>191</v>
      </c>
      <c r="D66" s="18">
        <f>2.7*M3</f>
        <v/>
      </c>
      <c r="E66" s="18">
        <f>42200*N3</f>
        <v/>
      </c>
    </row>
    <row r="67">
      <c r="B67" s="67" t="n">
        <v>44572</v>
      </c>
      <c r="C67" s="18" t="n">
        <v>196</v>
      </c>
      <c r="D67" s="18">
        <f>2.71*M3</f>
        <v/>
      </c>
      <c r="E67" s="18">
        <f>42800*N3</f>
        <v/>
      </c>
    </row>
    <row r="68">
      <c r="B68" s="67" t="n">
        <v>44573</v>
      </c>
      <c r="C68" s="18" t="n">
        <v>207.3</v>
      </c>
      <c r="D68" s="18">
        <f>2.95*M3</f>
        <v/>
      </c>
      <c r="E68" s="18">
        <f>43600*N3</f>
        <v/>
      </c>
    </row>
    <row r="69">
      <c r="B69" s="67" t="n">
        <v>44574</v>
      </c>
      <c r="C69" s="18" t="n">
        <v>206.2</v>
      </c>
      <c r="D69" s="18">
        <f>2.92*M3</f>
        <v/>
      </c>
      <c r="E69" s="18">
        <f>42840*N3</f>
        <v/>
      </c>
    </row>
    <row r="70">
      <c r="B70" s="67" t="n">
        <v>44575</v>
      </c>
      <c r="C70" s="18" t="n">
        <v>207.73</v>
      </c>
      <c r="D70" s="18">
        <f>2.97*M3</f>
        <v/>
      </c>
      <c r="E70" s="18">
        <f>43000*N3</f>
        <v/>
      </c>
    </row>
    <row r="71">
      <c r="B71" s="67" t="n">
        <v>44576</v>
      </c>
      <c r="C71" s="18" t="n">
        <v>210.75</v>
      </c>
      <c r="D71" s="18">
        <f>3.01*M3</f>
        <v/>
      </c>
      <c r="E71" s="18">
        <f>43330*N3</f>
        <v/>
      </c>
    </row>
    <row r="72">
      <c r="B72" s="67" t="n">
        <v>44577</v>
      </c>
      <c r="C72" s="18" t="n">
        <v>212.98</v>
      </c>
      <c r="D72" s="18">
        <f>3.07*M3</f>
        <v/>
      </c>
      <c r="E72" s="18">
        <f>43000*N3</f>
        <v/>
      </c>
    </row>
    <row r="73">
      <c r="B73" s="67" t="n">
        <v>44578</v>
      </c>
      <c r="C73" s="18" t="n">
        <v>209</v>
      </c>
      <c r="D73" s="18">
        <f>3.06*M3</f>
        <v/>
      </c>
      <c r="E73" s="18">
        <f>42100*N3</f>
        <v/>
      </c>
    </row>
    <row r="74">
      <c r="B74" s="67" t="n">
        <v>44579</v>
      </c>
      <c r="C74" s="18" t="n">
        <v>208.18</v>
      </c>
      <c r="D74" s="18">
        <f>3.01*M3</f>
        <v/>
      </c>
      <c r="E74" s="18">
        <f>42100*$N$3</f>
        <v/>
      </c>
    </row>
    <row r="75">
      <c r="B75" s="67" t="n">
        <v>44580</v>
      </c>
      <c r="C75" s="18" t="n">
        <v>210</v>
      </c>
      <c r="D75" s="18">
        <f>3.03*M3</f>
        <v/>
      </c>
      <c r="E75" s="18">
        <f>42100*$N$3</f>
        <v/>
      </c>
    </row>
    <row r="76">
      <c r="B76" s="67" t="n">
        <v>44581</v>
      </c>
      <c r="C76" s="18" t="n">
        <v>213</v>
      </c>
      <c r="D76" s="18">
        <f>3.06*M3</f>
        <v/>
      </c>
      <c r="E76" s="18">
        <f>43200*N3</f>
        <v/>
      </c>
    </row>
    <row r="77">
      <c r="B77" s="67" t="n">
        <v>44582</v>
      </c>
      <c r="C77" s="18" t="n">
        <v>181.65</v>
      </c>
      <c r="D77" s="18">
        <f>2.65*M3</f>
        <v/>
      </c>
      <c r="E77" s="18">
        <f>37000*N3</f>
        <v/>
      </c>
    </row>
    <row r="78">
      <c r="B78" s="67" t="n">
        <v>44583</v>
      </c>
      <c r="C78" s="18" t="n">
        <v>175</v>
      </c>
      <c r="D78" s="18">
        <f>2.55*M3</f>
        <v/>
      </c>
      <c r="E78" s="18">
        <f>36000*N3</f>
        <v/>
      </c>
    </row>
    <row r="79">
      <c r="B79" s="67" t="n">
        <v>44584</v>
      </c>
      <c r="C79" s="18" t="n">
        <v>167</v>
      </c>
      <c r="D79" s="18">
        <f>2.4*M3</f>
        <v/>
      </c>
      <c r="E79" s="18">
        <f>35200*N3</f>
        <v/>
      </c>
    </row>
    <row r="80">
      <c r="B80" s="67" t="n">
        <v>44585</v>
      </c>
      <c r="C80" s="18" t="n">
        <v>175</v>
      </c>
      <c r="D80" s="18">
        <f>2.4*M3</f>
        <v/>
      </c>
      <c r="E80" s="18">
        <f>36000*N3</f>
        <v/>
      </c>
    </row>
    <row r="81">
      <c r="B81" s="67" t="n">
        <v>44586</v>
      </c>
      <c r="C81" s="18" t="n">
        <v>181.45</v>
      </c>
      <c r="D81" s="18">
        <f>2.55*M3</f>
        <v/>
      </c>
      <c r="E81" s="18">
        <f>37350*N3</f>
        <v/>
      </c>
    </row>
    <row r="82">
      <c r="B82" s="67" t="n">
        <v>44587</v>
      </c>
      <c r="C82" s="18" t="n">
        <v>181</v>
      </c>
      <c r="D82" s="18">
        <f>2.55*$M$3</f>
        <v/>
      </c>
      <c r="E82" s="18">
        <f>37700*$N$3</f>
        <v/>
      </c>
    </row>
    <row r="83">
      <c r="B83" s="67" t="n">
        <v>44588</v>
      </c>
      <c r="C83" s="18" t="n">
        <v>181</v>
      </c>
      <c r="D83" s="18">
        <f>2.55*$M$3</f>
        <v/>
      </c>
      <c r="E83" s="18">
        <f>37700*$N$3</f>
        <v/>
      </c>
    </row>
    <row r="84">
      <c r="B84" s="67" t="n">
        <v>44589</v>
      </c>
      <c r="C84" s="18" t="n">
        <v>181</v>
      </c>
      <c r="D84" s="18">
        <f>2.55*$M$3</f>
        <v/>
      </c>
      <c r="E84" s="18">
        <f>37000*$N$3</f>
        <v/>
      </c>
    </row>
    <row r="85">
      <c r="B85" s="67" t="n">
        <v>44590</v>
      </c>
      <c r="C85" s="18" t="n">
        <v>181</v>
      </c>
      <c r="D85" s="18">
        <f>2.55*$M$3</f>
        <v/>
      </c>
      <c r="E85" s="18">
        <f>37700*$N$3</f>
        <v/>
      </c>
    </row>
    <row r="86">
      <c r="B86" s="67" t="n">
        <v>44591</v>
      </c>
      <c r="C86" s="18" t="n">
        <v>181</v>
      </c>
      <c r="D86" s="18">
        <f>2.54*$M$3</f>
        <v/>
      </c>
      <c r="E86" s="18">
        <f>38000*$N$3</f>
        <v/>
      </c>
    </row>
    <row r="87">
      <c r="B87" s="67" t="n">
        <v>44592</v>
      </c>
      <c r="C87" s="18" t="n">
        <v>181</v>
      </c>
      <c r="D87" s="18">
        <f>2.55*$M$3</f>
        <v/>
      </c>
      <c r="E87" s="18">
        <f>37700*$N$3</f>
        <v/>
      </c>
    </row>
    <row r="88">
      <c r="B88" s="67" t="n">
        <v>44593</v>
      </c>
      <c r="C88" s="18" t="n">
        <v>183</v>
      </c>
      <c r="D88" s="18">
        <f>2.55*$M$3</f>
        <v/>
      </c>
      <c r="E88" s="18">
        <f>38500*$N$3</f>
        <v/>
      </c>
    </row>
    <row r="89">
      <c r="B89" s="67" t="n">
        <v>44594</v>
      </c>
      <c r="C89" s="18" t="n">
        <v>181</v>
      </c>
      <c r="D89" s="18">
        <f>2.5*$M$3</f>
        <v/>
      </c>
      <c r="E89" s="18">
        <f>37000*$N$3</f>
        <v/>
      </c>
    </row>
    <row r="90">
      <c r="B90" s="67" t="n">
        <v>44595</v>
      </c>
      <c r="C90" s="18" t="n">
        <v>180.28</v>
      </c>
      <c r="D90" s="18">
        <f>2.46*$M$3</f>
        <v/>
      </c>
      <c r="E90" s="18">
        <f>37000*$N$3</f>
        <v/>
      </c>
    </row>
    <row r="91">
      <c r="B91" s="67" t="n">
        <v>44596</v>
      </c>
      <c r="C91" s="18" t="n">
        <v>190</v>
      </c>
      <c r="D91" s="18">
        <f>2.64*$M$3</f>
        <v/>
      </c>
      <c r="E91" s="18">
        <f>37000*N3</f>
        <v/>
      </c>
    </row>
    <row r="92">
      <c r="B92" s="67" t="n">
        <v>44597</v>
      </c>
      <c r="C92" s="18" t="n">
        <v>202.89</v>
      </c>
      <c r="D92" s="18">
        <f>2.72*$M$3</f>
        <v/>
      </c>
      <c r="E92" s="18">
        <f>40000*N3</f>
        <v/>
      </c>
    </row>
    <row r="93">
      <c r="B93" s="67" t="n">
        <v>44598</v>
      </c>
      <c r="C93" s="18" t="n">
        <v>205</v>
      </c>
      <c r="D93" s="18">
        <f>2.8*$M$3</f>
        <v/>
      </c>
      <c r="E93" s="18">
        <f>41500*N3</f>
        <v/>
      </c>
    </row>
    <row r="94">
      <c r="B94" s="67" t="n">
        <v>44599</v>
      </c>
      <c r="C94" s="18" t="n">
        <v>226.72</v>
      </c>
      <c r="D94" s="18">
        <f>3.23*$M$3</f>
        <v/>
      </c>
      <c r="E94" s="18">
        <f>42600*N3</f>
        <v/>
      </c>
    </row>
    <row r="95">
      <c r="B95" s="67" t="n">
        <v>44600</v>
      </c>
      <c r="C95" s="18" t="n">
        <v>230</v>
      </c>
      <c r="D95" s="18">
        <f>3.28*$M$3</f>
        <v/>
      </c>
      <c r="E95" s="18">
        <f>42800*$N$3</f>
        <v/>
      </c>
    </row>
    <row r="96">
      <c r="B96" s="67" t="n">
        <v>44601</v>
      </c>
      <c r="C96" s="18" t="n">
        <v>250</v>
      </c>
      <c r="D96" s="18">
        <f>3.4*$M$3</f>
        <v/>
      </c>
      <c r="E96" s="18">
        <f>44000*$N$3</f>
        <v/>
      </c>
    </row>
    <row r="97">
      <c r="B97" s="67" t="n">
        <v>44602</v>
      </c>
      <c r="C97" s="18" t="n">
        <v>255</v>
      </c>
      <c r="D97" s="18">
        <f>3.7*$M$3</f>
        <v/>
      </c>
      <c r="E97" s="18">
        <f>45000*$N$3</f>
        <v/>
      </c>
    </row>
    <row r="98">
      <c r="B98" s="67" t="n">
        <v>44603</v>
      </c>
      <c r="C98" s="18" t="n">
        <v>250</v>
      </c>
      <c r="D98" s="18">
        <f>3.6*$M$3</f>
        <v/>
      </c>
      <c r="E98" s="18">
        <f>43600*$N$3</f>
        <v/>
      </c>
    </row>
    <row r="99">
      <c r="B99" s="67" t="n">
        <v>44604</v>
      </c>
      <c r="C99" s="18" t="n">
        <v>245</v>
      </c>
      <c r="D99" s="18">
        <f>3.5*$M$3</f>
        <v/>
      </c>
      <c r="E99" s="18">
        <f>42300*$N$3</f>
        <v/>
      </c>
    </row>
    <row r="100">
      <c r="B100" s="67" t="n">
        <v>44605</v>
      </c>
      <c r="C100" s="18" t="n">
        <v>245</v>
      </c>
      <c r="D100" s="18">
        <f>3.5*$M$3</f>
        <v/>
      </c>
      <c r="E100" s="18">
        <f>42500*$N$3</f>
        <v/>
      </c>
    </row>
    <row r="101">
      <c r="B101" s="67" t="n">
        <v>44606</v>
      </c>
      <c r="C101" s="18" t="n">
        <v>238</v>
      </c>
      <c r="D101" s="18">
        <f>3.4*$M$3</f>
        <v/>
      </c>
      <c r="E101" s="18">
        <f>42000*$N$3</f>
        <v/>
      </c>
    </row>
    <row r="102">
      <c r="B102" s="67" t="n">
        <v>44607</v>
      </c>
      <c r="C102" s="18" t="n">
        <v>250</v>
      </c>
      <c r="D102" s="18">
        <f>3.61*M3</f>
        <v/>
      </c>
      <c r="E102" s="18">
        <f>44100*N3</f>
        <v/>
      </c>
    </row>
    <row r="103">
      <c r="B103" s="67" t="n">
        <v>44608</v>
      </c>
      <c r="C103" s="18" t="n">
        <v>250</v>
      </c>
      <c r="D103" s="18">
        <f>3.68*M3</f>
        <v/>
      </c>
      <c r="E103" s="18">
        <f>43500*N3</f>
        <v/>
      </c>
    </row>
    <row r="104">
      <c r="B104" s="67" t="n">
        <v>44609</v>
      </c>
      <c r="C104" s="18" t="n">
        <v>246</v>
      </c>
      <c r="D104" s="18">
        <f>3.65*M3</f>
        <v/>
      </c>
      <c r="E104" s="18">
        <f>42000*N3</f>
        <v/>
      </c>
    </row>
    <row r="105">
      <c r="B105" s="67" t="n">
        <v>44610</v>
      </c>
      <c r="C105" s="18" t="n">
        <v>241.11</v>
      </c>
      <c r="D105" s="18">
        <f>3.54*$M$3</f>
        <v/>
      </c>
      <c r="E105" s="18">
        <f>40200*$N$3</f>
        <v/>
      </c>
    </row>
    <row r="106">
      <c r="B106" s="67" t="n">
        <v>44611</v>
      </c>
      <c r="C106" s="18" t="n">
        <v>238</v>
      </c>
      <c r="D106" s="18">
        <f>3.5*$M$3</f>
        <v/>
      </c>
      <c r="E106" s="18">
        <f>40000*$N$3</f>
        <v/>
      </c>
    </row>
    <row r="107">
      <c r="B107" s="67" t="n">
        <v>44612</v>
      </c>
      <c r="C107" s="18" t="n">
        <v>234</v>
      </c>
      <c r="D107" s="18">
        <f>3.4*$M$3</f>
        <v/>
      </c>
      <c r="E107" s="18">
        <f>38300*$N$3</f>
        <v/>
      </c>
    </row>
    <row r="108">
      <c r="B108" s="67" t="n">
        <v>44613</v>
      </c>
      <c r="C108" s="18" t="n">
        <v>232</v>
      </c>
      <c r="D108" s="18">
        <f>3.44*$M$3</f>
        <v/>
      </c>
      <c r="E108" s="18">
        <f>39000*$N$3</f>
        <v/>
      </c>
    </row>
    <row r="109">
      <c r="B109" s="67" t="n">
        <v>44614</v>
      </c>
      <c r="C109" s="18" t="n">
        <v>229.63</v>
      </c>
      <c r="D109" s="18">
        <f>3.34*$M$3</f>
        <v/>
      </c>
      <c r="E109" s="18">
        <f>38000*$N$3</f>
        <v/>
      </c>
    </row>
    <row r="110">
      <c r="B110" s="67" t="n">
        <v>44630</v>
      </c>
      <c r="C110" s="18" t="n">
        <v>245</v>
      </c>
      <c r="D110" s="18">
        <f>3.45*$M$3</f>
        <v/>
      </c>
      <c r="E110" s="18">
        <f>40000*$N$3</f>
        <v/>
      </c>
    </row>
    <row r="111">
      <c r="B111" s="67" t="n">
        <v>44639</v>
      </c>
      <c r="C111" s="18" t="n">
        <v>266</v>
      </c>
      <c r="D111" s="18">
        <f>3.75*$M$3</f>
        <v/>
      </c>
      <c r="E111" s="18">
        <f>41900*$N$3</f>
        <v/>
      </c>
    </row>
    <row r="112">
      <c r="B112" s="67" t="n">
        <v>44649</v>
      </c>
      <c r="C112" s="18" t="n">
        <v>326</v>
      </c>
      <c r="D112" s="18">
        <f>4.65*$M$3</f>
        <v/>
      </c>
      <c r="E112" s="18">
        <f>47500*$N$3</f>
        <v/>
      </c>
    </row>
    <row r="113">
      <c r="B113" s="67" t="n">
        <v>44653</v>
      </c>
      <c r="C113" s="18" t="n">
        <v>325.44</v>
      </c>
      <c r="D113" s="18">
        <f>4.57*$M$3</f>
        <v/>
      </c>
      <c r="E113" s="18">
        <f>45700*$N$3</f>
        <v/>
      </c>
    </row>
    <row r="114">
      <c r="B114" s="67" t="n">
        <v>44657</v>
      </c>
      <c r="C114" s="18" t="n">
        <v>323.57</v>
      </c>
      <c r="D114" s="18">
        <f>4.55*$M$3</f>
        <v/>
      </c>
      <c r="E114" s="18">
        <f>45300*$N$3</f>
        <v/>
      </c>
    </row>
    <row r="115">
      <c r="B115" s="67" t="n">
        <v>44660</v>
      </c>
      <c r="C115" s="18" t="n">
        <v>313</v>
      </c>
      <c r="D115" s="18">
        <f>4.42*$M$3</f>
        <v/>
      </c>
      <c r="E115" s="18">
        <f>42500*$N$3</f>
        <v/>
      </c>
    </row>
    <row r="116">
      <c r="B116" s="67" t="n">
        <v>44662</v>
      </c>
      <c r="C116" s="18" t="n">
        <v>307.44</v>
      </c>
      <c r="D116" s="18">
        <f>4.36*$M$3</f>
        <v/>
      </c>
      <c r="E116" s="18">
        <f>41500*$N$3</f>
        <v/>
      </c>
    </row>
    <row r="117">
      <c r="B117" s="67" t="n">
        <v>44665</v>
      </c>
      <c r="C117" s="18" t="n">
        <v>303.8</v>
      </c>
      <c r="D117" s="18">
        <f>4.33*$M$3</f>
        <v/>
      </c>
      <c r="E117" s="18">
        <f>41000*$N$3</f>
        <v/>
      </c>
    </row>
    <row r="118">
      <c r="B118" s="67" t="n">
        <v>44667</v>
      </c>
      <c r="C118" s="18" t="n">
        <v>305.5</v>
      </c>
      <c r="D118" s="18">
        <f>4.31*$M$3</f>
        <v/>
      </c>
      <c r="E118" s="18">
        <f>40500*$N$3</f>
        <v/>
      </c>
    </row>
    <row r="119">
      <c r="B119" s="67" t="n">
        <v>44669</v>
      </c>
      <c r="C119" s="18" t="n">
        <v>308</v>
      </c>
      <c r="D119" s="18">
        <f>4.33*$M$3</f>
        <v/>
      </c>
      <c r="E119" s="18">
        <f>40880*$N$3</f>
        <v/>
      </c>
    </row>
    <row r="120">
      <c r="B120" s="67" t="n">
        <v>44670</v>
      </c>
      <c r="C120" s="18" t="n">
        <v>316</v>
      </c>
      <c r="D120" s="18">
        <f>4.42*$M$3</f>
        <v/>
      </c>
      <c r="E120" s="18">
        <f>41500*$N$3</f>
        <v/>
      </c>
    </row>
    <row r="121">
      <c r="B121" s="67" t="n">
        <v>44671</v>
      </c>
      <c r="C121" s="18" t="n">
        <v>317.5</v>
      </c>
      <c r="D121" s="18">
        <f>4.44*$M$3</f>
        <v/>
      </c>
      <c r="E121" s="18">
        <f>41800*$N$3</f>
        <v/>
      </c>
    </row>
    <row r="122">
      <c r="B122" s="67" t="n">
        <v>44672</v>
      </c>
      <c r="C122" s="18" t="n">
        <v>318.5</v>
      </c>
      <c r="D122" s="18">
        <f>4.45*$M$3</f>
        <v/>
      </c>
      <c r="E122" s="18">
        <f>41800*$N$3</f>
        <v/>
      </c>
    </row>
    <row r="123">
      <c r="B123" s="67" t="n">
        <v>44698</v>
      </c>
      <c r="C123" s="18" t="n">
        <v>215</v>
      </c>
      <c r="D123" s="18">
        <f>3*$M$3</f>
        <v/>
      </c>
      <c r="E123" s="18">
        <f>30000*$N$3</f>
        <v/>
      </c>
    </row>
    <row r="124">
      <c r="B124" s="67" t="n">
        <v>44731</v>
      </c>
      <c r="C124" s="18" t="n">
        <v>90</v>
      </c>
      <c r="D124" s="18">
        <f>1*$M$3</f>
        <v/>
      </c>
      <c r="E124" s="18">
        <f>18000*$N$3</f>
        <v/>
      </c>
    </row>
    <row r="125">
      <c r="B125" s="67" t="n">
        <v>44732</v>
      </c>
      <c r="C125" s="18" t="n">
        <v>98</v>
      </c>
      <c r="D125" s="18">
        <f>1*$M$3</f>
        <v/>
      </c>
      <c r="E125" s="18">
        <f>20500*$N$3</f>
        <v/>
      </c>
    </row>
    <row r="126">
      <c r="B126" s="67" t="n">
        <v>44734</v>
      </c>
      <c r="C126" s="18" t="n">
        <v>99</v>
      </c>
      <c r="D126" s="18">
        <f>1*$M$3</f>
        <v/>
      </c>
      <c r="E126" s="18">
        <f>20800*$N$3</f>
        <v/>
      </c>
    </row>
    <row r="127">
      <c r="B127" s="67" t="n">
        <v>44739</v>
      </c>
      <c r="C127" s="18" t="n">
        <v>101.5</v>
      </c>
      <c r="D127" s="18">
        <f>1*$M$3</f>
        <v/>
      </c>
      <c r="E127" s="18">
        <f>21500*$N$3</f>
        <v/>
      </c>
    </row>
    <row r="128">
      <c r="B128" s="67" t="n">
        <v>44741</v>
      </c>
      <c r="C128" s="18" t="n">
        <v>95.5</v>
      </c>
      <c r="D128" s="18">
        <f>0.95*$M$3</f>
        <v/>
      </c>
      <c r="E128" s="18">
        <f>20240*$N$3</f>
        <v/>
      </c>
    </row>
    <row r="129">
      <c r="B129" s="67" t="n">
        <v>44743</v>
      </c>
      <c r="C129" s="18" t="n">
        <v>88</v>
      </c>
      <c r="D129" s="18">
        <f>0.895*$M$3</f>
        <v/>
      </c>
      <c r="E129" s="18">
        <f>19100*$N$3</f>
        <v/>
      </c>
    </row>
    <row r="130">
      <c r="B130" s="67" t="n">
        <v>44745</v>
      </c>
      <c r="C130" s="18" t="n">
        <v>85</v>
      </c>
      <c r="D130" s="18">
        <f>0.85*$M$3</f>
        <v/>
      </c>
      <c r="E130" s="18">
        <f>19400*$N$3</f>
        <v/>
      </c>
    </row>
    <row r="131">
      <c r="B131" s="67" t="n">
        <v>44748</v>
      </c>
      <c r="C131" s="18" t="n">
        <v>93.12</v>
      </c>
      <c r="D131" s="18">
        <f>0.94*$M$3</f>
        <v/>
      </c>
      <c r="E131" s="18">
        <f>20200*$N$3</f>
        <v/>
      </c>
    </row>
    <row r="132">
      <c r="B132" s="67" t="n">
        <v>44751</v>
      </c>
      <c r="C132" s="18" t="n">
        <v>105</v>
      </c>
      <c r="D132" s="18">
        <f>1.06*$M$3</f>
        <v/>
      </c>
      <c r="E132" s="18">
        <f>21500*$N$3</f>
        <v/>
      </c>
    </row>
    <row r="133">
      <c r="B133" s="67" t="n">
        <v>44752</v>
      </c>
      <c r="C133" s="18" t="n">
        <v>101</v>
      </c>
      <c r="D133" s="18">
        <f>1.02*$M$3</f>
        <v/>
      </c>
      <c r="E133" s="18">
        <f>21320*$N$3</f>
        <v/>
      </c>
    </row>
    <row r="134">
      <c r="B134" s="67" t="n">
        <v>44754</v>
      </c>
      <c r="C134" s="18" t="n">
        <v>97</v>
      </c>
      <c r="D134" s="18">
        <f>0.98*$M$3</f>
        <v/>
      </c>
      <c r="E134" s="18">
        <f>20260*$N$3</f>
        <v/>
      </c>
    </row>
    <row r="135">
      <c r="B135" s="67" t="n">
        <v>44756</v>
      </c>
      <c r="C135" s="18" t="n">
        <v>97</v>
      </c>
      <c r="D135" s="18">
        <f>0.97*$M$3</f>
        <v/>
      </c>
      <c r="E135" s="18">
        <f>20500*$N$3</f>
        <v/>
      </c>
    </row>
    <row r="136">
      <c r="B136" s="67" t="n">
        <v>44757</v>
      </c>
      <c r="C136" s="18" t="n">
        <v>99</v>
      </c>
      <c r="D136" s="18">
        <f>0.99*$M$3</f>
        <v/>
      </c>
      <c r="E136" s="18">
        <f>20800*$N$3</f>
        <v/>
      </c>
    </row>
    <row r="137">
      <c r="B137" s="67" t="n">
        <v>44758</v>
      </c>
      <c r="C137" s="18" t="n">
        <v>103</v>
      </c>
      <c r="D137" s="18">
        <f>1.04*$M$3</f>
        <v/>
      </c>
      <c r="E137" s="18">
        <f>21200*$N$3</f>
        <v/>
      </c>
    </row>
    <row r="138">
      <c r="B138" s="67" t="n">
        <v>44760</v>
      </c>
      <c r="C138" s="18" t="n">
        <v>107</v>
      </c>
      <c r="D138" s="18">
        <f>1.09*$M$3</f>
        <v/>
      </c>
      <c r="E138" s="18">
        <f>22400*$N$3</f>
        <v/>
      </c>
    </row>
    <row r="139">
      <c r="B139" s="67" t="n">
        <v>44761</v>
      </c>
      <c r="C139" s="18" t="n">
        <v>113</v>
      </c>
      <c r="D139" s="18">
        <f>1.13*$M$3</f>
        <v/>
      </c>
      <c r="E139" s="18">
        <f>23300*$N$3</f>
        <v/>
      </c>
    </row>
    <row r="140">
      <c r="B140" s="67" t="n">
        <v>44764</v>
      </c>
      <c r="C140" s="18" t="n">
        <v>111</v>
      </c>
      <c r="D140" s="18">
        <f>1.13*$M$3</f>
        <v/>
      </c>
      <c r="E140" s="18">
        <f>23000*$N$3</f>
        <v/>
      </c>
    </row>
    <row r="141">
      <c r="B141" s="67" t="n">
        <v>44770</v>
      </c>
      <c r="C141" s="18" t="n">
        <v>118</v>
      </c>
      <c r="D141" s="18">
        <f>1.19*$M$3</f>
        <v/>
      </c>
      <c r="E141" s="18">
        <f>23900*$N$3</f>
        <v/>
      </c>
    </row>
    <row r="142">
      <c r="B142" s="67" t="n">
        <v>44772</v>
      </c>
      <c r="C142" s="18" t="n">
        <v>121</v>
      </c>
      <c r="D142" s="18">
        <f>1.2*$M$3</f>
        <v/>
      </c>
      <c r="E142" s="18">
        <f>24500*$N$3</f>
        <v/>
      </c>
    </row>
    <row r="143">
      <c r="B143" s="67" t="n">
        <v>44774</v>
      </c>
      <c r="C143" s="18" t="n">
        <v>115</v>
      </c>
      <c r="D143" s="18">
        <f>1.14*$M$3</f>
        <v/>
      </c>
      <c r="E143" s="18">
        <f>23350*$N$3</f>
        <v/>
      </c>
    </row>
    <row r="144">
      <c r="B144" s="67" t="n">
        <v>44778</v>
      </c>
      <c r="C144" s="18" t="n">
        <v>104</v>
      </c>
      <c r="D144" s="18">
        <f>1*$M$3</f>
        <v/>
      </c>
      <c r="E144" s="18">
        <f>22800*$N$3</f>
        <v/>
      </c>
    </row>
    <row r="145">
      <c r="B145" s="67" t="n">
        <v>44780</v>
      </c>
      <c r="C145" s="18" t="n">
        <v>102</v>
      </c>
      <c r="D145" s="18">
        <f>0.95*$M$3</f>
        <v/>
      </c>
      <c r="E145" s="18">
        <f>23200*$N$3</f>
        <v/>
      </c>
    </row>
    <row r="146">
      <c r="B146" s="67" t="n">
        <v>44781</v>
      </c>
      <c r="C146" s="18" t="n">
        <v>104</v>
      </c>
      <c r="D146" s="18">
        <f>0.97*$M$3</f>
        <v/>
      </c>
      <c r="E146" s="18">
        <f>23850*$N$3</f>
        <v/>
      </c>
    </row>
    <row r="147">
      <c r="B147" s="67" t="n">
        <v>44783</v>
      </c>
      <c r="C147" s="18" t="n">
        <v>103.6</v>
      </c>
      <c r="D147" s="18">
        <f>0.94*$M$3</f>
        <v/>
      </c>
      <c r="E147" s="18">
        <f>24000*$N$3</f>
        <v/>
      </c>
    </row>
    <row r="148">
      <c r="B148" s="67" t="n">
        <v>44784</v>
      </c>
      <c r="C148" s="18" t="n">
        <v>103.7</v>
      </c>
      <c r="D148" s="18">
        <f>0.95*$M$3</f>
        <v/>
      </c>
      <c r="E148" s="18">
        <f>24170*$N$3</f>
        <v/>
      </c>
    </row>
    <row r="149">
      <c r="B149" s="67" t="n">
        <v>44787</v>
      </c>
      <c r="C149" s="18" t="n">
        <v>104.5</v>
      </c>
      <c r="D149" s="18">
        <f>0.95*$M$3</f>
        <v/>
      </c>
      <c r="E149" s="18">
        <f>24500*$N$3</f>
        <v/>
      </c>
    </row>
    <row r="150">
      <c r="B150" s="67" t="n">
        <v>44791</v>
      </c>
      <c r="C150" s="18" t="n">
        <v>98.5</v>
      </c>
      <c r="D150" s="18">
        <f>0.9*$M$3</f>
        <v/>
      </c>
      <c r="E150" s="18">
        <f>23500*$N$3</f>
        <v/>
      </c>
    </row>
    <row r="151">
      <c r="B151" s="67" t="n">
        <v>44795</v>
      </c>
      <c r="C151" s="18" t="n">
        <v>90</v>
      </c>
      <c r="D151" s="18">
        <f>0.83*$M$3</f>
        <v/>
      </c>
      <c r="E151" s="18">
        <f>21000*$N$3</f>
        <v/>
      </c>
    </row>
    <row r="152">
      <c r="B152" s="67" t="n">
        <v>44796</v>
      </c>
      <c r="C152" s="18" t="n">
        <v>94.5</v>
      </c>
      <c r="D152" s="18">
        <f>0.87*$M$3</f>
        <v/>
      </c>
      <c r="E152" s="18">
        <f>21500*$N$3</f>
        <v/>
      </c>
    </row>
    <row r="153">
      <c r="B153" s="67" t="n">
        <v>44797</v>
      </c>
      <c r="C153" s="18" t="n">
        <v>96.3</v>
      </c>
      <c r="D153" s="18">
        <f>0.89*$M$3</f>
        <v/>
      </c>
      <c r="E153" s="18">
        <f>21500*$N$3</f>
        <v/>
      </c>
    </row>
    <row r="154">
      <c r="B154" s="67" t="n">
        <v>44799</v>
      </c>
      <c r="C154" s="18" t="n">
        <v>101.36</v>
      </c>
      <c r="D154" s="18">
        <f>0.94*$M$3</f>
        <v/>
      </c>
      <c r="E154" s="18">
        <f>21700*$N$3</f>
        <v/>
      </c>
    </row>
    <row r="155">
      <c r="B155" s="67" t="n">
        <v>44804</v>
      </c>
      <c r="C155" s="18" t="n">
        <v>97</v>
      </c>
      <c r="D155" s="18">
        <f>0.92*$M$3</f>
        <v/>
      </c>
      <c r="E155" s="18">
        <f>20100*$N$3</f>
        <v/>
      </c>
    </row>
    <row r="156">
      <c r="B156" s="67" t="n">
        <v>44808</v>
      </c>
      <c r="C156" s="18" t="n">
        <v>115</v>
      </c>
      <c r="D156" s="18">
        <f>1.18*$M$3</f>
        <v/>
      </c>
      <c r="E156" s="18">
        <f>19800*$N$3</f>
        <v/>
      </c>
    </row>
    <row r="157">
      <c r="B157" s="67" t="n">
        <v>44809</v>
      </c>
      <c r="C157" s="18" t="n">
        <v>124.2</v>
      </c>
      <c r="D157" s="18">
        <f>1.29*$M$3</f>
        <v/>
      </c>
      <c r="E157" s="18">
        <f>19850*$N$3</f>
        <v/>
      </c>
    </row>
    <row r="158">
      <c r="B158" s="67" t="n">
        <v>44811</v>
      </c>
      <c r="C158" s="18" t="n">
        <v>103</v>
      </c>
      <c r="D158" s="18">
        <f>1.01*$M$3</f>
        <v/>
      </c>
      <c r="E158" s="18">
        <f>19400*$N$3</f>
        <v/>
      </c>
    </row>
    <row r="159">
      <c r="B159" s="67" t="n">
        <v>44813</v>
      </c>
      <c r="C159" s="18" t="n">
        <v>110</v>
      </c>
      <c r="D159" s="18">
        <f>1.06*$M$3</f>
        <v/>
      </c>
      <c r="E159" s="18">
        <f>21100*$N$3</f>
        <v/>
      </c>
    </row>
    <row r="160">
      <c r="B160" s="67" t="n">
        <v>44817</v>
      </c>
      <c r="C160" s="18" t="n">
        <v>101</v>
      </c>
      <c r="D160" s="18">
        <f>(0.95*$M$3)</f>
        <v/>
      </c>
      <c r="E160" s="18">
        <f>(20800*$N$3)</f>
        <v/>
      </c>
    </row>
    <row r="161">
      <c r="B161" s="67" t="n">
        <v>44819</v>
      </c>
      <c r="C161" s="18" t="n">
        <v>102.85</v>
      </c>
      <c r="D161" s="18">
        <f>(0.99*$M$3)</f>
        <v/>
      </c>
      <c r="E161" s="18">
        <f>(19750*$N$3)</f>
        <v/>
      </c>
    </row>
    <row r="162">
      <c r="B162" s="67" t="n">
        <v>44820</v>
      </c>
      <c r="C162" s="18" t="n">
        <v>100.77</v>
      </c>
      <c r="D162" s="18">
        <f>(0.96*$M$3)</f>
        <v/>
      </c>
      <c r="E162" s="18">
        <f>(19800*$N$3)</f>
        <v/>
      </c>
    </row>
    <row r="163">
      <c r="B163" s="67" t="n">
        <v>44822</v>
      </c>
      <c r="C163" s="18" t="n">
        <v>95</v>
      </c>
      <c r="D163" s="18">
        <f>(0.89*$M$3)</f>
        <v/>
      </c>
      <c r="E163" s="18">
        <f>(19700*$N$3)</f>
        <v/>
      </c>
    </row>
    <row r="164">
      <c r="B164" s="67" t="n">
        <v>44825</v>
      </c>
      <c r="C164" s="18" t="n">
        <v>91</v>
      </c>
      <c r="D164" s="18">
        <f>(0.84*$M$3)</f>
        <v/>
      </c>
      <c r="E164" s="18">
        <f>(19129*$N$3)</f>
        <v/>
      </c>
    </row>
    <row r="165">
      <c r="B165" s="67" t="n">
        <v>44829</v>
      </c>
      <c r="C165" s="18" t="n">
        <v>88</v>
      </c>
      <c r="D165" s="18">
        <f>(0.79*$M$3)</f>
        <v/>
      </c>
      <c r="E165" s="18">
        <f>(19000*$N$3)</f>
        <v/>
      </c>
    </row>
    <row r="166">
      <c r="B166" s="67" t="n">
        <v>44834</v>
      </c>
      <c r="C166" s="18" t="n">
        <v>83</v>
      </c>
      <c r="D166" s="18">
        <f>(0.72*$M$3)</f>
        <v/>
      </c>
      <c r="E166" s="18">
        <f>(19500*$N$3)</f>
        <v/>
      </c>
    </row>
    <row r="167">
      <c r="B167" s="67" t="n">
        <v>44835</v>
      </c>
      <c r="C167" s="18" t="n">
        <v>80.70999999999989</v>
      </c>
      <c r="D167" s="18">
        <f>(0.7*$M$3)</f>
        <v/>
      </c>
      <c r="E167" s="18">
        <f>(19300*$N$3)</f>
        <v/>
      </c>
    </row>
    <row r="168">
      <c r="B168" s="67" t="n">
        <v>44838</v>
      </c>
      <c r="C168" s="18" t="n">
        <v>81.89</v>
      </c>
      <c r="D168" s="18">
        <f>(0.7*$M$3)</f>
        <v/>
      </c>
      <c r="E168" s="18">
        <f>(20097.4072843148*$N$3)</f>
        <v/>
      </c>
    </row>
    <row r="169">
      <c r="B169" s="67" t="n">
        <v>44840</v>
      </c>
      <c r="C169" s="18" t="n">
        <v>82.63</v>
      </c>
      <c r="D169" s="18">
        <f>(0.7*$M$3)</f>
        <v/>
      </c>
      <c r="E169" s="18">
        <f>(20280.2350749507*$N$3)</f>
        <v/>
      </c>
    </row>
    <row r="170">
      <c r="B170" s="67" t="n">
        <v>44844</v>
      </c>
      <c r="C170" s="18" t="n">
        <v>76.62</v>
      </c>
      <c r="D170" s="18">
        <f>(0.63*$M$3)</f>
        <v/>
      </c>
      <c r="E170" s="18">
        <f>(19112.794925185*$N$3)</f>
        <v/>
      </c>
    </row>
    <row r="171">
      <c r="B171" s="67" t="n">
        <v>44853</v>
      </c>
      <c r="C171" s="18" t="n">
        <v>75.89</v>
      </c>
      <c r="D171" s="18">
        <f>(0.63*$M$3)</f>
        <v/>
      </c>
      <c r="E171" s="18">
        <f>(19200*$N$3)</f>
        <v/>
      </c>
    </row>
    <row r="172">
      <c r="B172" s="67" t="n">
        <v>44861</v>
      </c>
      <c r="C172" s="18" t="n">
        <v>80.67</v>
      </c>
      <c r="D172" s="18">
        <f>(0.65*$M$3)</f>
        <v/>
      </c>
      <c r="E172" s="18">
        <f>(20580*$N$3)</f>
        <v/>
      </c>
    </row>
    <row r="173">
      <c r="B173" s="67" t="n">
        <v>44864</v>
      </c>
      <c r="C173" s="18" t="n">
        <v>81.16</v>
      </c>
      <c r="D173" s="18">
        <f>(0.65*$M$3)</f>
        <v/>
      </c>
      <c r="E173" s="18">
        <f>(20700*$N$3)</f>
        <v/>
      </c>
    </row>
    <row r="174">
      <c r="B174" s="67" t="n">
        <v>44866</v>
      </c>
      <c r="C174" s="18" t="n">
        <v>80.45</v>
      </c>
      <c r="D174" s="18">
        <f>(0.648*$M$3)</f>
        <v/>
      </c>
      <c r="E174" s="18">
        <f>(20533*$N$3)</f>
        <v/>
      </c>
    </row>
    <row r="175">
      <c r="B175" s="67" t="n">
        <v>44870</v>
      </c>
      <c r="C175" s="18" t="n">
        <v>82.39</v>
      </c>
      <c r="D175" s="18">
        <f>(0.658*$M$3)</f>
        <v/>
      </c>
      <c r="E175" s="18">
        <f>(21290*$N$3)</f>
        <v/>
      </c>
    </row>
    <row r="176">
      <c r="B176" s="67" t="n">
        <v>44873</v>
      </c>
      <c r="C176" s="18" t="n">
        <v>76.61</v>
      </c>
      <c r="D176" s="18">
        <f>(0.62*$M$3)</f>
        <v/>
      </c>
      <c r="E176" s="18">
        <f>(19679.3031320138*$N$3)</f>
        <v/>
      </c>
    </row>
    <row r="177">
      <c r="B177" s="67" t="n">
        <v>44878</v>
      </c>
      <c r="C177" s="18" t="n">
        <v>62.64</v>
      </c>
      <c r="D177" s="18">
        <f>(0.48*$M$3)</f>
        <v/>
      </c>
      <c r="E177" s="18">
        <f>(16550*$N$3)</f>
        <v/>
      </c>
    </row>
    <row r="178">
      <c r="B178" s="67" t="n">
        <v>44880</v>
      </c>
      <c r="C178" s="18" t="n">
        <v>63.84</v>
      </c>
      <c r="D178" s="18">
        <f>(0.48*$M$3)</f>
        <v/>
      </c>
      <c r="E178" s="18">
        <f>(16700*$N$3)</f>
        <v/>
      </c>
    </row>
    <row r="179">
      <c r="B179" s="67" t="n">
        <v>44887</v>
      </c>
      <c r="C179" s="18" t="n">
        <v>60</v>
      </c>
      <c r="D179" s="18">
        <f>(0.455*$M$3)</f>
        <v/>
      </c>
      <c r="E179" s="18">
        <f>(16150*$N$3)</f>
        <v/>
      </c>
    </row>
    <row r="180">
      <c r="B180" s="67" t="n">
        <v>44891</v>
      </c>
      <c r="C180" s="18" t="n">
        <v>60.45</v>
      </c>
      <c r="D180" s="18">
        <f>(0.46*$M$3)</f>
        <v/>
      </c>
      <c r="E180" s="18">
        <f>(16466*$N$3)</f>
        <v/>
      </c>
    </row>
    <row r="181">
      <c r="B181" s="67" t="n">
        <v>44896</v>
      </c>
      <c r="C181" s="18" t="n">
        <v>62.6</v>
      </c>
      <c r="D181" s="18">
        <f>(0.47*$M$3)</f>
        <v/>
      </c>
      <c r="E181" s="18">
        <f>(17080*$N$3)</f>
        <v/>
      </c>
    </row>
    <row r="182">
      <c r="B182" s="67" t="n">
        <v>44902</v>
      </c>
      <c r="C182" s="18" t="n">
        <v>62.26</v>
      </c>
      <c r="D182" s="18">
        <f>(0.48*$M$3)</f>
        <v/>
      </c>
      <c r="E182" s="18">
        <f>(16799*$N$3)</f>
        <v/>
      </c>
    </row>
    <row r="183">
      <c r="B183" s="67" t="n">
        <v>44907</v>
      </c>
      <c r="C183" s="18" t="n">
        <v>63.09</v>
      </c>
      <c r="D183" s="18">
        <f>(0.48*$M$3)</f>
        <v/>
      </c>
      <c r="E183" s="18">
        <f>(17160*$N$3)</f>
        <v/>
      </c>
    </row>
    <row r="184">
      <c r="B184" s="67" t="n">
        <v>44909</v>
      </c>
      <c r="C184" s="18" t="n">
        <v>65.38</v>
      </c>
      <c r="D184" s="18">
        <f>(0.49*$M$3)</f>
        <v/>
      </c>
      <c r="E184" s="18">
        <f>(17822*$N$3)</f>
        <v/>
      </c>
    </row>
    <row r="185">
      <c r="B185" s="67" t="n">
        <v>44912</v>
      </c>
      <c r="C185" s="18" t="n">
        <v>60.84</v>
      </c>
      <c r="D185" s="18">
        <f>(0.455*$M$3)</f>
        <v/>
      </c>
      <c r="E185" s="18">
        <f>(16710*$N$3)</f>
        <v/>
      </c>
    </row>
    <row r="186">
      <c r="B186" s="67" t="n">
        <v>44915</v>
      </c>
      <c r="C186" s="18" t="n">
        <v>60.92</v>
      </c>
      <c r="D186" s="18">
        <f>(0.452*$M$3)</f>
        <v/>
      </c>
      <c r="E186" s="18">
        <f>(16840*$N$3)</f>
        <v/>
      </c>
    </row>
    <row r="187">
      <c r="B187" s="67" t="n">
        <v>44928</v>
      </c>
      <c r="C187" s="18" t="n">
        <v>58.87</v>
      </c>
      <c r="D187" s="18">
        <f>(0.42*$M$3)</f>
        <v/>
      </c>
      <c r="E187" s="18">
        <f>(16730*$N$3)</f>
        <v/>
      </c>
    </row>
    <row r="188">
      <c r="B188" s="67" t="n">
        <v>44935</v>
      </c>
      <c r="C188" s="18" t="n">
        <v>59.06</v>
      </c>
      <c r="D188" s="18">
        <f>(0.42*$M$3)</f>
        <v/>
      </c>
      <c r="E188" s="18">
        <f>(17100*$N$3)</f>
        <v/>
      </c>
    </row>
    <row r="189">
      <c r="B189" s="67" t="n">
        <v>44936</v>
      </c>
      <c r="C189" s="18" t="n">
        <v>60.11</v>
      </c>
      <c r="D189" s="18">
        <f>(0.43*$M$3)</f>
        <v/>
      </c>
      <c r="E189" s="18">
        <f>(17268*$N$3)</f>
        <v/>
      </c>
    </row>
    <row r="190">
      <c r="B190" s="67" t="n">
        <v>44937</v>
      </c>
      <c r="C190" s="18" t="n">
        <v>60.45</v>
      </c>
      <c r="D190" s="18">
        <f>(0.43*$M$3)</f>
        <v/>
      </c>
      <c r="E190" s="18">
        <f>(17550*$N$3)</f>
        <v/>
      </c>
    </row>
    <row r="191">
      <c r="B191" s="67" t="n">
        <v>44938</v>
      </c>
      <c r="C191" s="18" t="n">
        <v>64.65000000000001</v>
      </c>
      <c r="D191" s="18">
        <f>(0.462*$M$3)</f>
        <v/>
      </c>
      <c r="E191" s="18">
        <f>(18880*$N$3)</f>
        <v/>
      </c>
    </row>
    <row r="192">
      <c r="B192" s="67" t="n">
        <v>44939</v>
      </c>
      <c r="C192" s="18" t="n">
        <v>65.84999999999989</v>
      </c>
      <c r="D192" s="18">
        <f>(0.466*$M$3)</f>
        <v/>
      </c>
      <c r="E192" s="18">
        <f>(19350*$N$3)</f>
        <v/>
      </c>
    </row>
    <row r="193">
      <c r="B193" s="67" t="n">
        <v>44941</v>
      </c>
      <c r="C193" s="18" t="n">
        <v>71.42</v>
      </c>
      <c r="D193" s="18">
        <f>(0.5*$M$3)</f>
        <v/>
      </c>
      <c r="E193" s="18">
        <f>(21000*$N$3)</f>
        <v/>
      </c>
    </row>
    <row r="194">
      <c r="B194" s="67" t="n">
        <v>44943</v>
      </c>
      <c r="C194" s="18" t="n">
        <v>72.02</v>
      </c>
      <c r="D194" s="18">
        <f>(0.51*$M$3)</f>
        <v/>
      </c>
      <c r="E194" s="18">
        <f>(21180*$N$3)</f>
        <v/>
      </c>
    </row>
    <row r="195">
      <c r="B195" s="67" t="n">
        <v>44947</v>
      </c>
      <c r="C195" s="18" t="n">
        <v>76.94</v>
      </c>
      <c r="D195" s="18">
        <f>(0.54*$M$3)</f>
        <v/>
      </c>
      <c r="E195" s="18">
        <f>(22875*$N$3)</f>
        <v/>
      </c>
    </row>
    <row r="196">
      <c r="B196" s="67" t="n">
        <v>44952</v>
      </c>
      <c r="C196" s="18" t="n">
        <v>77.19</v>
      </c>
      <c r="D196" s="18">
        <f>(0.537*$M$3)</f>
        <v/>
      </c>
      <c r="E196" s="18">
        <f>(23000*$N$3)</f>
        <v/>
      </c>
    </row>
    <row r="197">
      <c r="B197" s="67" t="n">
        <v>44955</v>
      </c>
      <c r="C197" s="18" t="n">
        <v>84.2</v>
      </c>
      <c r="D197" s="18">
        <f>(0.6*$M$3)</f>
        <v/>
      </c>
      <c r="E197" s="18">
        <f>(23500*$N$3)</f>
        <v/>
      </c>
    </row>
    <row r="198">
      <c r="B198" s="67" t="n">
        <v>44958</v>
      </c>
      <c r="C198" s="18" t="n">
        <v>87.31999999999989</v>
      </c>
      <c r="D198" s="18">
        <f>(0.6345*$M$3)</f>
        <v/>
      </c>
      <c r="E198" s="18">
        <f>(23400*$N$3)</f>
        <v/>
      </c>
    </row>
    <row r="199">
      <c r="B199" s="67" t="n">
        <v>44960</v>
      </c>
      <c r="C199" s="18" t="n">
        <v>88.52</v>
      </c>
      <c r="D199" s="18">
        <f>(0.647*$M$3)</f>
        <v/>
      </c>
      <c r="E199" s="18">
        <f>(23400*$N$3)</f>
        <v/>
      </c>
    </row>
    <row r="200">
      <c r="B200" s="67" t="n">
        <v>44963</v>
      </c>
      <c r="C200" s="18" t="n">
        <v>83.43000000000001</v>
      </c>
      <c r="D200" s="18">
        <f>(0.5961*$M$3)</f>
        <v/>
      </c>
      <c r="E200" s="18">
        <f>(22981.9589454636*$N$3)</f>
        <v/>
      </c>
    </row>
    <row r="201">
      <c r="B201" s="67" t="n">
        <v>44965</v>
      </c>
      <c r="C201" s="18" t="n">
        <v>84.14</v>
      </c>
      <c r="D201" s="18">
        <f>(0.5989*$M$3)</f>
        <v/>
      </c>
      <c r="E201" s="18">
        <f>(23185.9589454636*$N$3)</f>
        <v/>
      </c>
    </row>
    <row r="202">
      <c r="B202" s="67" t="n">
        <v>44967</v>
      </c>
      <c r="C202" s="18" t="n">
        <v>79.29000000000001</v>
      </c>
      <c r="D202" s="18">
        <f>(0.563*$M$3)</f>
        <v/>
      </c>
      <c r="E202" s="18">
        <f>(21850.9589454636*$N$3)</f>
        <v/>
      </c>
    </row>
    <row r="203">
      <c r="B203" s="67" t="n">
        <v>44969</v>
      </c>
      <c r="C203" s="18" t="n">
        <v>79.7</v>
      </c>
      <c r="D203" s="18">
        <f>(0.5686*$M$3)</f>
        <v/>
      </c>
      <c r="E203" s="18">
        <f>(21770.9589454636*$N$3)</f>
        <v/>
      </c>
    </row>
    <row r="204">
      <c r="B204" s="67" t="n">
        <v>44971</v>
      </c>
      <c r="C204" s="18" t="n">
        <v>78.54000000000001</v>
      </c>
      <c r="D204" s="18">
        <f>(0.5534*$M$3)</f>
        <v/>
      </c>
      <c r="E204" s="18">
        <f>(21849.1075186578*$N$3)</f>
        <v/>
      </c>
    </row>
    <row r="205">
      <c r="B205" s="67" t="n">
        <v>44972</v>
      </c>
      <c r="C205" s="18" t="n">
        <v>86.18000000000001</v>
      </c>
      <c r="D205" s="18">
        <f>(0.6*$M$3)</f>
        <v/>
      </c>
      <c r="E205" s="18">
        <f>(24205.7173552454*$N$3)</f>
        <v/>
      </c>
    </row>
    <row r="206">
      <c r="B206" s="67" t="n">
        <v>44973</v>
      </c>
      <c r="C206" s="18" t="n">
        <v>87.81</v>
      </c>
      <c r="D206" s="18">
        <f>(0.6165*$M$3)</f>
        <v/>
      </c>
      <c r="E206" s="18">
        <f>(24712.350600352*$N$3)</f>
        <v/>
      </c>
    </row>
    <row r="207">
      <c r="B207" s="67" t="n">
        <v>44978</v>
      </c>
      <c r="C207" s="18" t="n">
        <v>87.89</v>
      </c>
      <c r="D207" s="18">
        <f>(0.615*$M$3)</f>
        <v/>
      </c>
      <c r="E207" s="18">
        <f>(24712.350600352*$N$3)</f>
        <v/>
      </c>
    </row>
    <row r="208">
      <c r="B208" s="67" t="n">
        <v>44980</v>
      </c>
      <c r="C208" s="18" t="n">
        <v>86.51000000000001</v>
      </c>
      <c r="D208" s="18">
        <f>(0.6055*$M$3)</f>
        <v/>
      </c>
      <c r="E208" s="18">
        <f>(24250.350600352*$N$3)</f>
        <v/>
      </c>
    </row>
    <row r="209">
      <c r="B209" s="67" t="n">
        <v>44985</v>
      </c>
      <c r="C209" s="18" t="n">
        <v>82.41</v>
      </c>
      <c r="D209" s="18">
        <f>(0.573*$M$3)</f>
        <v/>
      </c>
      <c r="E209" s="18">
        <f>(23370.350600352*$N$3)</f>
        <v/>
      </c>
    </row>
    <row r="210">
      <c r="B210" s="67" t="n">
        <v>44990</v>
      </c>
      <c r="C210" s="18" t="n">
        <v>76.27</v>
      </c>
      <c r="D210" s="18">
        <f>(0.5158*$M$3)</f>
        <v/>
      </c>
      <c r="E210" s="18">
        <f>(22400*$N$3)</f>
        <v/>
      </c>
    </row>
    <row r="211">
      <c r="B211" s="67" t="n">
        <v>44993</v>
      </c>
      <c r="C211" s="18" t="n">
        <v>74.23</v>
      </c>
      <c r="D211" s="18">
        <f>(0.5026*$M$3)</f>
        <v/>
      </c>
      <c r="E211" s="18">
        <f>(22100*$N$3)</f>
        <v/>
      </c>
    </row>
    <row r="212">
      <c r="B212" s="67" t="n">
        <v>44998</v>
      </c>
      <c r="C212" s="18" t="n">
        <v>74.02</v>
      </c>
      <c r="D212" s="18">
        <f>(0.5024*$M$3)</f>
        <v/>
      </c>
      <c r="E212" s="18">
        <f>(22100*$N$3)</f>
        <v/>
      </c>
    </row>
    <row r="213">
      <c r="B213" s="67" t="n">
        <v>44999</v>
      </c>
      <c r="C213" s="18" t="n">
        <v>81.26000000000001</v>
      </c>
      <c r="D213" s="18">
        <f>(0.542*$M$3)</f>
        <v/>
      </c>
      <c r="E213" s="18">
        <f>(24450*$N$3)</f>
        <v/>
      </c>
    </row>
    <row r="214">
      <c r="B214" s="67" t="n">
        <v>45005</v>
      </c>
      <c r="C214" s="18" t="n">
        <v>88.56999999999989</v>
      </c>
      <c r="D214" s="18">
        <f>(0.58*$M$3)</f>
        <v/>
      </c>
      <c r="E214" s="18">
        <f>(27300*$N$3)</f>
        <v/>
      </c>
    </row>
    <row r="215">
      <c r="B215" s="67" t="n">
        <v>45007</v>
      </c>
      <c r="C215" s="18" t="n">
        <v>89.39</v>
      </c>
      <c r="D215" s="18">
        <f>(0.58*$M$3)</f>
        <v/>
      </c>
      <c r="E215" s="18">
        <f>(28130*$N$3)</f>
        <v/>
      </c>
    </row>
    <row r="216">
      <c r="B216" s="67" t="n">
        <v>45011</v>
      </c>
      <c r="C216" s="18" t="n">
        <v>85.04000000000001</v>
      </c>
      <c r="D216" s="18">
        <f>(0.548*$M$3)</f>
        <v/>
      </c>
      <c r="E216" s="18">
        <f>(27463.8330404678*$N$3)</f>
        <v/>
      </c>
    </row>
    <row r="217">
      <c r="B217" s="67" t="n">
        <v>45015</v>
      </c>
      <c r="C217" s="18" t="n">
        <v>86.56999999999989</v>
      </c>
      <c r="D217" s="18">
        <f>(0.5537*$M$3)</f>
        <v/>
      </c>
      <c r="E217" s="18">
        <f>(28700.8330404678*$N$3)</f>
        <v/>
      </c>
    </row>
    <row r="218">
      <c r="B218" s="67" t="n">
        <v>45020</v>
      </c>
      <c r="C218" s="18" t="n">
        <v>82.84</v>
      </c>
      <c r="D218" s="18">
        <f>(0.5168*$M$3)</f>
        <v/>
      </c>
      <c r="E218" s="18">
        <f>(27893.9734182823*$N$3)</f>
        <v/>
      </c>
    </row>
    <row r="219">
      <c r="B219" s="67" t="n">
        <v>45026</v>
      </c>
      <c r="C219" s="18" t="n">
        <v>83.18000000000001</v>
      </c>
      <c r="D219" s="18">
        <f>(0.5051*$M$3)</f>
        <v/>
      </c>
      <c r="E219" s="18">
        <f>(29206.9474217049*$N$3)</f>
        <v/>
      </c>
    </row>
    <row r="220">
      <c r="B220" s="67" t="n">
        <v>45029</v>
      </c>
      <c r="C220" s="18" t="n">
        <v>85.08</v>
      </c>
      <c r="D220" s="18">
        <f>(0.5244*$M$3)</f>
        <v/>
      </c>
      <c r="E220" s="18">
        <f>(30353.3848252628*$N$3)</f>
        <v/>
      </c>
    </row>
    <row r="221">
      <c r="B221" s="67" t="n">
        <v>45033</v>
      </c>
      <c r="C221" s="18" t="n">
        <v>86.19</v>
      </c>
      <c r="D221" s="18">
        <f>(0.5251*$M$3)</f>
        <v/>
      </c>
      <c r="E221" s="18">
        <f>(30364.3848252628*$N$3)</f>
        <v/>
      </c>
    </row>
    <row r="222">
      <c r="B222" s="67" t="n">
        <v>45043</v>
      </c>
      <c r="C222" s="18" t="n">
        <v>79.84</v>
      </c>
      <c r="D222" s="18">
        <f>(0.4765*$M$3)</f>
        <v/>
      </c>
      <c r="E222" s="18">
        <f>(28950*$N$3)</f>
        <v/>
      </c>
    </row>
    <row r="223">
      <c r="B223" s="67" t="n">
        <v>45061</v>
      </c>
      <c r="C223" s="18" t="n">
        <v>66.19</v>
      </c>
      <c r="D223" s="18">
        <f>(0.3685*$M$3)</f>
        <v/>
      </c>
      <c r="E223" s="18">
        <f>(27366*$N$3)</f>
        <v/>
      </c>
    </row>
    <row r="224">
      <c r="B224" s="67" t="n">
        <v>45068</v>
      </c>
      <c r="C224" s="18" t="n">
        <v>64.45</v>
      </c>
      <c r="D224" s="18">
        <f>(0.3552*$M$3)</f>
        <v/>
      </c>
      <c r="E224" s="18">
        <f>(26800*$N$3)</f>
        <v/>
      </c>
    </row>
    <row r="225">
      <c r="B225" s="67" t="n">
        <v>45073</v>
      </c>
      <c r="C225" s="18" t="n">
        <v>63.78</v>
      </c>
      <c r="D225" s="18">
        <f>(0.35*$M$3)</f>
        <v/>
      </c>
      <c r="E225" s="18">
        <f>(26600*$N$3)</f>
        <v/>
      </c>
    </row>
    <row r="226">
      <c r="B226" s="67" t="n">
        <v>45075</v>
      </c>
      <c r="C226" s="18" t="n">
        <v>66.20999999999999</v>
      </c>
      <c r="D226" s="18">
        <f>(0.361*$M$3)</f>
        <v/>
      </c>
      <c r="E226" s="18">
        <f>(27900*$N$3)</f>
        <v/>
      </c>
    </row>
    <row r="227">
      <c r="B227" s="67" t="n">
        <v>45083</v>
      </c>
      <c r="C227" s="18" t="n">
        <v>61.33</v>
      </c>
      <c r="D227" s="18">
        <f>(0.3345*$M$3)</f>
        <v/>
      </c>
      <c r="E227" s="18">
        <f>(25918.0755732781*$N$3)</f>
        <v/>
      </c>
    </row>
    <row r="228">
      <c r="B228" s="67" t="n">
        <v>45086</v>
      </c>
      <c r="C228" s="18" t="n">
        <v>62.31</v>
      </c>
      <c r="D228" s="18">
        <f>(0.336*$M$3)</f>
        <v/>
      </c>
      <c r="E228" s="18">
        <f>(26640.0755732781*$N$3)</f>
        <v/>
      </c>
    </row>
    <row r="229">
      <c r="B229" s="67" t="n">
        <v>45093</v>
      </c>
      <c r="C229" s="18" t="n">
        <v>59.4</v>
      </c>
      <c r="D229" s="18">
        <f>(0.3172*$M$3)</f>
        <v/>
      </c>
      <c r="E229" s="18">
        <f>(25563*$N$3)</f>
        <v/>
      </c>
    </row>
    <row r="230">
      <c r="B230" s="67" t="n">
        <v>45107</v>
      </c>
      <c r="C230" s="18" t="n">
        <v>68.67</v>
      </c>
      <c r="D230" s="18">
        <f>(0.3607*$M$3)</f>
        <v/>
      </c>
      <c r="E230" s="18">
        <f>(30690.1493063789*$N$3)</f>
        <v/>
      </c>
    </row>
    <row r="231">
      <c r="B231" s="67" t="n">
        <v>45110</v>
      </c>
      <c r="C231" s="18" t="n">
        <v>69.15000000000001</v>
      </c>
      <c r="D231" s="18">
        <f>(0.3625*$M$3)</f>
        <v/>
      </c>
      <c r="E231" s="18">
        <f>(30640.1493063789*$N$3)</f>
        <v/>
      </c>
    </row>
    <row r="232">
      <c r="B232" s="67" t="n">
        <v>45131</v>
      </c>
      <c r="C232" s="18" t="n">
        <v>64.76000000000001</v>
      </c>
      <c r="D232" s="18">
        <f>(0.329*$M$3)</f>
        <v/>
      </c>
      <c r="E232" s="18">
        <f>(29748.1607239039*$N$3)</f>
        <v/>
      </c>
    </row>
    <row r="233">
      <c r="B233" s="67" t="n">
        <v>45263</v>
      </c>
      <c r="C233" s="18" t="n">
        <v>61.82</v>
      </c>
      <c r="D233" s="18">
        <f>(0.2491*$M$3)</f>
        <v/>
      </c>
      <c r="E233" s="18">
        <f>(39400.1607239039*$N$3)</f>
        <v/>
      </c>
    </row>
    <row r="234">
      <c r="B234" s="67" t="n">
        <v>45266</v>
      </c>
      <c r="C234" s="18" t="n">
        <v>62.55</v>
      </c>
      <c r="D234" s="18">
        <f>(0.2418*$M$3)</f>
        <v/>
      </c>
      <c r="E234" s="18">
        <f>(44800.1607239039*$N$3)</f>
        <v/>
      </c>
    </row>
    <row r="235">
      <c r="B235" s="67" t="n">
        <v>45312</v>
      </c>
      <c r="C235" s="18" t="n">
        <v>43.31</v>
      </c>
      <c r="D235" s="18">
        <f>(0.1357*$M$3)</f>
        <v/>
      </c>
      <c r="E235" s="18">
        <f>(41717.9624722911*$N$3)</f>
        <v/>
      </c>
    </row>
    <row r="236">
      <c r="B236" s="67" t="n">
        <v>45349</v>
      </c>
      <c r="C236" s="18" t="n">
        <v>41.4</v>
      </c>
      <c r="D236" s="18">
        <f>(0.097*$M$3)</f>
        <v/>
      </c>
      <c r="E236" s="18">
        <f>(57000*$N$3)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U26"/>
  <sheetViews>
    <sheetView workbookViewId="0">
      <selection activeCell="O30" sqref="O30"/>
    </sheetView>
  </sheetViews>
  <sheetFormatPr baseColWidth="10" defaultColWidth="9.140625" defaultRowHeight="15"/>
  <cols>
    <col width="9.140625" customWidth="1" style="25" min="1" max="3"/>
    <col width="10.28515625" bestFit="1" customWidth="1" style="25" min="4" max="4"/>
    <col width="9.140625" customWidth="1" style="25" min="5" max="8"/>
    <col width="12.42578125" bestFit="1" customWidth="1" style="25" min="9" max="9"/>
    <col width="9.140625" customWidth="1" style="25" min="10" max="13"/>
    <col width="10.140625" bestFit="1" customWidth="1" style="25" min="14" max="14"/>
    <col width="11.28515625" bestFit="1" customWidth="1" style="25" min="15" max="15"/>
    <col width="9.140625" customWidth="1" style="25" min="16" max="405"/>
    <col width="9.140625" customWidth="1" style="25" min="406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80" t="n">
        <v>0.8544304944806433</v>
      </c>
      <c r="M3" t="inlineStr">
        <is>
          <t>Objectif :</t>
        </is>
      </c>
      <c r="N3" s="70">
        <f>(INDEX(N5:N22,MATCH(MAX(O6:O8),O5:O22,0))/0.85)</f>
        <v/>
      </c>
      <c r="O3" s="60">
        <f>(MAX(O6:O8)*0.75)</f>
        <v/>
      </c>
      <c r="P3" s="5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70" t="n">
        <v>9.409654700000001</v>
      </c>
      <c r="C5" s="59">
        <f>(D5/B5)</f>
        <v/>
      </c>
      <c r="D5" s="59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70">
        <f>(B5)</f>
        <v/>
      </c>
      <c r="S5" s="59">
        <f>(T5/R5)</f>
        <v/>
      </c>
      <c r="T5" s="59">
        <f>D5</f>
        <v/>
      </c>
    </row>
    <row r="6">
      <c r="B6" s="82" t="n">
        <v>0.07655919999999999</v>
      </c>
      <c r="C6" s="62" t="n">
        <v>0</v>
      </c>
      <c r="D6" s="62">
        <f>(B6*C6)</f>
        <v/>
      </c>
      <c r="E6" s="59">
        <f>(B6*J3)</f>
        <v/>
      </c>
      <c r="M6" t="inlineStr">
        <is>
          <t>Objectif</t>
        </is>
      </c>
      <c r="N6" s="70">
        <f>-B7/2</f>
        <v/>
      </c>
      <c r="O6" s="59" t="n">
        <v>0.3</v>
      </c>
      <c r="P6" s="59">
        <f>(O6*N6)</f>
        <v/>
      </c>
      <c r="Q6" s="60" t="inlineStr">
        <is>
          <t>Done</t>
        </is>
      </c>
      <c r="R6" s="82">
        <f>(B6)</f>
        <v/>
      </c>
      <c r="S6" s="62" t="n">
        <v>0</v>
      </c>
      <c r="T6" s="62">
        <f>(D6)</f>
        <v/>
      </c>
      <c r="U6" s="59">
        <f>(E6)</f>
        <v/>
      </c>
    </row>
    <row r="7">
      <c r="B7" s="70" t="n">
        <v>-3.793</v>
      </c>
      <c r="C7" s="59">
        <f>D7/B7</f>
        <v/>
      </c>
      <c r="D7" s="59">
        <f>-1.29461908</f>
        <v/>
      </c>
      <c r="N7" s="70">
        <f>-B7/2</f>
        <v/>
      </c>
      <c r="O7" s="59" t="n">
        <v>0.37</v>
      </c>
      <c r="P7" s="59">
        <f>(O7*N7)</f>
        <v/>
      </c>
      <c r="Q7" s="60" t="inlineStr">
        <is>
          <t>Done</t>
        </is>
      </c>
      <c r="R7" s="70" t="n"/>
      <c r="S7" s="59" t="n"/>
      <c r="T7" s="59" t="n"/>
      <c r="U7" s="60" t="n"/>
    </row>
    <row r="8">
      <c r="B8" s="70" t="n">
        <v>-1.89</v>
      </c>
      <c r="C8" s="59">
        <f>D8/B8</f>
        <v/>
      </c>
      <c r="D8" s="59" t="n">
        <v>-1.04446569</v>
      </c>
      <c r="N8" s="70">
        <f>-B8</f>
        <v/>
      </c>
      <c r="O8" s="59">
        <f>P8/N8</f>
        <v/>
      </c>
      <c r="P8" s="59">
        <f>-D8</f>
        <v/>
      </c>
      <c r="Q8" s="60" t="inlineStr">
        <is>
          <t>Done</t>
        </is>
      </c>
      <c r="R8" s="70" t="n"/>
      <c r="S8" s="59" t="n"/>
      <c r="T8" s="59" t="n"/>
    </row>
    <row r="9">
      <c r="B9" s="70" t="n"/>
      <c r="C9" s="59" t="n"/>
      <c r="D9" s="59" t="n"/>
      <c r="N9" s="70">
        <f>4*($B$14-B7-B8)/5+B7+B8</f>
        <v/>
      </c>
      <c r="O9" s="59">
        <f>($C$5*[1]Params!K11)</f>
        <v/>
      </c>
      <c r="P9" s="59">
        <f>(O9*N9)</f>
        <v/>
      </c>
      <c r="Q9" s="60" t="n"/>
    </row>
    <row r="10">
      <c r="B10" s="70" t="n"/>
      <c r="C10" s="59" t="n"/>
      <c r="D10" s="59" t="n"/>
    </row>
    <row r="11"/>
    <row r="12">
      <c r="P12" s="59">
        <f>(SUM(P6:P9))</f>
        <v/>
      </c>
    </row>
    <row r="13">
      <c r="F13" t="inlineStr">
        <is>
          <t>Moy</t>
        </is>
      </c>
      <c r="G13" s="59">
        <f>(D14/B14)</f>
        <v/>
      </c>
    </row>
    <row r="14">
      <c r="B14" s="70">
        <f>(SUM(B5:B13))</f>
        <v/>
      </c>
      <c r="D14" s="59">
        <f>(SUM(D5:D13))</f>
        <v/>
      </c>
    </row>
    <row r="15"/>
    <row r="16"/>
    <row r="17">
      <c r="N17" s="70" t="n"/>
      <c r="R17" s="70">
        <f>(SUM(R5:R16))</f>
        <v/>
      </c>
      <c r="T17" s="59">
        <f>(SUM(T5:T16))</f>
        <v/>
      </c>
    </row>
    <row r="18"/>
    <row r="19"/>
    <row r="20">
      <c r="K20" s="60" t="n"/>
    </row>
    <row r="21"/>
    <row r="22"/>
    <row r="23"/>
    <row r="24"/>
    <row r="25"/>
    <row r="26">
      <c r="O26" s="89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X29" sqref="X29"/>
    </sheetView>
  </sheetViews>
  <sheetFormatPr baseColWidth="10" defaultColWidth="9.140625" defaultRowHeight="15"/>
  <cols>
    <col width="12" bestFit="1" customWidth="1" style="25" min="3" max="3"/>
    <col width="10.28515625" bestFit="1" customWidth="1" style="25" min="4" max="4"/>
    <col width="13" bestFit="1" customWidth="1" style="25" min="7" max="7"/>
    <col width="12.42578125" bestFit="1" customWidth="1" style="25" min="9" max="9"/>
    <col width="12" bestFit="1" customWidth="1" style="25" min="10" max="10"/>
    <col width="10.140625" bestFit="1" customWidth="1" style="25" min="14" max="14"/>
    <col width="12" bestFit="1" customWidth="1" style="25" min="15" max="15"/>
  </cols>
  <sheetData>
    <row r="1"/>
    <row r="2"/>
    <row r="3">
      <c r="I3" t="inlineStr">
        <is>
          <t>Actual Price :</t>
        </is>
      </c>
      <c r="J3" s="90" t="n">
        <v>1.142918369303544e-05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(B13*J3)</f>
        <v/>
      </c>
      <c r="K4" s="4">
        <f>(J4/D13-1)</f>
        <v/>
      </c>
    </row>
    <row r="5">
      <c r="B5" s="21" t="n">
        <v>439531.68</v>
      </c>
      <c r="C5" s="90">
        <f>(D5/B5)</f>
        <v/>
      </c>
      <c r="D5" s="59" t="n">
        <v>5.03</v>
      </c>
      <c r="E5" s="59" t="n"/>
      <c r="F5" s="59" t="n"/>
      <c r="G5" s="59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2" t="n">
        <v>283.46</v>
      </c>
      <c r="C6" s="62" t="n">
        <v>0</v>
      </c>
      <c r="D6" s="63">
        <f>(B6*C6)</f>
        <v/>
      </c>
      <c r="E6" s="59">
        <f>(B6*J3)</f>
        <v/>
      </c>
      <c r="F6" s="59" t="n"/>
      <c r="G6" s="59" t="n"/>
      <c r="M6" t="inlineStr">
        <is>
          <t>Objectif</t>
        </is>
      </c>
      <c r="N6" s="21">
        <f>($B$13/5)</f>
        <v/>
      </c>
      <c r="O6" s="90">
        <f>($C$5*[1]Params!K8)</f>
        <v/>
      </c>
      <c r="P6" s="59">
        <f>(O6*N6)</f>
        <v/>
      </c>
    </row>
    <row r="7">
      <c r="B7" s="21" t="n">
        <v>1084840.42</v>
      </c>
      <c r="C7" s="90">
        <f>(D7/B7)</f>
        <v/>
      </c>
      <c r="D7" s="59" t="n">
        <v>10.0124</v>
      </c>
      <c r="E7" s="59" t="inlineStr">
        <is>
          <t>DCA5</t>
        </is>
      </c>
      <c r="F7" s="59" t="n"/>
      <c r="G7" s="59" t="n"/>
      <c r="N7" s="21">
        <f>($B$13/5)</f>
        <v/>
      </c>
      <c r="O7" s="90">
        <f>($C$5*[1]Params!K9)</f>
        <v/>
      </c>
      <c r="P7" s="59">
        <f>(O7*N7)</f>
        <v/>
      </c>
    </row>
    <row r="8">
      <c r="C8" s="59" t="n"/>
      <c r="D8" s="59" t="n"/>
      <c r="E8" s="59" t="n"/>
      <c r="F8" s="59" t="n"/>
      <c r="G8" s="59" t="n"/>
      <c r="N8" s="21">
        <f>($B$13/5)</f>
        <v/>
      </c>
      <c r="O8" s="90">
        <f>($C$5*[1]Params!K10)</f>
        <v/>
      </c>
      <c r="P8" s="59">
        <f>(O8*N8)</f>
        <v/>
      </c>
    </row>
    <row r="9">
      <c r="C9" s="59" t="n"/>
      <c r="D9" s="59" t="n"/>
      <c r="E9" s="59" t="n"/>
      <c r="F9" s="59" t="n"/>
      <c r="G9" s="59" t="n"/>
      <c r="N9" s="21">
        <f>($B$13/5)</f>
        <v/>
      </c>
      <c r="O9" s="90">
        <f>($C$5*[1]Params!K11)</f>
        <v/>
      </c>
      <c r="P9" s="59">
        <f>(O9*N9)</f>
        <v/>
      </c>
    </row>
    <row r="10">
      <c r="C10" s="59" t="n"/>
      <c r="D10" s="59" t="n"/>
      <c r="E10" s="59" t="n"/>
      <c r="F10" s="59" t="n"/>
      <c r="G10" s="59" t="n"/>
      <c r="O10" s="59" t="n"/>
      <c r="P10" s="59" t="n"/>
    </row>
    <row r="11">
      <c r="C11" s="59" t="n"/>
      <c r="D11" s="59" t="n"/>
      <c r="E11" s="59" t="n"/>
      <c r="F11" s="59" t="n"/>
      <c r="G11" s="59" t="n"/>
      <c r="O11" s="59" t="n"/>
      <c r="P11" s="59">
        <f>(SUM(P6:P9))</f>
        <v/>
      </c>
    </row>
    <row r="12">
      <c r="C12" s="59" t="n"/>
      <c r="D12" s="59" t="n"/>
      <c r="E12" s="59" t="n"/>
      <c r="F12" s="59" t="inlineStr">
        <is>
          <t>Moy</t>
        </is>
      </c>
      <c r="G12" s="91">
        <f>(D13/B13)</f>
        <v/>
      </c>
    </row>
    <row r="13">
      <c r="B13">
        <f>(SUM(B5:B12))</f>
        <v/>
      </c>
      <c r="C13" s="59" t="n"/>
      <c r="D13" s="59">
        <f>(SUM(D5:D12))</f>
        <v/>
      </c>
      <c r="E13" s="59" t="n"/>
      <c r="F13" s="59" t="n"/>
      <c r="G13" s="59" t="n"/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J3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C7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2:V49"/>
  <sheetViews>
    <sheetView workbookViewId="0">
      <selection activeCell="T7" sqref="T7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" bestFit="1" customWidth="1" style="25" min="10" max="10"/>
    <col width="10.140625" bestFit="1" customWidth="1" style="25" min="14" max="14"/>
    <col width="11.28515625" bestFit="1" customWidth="1" style="25" min="15" max="15"/>
    <col width="9.140625" customWidth="1" style="25" min="18" max="19"/>
    <col width="10.28515625" bestFit="1" customWidth="1" style="25" min="20" max="20"/>
    <col width="9.140625" customWidth="1" style="25" min="21" max="22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83" t="n">
        <v>0.006268461785694879</v>
      </c>
      <c r="M3" t="inlineStr">
        <is>
          <t>Objectif :</t>
        </is>
      </c>
      <c r="N3" s="23">
        <f>(INDEX(N5:N26,MATCH(MAX(O6),O5:O26,0))/0.85)</f>
        <v/>
      </c>
      <c r="O3" s="89">
        <f>(MAX(O6)*0.75)</f>
        <v/>
      </c>
      <c r="P3" s="5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(B10*J3)</f>
        <v/>
      </c>
      <c r="K4" s="4">
        <f>(J4/D10-1)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599.4</v>
      </c>
      <c r="C5" s="80">
        <f>(D5/B5)</f>
        <v/>
      </c>
      <c r="D5" s="59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(B5)</f>
        <v/>
      </c>
      <c r="S5" s="59">
        <f>(C5)</f>
        <v/>
      </c>
      <c r="T5" s="59">
        <f>(R5*S5)</f>
        <v/>
      </c>
    </row>
    <row r="6">
      <c r="B6" t="n">
        <v>-112.14534036</v>
      </c>
      <c r="C6" s="59">
        <f>D6/B6</f>
        <v/>
      </c>
      <c r="D6" s="59">
        <f>-0.973296</f>
        <v/>
      </c>
      <c r="M6" t="inlineStr">
        <is>
          <t>Objectif</t>
        </is>
      </c>
      <c r="N6" s="18">
        <f>($B$5/5)</f>
        <v/>
      </c>
      <c r="O6" s="87">
        <f>($C$5*[1]Params!K8)</f>
        <v/>
      </c>
      <c r="P6" s="59">
        <f>(O6*N6)</f>
        <v/>
      </c>
      <c r="Q6" t="inlineStr">
        <is>
          <t>Done</t>
        </is>
      </c>
      <c r="R6">
        <f>B7</f>
        <v/>
      </c>
      <c r="S6" s="59" t="n">
        <v>0</v>
      </c>
      <c r="T6" s="59">
        <f>D6</f>
        <v/>
      </c>
    </row>
    <row r="7">
      <c r="C7" s="59" t="n"/>
      <c r="D7" s="59" t="n"/>
      <c r="N7" s="70">
        <f>$B$10/4</f>
        <v/>
      </c>
      <c r="O7" s="87">
        <f>($C$5*[1]Params!K9)</f>
        <v/>
      </c>
      <c r="P7" s="59">
        <f>(O7*N7)</f>
        <v/>
      </c>
      <c r="R7" s="23" t="n"/>
      <c r="S7" s="59" t="n"/>
      <c r="T7" s="59" t="n"/>
    </row>
    <row r="8">
      <c r="C8" s="59" t="n"/>
      <c r="D8" s="59" t="n"/>
      <c r="N8" s="70">
        <f>$B$10/4</f>
        <v/>
      </c>
      <c r="O8" s="87">
        <f>($C$5*[1]Params!K10)</f>
        <v/>
      </c>
      <c r="P8" s="59">
        <f>(O8*N8)</f>
        <v/>
      </c>
      <c r="R8" s="23" t="n"/>
      <c r="S8" s="59" t="n"/>
      <c r="T8" s="59" t="n"/>
    </row>
    <row r="9">
      <c r="C9" s="59" t="n"/>
      <c r="D9" s="59" t="n"/>
      <c r="F9" t="inlineStr">
        <is>
          <t>Moy</t>
        </is>
      </c>
      <c r="G9" s="59">
        <f>(D10/B10)</f>
        <v/>
      </c>
      <c r="N9" s="70">
        <f>$B$10/4</f>
        <v/>
      </c>
      <c r="O9" s="87">
        <f>($C$5*[1]Params!K11)</f>
        <v/>
      </c>
      <c r="P9" s="59">
        <f>(O9*N9)</f>
        <v/>
      </c>
      <c r="R9" s="23" t="n"/>
      <c r="S9" s="59" t="n"/>
      <c r="T9" s="59" t="n"/>
    </row>
    <row r="10">
      <c r="B10">
        <f>(SUM(B5:B9))</f>
        <v/>
      </c>
      <c r="C10" s="59" t="n"/>
      <c r="D10" s="59">
        <f>(SUM(D5:D9))</f>
        <v/>
      </c>
      <c r="O10" s="59" t="n"/>
      <c r="P10" s="59" t="n"/>
      <c r="S10" s="59" t="n"/>
      <c r="T10" s="59" t="n"/>
    </row>
    <row r="11">
      <c r="O11" s="59" t="n"/>
      <c r="P11" s="59">
        <f>(SUM(P6:P9))</f>
        <v/>
      </c>
      <c r="S11" s="59" t="n"/>
      <c r="T11" s="59" t="n"/>
    </row>
    <row r="12">
      <c r="R12" s="23" t="n"/>
      <c r="S12" s="59" t="n"/>
      <c r="T12" s="59" t="n"/>
    </row>
    <row r="13">
      <c r="R13">
        <f>(SUM(R5:R12))</f>
        <v/>
      </c>
      <c r="S13" s="59" t="n"/>
      <c r="T13" s="59">
        <f>(SUM(T5:T12))</f>
        <v/>
      </c>
    </row>
    <row r="14">
      <c r="R14" s="23" t="n"/>
      <c r="S14" s="59" t="n"/>
      <c r="T14" s="59" t="n"/>
    </row>
    <row r="15">
      <c r="R15" s="23" t="n"/>
      <c r="S15" s="59" t="n"/>
      <c r="T15" s="59" t="n"/>
    </row>
    <row r="16">
      <c r="R16" s="23" t="n"/>
      <c r="S16" s="59" t="n"/>
      <c r="T16" s="59" t="n"/>
      <c r="V16" s="60" t="n"/>
    </row>
    <row r="17">
      <c r="R17" s="23" t="n"/>
      <c r="S17" s="59" t="n"/>
      <c r="T17" s="59" t="n"/>
      <c r="V17" s="60" t="n"/>
    </row>
    <row r="18">
      <c r="R18" s="23" t="n"/>
      <c r="S18" s="60" t="n"/>
      <c r="T18" s="60" t="n"/>
      <c r="V18" s="60" t="n"/>
    </row>
    <row r="19">
      <c r="R19" s="23" t="n"/>
      <c r="S19" s="60" t="n"/>
      <c r="T19" s="59" t="n"/>
    </row>
    <row r="20">
      <c r="R20" s="23" t="n"/>
      <c r="S20" s="59" t="n"/>
      <c r="T20" s="59" t="n"/>
    </row>
    <row r="21">
      <c r="R21" s="23" t="n"/>
      <c r="S21" s="59" t="n"/>
      <c r="T21" s="59" t="n"/>
    </row>
    <row r="22">
      <c r="R22" s="23" t="n"/>
      <c r="S22" s="59" t="n"/>
      <c r="T22" s="59" t="n"/>
    </row>
    <row r="23">
      <c r="R23" s="23" t="n"/>
      <c r="S23" s="60" t="n"/>
      <c r="T23" s="60" t="n"/>
    </row>
    <row r="24">
      <c r="R24" s="23" t="n"/>
      <c r="S24" s="59" t="n"/>
      <c r="T24" s="59" t="n"/>
    </row>
    <row r="29">
      <c r="R29" s="23" t="n"/>
      <c r="S29" s="59" t="n"/>
      <c r="T29" s="59" t="n"/>
    </row>
    <row r="30">
      <c r="R30" s="23" t="n"/>
      <c r="S30" s="59" t="n"/>
      <c r="T30" s="59" t="n"/>
    </row>
    <row r="31">
      <c r="S31" s="59" t="n"/>
      <c r="T31" s="59" t="n"/>
    </row>
    <row r="32">
      <c r="S32" s="59" t="n"/>
      <c r="T32" s="59" t="n"/>
    </row>
    <row r="33">
      <c r="S33" s="59" t="n"/>
      <c r="T33" s="59" t="n"/>
      <c r="U33" s="60" t="n"/>
    </row>
    <row r="34">
      <c r="S34" s="59" t="n"/>
      <c r="T34" s="59" t="n"/>
    </row>
    <row r="35">
      <c r="S35" s="59" t="n"/>
      <c r="T35" s="59" t="n"/>
    </row>
    <row r="36">
      <c r="S36" s="59" t="n"/>
      <c r="T36" s="59" t="n"/>
    </row>
    <row r="37">
      <c r="S37" s="59" t="n"/>
      <c r="T37" s="59" t="n"/>
    </row>
    <row r="38">
      <c r="S38" s="59" t="n"/>
      <c r="T38" s="59" t="n"/>
    </row>
    <row r="39">
      <c r="S39" s="59" t="n"/>
      <c r="T39" s="59" t="n"/>
    </row>
    <row r="40">
      <c r="S40" s="59" t="n"/>
      <c r="T40" s="59" t="n"/>
    </row>
    <row r="41">
      <c r="S41" s="59" t="n"/>
      <c r="T41" s="59" t="n"/>
    </row>
    <row r="42">
      <c r="S42" s="59" t="n"/>
      <c r="T42" s="59" t="n"/>
    </row>
    <row r="43">
      <c r="S43" s="59" t="n"/>
      <c r="T43" s="59" t="n"/>
    </row>
    <row r="44">
      <c r="S44" s="59" t="n"/>
      <c r="T44" s="59" t="n"/>
    </row>
    <row r="45">
      <c r="S45" s="59" t="n"/>
      <c r="T45" s="59" t="n"/>
    </row>
    <row r="46">
      <c r="S46" s="59" t="n"/>
      <c r="T46" s="59" t="n"/>
    </row>
    <row r="47">
      <c r="S47" s="59" t="n"/>
      <c r="T47" s="59" t="n"/>
    </row>
    <row r="48">
      <c r="R48" s="23">
        <f>(SUM(R5:R36))</f>
        <v/>
      </c>
      <c r="S48" s="59" t="n"/>
      <c r="T48" s="59">
        <f>(SUM(T5:T36))</f>
        <v/>
      </c>
      <c r="V48" t="inlineStr">
        <is>
          <t>Moy</t>
        </is>
      </c>
    </row>
    <row r="49">
      <c r="S49" s="59" t="n"/>
      <c r="T49" s="59" t="n"/>
    </row>
  </sheetData>
  <conditionalFormatting sqref="C5 G9 O7:O9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conditionalFormatting sqref="S5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1:W52"/>
  <sheetViews>
    <sheetView workbookViewId="0">
      <selection activeCell="R13" sqref="R13:U24"/>
    </sheetView>
  </sheetViews>
  <sheetFormatPr baseColWidth="10" defaultColWidth="9.140625" defaultRowHeight="15"/>
  <cols>
    <col width="9" bestFit="1" customWidth="1" style="25" min="3" max="3"/>
    <col width="10.28515625" bestFit="1" customWidth="1" style="25" min="4" max="4"/>
    <col width="9.7109375" bestFit="1" customWidth="1" style="25" min="5" max="5"/>
    <col width="12.42578125" bestFit="1" customWidth="1" style="25" min="9" max="9"/>
    <col width="12" bestFit="1" customWidth="1" style="25" min="14" max="14"/>
    <col width="11.28515625" bestFit="1" customWidth="1" style="25" min="15" max="15"/>
    <col width="10.285156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9" t="n">
        <v>112.3573339951375</v>
      </c>
      <c r="M3" t="inlineStr">
        <is>
          <t>Objectif :</t>
        </is>
      </c>
      <c r="N3" s="23">
        <f>(INDEX(N5:N26,MATCH(MAX(O6:O9,O23:O25,O14:O16),O5:O26,0))/0.85)</f>
        <v/>
      </c>
      <c r="O3" s="60">
        <f>(MAX(O14:O16,O23:O25,O6:O9)*0.75)</f>
        <v/>
      </c>
      <c r="P3" s="5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9">
        <f>(B48*J3)</f>
        <v/>
      </c>
      <c r="K4" s="4">
        <f>(J4/D48-1)</f>
        <v/>
      </c>
      <c r="O4" s="59" t="n"/>
      <c r="P4" s="59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3">
        <f>(0.108955+8*0.0233458)</f>
        <v/>
      </c>
      <c r="C5" s="59" t="n">
        <v>196</v>
      </c>
      <c r="D5" s="59">
        <f>(B5*C5)</f>
        <v/>
      </c>
      <c r="E5" s="59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3">
        <f>(B5)</f>
        <v/>
      </c>
      <c r="S5" s="59">
        <f>(C5)</f>
        <v/>
      </c>
      <c r="T5" s="59">
        <f>(R5*S5)</f>
        <v/>
      </c>
    </row>
    <row r="6">
      <c r="B6" s="23">
        <f>(-0.00801)</f>
        <v/>
      </c>
      <c r="C6" s="59">
        <f>(D6/B6)</f>
        <v/>
      </c>
      <c r="D6" s="59" t="n">
        <v>-0.300785</v>
      </c>
      <c r="E6" s="59" t="n"/>
      <c r="M6" t="inlineStr">
        <is>
          <t>Objectif</t>
        </is>
      </c>
      <c r="N6" s="23">
        <f>($B$15/5)</f>
        <v/>
      </c>
      <c r="O6" s="59">
        <f>(C22)</f>
        <v/>
      </c>
      <c r="P6" s="59">
        <f>(O6*N6)</f>
        <v/>
      </c>
      <c r="Q6" t="inlineStr">
        <is>
          <t>Done</t>
        </is>
      </c>
      <c r="R6" s="23">
        <f>(B6+B7+B8+B9+B10+B11)</f>
        <v/>
      </c>
      <c r="S6" s="59" t="n">
        <v>0</v>
      </c>
      <c r="T6" s="59">
        <f>(D6+D7+D8+D9)+D10+D11</f>
        <v/>
      </c>
    </row>
    <row r="7">
      <c r="B7" s="23" t="n">
        <v>-0.007325</v>
      </c>
      <c r="C7" s="59">
        <f>(D7/B7)</f>
        <v/>
      </c>
      <c r="D7" s="59" t="n">
        <v>-0.3</v>
      </c>
      <c r="E7" s="59" t="n"/>
      <c r="N7" s="23">
        <f>-B35</f>
        <v/>
      </c>
      <c r="O7" s="59">
        <f>P7/N7</f>
        <v/>
      </c>
      <c r="P7" s="59">
        <f>-D35</f>
        <v/>
      </c>
      <c r="Q7" t="inlineStr">
        <is>
          <t>Done</t>
        </is>
      </c>
      <c r="R7" s="23">
        <f>B12+B13+B14</f>
        <v/>
      </c>
      <c r="S7" s="59" t="n">
        <v>0</v>
      </c>
      <c r="T7" s="59">
        <f>(R7*S7)</f>
        <v/>
      </c>
    </row>
    <row r="8">
      <c r="B8" s="23">
        <f>(0.00803628-0.0000683)</f>
        <v/>
      </c>
      <c r="C8" s="59">
        <f>(D8/B8)</f>
        <v/>
      </c>
      <c r="D8" s="59" t="n">
        <v>0.29</v>
      </c>
      <c r="E8" s="59" t="n"/>
      <c r="N8" s="23">
        <f>(($B$15+$R$16)/5)</f>
        <v/>
      </c>
      <c r="O8" s="59">
        <f>C37</f>
        <v/>
      </c>
      <c r="P8" s="59">
        <f>-D37</f>
        <v/>
      </c>
      <c r="Q8" t="inlineStr">
        <is>
          <t>Done</t>
        </is>
      </c>
      <c r="R8" s="23">
        <f>(B15+B22)</f>
        <v/>
      </c>
      <c r="S8" s="59">
        <f>(T8/R8)</f>
        <v/>
      </c>
      <c r="T8" s="59">
        <f>(D15+D22)</f>
        <v/>
      </c>
    </row>
    <row r="9">
      <c r="B9" s="23">
        <f>(0.00884882-0.00007521)</f>
        <v/>
      </c>
      <c r="C9" s="59">
        <f>(D9/B9)</f>
        <v/>
      </c>
      <c r="D9" s="59" t="n">
        <v>0.28</v>
      </c>
      <c r="E9" s="59" t="n"/>
      <c r="N9" s="23">
        <f>(($B$15+$R$16)/5)</f>
        <v/>
      </c>
      <c r="O9" s="59">
        <f>($C$15*[1]Params!K11)</f>
        <v/>
      </c>
      <c r="P9" s="59">
        <f>(O9*N9)</f>
        <v/>
      </c>
      <c r="Q9" t="inlineStr">
        <is>
          <t>Done</t>
        </is>
      </c>
      <c r="R9" s="23">
        <f>(B16+B20+B36-N16)</f>
        <v/>
      </c>
      <c r="S9" s="59">
        <f>(T9/R9)</f>
        <v/>
      </c>
      <c r="T9" s="59">
        <f>(D16+11.97*B20+B36*19.42078-N16*19.42078)</f>
        <v/>
      </c>
      <c r="U9" t="inlineStr">
        <is>
          <t>DCA1</t>
        </is>
      </c>
    </row>
    <row r="10">
      <c r="B10" s="23" t="n">
        <v>0.10169404</v>
      </c>
      <c r="C10" s="59">
        <f>(D10/B10)</f>
        <v/>
      </c>
      <c r="D10" s="59" t="n">
        <v>3.56</v>
      </c>
      <c r="E10" s="59" t="n"/>
      <c r="O10" s="59" t="n"/>
      <c r="P10" s="59" t="n"/>
      <c r="R10" s="24">
        <f>(B17)</f>
        <v/>
      </c>
      <c r="S10" s="62">
        <f>(C17)</f>
        <v/>
      </c>
      <c r="T10" s="63">
        <f>(D17)</f>
        <v/>
      </c>
    </row>
    <row r="11">
      <c r="B11" s="23" t="n">
        <v>-0.1</v>
      </c>
      <c r="C11" s="59">
        <f>(D11/B11)</f>
        <v/>
      </c>
      <c r="D11" s="59" t="n">
        <v>-3.7812</v>
      </c>
      <c r="E11" s="59" t="n"/>
      <c r="O11" s="59" t="n"/>
      <c r="P11" s="59">
        <f>(SUM(P6:P9))</f>
        <v/>
      </c>
      <c r="R11" s="23">
        <f>B18+B21+B38-N25</f>
        <v/>
      </c>
      <c r="S11" s="59">
        <f>(T11/R11)</f>
        <v/>
      </c>
      <c r="T11" s="59">
        <f>(D18+12.6*B21+20.2393*B38-20.2393*N25)</f>
        <v/>
      </c>
      <c r="U11" t="inlineStr">
        <is>
          <t>DCA2</t>
        </is>
      </c>
    </row>
    <row r="12">
      <c r="B12" s="23" t="n">
        <v>0.0021</v>
      </c>
      <c r="C12" s="59" t="n">
        <v>0</v>
      </c>
      <c r="D12" s="59" t="n">
        <v>0</v>
      </c>
      <c r="E12" s="59">
        <f>(B12*$J$3)</f>
        <v/>
      </c>
      <c r="O12" s="59" t="n"/>
      <c r="P12" s="59" t="n"/>
      <c r="R12" s="23">
        <f>(B19)</f>
        <v/>
      </c>
      <c r="S12" s="59">
        <f>(T12/R12)</f>
        <v/>
      </c>
      <c r="T12" s="59">
        <f>(D19)</f>
        <v/>
      </c>
    </row>
    <row r="13">
      <c r="B13" s="23">
        <f>(0.60148-0.595318987)</f>
        <v/>
      </c>
      <c r="C13" s="59" t="n">
        <v>0</v>
      </c>
      <c r="D13" s="59" t="n">
        <v>0</v>
      </c>
      <c r="E13" s="59">
        <f>(B13*$J$3)</f>
        <v/>
      </c>
      <c r="F13" s="60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3">
        <f>(B20-B20)</f>
        <v/>
      </c>
      <c r="S13" s="59" t="n">
        <v>0</v>
      </c>
      <c r="T13" s="59">
        <f>(14.952/1.25*-B20+D20)</f>
        <v/>
      </c>
      <c r="U13" t="inlineStr">
        <is>
          <t>DCA1 1/5</t>
        </is>
      </c>
    </row>
    <row r="14">
      <c r="B14" s="23">
        <f>(0.10209-0.101562222)</f>
        <v/>
      </c>
      <c r="C14" s="59" t="n">
        <v>0</v>
      </c>
      <c r="D14" s="59" t="n">
        <v>0</v>
      </c>
      <c r="E14" s="59">
        <f>(B14*$J$3)</f>
        <v/>
      </c>
      <c r="I14" s="23" t="n"/>
      <c r="M14" t="inlineStr">
        <is>
          <t>Objectif</t>
        </is>
      </c>
      <c r="N14" s="23">
        <f>(-B20)</f>
        <v/>
      </c>
      <c r="O14" s="59">
        <f>(C20)</f>
        <v/>
      </c>
      <c r="P14" s="59">
        <f>(O14*N14)</f>
        <v/>
      </c>
      <c r="Q14" t="inlineStr">
        <is>
          <t>Done</t>
        </is>
      </c>
      <c r="R14" s="23">
        <f>(B21-B21)</f>
        <v/>
      </c>
      <c r="S14" s="59" t="n">
        <v>0</v>
      </c>
      <c r="T14" s="59">
        <f>(12.6*-B21+D21)</f>
        <v/>
      </c>
      <c r="U14" t="inlineStr">
        <is>
          <t>DCA2 1/5</t>
        </is>
      </c>
    </row>
    <row r="15">
      <c r="B15" s="23" t="n">
        <v>0.49053</v>
      </c>
      <c r="C15" s="59">
        <f>(D15/B15)</f>
        <v/>
      </c>
      <c r="D15" s="59" t="n">
        <v>6.3</v>
      </c>
      <c r="E15" s="59" t="n"/>
      <c r="N15" s="23">
        <f>-B36</f>
        <v/>
      </c>
      <c r="O15" s="59">
        <f>C36</f>
        <v/>
      </c>
      <c r="P15" s="59">
        <f>(O15*N15)</f>
        <v/>
      </c>
      <c r="Q15" t="inlineStr">
        <is>
          <t>Done</t>
        </is>
      </c>
      <c r="R15" s="23">
        <f>(B25+B26)+B42+B43</f>
        <v/>
      </c>
      <c r="S15" s="59" t="n">
        <v>0</v>
      </c>
      <c r="T15" s="59">
        <f>(D25+D26)+D42+D43</f>
        <v/>
      </c>
      <c r="U15" t="inlineStr">
        <is>
          <t>DCA2*</t>
        </is>
      </c>
    </row>
    <row r="16">
      <c r="B16" s="23" t="n">
        <v>6.12636914</v>
      </c>
      <c r="C16" s="59">
        <f>(D16/B16)</f>
        <v/>
      </c>
      <c r="D16" s="59" t="n">
        <v>130.74</v>
      </c>
      <c r="E16" t="inlineStr">
        <is>
          <t>DCA1</t>
        </is>
      </c>
      <c r="N16" s="23">
        <f>-B39-N25</f>
        <v/>
      </c>
      <c r="O16" s="59">
        <f>C39</f>
        <v/>
      </c>
      <c r="P16" s="59">
        <f>(O16*N16)</f>
        <v/>
      </c>
      <c r="Q16" t="inlineStr">
        <is>
          <t>Done</t>
        </is>
      </c>
      <c r="R16" s="23">
        <f>(B27+B24+B32+B33+B28+B34)</f>
        <v/>
      </c>
      <c r="S16" s="59" t="n">
        <v>0</v>
      </c>
      <c r="T16" s="59">
        <f>(D27+D24+D32+D33+D28+D34)</f>
        <v/>
      </c>
      <c r="U16" t="inlineStr">
        <is>
          <t>Ph*</t>
        </is>
      </c>
      <c r="V16" s="60">
        <f>-T15+R15*$J$3</f>
        <v/>
      </c>
    </row>
    <row r="17">
      <c r="B17" s="24" t="n">
        <v>0.06509395</v>
      </c>
      <c r="C17" s="62" t="n">
        <v>0</v>
      </c>
      <c r="D17" s="63" t="n">
        <v>0</v>
      </c>
      <c r="E17" s="60">
        <f>B17*J3</f>
        <v/>
      </c>
      <c r="N17" s="23">
        <f>($R$9+$R$17)/2</f>
        <v/>
      </c>
      <c r="O17" s="59">
        <f>($S$9*[1]Params!K11)</f>
        <v/>
      </c>
      <c r="P17" s="59">
        <f>O17*N17</f>
        <v/>
      </c>
      <c r="R17" s="23">
        <f>B30+B23+B29+B31+B41+B44</f>
        <v/>
      </c>
      <c r="S17" s="59" t="n">
        <v>0</v>
      </c>
      <c r="T17" s="59">
        <f>D30+D23+D29+D31+D41+D44</f>
        <v/>
      </c>
      <c r="U17" t="inlineStr">
        <is>
          <t>DCA1*</t>
        </is>
      </c>
      <c r="V17" s="60">
        <f>-T16+R16*$J$3</f>
        <v/>
      </c>
    </row>
    <row r="18">
      <c r="B18" s="23" t="n">
        <v>1.92994891</v>
      </c>
      <c r="C18" s="59">
        <f>(D18/B18)</f>
        <v/>
      </c>
      <c r="D18" s="59" t="n">
        <v>45.7</v>
      </c>
      <c r="E18" t="inlineStr">
        <is>
          <t>DCA2</t>
        </is>
      </c>
      <c r="N18" s="23" t="n"/>
      <c r="O18" s="59" t="n"/>
      <c r="P18" s="59" t="n"/>
      <c r="R18" s="23">
        <f>B35</f>
        <v/>
      </c>
      <c r="S18" s="60">
        <f>T18/R18</f>
        <v/>
      </c>
      <c r="T18" s="60">
        <f>D35</f>
        <v/>
      </c>
      <c r="U18" t="inlineStr">
        <is>
          <t>Ph 2/5</t>
        </is>
      </c>
      <c r="V18" s="60">
        <f>-T17+R17*$J$3</f>
        <v/>
      </c>
    </row>
    <row r="19">
      <c r="B19" s="23" t="n">
        <v>0.0414744</v>
      </c>
      <c r="C19" s="59">
        <f>(D19/B19)</f>
        <v/>
      </c>
      <c r="D19" s="59" t="n">
        <v>0.5</v>
      </c>
      <c r="E19" s="59" t="n"/>
      <c r="O19" s="59" t="n"/>
      <c r="P19" s="59">
        <f>(SUM(P14:P17))</f>
        <v/>
      </c>
      <c r="R19" s="23">
        <f>B36-B36</f>
        <v/>
      </c>
      <c r="S19" s="60" t="n">
        <v>0</v>
      </c>
      <c r="T19" s="59">
        <f>D36-B36*19.42078</f>
        <v/>
      </c>
      <c r="U19" t="inlineStr">
        <is>
          <t>DCA1 2/5</t>
        </is>
      </c>
    </row>
    <row r="20">
      <c r="B20" s="23" t="n">
        <v>-0.2809</v>
      </c>
      <c r="C20" s="59">
        <f>(D20/B20)</f>
        <v/>
      </c>
      <c r="D20" s="59" t="n">
        <v>-4.2022</v>
      </c>
      <c r="E20" s="59" t="n"/>
      <c r="N20" s="23" t="n"/>
      <c r="O20" s="59" t="n"/>
      <c r="P20" s="59" t="n"/>
      <c r="R20" s="23">
        <f>B37</f>
        <v/>
      </c>
      <c r="S20" s="59">
        <f>T20/R20</f>
        <v/>
      </c>
      <c r="T20" s="59">
        <f>D37</f>
        <v/>
      </c>
      <c r="U20" t="inlineStr">
        <is>
          <t>Ph 3/5</t>
        </is>
      </c>
    </row>
    <row r="21">
      <c r="B21" s="23" t="n">
        <v>-0.07144</v>
      </c>
      <c r="C21" s="59">
        <f>(D21/B21)</f>
        <v/>
      </c>
      <c r="D21" s="59" t="n">
        <v>-1.16310352</v>
      </c>
      <c r="E21" s="59" t="n"/>
      <c r="G21" s="60" t="n"/>
      <c r="I21" s="60" t="n"/>
      <c r="O21" s="59" t="n"/>
      <c r="P21" s="59" t="n"/>
      <c r="R21" s="23">
        <f>B38-B38</f>
        <v/>
      </c>
      <c r="S21" s="59" t="n">
        <v>0</v>
      </c>
      <c r="T21" s="59">
        <f>D38-B38*20.2393</f>
        <v/>
      </c>
      <c r="U21" t="inlineStr">
        <is>
          <t>DCA2 2/5</t>
        </is>
      </c>
    </row>
    <row r="22">
      <c r="B22" s="23" t="n">
        <v>-0.09811</v>
      </c>
      <c r="C22" s="59">
        <f>(D22/B22)</f>
        <v/>
      </c>
      <c r="D22" s="59" t="n">
        <v>-1.59267</v>
      </c>
      <c r="E22" s="59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3">
        <f>N16-N16</f>
        <v/>
      </c>
      <c r="S22" s="59" t="n">
        <v>0</v>
      </c>
      <c r="T22" s="59">
        <f>-57.77+(N16)*19.42078</f>
        <v/>
      </c>
      <c r="U22" t="inlineStr">
        <is>
          <t>DCA1 3/5</t>
        </is>
      </c>
    </row>
    <row r="23">
      <c r="B23" s="23" t="n">
        <v>-0.31</v>
      </c>
      <c r="C23" s="59">
        <f>(D23/B23)</f>
        <v/>
      </c>
      <c r="D23" s="59" t="n">
        <v>-5.704</v>
      </c>
      <c r="E23" s="59" t="n"/>
      <c r="M23" t="inlineStr">
        <is>
          <t>Objectif</t>
        </is>
      </c>
      <c r="N23" s="23">
        <f>(-B21)</f>
        <v/>
      </c>
      <c r="O23" s="59">
        <f>(C21)</f>
        <v/>
      </c>
      <c r="P23" s="59">
        <f>(O23*N23)</f>
        <v/>
      </c>
      <c r="Q23" t="inlineStr">
        <is>
          <t>Done</t>
        </is>
      </c>
      <c r="R23" s="23">
        <f>N25-N25</f>
        <v/>
      </c>
      <c r="S23" s="60" t="n">
        <v>0</v>
      </c>
      <c r="T23" s="60">
        <f>-P25+N25*20.2393</f>
        <v/>
      </c>
      <c r="U23" t="inlineStr">
        <is>
          <t>DCA2 3/5</t>
        </is>
      </c>
    </row>
    <row r="24">
      <c r="B24" s="23" t="n">
        <v>-0.098095</v>
      </c>
      <c r="C24" s="59">
        <f>(D24/B24)</f>
        <v/>
      </c>
      <c r="D24" s="59" t="n">
        <v>-2.16</v>
      </c>
      <c r="E24" s="59" t="n"/>
      <c r="N24" s="23">
        <f>-B38</f>
        <v/>
      </c>
      <c r="O24" s="59">
        <f>($S$11*[1]Params!K9)</f>
        <v/>
      </c>
      <c r="P24" s="59">
        <f>(O24*N24)</f>
        <v/>
      </c>
      <c r="Q24" t="inlineStr">
        <is>
          <t>Done</t>
        </is>
      </c>
      <c r="R24" s="23">
        <f>B40</f>
        <v/>
      </c>
      <c r="S24" s="59">
        <f>C40</f>
        <v/>
      </c>
      <c r="T24" s="59">
        <f>D40</f>
        <v/>
      </c>
      <c r="U24" t="inlineStr">
        <is>
          <t>Ph 4/5</t>
        </is>
      </c>
    </row>
    <row r="25">
      <c r="B25" s="23">
        <f>(-0.05715)</f>
        <v/>
      </c>
      <c r="C25" s="59">
        <f>(D25/B25)</f>
        <v/>
      </c>
      <c r="D25" s="59" t="n">
        <v>-1.25988073</v>
      </c>
      <c r="E25" s="59" t="n"/>
      <c r="N25" s="23">
        <f>0.382</f>
        <v/>
      </c>
      <c r="O25" s="59">
        <f>C39</f>
        <v/>
      </c>
      <c r="P25" s="59">
        <f>(O25*N25)</f>
        <v/>
      </c>
      <c r="Q25" t="inlineStr">
        <is>
          <t>Done</t>
        </is>
      </c>
    </row>
    <row r="26">
      <c r="B26" s="23" t="n">
        <v>0.06353443</v>
      </c>
      <c r="C26" s="59">
        <f>(D26/B26)</f>
        <v/>
      </c>
      <c r="D26" s="59" t="n">
        <v>1.19</v>
      </c>
      <c r="E26" s="59" t="n"/>
      <c r="N26" s="23">
        <f>4*($B$18+$R$15)/5-$N$25-$N$24-$N$23</f>
        <v/>
      </c>
      <c r="O26" s="59">
        <f>($S$11*[1]Params!K11)</f>
        <v/>
      </c>
      <c r="P26" s="59">
        <f>O26*N26</f>
        <v/>
      </c>
    </row>
    <row r="27">
      <c r="B27" s="23">
        <f>(0.02767109+0.08304053-0.00094104)</f>
        <v/>
      </c>
      <c r="C27" s="59">
        <f>(D27/B27)</f>
        <v/>
      </c>
      <c r="D27" s="59" t="n">
        <v>2.04</v>
      </c>
      <c r="E27" s="59" t="n"/>
      <c r="O27" s="59" t="n"/>
      <c r="P27" s="59" t="n"/>
    </row>
    <row r="28">
      <c r="B28" s="23" t="n">
        <v>-0.102</v>
      </c>
      <c r="C28" s="59">
        <f>(D28/B28)</f>
        <v/>
      </c>
      <c r="D28" s="59">
        <f>(-2.275+0.019338)</f>
        <v/>
      </c>
      <c r="E28" s="59" t="n"/>
      <c r="O28" s="59" t="n"/>
      <c r="P28" s="59">
        <f>(SUM(P23:P26))</f>
        <v/>
      </c>
    </row>
    <row r="29">
      <c r="B29" s="23" t="n">
        <v>0.11322</v>
      </c>
      <c r="C29" s="59">
        <f>(D29/B29)</f>
        <v/>
      </c>
      <c r="D29" s="59" t="n">
        <v>2.13</v>
      </c>
      <c r="E29" s="59" t="n"/>
      <c r="N29" s="23" t="n"/>
      <c r="R29" s="23" t="n"/>
      <c r="S29" s="59" t="n"/>
      <c r="T29" s="59" t="n"/>
    </row>
    <row r="30">
      <c r="B30" s="23" t="n">
        <v>0.34735262</v>
      </c>
      <c r="C30" s="59">
        <f>(D30/B30)</f>
        <v/>
      </c>
      <c r="D30" s="59" t="n">
        <v>5.38</v>
      </c>
      <c r="E30" s="59" t="n"/>
      <c r="N30" s="23" t="n"/>
      <c r="P30" s="23" t="n"/>
      <c r="R30" s="23" t="n"/>
      <c r="S30" s="59" t="n"/>
      <c r="T30" s="59" t="n"/>
    </row>
    <row r="31">
      <c r="B31" s="23" t="n">
        <v>-0.1055</v>
      </c>
      <c r="C31" s="59">
        <f>(D31/B31)</f>
        <v/>
      </c>
      <c r="D31" s="59" t="n">
        <v>-2.26115192</v>
      </c>
      <c r="E31" s="59" t="n"/>
      <c r="S31" s="59" t="n"/>
      <c r="T31" s="59" t="n"/>
    </row>
    <row r="32">
      <c r="B32" s="23" t="n">
        <v>-0.1</v>
      </c>
      <c r="C32" s="59">
        <f>D32/B32</f>
        <v/>
      </c>
      <c r="D32" s="59">
        <f>-2.8715+0.024408</f>
        <v/>
      </c>
      <c r="E32" s="59" t="n"/>
      <c r="S32" s="59" t="n"/>
      <c r="T32" s="59" t="n"/>
    </row>
    <row r="33">
      <c r="B33" s="23">
        <f>0.11560694-0.00098265-0.0000162</f>
        <v/>
      </c>
      <c r="C33" s="59">
        <f>D33/B33</f>
        <v/>
      </c>
      <c r="D33" s="59" t="n">
        <v>2.68</v>
      </c>
      <c r="E33" s="59" t="n"/>
      <c r="S33" s="59" t="n"/>
      <c r="T33" s="59" t="n"/>
      <c r="U33" s="60" t="n"/>
    </row>
    <row r="34">
      <c r="B34" s="23" t="n">
        <v>0.11518</v>
      </c>
      <c r="C34" s="59">
        <f>D34/B34</f>
        <v/>
      </c>
      <c r="D34" s="59" t="n">
        <v>2.13</v>
      </c>
      <c r="E34" s="59" t="n"/>
      <c r="S34" s="59" t="n"/>
      <c r="T34" s="59" t="n"/>
    </row>
    <row r="35">
      <c r="B35" s="23" t="n">
        <v>-0.10885</v>
      </c>
      <c r="C35" s="59">
        <f>D35/B35</f>
        <v/>
      </c>
      <c r="D35" s="59" t="n">
        <v>-2.606</v>
      </c>
      <c r="E35" s="59" t="n"/>
      <c r="F35" s="23" t="n"/>
      <c r="H35" s="60" t="n"/>
      <c r="J35" s="60" t="n"/>
      <c r="S35" s="59" t="n"/>
      <c r="T35" s="59" t="n"/>
    </row>
    <row r="36">
      <c r="B36" s="23" t="n">
        <v>-2.08</v>
      </c>
      <c r="C36" s="59">
        <f>D36/B36</f>
        <v/>
      </c>
      <c r="D36" s="59" t="n">
        <v>-65.30216475</v>
      </c>
      <c r="E36" s="59" t="n"/>
      <c r="S36" s="59" t="n"/>
      <c r="T36" s="59" t="n"/>
    </row>
    <row r="37">
      <c r="B37" s="23" t="n">
        <v>-0.1</v>
      </c>
      <c r="C37" s="59">
        <f>D37/B37</f>
        <v/>
      </c>
      <c r="D37" s="59">
        <f>-3.1462+0.026743</f>
        <v/>
      </c>
      <c r="E37" s="59" t="n"/>
      <c r="S37" s="59" t="n"/>
      <c r="T37" s="59" t="n"/>
    </row>
    <row r="38">
      <c r="B38" s="23" t="n">
        <v>-0.65</v>
      </c>
      <c r="C38" s="59">
        <f>D38/B38</f>
        <v/>
      </c>
      <c r="D38" s="59">
        <f>-21.40712492</f>
        <v/>
      </c>
      <c r="E38" s="59" t="n"/>
      <c r="N38" s="23" t="n"/>
      <c r="P38" s="60" t="n"/>
      <c r="Q38" s="60" t="n"/>
      <c r="S38" s="59" t="n"/>
      <c r="T38" s="59" t="n"/>
    </row>
    <row r="39">
      <c r="B39" s="23" t="n">
        <v>-1.6148</v>
      </c>
      <c r="C39" s="59">
        <f>D39/B39</f>
        <v/>
      </c>
      <c r="D39" s="59" t="n">
        <v>-75.67129853</v>
      </c>
      <c r="E39" s="59" t="n"/>
      <c r="N39" s="23">
        <f>N16+N25</f>
        <v/>
      </c>
      <c r="S39" s="59" t="n"/>
      <c r="T39" s="59" t="n"/>
    </row>
    <row r="40">
      <c r="B40" s="23" t="n">
        <v>-0.1088</v>
      </c>
      <c r="C40" s="59">
        <f>D40/B40</f>
        <v/>
      </c>
      <c r="D40" s="59">
        <f>-6.4064+0.054455</f>
        <v/>
      </c>
      <c r="E40" s="59" t="n"/>
      <c r="S40" s="59" t="n"/>
      <c r="T40" s="59" t="n"/>
    </row>
    <row r="41">
      <c r="B41" s="23" t="n">
        <v>-1.23</v>
      </c>
      <c r="C41" s="59">
        <f>D41/B41</f>
        <v/>
      </c>
      <c r="D41" s="59" t="n">
        <v>-136.74053841</v>
      </c>
      <c r="E41" s="59" t="n"/>
      <c r="S41" s="59" t="n"/>
      <c r="T41" s="59" t="n"/>
    </row>
    <row r="42">
      <c r="B42" s="23" t="n">
        <v>-0.375</v>
      </c>
      <c r="C42" s="59">
        <f>D42/B42</f>
        <v/>
      </c>
      <c r="D42" s="59" t="n">
        <v>-46.12956124</v>
      </c>
      <c r="E42" s="59" t="n"/>
      <c r="S42" s="59" t="n"/>
      <c r="T42" s="59" t="n"/>
    </row>
    <row r="43">
      <c r="B43" s="23" t="n">
        <v>0.42808296</v>
      </c>
      <c r="C43" s="59">
        <f>D43/B43</f>
        <v/>
      </c>
      <c r="D43" s="59" t="n">
        <v>43.5</v>
      </c>
      <c r="E43" s="59" t="n"/>
      <c r="S43" s="59" t="n"/>
      <c r="T43" s="59" t="n"/>
    </row>
    <row r="44">
      <c r="B44" s="23" t="n">
        <v>1.5</v>
      </c>
      <c r="C44" s="59">
        <f>D44/B44</f>
        <v/>
      </c>
      <c r="D44" s="59">
        <f>120.49417021</f>
        <v/>
      </c>
      <c r="E44" s="59" t="n"/>
      <c r="S44" s="59" t="n"/>
      <c r="T44" s="59" t="n"/>
    </row>
    <row r="45">
      <c r="B45" s="24" t="n">
        <v>0.01186428</v>
      </c>
      <c r="C45" s="62" t="n">
        <v>0</v>
      </c>
      <c r="D45" s="63" t="n">
        <v>0</v>
      </c>
      <c r="E45" s="60">
        <f>B45*$J$3</f>
        <v/>
      </c>
      <c r="S45" s="59" t="n"/>
      <c r="T45" s="59" t="n"/>
    </row>
    <row r="46">
      <c r="B46" s="23" t="n"/>
      <c r="C46" s="59" t="n"/>
      <c r="D46" s="59" t="n"/>
      <c r="E46" s="59" t="n"/>
      <c r="S46" s="59" t="n"/>
      <c r="T46" s="59" t="n"/>
    </row>
    <row r="47">
      <c r="C47" s="59" t="n"/>
      <c r="D47" s="59" t="n"/>
      <c r="E47" s="59" t="n"/>
      <c r="S47" s="59" t="n"/>
      <c r="T47" s="59" t="n"/>
    </row>
    <row r="48">
      <c r="B48" s="23">
        <f>(SUM(B5:B47))</f>
        <v/>
      </c>
      <c r="C48" s="59" t="n"/>
      <c r="D48" s="59">
        <f>(SUM(D5:D47))</f>
        <v/>
      </c>
      <c r="E48" s="59" t="n"/>
      <c r="F48" t="inlineStr">
        <is>
          <t>Moy</t>
        </is>
      </c>
      <c r="G48" s="59">
        <f>(D48/B48)</f>
        <v/>
      </c>
      <c r="R48" s="23">
        <f>(SUM(R5:R36))</f>
        <v/>
      </c>
      <c r="S48" s="59" t="n"/>
      <c r="T48" s="59">
        <f>(SUM(T5:T36))</f>
        <v/>
      </c>
      <c r="V48" t="inlineStr">
        <is>
          <t>Moy</t>
        </is>
      </c>
      <c r="W48" s="59">
        <f>(T48/R48)</f>
        <v/>
      </c>
    </row>
    <row r="49">
      <c r="M49" s="23" t="n"/>
      <c r="S49" s="59" t="n"/>
      <c r="T49" s="59" t="n"/>
    </row>
    <row r="50"/>
    <row r="51"/>
    <row r="52">
      <c r="N52" s="23" t="n"/>
    </row>
  </sheetData>
  <conditionalFormatting sqref="C5 C8:C10 S5">
    <cfRule type="cellIs" priority="117" operator="lessThan" dxfId="1">
      <formula>$J$3</formula>
    </cfRule>
    <cfRule type="cellIs" priority="118" operator="greaterThan" dxfId="0">
      <formula>$J$3</formula>
    </cfRule>
  </conditionalFormatting>
  <conditionalFormatting sqref="C15:C16">
    <cfRule type="cellIs" priority="101" operator="lessThan" dxfId="1">
      <formula>$J$3</formula>
    </cfRule>
    <cfRule type="cellIs" priority="102" operator="greaterThan" dxfId="0">
      <formula>$J$3</formula>
    </cfRule>
    <cfRule type="cellIs" priority="103" operator="lessThan" dxfId="1">
      <formula>$J$3</formula>
    </cfRule>
    <cfRule type="cellIs" priority="104" operator="greaterThan" dxfId="0">
      <formula>$J$3</formula>
    </cfRule>
    <cfRule type="cellIs" priority="111" operator="lessThan" dxfId="1">
      <formula>$J$3</formula>
    </cfRule>
    <cfRule type="cellIs" priority="112" operator="greaterThan" dxfId="0">
      <formula>$J$3</formula>
    </cfRule>
  </conditionalFormatting>
  <conditionalFormatting sqref="C18:C19 G48 O17 W48">
    <cfRule type="cellIs" priority="95" operator="lessThan" dxfId="1">
      <formula>$J$3</formula>
    </cfRule>
    <cfRule type="cellIs" priority="96" operator="greaterThan" dxfId="0">
      <formula>$J$3</formula>
    </cfRule>
    <cfRule type="cellIs" priority="97" operator="lessThan" dxfId="1">
      <formula>$J$3</formula>
    </cfRule>
    <cfRule type="cellIs" priority="98" operator="greaterThan" dxfId="0">
      <formula>$J$3</formula>
    </cfRule>
    <cfRule type="cellIs" priority="99" operator="lessThan" dxfId="1">
      <formula>$J$3</formula>
    </cfRule>
    <cfRule type="cellIs" priority="100" operator="greaterThan" dxfId="0">
      <formula>$J$3</formula>
    </cfRule>
    <cfRule type="cellIs" priority="109" operator="lessThan" dxfId="1">
      <formula>$J$3</formula>
    </cfRule>
    <cfRule type="cellIs" priority="110" operator="greaterThan" dxfId="0">
      <formula>$J$3</formula>
    </cfRule>
  </conditionalFormatting>
  <conditionalFormatting sqref="C26:C27 C29:C30 C33:C34 C43:C44">
    <cfRule type="cellIs" priority="87" operator="lessThan" dxfId="1">
      <formula>$J$3</formula>
    </cfRule>
    <cfRule type="cellIs" priority="88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  <cfRule type="cellIs" priority="91" operator="lessThan" dxfId="1">
      <formula>$J$3</formula>
    </cfRule>
    <cfRule type="cellIs" priority="92" operator="greaterThan" dxfId="0">
      <formula>$J$3</formula>
    </cfRule>
    <cfRule type="cellIs" priority="93" operator="lessThan" dxfId="1">
      <formula>$J$3</formula>
    </cfRule>
    <cfRule type="cellIs" priority="94" operator="greaterThan" dxfId="0">
      <formula>$J$3</formula>
    </cfRule>
    <cfRule type="cellIs" priority="107" operator="lessThan" dxfId="1">
      <formula>$J$3</formula>
    </cfRule>
    <cfRule type="cellIs" priority="108" operator="greaterThan" dxfId="0">
      <formula>$J$3</formula>
    </cfRule>
  </conditionalFormatting>
  <conditionalFormatting sqref="O26 S8:S9 S11:S12">
    <cfRule type="cellIs" priority="81" operator="lessThan" dxfId="1">
      <formula>$J$3</formula>
    </cfRule>
    <cfRule type="cellIs" priority="82" operator="greaterThan" dxfId="0">
      <formula>$J$3</formula>
    </cfRule>
    <cfRule type="cellIs" priority="83" operator="lessThan" dxfId="1">
      <formula>$J$3</formula>
    </cfRule>
    <cfRule type="cellIs" priority="84" operator="greaterThan" dxfId="0">
      <formula>$J$3</formula>
    </cfRule>
  </conditionalFormatting>
  <conditionalFormatting sqref="O3">
    <cfRule type="cellIs" priority="63" operator="greaterThan" dxfId="1">
      <formula>$J$3</formula>
    </cfRule>
    <cfRule type="cellIs" priority="64" operator="less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Q9" sqref="Q9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80" t="n">
        <v>0.1419611232386486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(B13*J3)</f>
        <v/>
      </c>
      <c r="K4" s="4">
        <f>(J4/D13-1)</f>
        <v/>
      </c>
    </row>
    <row r="5">
      <c r="B5" s="18" t="n">
        <v>9.10125837</v>
      </c>
      <c r="C5" s="80">
        <f>(D5/B5)</f>
        <v/>
      </c>
      <c r="D5" s="59" t="n">
        <v>0.5</v>
      </c>
      <c r="E5" s="59" t="n"/>
      <c r="G5" s="59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19" t="n">
        <v>0.26905914</v>
      </c>
      <c r="C6" s="62" t="n">
        <v>0</v>
      </c>
      <c r="D6" s="63">
        <f>(B6*C6)</f>
        <v/>
      </c>
      <c r="E6" s="59">
        <f>(B6*J3)</f>
        <v/>
      </c>
      <c r="G6" s="59" t="n"/>
      <c r="M6" t="inlineStr">
        <is>
          <t>Objectif</t>
        </is>
      </c>
      <c r="N6" s="18">
        <f>($B$13/5)</f>
        <v/>
      </c>
      <c r="O6" s="80">
        <f>($C$5*[1]Params!K8)</f>
        <v/>
      </c>
      <c r="P6" s="59">
        <f>(O6*N6)</f>
        <v/>
      </c>
      <c r="Q6" s="59">
        <f>N6*$J$3</f>
        <v/>
      </c>
    </row>
    <row r="7">
      <c r="C7" s="59" t="n"/>
      <c r="D7" s="59" t="n"/>
      <c r="E7" s="59" t="n"/>
      <c r="G7" s="59" t="n"/>
      <c r="N7" s="18">
        <f>($B$13/5)</f>
        <v/>
      </c>
      <c r="O7" s="80">
        <f>($C$5*[1]Params!K9)</f>
        <v/>
      </c>
      <c r="P7" s="59">
        <f>(O7*N7)</f>
        <v/>
      </c>
      <c r="Q7" s="59">
        <f>Q6*2</f>
        <v/>
      </c>
    </row>
    <row r="8">
      <c r="C8" s="59" t="n"/>
      <c r="D8" s="59" t="n"/>
      <c r="E8" s="59" t="n"/>
      <c r="G8" s="59" t="n"/>
      <c r="N8" s="18">
        <f>($B$13/5)</f>
        <v/>
      </c>
      <c r="O8" s="80">
        <f>($C$5*[1]Params!K10)</f>
        <v/>
      </c>
      <c r="P8" s="59">
        <f>(O8*N8)</f>
        <v/>
      </c>
      <c r="Q8" s="59">
        <f>Q6*3</f>
        <v/>
      </c>
    </row>
    <row r="9">
      <c r="C9" s="59" t="n"/>
      <c r="D9" s="59" t="n"/>
      <c r="E9" s="59" t="n"/>
      <c r="G9" s="59" t="n"/>
      <c r="N9" s="18">
        <f>($B$13/5)</f>
        <v/>
      </c>
      <c r="O9" s="80">
        <f>($C$5*[1]Params!K11)</f>
        <v/>
      </c>
      <c r="P9" s="59">
        <f>(O9*N9)</f>
        <v/>
      </c>
      <c r="Q9" s="59">
        <f>Q6*4</f>
        <v/>
      </c>
    </row>
    <row r="10">
      <c r="C10" s="59" t="n"/>
      <c r="D10" s="59" t="n"/>
      <c r="E10" s="59" t="n"/>
      <c r="G10" s="59" t="n"/>
      <c r="O10" s="59" t="n"/>
      <c r="P10" s="59" t="n"/>
    </row>
    <row r="11">
      <c r="C11" s="59" t="n"/>
      <c r="D11" s="59" t="n"/>
      <c r="E11" s="59" t="n"/>
      <c r="G11" s="59" t="n"/>
      <c r="O11" s="59" t="n"/>
      <c r="P11" s="59">
        <f>(SUM(P6:P9))</f>
        <v/>
      </c>
    </row>
    <row r="12">
      <c r="C12" s="59" t="n"/>
      <c r="D12" s="59" t="n"/>
      <c r="E12" s="59" t="n"/>
      <c r="F12" t="inlineStr">
        <is>
          <t>Moy</t>
        </is>
      </c>
      <c r="G12" s="59">
        <f>(D13/B13)</f>
        <v/>
      </c>
    </row>
    <row r="13">
      <c r="B13">
        <f>(SUM(B5:B12))</f>
        <v/>
      </c>
      <c r="C13" s="59" t="n"/>
      <c r="D13" s="59">
        <f>(SUM(D5:D12))</f>
        <v/>
      </c>
      <c r="E13" s="59" t="n"/>
      <c r="G13" s="59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1:V20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10.285156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C3" s="59" t="n"/>
      <c r="D3" s="59" t="n"/>
      <c r="E3" s="59" t="n"/>
      <c r="G3" s="59" t="n"/>
      <c r="H3" s="59" t="n"/>
      <c r="I3" t="inlineStr">
        <is>
          <t>Actual Price :</t>
        </is>
      </c>
      <c r="J3" s="59" t="n">
        <v>10.76097685927737</v>
      </c>
      <c r="M3" t="inlineStr">
        <is>
          <t>Objectif :</t>
        </is>
      </c>
      <c r="N3" s="1">
        <f>(INDEX(N5:N16,MATCH(MAX(O6:O7),O5:O16,0))/0.85)</f>
        <v/>
      </c>
      <c r="O3" s="88">
        <f>(MAX(O6:O7)*0.75)</f>
        <v/>
      </c>
      <c r="P3" s="5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9" t="n"/>
      <c r="G4" s="59" t="n"/>
      <c r="H4" s="59" t="n"/>
      <c r="I4" t="inlineStr">
        <is>
          <t>Total :</t>
        </is>
      </c>
      <c r="J4" s="59">
        <f>(B12*J3)</f>
        <v/>
      </c>
      <c r="K4" s="4">
        <f>(J4/D12-1)</f>
        <v/>
      </c>
      <c r="O4" s="59" t="n"/>
      <c r="P4" s="59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2.75575411</v>
      </c>
      <c r="C5" s="59">
        <f>(D5/B5)</f>
        <v/>
      </c>
      <c r="D5" s="59" t="n">
        <v>15.9</v>
      </c>
      <c r="E5" t="inlineStr">
        <is>
          <t>DCA4</t>
        </is>
      </c>
      <c r="G5" s="59" t="n"/>
      <c r="H5" s="59" t="n"/>
      <c r="J5" s="59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$B$5+B9+B10</f>
        <v/>
      </c>
      <c r="S5" s="59">
        <f>(T5/R5)</f>
        <v/>
      </c>
      <c r="T5" s="59">
        <f>D5+5.6807*B9+5.769746*B10</f>
        <v/>
      </c>
    </row>
    <row r="6">
      <c r="B6" s="2" t="n">
        <v>0.00278104</v>
      </c>
      <c r="C6" s="62" t="n">
        <v>0</v>
      </c>
      <c r="D6" s="62">
        <f>(B6*C6)</f>
        <v/>
      </c>
      <c r="E6" s="59">
        <f>(B6*J3)</f>
        <v/>
      </c>
      <c r="G6" s="59" t="n"/>
      <c r="H6" s="59" t="n"/>
      <c r="J6" s="59" t="n"/>
      <c r="M6" t="inlineStr">
        <is>
          <t>Objectif</t>
        </is>
      </c>
      <c r="N6" s="1">
        <f>-B9</f>
        <v/>
      </c>
      <c r="O6" s="80">
        <f>P6/N6</f>
        <v/>
      </c>
      <c r="P6" s="59">
        <f>-D9</f>
        <v/>
      </c>
      <c r="Q6" t="inlineStr">
        <is>
          <t>Done</t>
        </is>
      </c>
      <c r="R6" s="2">
        <f>(B6)</f>
        <v/>
      </c>
      <c r="S6" s="62">
        <f>0</f>
        <v/>
      </c>
      <c r="T6" s="62">
        <f>(D6)</f>
        <v/>
      </c>
    </row>
    <row r="7">
      <c r="B7" s="1">
        <f>-0.409</f>
        <v/>
      </c>
      <c r="C7" s="59">
        <f>D7/B7</f>
        <v/>
      </c>
      <c r="D7" s="59">
        <f>-3.0961407</f>
        <v/>
      </c>
      <c r="E7" s="59" t="n"/>
      <c r="G7" s="59" t="n"/>
      <c r="H7" s="59" t="n"/>
      <c r="J7" s="59" t="n"/>
      <c r="N7" s="1">
        <f>-B10</f>
        <v/>
      </c>
      <c r="O7" s="80">
        <f>P7/N7</f>
        <v/>
      </c>
      <c r="P7" s="59">
        <f>-D10</f>
        <v/>
      </c>
      <c r="Q7" t="inlineStr">
        <is>
          <t>Done</t>
        </is>
      </c>
      <c r="R7" s="1">
        <f>B7+B8</f>
        <v/>
      </c>
      <c r="S7" s="59" t="n">
        <v>0</v>
      </c>
      <c r="T7" s="59">
        <f>D7+D8</f>
        <v/>
      </c>
      <c r="U7" t="inlineStr">
        <is>
          <t>DCA4*</t>
        </is>
      </c>
      <c r="V7" s="60">
        <f>R7*J3-T7</f>
        <v/>
      </c>
    </row>
    <row r="8">
      <c r="B8" s="1" t="n">
        <v>0.482</v>
      </c>
      <c r="C8" s="59">
        <f>(D8/B8)</f>
        <v/>
      </c>
      <c r="D8" s="59" t="n">
        <v>2.70310082</v>
      </c>
      <c r="E8" s="59" t="n"/>
      <c r="G8" s="59" t="n"/>
      <c r="H8" s="59" t="n"/>
      <c r="J8" s="59" t="n"/>
      <c r="N8" s="1">
        <f>$B$12/4</f>
        <v/>
      </c>
      <c r="O8" s="80">
        <f>($C$5*[1]Params!K10)</f>
        <v/>
      </c>
      <c r="P8" s="59">
        <f>(O8*N8)</f>
        <v/>
      </c>
      <c r="R8" s="1">
        <f>B9-B9</f>
        <v/>
      </c>
      <c r="S8" s="59" t="n">
        <v>0</v>
      </c>
      <c r="T8" s="60">
        <f>-P6+N6*5.6808</f>
        <v/>
      </c>
    </row>
    <row r="9">
      <c r="B9" s="1" t="n">
        <v>-0.5379</v>
      </c>
      <c r="C9" s="59">
        <f>D9/B9</f>
        <v/>
      </c>
      <c r="D9" s="59">
        <f>-4.07933077</f>
        <v/>
      </c>
      <c r="E9" s="59" t="n"/>
      <c r="G9" s="59" t="n"/>
      <c r="H9" s="59" t="n"/>
      <c r="J9" s="59" t="n"/>
      <c r="N9" s="1">
        <f>$B$12/4</f>
        <v/>
      </c>
      <c r="O9" s="80">
        <f>($C$5*[1]Params!K11)</f>
        <v/>
      </c>
      <c r="P9" s="59">
        <f>(O9*N9)</f>
        <v/>
      </c>
      <c r="R9" s="1">
        <f>B10-B10</f>
        <v/>
      </c>
      <c r="S9" s="59" t="n">
        <v>0</v>
      </c>
      <c r="T9" s="60">
        <f>-P7+N7*5.763746</f>
        <v/>
      </c>
    </row>
    <row r="10">
      <c r="B10" s="1">
        <f>-0.57</f>
        <v/>
      </c>
      <c r="C10" s="59">
        <f>D10/B10</f>
        <v/>
      </c>
      <c r="D10" s="59">
        <f>-(6.34809*0.999)</f>
        <v/>
      </c>
      <c r="E10" s="59" t="n"/>
      <c r="G10" s="59" t="n"/>
      <c r="H10" s="59" t="n"/>
      <c r="J10" s="59" t="n"/>
      <c r="N10" s="1" t="n"/>
      <c r="O10" s="80" t="n"/>
      <c r="P10" s="59" t="n"/>
      <c r="R10" s="18" t="n"/>
      <c r="S10" s="60" t="n"/>
      <c r="T10" s="60" t="n"/>
    </row>
    <row r="11">
      <c r="C11" s="59" t="n"/>
      <c r="D11" s="59" t="n"/>
      <c r="E11" s="59" t="n"/>
      <c r="F11" t="inlineStr">
        <is>
          <t>Moy</t>
        </is>
      </c>
      <c r="G11" s="59">
        <f>(D12/B12)</f>
        <v/>
      </c>
      <c r="H11" s="59" t="n"/>
      <c r="J11" s="59" t="n"/>
      <c r="O11" s="59" t="n"/>
      <c r="P11" s="59">
        <f>(SUM(P6:P9))</f>
        <v/>
      </c>
    </row>
    <row r="12">
      <c r="B12" s="1">
        <f>(SUM(B5:B11))</f>
        <v/>
      </c>
      <c r="C12" s="59" t="n"/>
      <c r="D12" s="59">
        <f>(SUM(D5:D11))</f>
        <v/>
      </c>
      <c r="E12" s="59" t="n"/>
      <c r="G12" s="59" t="n"/>
      <c r="H12" s="59" t="n"/>
      <c r="J12" s="59" t="n"/>
    </row>
    <row r="13"/>
    <row r="14">
      <c r="O14" s="59" t="n"/>
      <c r="P14" s="59" t="n"/>
    </row>
    <row r="15">
      <c r="O15" s="59" t="n"/>
      <c r="P15" s="59" t="n"/>
    </row>
    <row r="16"/>
    <row r="17"/>
    <row r="18"/>
    <row r="19"/>
    <row r="20">
      <c r="R20">
        <f>(SUM(R5:R19))</f>
        <v/>
      </c>
      <c r="T20" s="59">
        <f>(SUM(T5:T19))</f>
        <v/>
      </c>
    </row>
  </sheetData>
  <conditionalFormatting sqref="C5 C8 G11 O8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R27" sqref="R27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10.285156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80" t="n">
        <v>0.5692396812525282</v>
      </c>
      <c r="M3" t="inlineStr">
        <is>
          <t>Objectif :</t>
        </is>
      </c>
      <c r="N3" s="18">
        <f>(INDEX(N5:N14,MATCH(MAX(O6:O7),O5:O14,0))/0.85)</f>
        <v/>
      </c>
      <c r="O3" s="88">
        <f>(MAX(O6:O7)*0.75)</f>
        <v/>
      </c>
      <c r="P3" s="5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8" t="n">
        <v>52.11282</v>
      </c>
      <c r="C5" s="59">
        <f>(D5/B5)</f>
        <v/>
      </c>
      <c r="D5" s="59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8">
        <f>(SUM(B$5:B$7))</f>
        <v/>
      </c>
      <c r="S5" s="59">
        <f>(T5/R5)</f>
        <v/>
      </c>
      <c r="T5" s="59">
        <f>(SUM(D5:D7))</f>
        <v/>
      </c>
    </row>
    <row r="6">
      <c r="B6" s="19" t="n">
        <v>0.87712634</v>
      </c>
      <c r="C6" s="62" t="n">
        <v>0</v>
      </c>
      <c r="D6" s="62">
        <f>(B6*C6)</f>
        <v/>
      </c>
      <c r="E6" s="59">
        <f>(B6*J3)</f>
        <v/>
      </c>
      <c r="M6" t="inlineStr">
        <is>
          <t>Objectif</t>
        </is>
      </c>
      <c r="N6">
        <f>(-B8)</f>
        <v/>
      </c>
      <c r="O6" s="59">
        <f>P6/N6</f>
        <v/>
      </c>
      <c r="P6" s="59">
        <f>(-D8)</f>
        <v/>
      </c>
      <c r="Q6" t="inlineStr">
        <is>
          <t>Done</t>
        </is>
      </c>
      <c r="R6">
        <f>(B8)</f>
        <v/>
      </c>
      <c r="S6" s="59">
        <f>(C8)</f>
        <v/>
      </c>
      <c r="T6" s="59">
        <f>(D8)</f>
        <v/>
      </c>
    </row>
    <row r="7">
      <c r="B7" s="18" t="n">
        <v>1.46219147</v>
      </c>
      <c r="C7" s="59">
        <f>(D7/B7)</f>
        <v/>
      </c>
      <c r="D7" s="59" t="n">
        <v>0.5</v>
      </c>
      <c r="N7" s="18">
        <f>-B12</f>
        <v/>
      </c>
      <c r="O7" s="59">
        <f>P7/N7</f>
        <v/>
      </c>
      <c r="P7" s="59">
        <f>-D12</f>
        <v/>
      </c>
      <c r="Q7" t="inlineStr">
        <is>
          <t>Done</t>
        </is>
      </c>
      <c r="R7" s="18">
        <f>B9+B10+B11</f>
        <v/>
      </c>
      <c r="S7" s="59" t="n">
        <v>0</v>
      </c>
      <c r="T7" s="60">
        <f>D9+D10+D11</f>
        <v/>
      </c>
      <c r="U7" s="60" t="n"/>
    </row>
    <row r="8">
      <c r="B8" t="n">
        <v>-10.76</v>
      </c>
      <c r="C8" s="59">
        <f>(D8/B8)</f>
        <v/>
      </c>
      <c r="D8" s="59" t="n">
        <v>-5.05269736</v>
      </c>
      <c r="N8" s="18">
        <f>(B$14/3)</f>
        <v/>
      </c>
      <c r="O8" s="59">
        <f>($C$5*[1]Params!K10)</f>
        <v/>
      </c>
      <c r="P8" s="59">
        <f>(O8*N8)</f>
        <v/>
      </c>
      <c r="R8" s="18">
        <f>B12</f>
        <v/>
      </c>
      <c r="S8" s="60">
        <f>C12</f>
        <v/>
      </c>
      <c r="T8" s="60">
        <f>D12</f>
        <v/>
      </c>
    </row>
    <row r="9">
      <c r="B9" t="n">
        <v>-21.72</v>
      </c>
      <c r="C9" s="60">
        <f>D9/B9</f>
        <v/>
      </c>
      <c r="D9" s="59" t="n">
        <v>-16.82352177</v>
      </c>
      <c r="N9" s="18">
        <f>(B$14/3)</f>
        <v/>
      </c>
      <c r="O9" s="59">
        <f>($C$5*[1]Params!K11)</f>
        <v/>
      </c>
      <c r="P9" s="59">
        <f>(O9*N9)</f>
        <v/>
      </c>
    </row>
    <row r="10">
      <c r="B10" s="18" t="n">
        <v>12.15260941</v>
      </c>
      <c r="C10" s="59">
        <f>D10/B10</f>
        <v/>
      </c>
      <c r="D10" s="59" t="n">
        <v>8.029999999999999</v>
      </c>
    </row>
    <row r="11">
      <c r="B11" s="18" t="n">
        <v>12.36011619</v>
      </c>
      <c r="C11" s="59">
        <f>D11/B11</f>
        <v/>
      </c>
      <c r="D11" s="59" t="n">
        <v>5.87</v>
      </c>
      <c r="P11" s="59">
        <f>(SUM(P6:P9))</f>
        <v/>
      </c>
    </row>
    <row r="12">
      <c r="B12" s="18" t="n">
        <v>-15.44</v>
      </c>
      <c r="C12" s="60">
        <f>D12/B12</f>
        <v/>
      </c>
      <c r="D12" s="59" t="n">
        <v>-8.78559841</v>
      </c>
    </row>
    <row r="13">
      <c r="F13" t="inlineStr">
        <is>
          <t>Moy</t>
        </is>
      </c>
      <c r="G13" s="59">
        <f>(D14/B14)</f>
        <v/>
      </c>
    </row>
    <row r="14">
      <c r="B14" s="18">
        <f>(SUM(B5:B13))</f>
        <v/>
      </c>
      <c r="D14" s="59">
        <f>(SUM(D5:D13))</f>
        <v/>
      </c>
    </row>
    <row r="15"/>
    <row r="16"/>
    <row r="17"/>
    <row r="18">
      <c r="R18">
        <f>(SUM(R5:R17))</f>
        <v/>
      </c>
      <c r="T18" s="59">
        <f>(SUM(T5:T17))</f>
        <v/>
      </c>
    </row>
    <row r="19"/>
    <row r="20"/>
    <row r="21"/>
    <row r="22">
      <c r="L22" s="60" t="n"/>
    </row>
    <row r="23"/>
    <row r="24"/>
    <row r="25">
      <c r="N25" s="18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N7" sqref="N7"/>
    </sheetView>
  </sheetViews>
  <sheetFormatPr baseColWidth="10" defaultColWidth="9.140625" defaultRowHeight="15"/>
  <cols>
    <col width="9.140625" customWidth="1" style="25" min="1" max="3"/>
    <col width="10.28515625" bestFit="1" customWidth="1" style="25" min="4" max="4"/>
    <col width="9.140625" customWidth="1" style="25" min="5" max="8"/>
    <col width="12.42578125" bestFit="1" customWidth="1" style="25" min="9" max="9"/>
    <col width="9.140625" customWidth="1" style="25" min="10" max="13"/>
    <col width="10.140625" bestFit="1" customWidth="1" style="25" min="14" max="14"/>
    <col width="11.28515625" bestFit="1" customWidth="1" style="25" min="15" max="15"/>
    <col width="9.140625" customWidth="1" style="25" min="16" max="19"/>
    <col width="10.28515625" bestFit="1" customWidth="1" style="25" min="20" max="20"/>
    <col width="9.140625" customWidth="1" style="25" min="21" max="368"/>
    <col width="9.140625" customWidth="1" style="25" min="369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80" t="n">
        <v>16.25163551003827</v>
      </c>
      <c r="M3" t="inlineStr">
        <is>
          <t>Objectif :</t>
        </is>
      </c>
      <c r="N3" s="18">
        <f>(INDEX(N5:N14,MATCH(MAX(O6),O5:O14,0))/0.85)</f>
        <v/>
      </c>
      <c r="O3" s="88">
        <f>(MAX(O6)*0.75)</f>
        <v/>
      </c>
      <c r="P3" s="5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1.54269174</v>
      </c>
      <c r="C5" s="59">
        <f>(D5/B5)</f>
        <v/>
      </c>
      <c r="D5" s="59" t="n">
        <v>20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B5+B7</f>
        <v/>
      </c>
      <c r="S5" s="59">
        <f>(T5/R5)</f>
        <v/>
      </c>
      <c r="T5" s="59">
        <f>D5+B7*12.8154</f>
        <v/>
      </c>
    </row>
    <row r="6">
      <c r="B6" s="2" t="n">
        <v>0.00474829</v>
      </c>
      <c r="C6" s="62" t="n">
        <v>0</v>
      </c>
      <c r="D6" s="62">
        <f>(B6*C6)</f>
        <v/>
      </c>
      <c r="E6" s="59">
        <f>(B6*J3)</f>
        <v/>
      </c>
      <c r="M6" t="inlineStr">
        <is>
          <t>Objectif</t>
        </is>
      </c>
      <c r="N6" s="1">
        <f>-B7</f>
        <v/>
      </c>
      <c r="O6" s="59">
        <f>P6/N6</f>
        <v/>
      </c>
      <c r="P6" s="59">
        <f>-D7</f>
        <v/>
      </c>
      <c r="Q6" t="inlineStr">
        <is>
          <t>Done</t>
        </is>
      </c>
      <c r="R6" s="2">
        <f>(B6)</f>
        <v/>
      </c>
      <c r="S6" s="62">
        <f>(C6)</f>
        <v/>
      </c>
      <c r="T6" s="62">
        <f>(D6)</f>
        <v/>
      </c>
    </row>
    <row r="7">
      <c r="B7" s="1" t="n">
        <v>-0.29</v>
      </c>
      <c r="C7" s="59">
        <f>D7/B7</f>
        <v/>
      </c>
      <c r="D7" s="59" t="n">
        <v>-4.89894018</v>
      </c>
      <c r="N7" s="1">
        <f>2*(B$14+$N$6)/5-$N$6</f>
        <v/>
      </c>
      <c r="O7" s="59">
        <f>($S$5*[1]Params!K9)</f>
        <v/>
      </c>
      <c r="P7" s="59">
        <f>(O7*N7)</f>
        <v/>
      </c>
      <c r="R7" s="1">
        <f>B7-B7</f>
        <v/>
      </c>
      <c r="S7" s="59" t="n">
        <v>0</v>
      </c>
      <c r="T7" s="60">
        <f>D7+N6*12.8154</f>
        <v/>
      </c>
      <c r="U7" s="60" t="n"/>
    </row>
    <row r="8">
      <c r="C8" s="59" t="n"/>
      <c r="D8" s="59" t="n"/>
      <c r="N8" s="1">
        <f>(B$14-$B$7)/5</f>
        <v/>
      </c>
      <c r="O8" s="59">
        <f>($S$5*[1]Params!K10)</f>
        <v/>
      </c>
      <c r="P8" s="59">
        <f>(O8*N8)</f>
        <v/>
      </c>
      <c r="R8" s="18" t="n"/>
      <c r="S8" s="60" t="n"/>
      <c r="T8" s="60" t="n"/>
    </row>
    <row r="9">
      <c r="C9" s="60" t="n"/>
      <c r="D9" s="59" t="n"/>
      <c r="N9" s="1">
        <f>(B$14-$B$7)/5</f>
        <v/>
      </c>
      <c r="O9" s="59">
        <f>($S$5*[1]Params!K11)</f>
        <v/>
      </c>
      <c r="P9" s="59">
        <f>(O9*N9)</f>
        <v/>
      </c>
    </row>
    <row r="10">
      <c r="B10" s="18" t="n"/>
      <c r="C10" s="59" t="n"/>
      <c r="D10" s="59" t="n"/>
    </row>
    <row r="11">
      <c r="B11" s="18" t="n"/>
      <c r="C11" s="59" t="n"/>
      <c r="D11" s="59" t="n"/>
      <c r="P11" s="59">
        <f>(SUM(P6:P9))</f>
        <v/>
      </c>
    </row>
    <row r="12">
      <c r="B12" s="18" t="n"/>
      <c r="C12" s="60" t="n"/>
      <c r="D12" s="59" t="n"/>
    </row>
    <row r="13">
      <c r="F13" t="inlineStr">
        <is>
          <t>Moy</t>
        </is>
      </c>
      <c r="G13" s="59">
        <f>(D14/B14)</f>
        <v/>
      </c>
    </row>
    <row r="14">
      <c r="B14" s="18">
        <f>(SUM(B5:B13))</f>
        <v/>
      </c>
      <c r="D14" s="59">
        <f>(SUM(D5:D13))</f>
        <v/>
      </c>
    </row>
    <row r="15"/>
    <row r="16"/>
    <row r="17"/>
    <row r="18">
      <c r="R18">
        <f>(SUM(R5:R17))</f>
        <v/>
      </c>
      <c r="T18" s="59">
        <f>(SUM(T5:T17))</f>
        <v/>
      </c>
    </row>
    <row r="19"/>
    <row r="20"/>
    <row r="21"/>
    <row r="22">
      <c r="L22" s="60" t="n"/>
    </row>
    <row r="23"/>
    <row r="24"/>
    <row r="25">
      <c r="N25" s="18" t="n"/>
    </row>
  </sheetData>
  <conditionalFormatting sqref="C5 G13 O7:O9 S5">
    <cfRule type="cellIs" priority="7" operator="lessThan" dxfId="1">
      <formula>$J$3</formula>
    </cfRule>
    <cfRule type="cellIs" priority="8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S30" sqref="S30"/>
    </sheetView>
  </sheetViews>
  <sheetFormatPr baseColWidth="10" defaultColWidth="9.140625" defaultRowHeight="15"/>
  <cols>
    <col width="9.140625" customWidth="1" style="25" min="1" max="3"/>
    <col width="10.28515625" bestFit="1" customWidth="1" style="25" min="4" max="4"/>
    <col width="9.140625" customWidth="1" style="25" min="5" max="8"/>
    <col width="12.42578125" bestFit="1" customWidth="1" style="25" min="9" max="9"/>
    <col width="9.140625" customWidth="1" style="25" min="10" max="13"/>
    <col width="10.140625" bestFit="1" customWidth="1" style="25" min="14" max="14"/>
    <col width="11.28515625" bestFit="1" customWidth="1" style="25" min="15" max="15"/>
    <col width="9.140625" customWidth="1" style="25" min="16" max="19"/>
    <col width="10.28515625" bestFit="1" customWidth="1" style="25" min="20" max="20"/>
    <col width="9.140625" customWidth="1" style="25" min="21" max="368"/>
    <col width="9.140625" customWidth="1" style="25" min="369" max="16384"/>
  </cols>
  <sheetData>
    <row r="1"/>
    <row r="2"/>
    <row r="3">
      <c r="I3" t="inlineStr">
        <is>
          <t>Actual Price :</t>
        </is>
      </c>
      <c r="J3" s="80" t="n">
        <v>3.342986996978908</v>
      </c>
      <c r="N3" s="18" t="n"/>
      <c r="O3" s="88" t="n"/>
      <c r="P3" s="59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6.67065446</v>
      </c>
      <c r="C5" s="59">
        <f>(D5/B5)</f>
        <v/>
      </c>
      <c r="D5" s="59" t="n">
        <v>20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8">
        <f>B5</f>
        <v/>
      </c>
      <c r="S5" s="59">
        <f>(T5/R5)</f>
        <v/>
      </c>
      <c r="T5" s="59">
        <f>D5</f>
        <v/>
      </c>
    </row>
    <row r="6">
      <c r="B6" s="2" t="n">
        <v>0.00099675</v>
      </c>
      <c r="C6" s="62" t="n">
        <v>0</v>
      </c>
      <c r="D6" s="62">
        <f>(B6*C6)</f>
        <v/>
      </c>
      <c r="E6" s="59">
        <f>(B6*J3)</f>
        <v/>
      </c>
      <c r="M6" t="inlineStr">
        <is>
          <t>Objectif</t>
        </is>
      </c>
      <c r="N6" s="18">
        <f>(B$14/5)</f>
        <v/>
      </c>
      <c r="O6" s="59">
        <f>($C$5*[1]Params!K8)</f>
        <v/>
      </c>
      <c r="P6" s="59">
        <f>(O6*N6)</f>
        <v/>
      </c>
      <c r="R6" s="18">
        <f>(B6)</f>
        <v/>
      </c>
      <c r="S6" s="59">
        <f>(C6)</f>
        <v/>
      </c>
      <c r="T6" s="59">
        <f>(D6)</f>
        <v/>
      </c>
    </row>
    <row r="7">
      <c r="B7" s="18" t="n"/>
      <c r="C7" s="59" t="n"/>
      <c r="D7" s="59" t="n"/>
      <c r="N7" s="18">
        <f>(B$14/5)</f>
        <v/>
      </c>
      <c r="O7" s="59">
        <f>($C$5*[1]Params!K9)</f>
        <v/>
      </c>
      <c r="P7" s="59">
        <f>(O7*N7)</f>
        <v/>
      </c>
      <c r="R7" s="18" t="n"/>
      <c r="S7" s="59" t="n"/>
      <c r="T7" s="60" t="n"/>
      <c r="U7" s="60" t="n"/>
    </row>
    <row r="8">
      <c r="C8" s="59" t="n"/>
      <c r="D8" s="59" t="n"/>
      <c r="N8" s="18">
        <f>(B$14/5)</f>
        <v/>
      </c>
      <c r="O8" s="59">
        <f>($C$5*[1]Params!K10)</f>
        <v/>
      </c>
      <c r="P8" s="59">
        <f>(O8*N8)</f>
        <v/>
      </c>
      <c r="R8" s="18" t="n"/>
      <c r="S8" s="60" t="n"/>
      <c r="T8" s="60" t="n"/>
    </row>
    <row r="9">
      <c r="C9" s="60" t="n"/>
      <c r="D9" s="59" t="n"/>
      <c r="N9" s="18">
        <f>(B$14/5)</f>
        <v/>
      </c>
      <c r="O9" s="59">
        <f>($C$5*[1]Params!K11)</f>
        <v/>
      </c>
      <c r="P9" s="59">
        <f>(O9*N9)</f>
        <v/>
      </c>
    </row>
    <row r="10">
      <c r="B10" s="18" t="n"/>
      <c r="C10" s="59" t="n"/>
      <c r="D10" s="59" t="n"/>
    </row>
    <row r="11">
      <c r="B11" s="18" t="n"/>
      <c r="C11" s="59" t="n"/>
      <c r="D11" s="59" t="n"/>
      <c r="P11" s="59">
        <f>(SUM(P6:P9))</f>
        <v/>
      </c>
    </row>
    <row r="12">
      <c r="B12" s="18" t="n"/>
      <c r="C12" s="60" t="n"/>
      <c r="D12" s="59" t="n"/>
    </row>
    <row r="13">
      <c r="F13" t="inlineStr">
        <is>
          <t>Moy</t>
        </is>
      </c>
      <c r="G13" s="59">
        <f>(D14/B14)</f>
        <v/>
      </c>
    </row>
    <row r="14">
      <c r="B14" s="18">
        <f>(SUM(B5:B13))</f>
        <v/>
      </c>
      <c r="D14" s="59">
        <f>(SUM(D5:D13))</f>
        <v/>
      </c>
    </row>
    <row r="15"/>
    <row r="16"/>
    <row r="17"/>
    <row r="18">
      <c r="R18">
        <f>(SUM(R5:R17))</f>
        <v/>
      </c>
      <c r="T18" s="59">
        <f>(SUM(T5:T17))</f>
        <v/>
      </c>
    </row>
    <row r="19"/>
    <row r="20"/>
    <row r="21"/>
    <row r="22">
      <c r="L22" s="60" t="n"/>
    </row>
    <row r="23"/>
    <row r="24"/>
    <row r="25">
      <c r="N25" s="18" t="n"/>
    </row>
  </sheetData>
  <conditionalFormatting sqref="C5 G13 O6:O9 S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A34" sqref="A34:XFD34"/>
    </sheetView>
  </sheetViews>
  <sheetFormatPr baseColWidth="10" defaultColWidth="9.140625" defaultRowHeight="15"/>
  <cols>
    <col width="11" bestFit="1" customWidth="1" style="25" min="4" max="4"/>
    <col width="12.42578125" bestFit="1" customWidth="1" style="25" min="9" max="9"/>
    <col width="11.28515625" bestFit="1" customWidth="1" style="25" min="14" max="15"/>
  </cols>
  <sheetData>
    <row r="3">
      <c r="I3" t="inlineStr">
        <is>
          <t>Actual Price :</t>
        </is>
      </c>
      <c r="J3" s="59" t="n">
        <v>0.4690493777696267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(B9*J3)</f>
        <v/>
      </c>
      <c r="K4" s="4">
        <f>(J4/D9-1)</f>
        <v/>
      </c>
    </row>
    <row r="5">
      <c r="B5" s="18" t="n">
        <v>1.547</v>
      </c>
      <c r="C5" s="59" t="n">
        <v>10</v>
      </c>
      <c r="D5" s="59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8" t="n">
        <v>2.5368</v>
      </c>
      <c r="C6" s="59" t="n">
        <v>3.941</v>
      </c>
      <c r="D6" s="59">
        <f>(B6*C6)</f>
        <v/>
      </c>
      <c r="M6" t="inlineStr">
        <is>
          <t>Objectif :</t>
        </is>
      </c>
      <c r="N6">
        <f>(INDEX(B5:B8,MATCH(O6/2,C5:C8,0)))</f>
        <v/>
      </c>
      <c r="O6" s="59">
        <f>(MIN(C5:C8)*2)</f>
        <v/>
      </c>
      <c r="P6" s="59">
        <f>(O6*N6/2)</f>
        <v/>
      </c>
    </row>
    <row r="7">
      <c r="B7" s="18" t="n">
        <v>2</v>
      </c>
      <c r="C7" s="59" t="n">
        <v>1.7</v>
      </c>
      <c r="D7" s="59">
        <f>(B7*C7)</f>
        <v/>
      </c>
    </row>
    <row r="8">
      <c r="F8" t="inlineStr">
        <is>
          <t>Moy</t>
        </is>
      </c>
      <c r="G8" s="59">
        <f>(SUM(D5:D8)/SUM(B5:B8))</f>
        <v/>
      </c>
    </row>
    <row r="9">
      <c r="B9" s="18">
        <f>(SUM(B5:B8))</f>
        <v/>
      </c>
      <c r="D9" s="59">
        <f>(SUM(D5:D8))</f>
        <v/>
      </c>
    </row>
    <row r="10">
      <c r="D10" s="59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9">
        <f>($C$5*[1]Params!K8)</f>
        <v/>
      </c>
      <c r="P11" s="59">
        <f>(O11*N11)</f>
        <v/>
      </c>
    </row>
    <row r="12">
      <c r="N12">
        <f>($B$5/5)</f>
        <v/>
      </c>
      <c r="O12" s="59">
        <f>($C$5*[1]Params!K9)</f>
        <v/>
      </c>
      <c r="P12" s="59">
        <f>(O12*N12)</f>
        <v/>
      </c>
    </row>
    <row r="13">
      <c r="N13">
        <f>($B$5/5)</f>
        <v/>
      </c>
      <c r="O13" s="59">
        <f>($C$5*[1]Params!K10)</f>
        <v/>
      </c>
      <c r="P13" s="59">
        <f>(O13*N13)</f>
        <v/>
      </c>
    </row>
    <row r="14">
      <c r="N14">
        <f>($B$5/5)</f>
        <v/>
      </c>
      <c r="O14" s="59">
        <f>($C$5*[1]Params!K11)</f>
        <v/>
      </c>
      <c r="P14" s="59">
        <f>(O14*N14)</f>
        <v/>
      </c>
    </row>
    <row r="17">
      <c r="P17" s="59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9">
        <f>($C$6*[1]Params!K8)</f>
        <v/>
      </c>
      <c r="P20" s="59">
        <f>(O20*N20)</f>
        <v/>
      </c>
    </row>
    <row r="21">
      <c r="N21">
        <f>($B$6/5)</f>
        <v/>
      </c>
      <c r="O21" s="59">
        <f>($C$6*[1]Params!K9)</f>
        <v/>
      </c>
      <c r="P21" s="59">
        <f>(O21*N21)</f>
        <v/>
      </c>
    </row>
    <row r="22">
      <c r="N22">
        <f>($B$6/5)</f>
        <v/>
      </c>
      <c r="O22" s="59">
        <f>($C$6*[1]Params!K10)</f>
        <v/>
      </c>
      <c r="P22" s="59">
        <f>(O22*N22)</f>
        <v/>
      </c>
    </row>
    <row r="23">
      <c r="N23">
        <f>($B$6/5)</f>
        <v/>
      </c>
      <c r="O23" s="59">
        <f>($C$6*[1]Params!K11)</f>
        <v/>
      </c>
      <c r="P23" s="59">
        <f>(O23*N23)</f>
        <v/>
      </c>
    </row>
    <row r="26">
      <c r="P26" s="59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9">
        <f>($C$7*[1]Params!K8)</f>
        <v/>
      </c>
      <c r="P29" s="59">
        <f>(O29*N29)</f>
        <v/>
      </c>
    </row>
    <row r="30">
      <c r="N30">
        <f>($B$7/5)</f>
        <v/>
      </c>
      <c r="O30" s="59">
        <f>($C$7*[1]Params!K9)</f>
        <v/>
      </c>
      <c r="P30" s="59">
        <f>(O30*N30)</f>
        <v/>
      </c>
    </row>
    <row r="31">
      <c r="N31">
        <f>($B$7/5)</f>
        <v/>
      </c>
      <c r="O31" s="59">
        <f>($C$7*[1]Params!K10)</f>
        <v/>
      </c>
      <c r="P31" s="59">
        <f>(O31*N31)</f>
        <v/>
      </c>
    </row>
    <row r="32">
      <c r="N32">
        <f>($B$7/5)</f>
        <v/>
      </c>
      <c r="O32" s="59">
        <f>($C$7*[1]Params!K11)</f>
        <v/>
      </c>
      <c r="P32" s="59">
        <f>(O32*N32)</f>
        <v/>
      </c>
    </row>
    <row r="35">
      <c r="P35" s="59">
        <f>(SUM(P29:P32))</f>
        <v/>
      </c>
    </row>
  </sheetData>
  <conditionalFormatting sqref="C5:C7 O6 O11:O14 O20:O23 O29:O32">
    <cfRule type="cellIs" priority="9" operator="lessThan" dxfId="1">
      <formula>$J$3</formula>
    </cfRule>
    <cfRule type="cellIs" priority="10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topLeftCell="A4" workbookViewId="0">
      <selection activeCell="L44" sqref="L44"/>
    </sheetView>
  </sheetViews>
  <sheetFormatPr baseColWidth="10" defaultColWidth="9.140625" defaultRowHeight="15"/>
  <cols>
    <col width="12.5703125" bestFit="1" customWidth="1" style="25" min="2" max="2"/>
    <col width="9.7109375" bestFit="1" customWidth="1" style="25" min="3" max="3"/>
    <col width="9.7109375" customWidth="1" style="25" min="5" max="5"/>
    <col width="11" bestFit="1" customWidth="1" style="25" min="6" max="6"/>
    <col width="17.140625" bestFit="1" customWidth="1" style="25" min="7" max="7"/>
    <col width="18.140625" bestFit="1" customWidth="1" style="25" min="9" max="9"/>
    <col width="12.7109375" bestFit="1" customWidth="1" style="25" min="10" max="10"/>
    <col width="12" bestFit="1" customWidth="1" style="25" min="11" max="11"/>
    <col width="9.5703125" bestFit="1" customWidth="1" style="25" min="15" max="15"/>
    <col width="10" bestFit="1" customWidth="1" style="25" min="16" max="16"/>
  </cols>
  <sheetData>
    <row r="2">
      <c r="G2" t="inlineStr">
        <is>
          <t>Day :</t>
        </is>
      </c>
      <c r="H2" t="n">
        <v>745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68" t="n">
        <v>0.006211693056128138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62" t="n">
        <v>135</v>
      </c>
      <c r="D5" s="59" t="n">
        <v>3.5</v>
      </c>
      <c r="E5" s="60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0.7718</v>
      </c>
    </row>
    <row r="6">
      <c r="B6" s="8" t="inlineStr">
        <is>
          <t>Pearce X4</t>
        </is>
      </c>
      <c r="C6" s="62" t="n">
        <v>18</v>
      </c>
      <c r="D6" s="59" t="n">
        <v>3.5</v>
      </c>
      <c r="E6" s="60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9" t="n">
        <v>18</v>
      </c>
      <c r="D7" s="59" t="n">
        <v>3.5</v>
      </c>
      <c r="E7" s="60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9" t="n">
        <v>55</v>
      </c>
      <c r="D8" s="59" t="n">
        <v>3.5</v>
      </c>
      <c r="E8" s="60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9" t="n">
        <v>-134.99</v>
      </c>
      <c r="D9" s="59" t="n">
        <v>0.01</v>
      </c>
      <c r="E9" s="60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9" t="n">
        <v>125</v>
      </c>
      <c r="D10" s="59">
        <f>0.002*151</f>
        <v/>
      </c>
      <c r="E10" s="60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9" t="n">
        <v>-144.96</v>
      </c>
      <c r="D11" s="59" t="n">
        <v>0.01</v>
      </c>
      <c r="E11" s="60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9" t="n">
        <v>130</v>
      </c>
      <c r="D12" s="59">
        <f>0.002*151</f>
        <v/>
      </c>
      <c r="E12" s="60">
        <f>C12+D12</f>
        <v/>
      </c>
      <c r="F12" s="9" t="inlineStr">
        <is>
          <t>Buy</t>
        </is>
      </c>
      <c r="I12" t="inlineStr">
        <is>
          <t>Total Investiment</t>
        </is>
      </c>
      <c r="J12" s="59">
        <f>(SUM(D5:E8))</f>
        <v/>
      </c>
    </row>
    <row r="13">
      <c r="B13" s="8" t="inlineStr">
        <is>
          <t>Power Plant</t>
        </is>
      </c>
      <c r="C13" s="59" t="n">
        <v>-144.95</v>
      </c>
      <c r="D13" s="59" t="n">
        <v>0.01</v>
      </c>
      <c r="E13" s="60">
        <f>C13+D13</f>
        <v/>
      </c>
      <c r="F13" s="9" t="inlineStr">
        <is>
          <t>Sell</t>
        </is>
      </c>
      <c r="I13" t="inlineStr">
        <is>
          <t>Total Stack gain</t>
        </is>
      </c>
      <c r="J13" s="59">
        <f>(SUM(K35:K43)-C77*J3+D77)</f>
        <v/>
      </c>
    </row>
    <row r="14">
      <c r="B14" s="8" t="inlineStr">
        <is>
          <t>Power Plant</t>
        </is>
      </c>
      <c r="C14" s="59" t="n">
        <v>130</v>
      </c>
      <c r="D14" s="59">
        <f>0.01</f>
        <v/>
      </c>
      <c r="E14" s="60">
        <f>C14+D14</f>
        <v/>
      </c>
      <c r="F14" s="9" t="inlineStr">
        <is>
          <t>Buy</t>
        </is>
      </c>
      <c r="I14" t="inlineStr">
        <is>
          <t>Trade gain</t>
        </is>
      </c>
      <c r="J14" s="59">
        <f>(-SUM(E9:E31))</f>
        <v/>
      </c>
      <c r="K14" s="60">
        <f>(J14-M38-M39-M40-M42-L43)</f>
        <v/>
      </c>
    </row>
    <row r="15">
      <c r="B15" s="8" t="inlineStr">
        <is>
          <t>Power Plant</t>
        </is>
      </c>
      <c r="C15" s="59" t="n">
        <v>-144.98</v>
      </c>
      <c r="D15" s="59" t="n">
        <v>0.01</v>
      </c>
      <c r="E15" s="60">
        <f>C15+D15</f>
        <v/>
      </c>
      <c r="F15" s="9" t="inlineStr">
        <is>
          <t>Sell</t>
        </is>
      </c>
      <c r="I15" t="inlineStr">
        <is>
          <t>Total</t>
        </is>
      </c>
      <c r="J15" s="59">
        <f>(J13-J12+J14)</f>
        <v/>
      </c>
    </row>
    <row r="16">
      <c r="B16" s="8" t="inlineStr">
        <is>
          <t>Power Plant</t>
        </is>
      </c>
      <c r="C16" s="59" t="n">
        <v>130</v>
      </c>
      <c r="D16" s="59">
        <f>0.01</f>
        <v/>
      </c>
      <c r="E16" s="60">
        <f>C16+D16</f>
        <v/>
      </c>
      <c r="F16" s="9" t="inlineStr">
        <is>
          <t>Buy</t>
        </is>
      </c>
      <c r="I16" t="inlineStr">
        <is>
          <t>Total with NFT</t>
        </is>
      </c>
      <c r="J16" s="59">
        <f>(J15+M47)</f>
        <v/>
      </c>
    </row>
    <row r="17">
      <c r="B17" s="8" t="inlineStr">
        <is>
          <t>Opal Jet</t>
        </is>
      </c>
      <c r="C17" s="59" t="n">
        <v>19.73</v>
      </c>
      <c r="D17" s="59" t="n">
        <v>0.28</v>
      </c>
      <c r="E17" s="60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9" t="n">
        <v>38</v>
      </c>
      <c r="D18" s="59" t="n">
        <v>0.01</v>
      </c>
      <c r="E18" s="60">
        <f>C18+D18</f>
        <v/>
      </c>
      <c r="F18" s="9" t="inlineStr">
        <is>
          <t>Buy x2</t>
        </is>
      </c>
      <c r="R18" s="60" t="n"/>
    </row>
    <row r="19">
      <c r="B19" s="8" t="inlineStr">
        <is>
          <t>Opal Jet</t>
        </is>
      </c>
      <c r="C19" s="59" t="n">
        <v>11.25</v>
      </c>
      <c r="D19" s="59" t="n">
        <v>0.01</v>
      </c>
      <c r="E19" s="60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62" t="n">
        <v>8.02</v>
      </c>
      <c r="D20" s="59" t="n">
        <v>0.01</v>
      </c>
      <c r="E20" s="60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9" t="n">
        <v>6.01</v>
      </c>
      <c r="D21" s="59" t="n">
        <v>0</v>
      </c>
      <c r="E21" s="60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9" t="n">
        <v>-30.99</v>
      </c>
      <c r="D22" s="59" t="n">
        <v>0</v>
      </c>
      <c r="E22" s="60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9" t="n">
        <v>27.01</v>
      </c>
      <c r="D23" s="59" t="n">
        <v>0</v>
      </c>
      <c r="E23" s="60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9" t="n">
        <v>-47.22</v>
      </c>
      <c r="D24" s="59" t="n">
        <v>0</v>
      </c>
      <c r="E24" s="60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9" t="n">
        <v>35.02</v>
      </c>
      <c r="D25" s="59" t="n">
        <v>0</v>
      </c>
      <c r="E25" s="60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9" t="n">
        <v>-59.99</v>
      </c>
      <c r="D26" s="59" t="n">
        <v>0</v>
      </c>
      <c r="E26" s="60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62" t="n">
        <v>30.05</v>
      </c>
      <c r="D27" s="59" t="n">
        <v>0</v>
      </c>
      <c r="E27" s="60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62" t="n">
        <v>36.01</v>
      </c>
      <c r="D28" s="59" t="n">
        <v>0</v>
      </c>
      <c r="E28" s="60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9" t="n">
        <v>-8.050000000000001</v>
      </c>
      <c r="D29" s="59" t="n">
        <v>0</v>
      </c>
      <c r="E29" s="60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9" t="n">
        <v>4</v>
      </c>
      <c r="D30" s="59" t="n">
        <v>0.01</v>
      </c>
      <c r="E30" s="59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69" t="n">
        <v>-8.444000000000001</v>
      </c>
      <c r="D31" s="69">
        <f>-C31*6%</f>
        <v/>
      </c>
      <c r="E31" s="69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70">
        <f>E35*$N$5</f>
        <v/>
      </c>
      <c r="G35" s="59" t="n">
        <v>3.5</v>
      </c>
      <c r="H35" s="71">
        <f>G51</f>
        <v/>
      </c>
      <c r="I35" s="60">
        <f>((F35-H35*D35)*$J$3-G35)</f>
        <v/>
      </c>
      <c r="J35" t="n">
        <v>1</v>
      </c>
      <c r="K35" s="72">
        <f>I35*J35</f>
        <v/>
      </c>
      <c r="L35" s="73" t="n">
        <v>40</v>
      </c>
      <c r="M35" s="73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70">
        <f>E36*$N$5</f>
        <v/>
      </c>
      <c r="G36" s="59" t="n">
        <v>3.5</v>
      </c>
      <c r="H36" s="71">
        <f>G52</f>
        <v/>
      </c>
      <c r="I36" s="60">
        <f>((F36-H36*D36)*$J$3-G36)</f>
        <v/>
      </c>
      <c r="J36" t="n">
        <v>1</v>
      </c>
      <c r="K36" s="72">
        <f>I36*J36</f>
        <v/>
      </c>
      <c r="L36" s="73" t="n">
        <v>16.5</v>
      </c>
      <c r="M36" s="73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70">
        <f>E37*$N$5</f>
        <v/>
      </c>
      <c r="G37" s="59" t="n">
        <v>3.5</v>
      </c>
      <c r="H37" s="71">
        <f>G53</f>
        <v/>
      </c>
      <c r="I37" s="60">
        <f>((F37-H37*D37)*$J$3-G37)</f>
        <v/>
      </c>
      <c r="J37" t="n">
        <v>1</v>
      </c>
      <c r="K37" s="72">
        <f>I37*J37</f>
        <v/>
      </c>
      <c r="L37" s="73" t="n">
        <v>9.5</v>
      </c>
      <c r="M37" s="73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70">
        <f>E38*$N$5</f>
        <v/>
      </c>
      <c r="G38" s="59" t="n">
        <v>0</v>
      </c>
      <c r="H38" s="71">
        <f>G53</f>
        <v/>
      </c>
      <c r="I38" s="60">
        <f>((F38-H38*D38)*$J$3-G38)</f>
        <v/>
      </c>
      <c r="J38" t="n">
        <v>3</v>
      </c>
      <c r="K38" s="72">
        <f>I38*J38</f>
        <v/>
      </c>
      <c r="L38" s="73">
        <f>L37</f>
        <v/>
      </c>
      <c r="M38" s="73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70">
        <f>E39*$N$5</f>
        <v/>
      </c>
      <c r="G39" s="59" t="n">
        <v>0</v>
      </c>
      <c r="H39" s="71">
        <f>H38</f>
        <v/>
      </c>
      <c r="I39" s="60">
        <f>((F39-H39*D39)*$J$3-G39)</f>
        <v/>
      </c>
      <c r="J39" t="n">
        <v>1</v>
      </c>
      <c r="K39" s="72">
        <f>I39*J39</f>
        <v/>
      </c>
      <c r="L39" s="73">
        <f>L38</f>
        <v/>
      </c>
      <c r="M39" s="73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70">
        <f>E40*$N$5</f>
        <v/>
      </c>
      <c r="G40" s="59" t="n">
        <v>0</v>
      </c>
      <c r="H40" s="71">
        <f>H39</f>
        <v/>
      </c>
      <c r="I40" s="60">
        <f>((F40-H40*D40)*$J$3-G40)</f>
        <v/>
      </c>
      <c r="J40" t="n">
        <v>1</v>
      </c>
      <c r="K40" s="72">
        <f>I40*J40</f>
        <v/>
      </c>
      <c r="L40" s="73">
        <f>L39</f>
        <v/>
      </c>
      <c r="M40" s="73">
        <f>L40*J40</f>
        <v/>
      </c>
    </row>
    <row r="41">
      <c r="B41" s="14" t="inlineStr">
        <is>
          <t>Pearce X4</t>
        </is>
      </c>
      <c r="C41" s="15" t="n">
        <v>0.966</v>
      </c>
      <c r="D41" s="15" t="n">
        <v>70</v>
      </c>
      <c r="E41" s="15">
        <f>C41*D41</f>
        <v/>
      </c>
      <c r="F41" s="16">
        <f>E41*$N$5</f>
        <v/>
      </c>
      <c r="G41" s="74" t="n">
        <v>0</v>
      </c>
      <c r="H41" s="75">
        <f>H36</f>
        <v/>
      </c>
      <c r="I41" s="74">
        <f>((F41-H41*D41)*$J$3-G41)</f>
        <v/>
      </c>
      <c r="J41" s="15" t="n">
        <v>1</v>
      </c>
      <c r="K41" s="76">
        <f>I41*J41</f>
        <v/>
      </c>
      <c r="L41" s="77" t="n">
        <v>0</v>
      </c>
      <c r="M41" s="77">
        <f>L41*J41</f>
        <v/>
      </c>
      <c r="N41" t="inlineStr">
        <is>
          <t>Sold</t>
        </is>
      </c>
    </row>
    <row r="42">
      <c r="B42" s="14" t="inlineStr">
        <is>
          <t>Opal Jet</t>
        </is>
      </c>
      <c r="C42" s="15" t="n">
        <v>0.851</v>
      </c>
      <c r="D42" s="15">
        <f>440</f>
        <v/>
      </c>
      <c r="E42" s="15">
        <f>(C42*D42)</f>
        <v/>
      </c>
      <c r="F42" s="16">
        <f>(E42*$N$5)</f>
        <v/>
      </c>
      <c r="G42" s="74" t="n">
        <v>0</v>
      </c>
      <c r="H42" s="75">
        <f>(H38)</f>
        <v/>
      </c>
      <c r="I42" s="74">
        <f>((F42-H42*D42)*$J$3-G42)</f>
        <v/>
      </c>
      <c r="J42" s="15" t="n">
        <v>1</v>
      </c>
      <c r="K42" s="76">
        <f>(I42*J42)</f>
        <v/>
      </c>
      <c r="L42" s="77" t="n">
        <v>0</v>
      </c>
      <c r="M42" s="77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0" t="n"/>
      <c r="J43" t="n">
        <v>2</v>
      </c>
      <c r="K43" s="72" t="n"/>
      <c r="L43" s="73" t="n">
        <v>13</v>
      </c>
      <c r="M43" s="73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73" t="n">
        <v>0.4</v>
      </c>
      <c r="M44" s="73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73" t="n">
        <v>0.35</v>
      </c>
      <c r="M45" s="73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73" t="n">
        <v>1.5</v>
      </c>
      <c r="M46" s="73">
        <f>(L46*J46)</f>
        <v/>
      </c>
      <c r="V46" s="60" t="n"/>
    </row>
    <row r="47">
      <c r="L47" t="inlineStr">
        <is>
          <t>Total</t>
        </is>
      </c>
      <c r="M47" s="73">
        <f>(SUM(M34:M46))</f>
        <v/>
      </c>
      <c r="O47" s="73">
        <f>(J13+SUM(G35:G41)-D77)</f>
        <v/>
      </c>
      <c r="P47">
        <f>(O47/J3)</f>
        <v/>
      </c>
    </row>
    <row r="49">
      <c r="B49" s="17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78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8">
        <f>126/(3+5/24)</f>
        <v/>
      </c>
      <c r="E52" s="18">
        <f>46/(38/24)</f>
        <v/>
      </c>
      <c r="F52" t="n">
        <v>42</v>
      </c>
      <c r="G52" s="78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8">
        <f>87/3.33</f>
        <v/>
      </c>
      <c r="E53">
        <f>74/2</f>
        <v/>
      </c>
      <c r="F53" t="n">
        <v>36</v>
      </c>
      <c r="G53" s="78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8" t="n">
        <v>138</v>
      </c>
      <c r="D57" s="9" t="n"/>
    </row>
    <row r="58">
      <c r="B58" s="8" t="n"/>
      <c r="C58" s="18" t="n">
        <v>330</v>
      </c>
      <c r="D58" s="9" t="n"/>
    </row>
    <row r="59">
      <c r="B59" s="8" t="n"/>
      <c r="C59" s="18" t="n">
        <v>327.51919355</v>
      </c>
      <c r="D59" s="9" t="n"/>
    </row>
    <row r="60">
      <c r="B60" s="8" t="n"/>
      <c r="C60" s="18" t="n">
        <v>113.54742468</v>
      </c>
      <c r="D60" s="79" t="n">
        <v>1.14</v>
      </c>
      <c r="E60" s="66">
        <f>D60/C60</f>
        <v/>
      </c>
    </row>
    <row r="61">
      <c r="B61" s="8" t="n"/>
      <c r="C61" s="18" t="n">
        <v>130.53974622</v>
      </c>
      <c r="D61" s="79" t="n">
        <v>1.179312</v>
      </c>
      <c r="E61" s="66">
        <f>D61/C61</f>
        <v/>
      </c>
    </row>
    <row r="62">
      <c r="B62" s="8" t="n"/>
      <c r="C62" s="18" t="n">
        <v>167.40487412</v>
      </c>
      <c r="D62" s="79" t="n">
        <v>1.05481</v>
      </c>
      <c r="E62" s="66">
        <f>D62/C62</f>
        <v/>
      </c>
    </row>
    <row r="63">
      <c r="B63" s="8" t="n"/>
      <c r="C63" s="18" t="n">
        <v>167.96828</v>
      </c>
      <c r="D63" s="79">
        <f>1.0512-0.00017</f>
        <v/>
      </c>
      <c r="E63" s="66">
        <f>D63/C63</f>
        <v/>
      </c>
    </row>
    <row r="64">
      <c r="B64" s="8" t="n"/>
      <c r="C64" s="18" t="n">
        <v>123.66</v>
      </c>
      <c r="D64" s="79" t="n">
        <v>1.049</v>
      </c>
      <c r="E64" s="66">
        <f>D64/C64</f>
        <v/>
      </c>
    </row>
    <row r="65">
      <c r="B65" s="8" t="n"/>
      <c r="C65" s="18" t="n">
        <v>149.5</v>
      </c>
      <c r="D65" s="79" t="n">
        <v>1.17</v>
      </c>
      <c r="E65" s="66">
        <f>D65/C65</f>
        <v/>
      </c>
    </row>
    <row r="66">
      <c r="B66" s="8" t="n"/>
      <c r="C66" s="18" t="n">
        <v>170.62</v>
      </c>
      <c r="D66" s="79" t="n">
        <v>1.158</v>
      </c>
      <c r="E66" s="66">
        <f>D66/C66</f>
        <v/>
      </c>
    </row>
    <row r="67">
      <c r="B67" s="8" t="n"/>
      <c r="C67" s="18" t="n">
        <v>192.66</v>
      </c>
      <c r="D67" s="79" t="n">
        <v>1.09</v>
      </c>
      <c r="E67" s="66">
        <f>D67/C67</f>
        <v/>
      </c>
    </row>
    <row r="68">
      <c r="B68" s="8" t="n"/>
      <c r="C68" s="18" t="n">
        <v>257.34</v>
      </c>
      <c r="D68" s="79" t="n">
        <v>1.13</v>
      </c>
      <c r="E68" s="66">
        <f>(D68/C68)</f>
        <v/>
      </c>
    </row>
    <row r="69">
      <c r="B69" s="8" t="n"/>
      <c r="C69" s="18" t="n">
        <v>312.13</v>
      </c>
      <c r="D69" s="79" t="n">
        <v>0.82</v>
      </c>
      <c r="E69" s="66">
        <f>(D69/C69)</f>
        <v/>
      </c>
    </row>
    <row r="70">
      <c r="B70" s="8" t="n"/>
      <c r="C70" s="18" t="n">
        <v>352.461</v>
      </c>
      <c r="D70" s="79" t="n">
        <v>1.2074</v>
      </c>
      <c r="E70" s="66">
        <f>(D70/C70)</f>
        <v/>
      </c>
    </row>
    <row r="71">
      <c r="B71" s="8" t="n"/>
      <c r="C71" s="18" t="n">
        <v>263.04</v>
      </c>
      <c r="D71" s="79" t="n">
        <v>1.0588</v>
      </c>
      <c r="E71" s="66">
        <f>(D71/C71)</f>
        <v/>
      </c>
    </row>
    <row r="72">
      <c r="B72" s="8" t="n"/>
      <c r="C72" s="18" t="n">
        <v>359.00496</v>
      </c>
      <c r="D72" s="79" t="n">
        <v>1.1195</v>
      </c>
      <c r="E72" s="66">
        <f>(D72/C72)</f>
        <v/>
      </c>
    </row>
    <row r="73">
      <c r="B73" s="8" t="n"/>
      <c r="C73" s="18" t="n">
        <v>327.91</v>
      </c>
      <c r="D73" s="79" t="n">
        <v>1.0785</v>
      </c>
      <c r="E73" s="66">
        <f>(D73/C73)</f>
        <v/>
      </c>
    </row>
    <row r="74">
      <c r="B74" s="8" t="n"/>
      <c r="C74" s="18" t="n">
        <v>925.39</v>
      </c>
      <c r="D74" s="79" t="n">
        <v>3.1734</v>
      </c>
      <c r="E74" s="66">
        <f>(D74/C74)</f>
        <v/>
      </c>
    </row>
    <row r="75">
      <c r="B75" s="8" t="n"/>
      <c r="C75" s="18" t="n">
        <v>109.44</v>
      </c>
      <c r="D75" s="79" t="n"/>
      <c r="E75" s="66" t="n"/>
    </row>
    <row r="76">
      <c r="B76" s="10" t="n"/>
      <c r="C76" s="11" t="n"/>
      <c r="D76" s="12" t="n"/>
    </row>
    <row r="77">
      <c r="B77" t="inlineStr">
        <is>
          <t>Total</t>
        </is>
      </c>
      <c r="C77" s="18">
        <f>(SUM(C57:C76))</f>
        <v/>
      </c>
      <c r="D77" s="59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25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9">
        <f>(-137/3)</f>
        <v/>
      </c>
      <c r="D4" s="59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1:U21"/>
  <sheetViews>
    <sheetView workbookViewId="0">
      <selection activeCell="L13" sqref="L13"/>
    </sheetView>
  </sheetViews>
  <sheetFormatPr baseColWidth="10" defaultColWidth="9.140625" defaultRowHeight="15"/>
  <cols>
    <col width="9.140625" customWidth="1" style="25" min="1" max="3"/>
    <col width="10.28515625" bestFit="1" customWidth="1" style="25" min="4" max="4"/>
    <col width="10.5703125" bestFit="1" customWidth="1" style="25" min="5" max="5"/>
    <col width="9.140625" customWidth="1" style="25" min="6" max="8"/>
    <col width="12.42578125" bestFit="1" customWidth="1" style="25" min="9" max="9"/>
    <col width="9.140625" customWidth="1" style="25" min="10" max="13"/>
    <col width="10.140625" bestFit="1" customWidth="1" style="25" min="14" max="14"/>
    <col width="11.28515625" bestFit="1" customWidth="1" style="25" min="15" max="15"/>
    <col width="9.140625" customWidth="1" style="25" min="16" max="375"/>
    <col width="9.140625" customWidth="1" style="25" min="376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9" t="n">
        <v>11.1722252180292</v>
      </c>
      <c r="M3" t="inlineStr">
        <is>
          <t>Objectif :</t>
        </is>
      </c>
      <c r="N3" s="23">
        <f>(INDEX(N5:N21,MATCH(MAX(O6:O8),O5:O21,0))/0.85)</f>
        <v/>
      </c>
      <c r="O3" s="60">
        <f>(MAX(O6:O8)*0.75)</f>
        <v/>
      </c>
      <c r="P3" s="80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>
        <f>0.31383979+0.28055386</f>
        <v/>
      </c>
      <c r="C5" s="59">
        <f>4</f>
        <v/>
      </c>
      <c r="D5" s="59">
        <f>C5*B5</f>
        <v/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9">
        <f>(T5/R5)</f>
        <v/>
      </c>
      <c r="T5" s="59">
        <f>D5</f>
        <v/>
      </c>
    </row>
    <row r="6">
      <c r="B6" s="2" t="n">
        <v>2.738e-05</v>
      </c>
      <c r="C6" s="62" t="n">
        <v>0</v>
      </c>
      <c r="D6" s="62">
        <f>(B6*C6)</f>
        <v/>
      </c>
      <c r="E6" s="59">
        <f>(B6*J3)</f>
        <v/>
      </c>
      <c r="M6" t="inlineStr">
        <is>
          <t>Objectif</t>
        </is>
      </c>
      <c r="N6" s="1">
        <f>$B$5/5</f>
        <v/>
      </c>
      <c r="O6" s="59">
        <f>($C$5*[1]Params!K8)</f>
        <v/>
      </c>
      <c r="P6" s="59">
        <f>O6*N6</f>
        <v/>
      </c>
      <c r="Q6" t="inlineStr">
        <is>
          <t>Done</t>
        </is>
      </c>
      <c r="R6" s="2">
        <f>(B6)</f>
        <v/>
      </c>
      <c r="S6" s="62" t="n">
        <v>0</v>
      </c>
      <c r="T6" s="62">
        <f>(D6)</f>
        <v/>
      </c>
      <c r="U6" s="59">
        <f>(R6*J3)</f>
        <v/>
      </c>
    </row>
    <row r="7">
      <c r="B7" s="1" t="n">
        <v>-0.28055386</v>
      </c>
      <c r="C7" s="59">
        <f>D7/B7</f>
        <v/>
      </c>
      <c r="D7" s="59" t="n">
        <v>-4</v>
      </c>
      <c r="N7" s="1">
        <f>$B$5/5</f>
        <v/>
      </c>
      <c r="O7" s="59">
        <f>($C$5*[1]Params!K9)</f>
        <v/>
      </c>
      <c r="P7" s="59">
        <f>O7*N7</f>
        <v/>
      </c>
      <c r="Q7" t="inlineStr">
        <is>
          <t>Done</t>
        </is>
      </c>
      <c r="R7" s="70" t="n"/>
      <c r="S7" s="59" t="n"/>
      <c r="T7" s="59" t="n"/>
    </row>
    <row r="8">
      <c r="B8" s="1" t="n"/>
      <c r="C8" s="59" t="n"/>
      <c r="D8" s="59" t="n"/>
      <c r="N8" s="1">
        <f>$B$5/5</f>
        <v/>
      </c>
      <c r="O8" s="59">
        <f>($C$5*[1]Params!K10)</f>
        <v/>
      </c>
      <c r="P8" s="59">
        <f>(O8*N8)</f>
        <v/>
      </c>
      <c r="Q8" t="inlineStr">
        <is>
          <t>Done</t>
        </is>
      </c>
      <c r="R8" s="1" t="n"/>
      <c r="S8" s="59" t="n"/>
      <c r="T8" s="59" t="n"/>
    </row>
    <row r="9">
      <c r="B9" s="1" t="n"/>
      <c r="C9" s="59" t="n"/>
      <c r="D9" s="59" t="n"/>
      <c r="N9" s="1">
        <f>($B$13-B7)/5</f>
        <v/>
      </c>
      <c r="O9" s="59">
        <f>($C$5*[1]Params!K11)</f>
        <v/>
      </c>
      <c r="P9" s="59">
        <f>(O9*N9)</f>
        <v/>
      </c>
      <c r="R9" s="1" t="n"/>
      <c r="S9" s="60" t="n"/>
      <c r="T9" s="60" t="n"/>
    </row>
    <row r="10">
      <c r="B10" s="1" t="n"/>
      <c r="C10" s="60" t="n"/>
      <c r="D10" s="59" t="n"/>
      <c r="N10" s="1" t="n"/>
      <c r="P10" s="59" t="n"/>
    </row>
    <row r="11">
      <c r="B11" s="1" t="n"/>
      <c r="C11" s="60" t="n"/>
      <c r="D11" s="59" t="n"/>
      <c r="P11" s="59">
        <f>(SUM(P6:P9))</f>
        <v/>
      </c>
    </row>
    <row r="12">
      <c r="F12" t="inlineStr">
        <is>
          <t>Moy</t>
        </is>
      </c>
      <c r="G12" s="80">
        <f>(D13/B13)</f>
        <v/>
      </c>
    </row>
    <row r="13">
      <c r="B13" s="1">
        <f>(SUM(B5:B12))</f>
        <v/>
      </c>
      <c r="D13" s="59">
        <f>(SUM(D5:D12))</f>
        <v/>
      </c>
      <c r="R13" s="1">
        <f>(SUM(R5:R12))</f>
        <v/>
      </c>
      <c r="T13" s="59">
        <f>(SUM(T5:T12))</f>
        <v/>
      </c>
    </row>
    <row r="14"/>
    <row r="15"/>
    <row r="16"/>
    <row r="17"/>
    <row r="18">
      <c r="N18" s="1">
        <f>N6+N7+N8+B7</f>
        <v/>
      </c>
      <c r="O18" s="60" t="n"/>
    </row>
    <row r="19"/>
    <row r="20"/>
    <row r="21">
      <c r="E21" s="81" t="n"/>
    </row>
  </sheetData>
  <conditionalFormatting sqref="C5 G12 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P3" sqref="P3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9" t="n">
        <v>0.6206335347451175</v>
      </c>
      <c r="M3" t="inlineStr">
        <is>
          <t>Objectif :</t>
        </is>
      </c>
      <c r="N3" s="23">
        <f>(INDEX(N5:N21,MATCH(MAX(O6:O7),O5:O21,0))/0.85)</f>
        <v/>
      </c>
      <c r="O3" s="60">
        <f>(MAX(O6:O7)*0.75)</f>
        <v/>
      </c>
      <c r="P3" s="5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9">
        <f>(D5/B5)</f>
        <v/>
      </c>
      <c r="D5" s="59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9">
        <f>(T5/R5)</f>
        <v/>
      </c>
      <c r="T5" s="59">
        <f>D5</f>
        <v/>
      </c>
    </row>
    <row r="6">
      <c r="B6" s="2" t="n">
        <v>0.7924620999999999</v>
      </c>
      <c r="C6" s="62" t="n">
        <v>0</v>
      </c>
      <c r="D6" s="62">
        <f>(B6*C6)</f>
        <v/>
      </c>
      <c r="E6" s="59">
        <f>(B6*J3)</f>
        <v/>
      </c>
      <c r="M6" t="inlineStr">
        <is>
          <t>Objectif</t>
        </is>
      </c>
      <c r="N6" s="1">
        <f>-B10</f>
        <v/>
      </c>
      <c r="O6" s="59">
        <f>P6/N6</f>
        <v/>
      </c>
      <c r="P6" s="59">
        <f>-D10</f>
        <v/>
      </c>
      <c r="Q6" t="inlineStr">
        <is>
          <t>Done</t>
        </is>
      </c>
      <c r="R6" s="2">
        <f>(B6)</f>
        <v/>
      </c>
      <c r="S6" s="62" t="n">
        <v>0</v>
      </c>
      <c r="T6" s="62">
        <f>(D6)</f>
        <v/>
      </c>
      <c r="U6" s="59">
        <f>(R6*J3)</f>
        <v/>
      </c>
    </row>
    <row r="7">
      <c r="B7" s="1" t="n">
        <v>125.09230686</v>
      </c>
      <c r="C7" s="59">
        <f>(D7/B7)</f>
        <v/>
      </c>
      <c r="D7" s="59" t="n">
        <v>45.7</v>
      </c>
      <c r="E7" t="inlineStr">
        <is>
          <t>DCA2</t>
        </is>
      </c>
      <c r="N7" s="1">
        <f>-B11</f>
        <v/>
      </c>
      <c r="O7" s="59">
        <f>($S$7*[1]Params!K9)</f>
        <v/>
      </c>
      <c r="P7" s="59">
        <f>-D11</f>
        <v/>
      </c>
      <c r="Q7" t="inlineStr">
        <is>
          <t>Done</t>
        </is>
      </c>
      <c r="R7" s="70">
        <f>B7+B10</f>
        <v/>
      </c>
      <c r="S7" s="59">
        <f>(T7/R7)</f>
        <v/>
      </c>
      <c r="T7" s="59">
        <f>D7+B10*0.3388</f>
        <v/>
      </c>
      <c r="U7" t="inlineStr">
        <is>
          <t>DCA2</t>
        </is>
      </c>
    </row>
    <row r="8">
      <c r="B8" s="1" t="n">
        <v>-3.1157</v>
      </c>
      <c r="C8" s="59">
        <f>(D8/B8)</f>
        <v/>
      </c>
      <c r="D8" s="59" t="n">
        <v>-1.00996341</v>
      </c>
      <c r="N8" s="1">
        <f>3*($B$13-B11-B10)/5-N7-N6</f>
        <v/>
      </c>
      <c r="O8" s="59">
        <f>($C$7*[1]Params!K10)</f>
        <v/>
      </c>
      <c r="P8" s="59">
        <f>(O8*N8)</f>
        <v/>
      </c>
      <c r="R8" s="1">
        <f>(B8+B9)</f>
        <v/>
      </c>
      <c r="S8" s="59" t="n">
        <v>0</v>
      </c>
      <c r="T8" s="59">
        <f>D8+D9</f>
        <v/>
      </c>
    </row>
    <row r="9">
      <c r="B9" s="1" t="n">
        <v>3.76338608</v>
      </c>
      <c r="C9" s="59">
        <f>(D9/B9)</f>
        <v/>
      </c>
      <c r="D9" s="59" t="n">
        <v>1</v>
      </c>
      <c r="N9" s="1">
        <f>($B$13/5)</f>
        <v/>
      </c>
      <c r="O9" s="59">
        <f>($C$7*[1]Params!K11)</f>
        <v/>
      </c>
      <c r="P9" s="59">
        <f>(O9*N9)</f>
        <v/>
      </c>
      <c r="R9" s="1">
        <f>B10-B10</f>
        <v/>
      </c>
      <c r="S9" s="60" t="n">
        <v>0</v>
      </c>
      <c r="T9" s="60">
        <f>D10-B10*0.3388</f>
        <v/>
      </c>
    </row>
    <row r="10">
      <c r="B10" s="1" t="n">
        <v>-22.57</v>
      </c>
      <c r="C10" s="60">
        <f>D10/B10</f>
        <v/>
      </c>
      <c r="D10" s="59" t="n">
        <v>-10.08242897</v>
      </c>
      <c r="N10" s="1" t="n"/>
      <c r="P10" s="59" t="n"/>
    </row>
    <row r="11">
      <c r="B11" s="1" t="n">
        <v>-22.5</v>
      </c>
      <c r="C11" s="60">
        <f>D11/B11</f>
        <v/>
      </c>
      <c r="D11" s="59" t="n">
        <v>-12.306</v>
      </c>
      <c r="P11" s="59">
        <f>(SUM(P6:P9))</f>
        <v/>
      </c>
    </row>
    <row r="12">
      <c r="F12" t="inlineStr">
        <is>
          <t>Moy</t>
        </is>
      </c>
      <c r="G12" s="80">
        <f>(D13/B13)</f>
        <v/>
      </c>
    </row>
    <row r="13">
      <c r="B13" s="1">
        <f>(SUM(B5:B12))</f>
        <v/>
      </c>
      <c r="D13" s="59">
        <f>(SUM(D5:D12))</f>
        <v/>
      </c>
      <c r="R13" s="1">
        <f>(SUM(R5:R12))</f>
        <v/>
      </c>
      <c r="T13" s="59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20"/>
  <sheetViews>
    <sheetView tabSelected="1" workbookViewId="0">
      <selection activeCell="L17" sqref="L17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80" t="n">
        <v>0.209309307617692</v>
      </c>
      <c r="M3" t="inlineStr">
        <is>
          <t>Objectif :</t>
        </is>
      </c>
      <c r="N3" s="23">
        <f>(INDEX(N5:N23,MATCH(MAX(0),O5:O23,0))/0.85)</f>
        <v/>
      </c>
      <c r="O3" s="60">
        <f>(MAX(0)*0.75)</f>
        <v/>
      </c>
      <c r="P3" s="80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70" t="n">
        <v>60.14</v>
      </c>
      <c r="C5" s="59">
        <f>(D5/B5)</f>
        <v/>
      </c>
      <c r="D5" s="59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70">
        <f>(B5)</f>
        <v/>
      </c>
      <c r="S5" s="59">
        <f>(T5/R5)</f>
        <v/>
      </c>
      <c r="T5" s="59">
        <f>D5</f>
        <v/>
      </c>
    </row>
    <row r="6">
      <c r="B6" s="2" t="n">
        <v>0.58746234</v>
      </c>
      <c r="C6" s="62" t="n">
        <v>0</v>
      </c>
      <c r="D6" s="62">
        <f>(B6*C6)</f>
        <v/>
      </c>
      <c r="E6" s="59">
        <f>(B6*J3)</f>
        <v/>
      </c>
      <c r="M6" t="inlineStr">
        <is>
          <t>Objectif</t>
        </is>
      </c>
      <c r="N6" s="70">
        <f>($B$14)/5</f>
        <v/>
      </c>
      <c r="O6" s="59">
        <f>($C$5*[1]Params!K8)</f>
        <v/>
      </c>
      <c r="P6" s="59">
        <f>-D11</f>
        <v/>
      </c>
      <c r="R6" s="82">
        <f>(B6)</f>
        <v/>
      </c>
      <c r="S6" s="62" t="n">
        <v>0</v>
      </c>
      <c r="T6" s="62">
        <f>(D6)</f>
        <v/>
      </c>
      <c r="U6" s="59">
        <f>(E6)</f>
        <v/>
      </c>
    </row>
    <row r="7">
      <c r="B7" s="70" t="n">
        <v>-12.028</v>
      </c>
      <c r="C7" s="59">
        <f>(D7/B7)</f>
        <v/>
      </c>
      <c r="D7" s="59" t="n">
        <v>-2.549936</v>
      </c>
      <c r="N7" s="70">
        <f>$B$14/5</f>
        <v/>
      </c>
      <c r="O7" s="59">
        <f>($C$5*[1]Params!K9)</f>
        <v/>
      </c>
      <c r="P7" s="59">
        <f>(O7*N7)</f>
        <v/>
      </c>
      <c r="R7" s="70">
        <f>SUM(B7:B12)</f>
        <v/>
      </c>
      <c r="S7" s="59" t="n">
        <v>0</v>
      </c>
      <c r="T7" s="59">
        <f>SUM(D7:D12)</f>
        <v/>
      </c>
      <c r="U7" s="60" t="n"/>
    </row>
    <row r="8">
      <c r="B8" s="70" t="n">
        <v>-12</v>
      </c>
      <c r="C8" s="59">
        <f>(D8/B8)</f>
        <v/>
      </c>
      <c r="D8" s="59" t="n">
        <v>-3.06</v>
      </c>
      <c r="N8" s="70">
        <f>($B$14)/5</f>
        <v/>
      </c>
      <c r="O8" s="59">
        <f>($C$5*[1]Params!K10)</f>
        <v/>
      </c>
      <c r="P8" s="59">
        <f>(O8*N8)</f>
        <v/>
      </c>
      <c r="R8" s="70" t="n"/>
      <c r="S8" s="59" t="n"/>
      <c r="T8" s="59" t="n"/>
    </row>
    <row r="9">
      <c r="B9" s="70" t="n">
        <v>13.39371616</v>
      </c>
      <c r="C9" s="59">
        <f>(D9/B9)</f>
        <v/>
      </c>
      <c r="D9" s="59" t="n">
        <v>2.8758</v>
      </c>
      <c r="N9" s="70">
        <f>($B$14)/5</f>
        <v/>
      </c>
      <c r="O9" s="59">
        <f>($C$5*[1]Params!K11)</f>
        <v/>
      </c>
      <c r="P9" s="59">
        <f>(O9*N9)</f>
        <v/>
      </c>
    </row>
    <row r="10">
      <c r="B10" s="70" t="n">
        <v>13.23709339</v>
      </c>
      <c r="C10" s="59">
        <f>(D10/B10)</f>
        <v/>
      </c>
      <c r="D10" s="59" t="n">
        <v>2.41</v>
      </c>
    </row>
    <row r="11">
      <c r="B11" s="70" t="n">
        <v>-12.66</v>
      </c>
      <c r="C11" s="59">
        <f>(D11/B11)</f>
        <v/>
      </c>
      <c r="D11" s="59" t="n">
        <v>-2.81724106</v>
      </c>
    </row>
    <row r="12">
      <c r="B12" s="70" t="n">
        <v>15.05019045</v>
      </c>
      <c r="C12" s="59">
        <f>(D12/B12)</f>
        <v/>
      </c>
      <c r="D12" s="59" t="n">
        <v>2.48</v>
      </c>
      <c r="P12" s="59">
        <f>(SUM(P6:P9))</f>
        <v/>
      </c>
    </row>
    <row r="13">
      <c r="F13" t="inlineStr">
        <is>
          <t>Moy</t>
        </is>
      </c>
      <c r="G13" s="59">
        <f>(D14/B14)</f>
        <v/>
      </c>
    </row>
    <row r="14">
      <c r="B14" s="70">
        <f>(SUM(B5:B13))</f>
        <v/>
      </c>
      <c r="D14" s="59">
        <f>(SUM(D5:D13))</f>
        <v/>
      </c>
    </row>
    <row r="15"/>
    <row r="16"/>
    <row r="17">
      <c r="N17" s="70" t="n"/>
      <c r="R17" s="70">
        <f>(SUM(R5:R16))</f>
        <v/>
      </c>
      <c r="T17" s="59">
        <f>(SUM(T5:T16))</f>
        <v/>
      </c>
    </row>
    <row r="18"/>
    <row r="19"/>
    <row r="20">
      <c r="K20" s="60" t="n"/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0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S5 S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G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2024-02-28T20:56:54Z</dcterms:modified>
  <cp:lastModifiedBy>Tiko</cp:lastModifiedBy>
</cp:coreProperties>
</file>