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360" yWindow="570" windowWidth="28215" windowHeight="11955" tabRatio="933" firstSheet="0" activeTab="4" autoFilterDateGrouping="1"/>
  </bookViews>
  <sheets>
    <sheet name="ETH" sheetId="1" state="visible" r:id="rId1"/>
    <sheet name="BTC" sheetId="2" state="visible" r:id="rId2"/>
    <sheet name="DefiCake" sheetId="3" state="visible" r:id="rId3"/>
    <sheet name="POLIS" sheetId="4" state="visible" r:id="rId4"/>
    <sheet name="ATLAS" sheetId="5" state="visible" r:id="rId5"/>
    <sheet name="BIGTIME" sheetId="6" state="visible" r:id="rId6"/>
    <sheet name="Ayman" sheetId="7" state="visible" r:id="rId7"/>
    <sheet name="ADA" sheetId="8" state="visible" r:id="rId8"/>
    <sheet name="ALGO" sheetId="9" state="visible" r:id="rId9"/>
    <sheet name="APE" sheetId="10" state="visible" r:id="rId10"/>
    <sheet name="ATOM" sheetId="11" state="visible" r:id="rId11"/>
    <sheet name="AVAX" sheetId="12" state="visible" r:id="rId12"/>
    <sheet name="AMP" sheetId="13" state="visible" r:id="rId13"/>
    <sheet name="BNB" sheetId="14" state="visible" r:id="rId14"/>
    <sheet name="DOGE" sheetId="15" state="visible" r:id="rId15"/>
    <sheet name="DOT" sheetId="16" state="visible" r:id="rId16"/>
    <sheet name="EGLD" sheetId="17" state="visible" r:id="rId17"/>
    <sheet name="ICP" sheetId="18" state="visible" r:id="rId18"/>
    <sheet name="LDO" sheetId="19" state="visible" r:id="rId19"/>
    <sheet name="LINK" sheetId="20" state="visible" r:id="rId20"/>
    <sheet name="LTC" sheetId="21" state="visible" r:id="rId21"/>
    <sheet name="LUNA" sheetId="22" state="visible" r:id="rId22"/>
    <sheet name="LUNC" sheetId="23" state="visible" r:id="rId23"/>
    <sheet name="MATIC" sheetId="24" state="visible" r:id="rId24"/>
    <sheet name="MINA" sheetId="25" state="visible" r:id="rId25"/>
    <sheet name="NEAR" sheetId="26" state="visible" r:id="rId26"/>
    <sheet name="SHIB" sheetId="27" state="visible" r:id="rId27"/>
    <sheet name="SOL" sheetId="28" state="visible" r:id="rId28"/>
    <sheet name="TRX" sheetId="29" state="visible" r:id="rId29"/>
    <sheet name="UNI" sheetId="30" state="visible" r:id="rId30"/>
    <sheet name="XRP" sheetId="31" state="visible" r:id="rId31"/>
    <sheet name="GRT" sheetId="32" state="visible" r:id="rId32"/>
    <sheet name="KAVA" sheetId="33" state="visible" r:id="rId33"/>
    <sheet name="SHPING" sheetId="34" state="visible" r:id="rId34"/>
    <sheet name="Params" sheetId="35" state="visible" r:id="rId35"/>
  </sheets>
  <definedNames/>
  <calcPr calcId="124519" fullCalcOnLoad="1"/>
</workbook>
</file>

<file path=xl/styles.xml><?xml version="1.0" encoding="utf-8"?>
<styleSheet xmlns="http://schemas.openxmlformats.org/spreadsheetml/2006/main">
  <numFmts count="13">
    <numFmt numFmtId="164" formatCode="0.0000"/>
    <numFmt numFmtId="165" formatCode="_([$$-409]* #,##0.00_);_([$$-409]* \(#,##0.00\);_([$$-409]* &quot;-&quot;??_);_(@_)"/>
    <numFmt numFmtId="166" formatCode="0.00000"/>
    <numFmt numFmtId="167" formatCode="dd/mm/yy;@"/>
    <numFmt numFmtId="168" formatCode="_(&quot;$&quot;* #,##0.000000_);_(&quot;$&quot;* \(#,##0.000000\);_(&quot;$&quot;* &quot;-&quot;??_);_(@_)"/>
    <numFmt numFmtId="169" formatCode="0.000"/>
    <numFmt numFmtId="170" formatCode="_(&quot;$&quot;* #,##0.000_);_(&quot;$&quot;* \(#,##0.000\);_(&quot;$&quot;* &quot;-&quot;??_);_(@_)"/>
    <numFmt numFmtId="171" formatCode="_(&quot;$&quot;* #,##0.00_);_(&quot;$&quot;* \(#,##0.00\);_(&quot;$&quot;* &quot;-&quot;??_);_(@_)"/>
    <numFmt numFmtId="172" formatCode="0.0000000"/>
    <numFmt numFmtId="173" formatCode="_(&quot;$&quot;* #,##0.00000_);_(&quot;$&quot;* \(#,##0.00000\);_(&quot;$&quot;* &quot;-&quot;??_);_(@_)"/>
    <numFmt numFmtId="174" formatCode="0.000000"/>
    <numFmt numFmtId="175" formatCode="_(&quot;$&quot;* #,##0.0000_);_(&quot;$&quot;* \(#,##0.0000\);_(&quot;$&quot;* &quot;-&quot;??_);_(@_)"/>
    <numFmt numFmtId="176" formatCode="_(&quot;$&quot;* #,##0.0000000_);_(&quot;$&quot;* \(#,##0.0000000\);_(&quot;$&quot;* &quot;-&quot;??_);_(@_)"/>
  </numFmts>
  <fonts count="3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Arial Unicode MS"/>
      <color theme="1"/>
      <sz val="10"/>
    </font>
  </fonts>
  <fills count="4">
    <fill>
      <patternFill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1" fillId="0" borderId="0"/>
    <xf numFmtId="44" fontId="1" fillId="0" borderId="0"/>
    <xf numFmtId="9" fontId="1" fillId="0" borderId="0"/>
  </cellStyleXfs>
  <cellXfs count="74">
    <xf numFmtId="0" fontId="0" fillId="0" borderId="0" pivotButton="0" quotePrefix="0" xfId="0"/>
    <xf numFmtId="164" fontId="0" fillId="0" borderId="0" pivotButton="0" quotePrefix="0" xfId="0"/>
    <xf numFmtId="164" fontId="0" fillId="2" borderId="0" pivotButton="0" quotePrefix="0" xfId="0"/>
    <xf numFmtId="14" fontId="0" fillId="0" borderId="0" pivotButton="0" quotePrefix="0" xfId="0"/>
    <xf numFmtId="9" fontId="0" fillId="0" borderId="0" pivotButton="0" quotePrefix="0" xfId="2"/>
    <xf numFmtId="0" fontId="0" fillId="0" borderId="1" pivotButton="0" quotePrefix="0" xfId="0"/>
    <xf numFmtId="0" fontId="0" fillId="0" borderId="2" pivotButton="0" quotePrefix="0" xfId="0"/>
    <xf numFmtId="0" fontId="0" fillId="0" borderId="3" pivotButton="0" quotePrefix="0" xfId="0"/>
    <xf numFmtId="0" fontId="0" fillId="0" borderId="4" pivotButton="0" quotePrefix="0" xfId="0"/>
    <xf numFmtId="0" fontId="0" fillId="0" borderId="5" pivotButton="0" quotePrefix="0" xfId="0"/>
    <xf numFmtId="0" fontId="0" fillId="0" borderId="6" pivotButton="0" quotePrefix="0" xfId="0"/>
    <xf numFmtId="0" fontId="0" fillId="0" borderId="7" pivotButton="0" quotePrefix="0" xfId="0"/>
    <xf numFmtId="0" fontId="0" fillId="0" borderId="8" pivotButton="0" quotePrefix="0" xfId="0"/>
    <xf numFmtId="0" fontId="2" fillId="0" borderId="0" applyAlignment="1" pivotButton="0" quotePrefix="0" xfId="0">
      <alignment horizontal="left"/>
    </xf>
    <xf numFmtId="0" fontId="0" fillId="0" borderId="0" pivotButton="0" quotePrefix="0" xfId="0"/>
    <xf numFmtId="0" fontId="0" fillId="3" borderId="4" pivotButton="0" quotePrefix="0" xfId="0"/>
    <xf numFmtId="0" fontId="0" fillId="3" borderId="0" pivotButton="0" quotePrefix="0" xfId="0"/>
    <xf numFmtId="0" fontId="0" fillId="3" borderId="0" pivotButton="0" quotePrefix="0" xfId="1"/>
    <xf numFmtId="0" fontId="2" fillId="0" borderId="1" applyAlignment="1" pivotButton="0" quotePrefix="0" xfId="0">
      <alignment horizontal="left"/>
    </xf>
    <xf numFmtId="2" fontId="0" fillId="0" borderId="0" pivotButton="0" quotePrefix="0" xfId="0"/>
    <xf numFmtId="2" fontId="0" fillId="2" borderId="0" pivotButton="0" quotePrefix="0" xfId="0"/>
    <xf numFmtId="0" fontId="0" fillId="0" borderId="0" pivotButton="0" quotePrefix="0" xfId="1"/>
    <xf numFmtId="1" fontId="0" fillId="0" borderId="0" pivotButton="0" quotePrefix="0" xfId="0"/>
    <xf numFmtId="165" fontId="0" fillId="0" borderId="0" pivotButton="0" quotePrefix="0" xfId="0"/>
    <xf numFmtId="166" fontId="0" fillId="0" borderId="0" pivotButton="0" quotePrefix="0" xfId="0"/>
    <xf numFmtId="166" fontId="0" fillId="2" borderId="0" pivotButton="0" quotePrefix="0" xfId="0"/>
    <xf numFmtId="165" fontId="0" fillId="2" borderId="0" pivotButton="0" quotePrefix="0" xfId="0"/>
    <xf numFmtId="167" fontId="0" fillId="0" borderId="0" pivotButton="0" quotePrefix="0" xfId="0"/>
    <xf numFmtId="168" fontId="0" fillId="0" borderId="0" pivotButton="0" quotePrefix="0" xfId="1"/>
    <xf numFmtId="169" fontId="0" fillId="0" borderId="0" pivotButton="0" quotePrefix="0" xfId="0"/>
    <xf numFmtId="169" fontId="0" fillId="0" borderId="0" pivotButton="0" quotePrefix="0" xfId="1"/>
    <xf numFmtId="165" fontId="0" fillId="0" borderId="0" pivotButton="0" quotePrefix="0" xfId="2"/>
    <xf numFmtId="169" fontId="0" fillId="3" borderId="0" pivotButton="0" quotePrefix="0" xfId="1"/>
    <xf numFmtId="165" fontId="0" fillId="3" borderId="0" pivotButton="0" quotePrefix="0" xfId="2"/>
    <xf numFmtId="169" fontId="0" fillId="0" borderId="5" pivotButton="0" quotePrefix="0" xfId="0"/>
    <xf numFmtId="170" fontId="0" fillId="0" borderId="0" pivotButton="0" quotePrefix="0" xfId="1"/>
    <xf numFmtId="169" fontId="0" fillId="2" borderId="0" pivotButton="0" quotePrefix="0" xfId="0"/>
    <xf numFmtId="170" fontId="0" fillId="0" borderId="0" pivotButton="0" quotePrefix="0" xfId="0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  <xf numFmtId="171" fontId="0" fillId="0" borderId="0" pivotButton="0" quotePrefix="0" xfId="1"/>
    <xf numFmtId="171" fontId="0" fillId="0" borderId="0" pivotButton="0" quotePrefix="0" xfId="0"/>
    <xf numFmtId="171" fontId="0" fillId="2" borderId="0" pivotButton="0" quotePrefix="0" xfId="1"/>
    <xf numFmtId="171" fontId="1" fillId="0" borderId="0" pivotButton="0" quotePrefix="0" xfId="1"/>
    <xf numFmtId="171" fontId="0" fillId="2" borderId="7" pivotButton="0" quotePrefix="0" xfId="1"/>
    <xf numFmtId="171" fontId="0" fillId="0" borderId="7" pivotButton="0" quotePrefix="0" xfId="1"/>
    <xf numFmtId="171" fontId="0" fillId="0" borderId="5" pivotButton="0" quotePrefix="0" xfId="0"/>
    <xf numFmtId="171" fontId="0" fillId="3" borderId="0" pivotButton="0" quotePrefix="0" xfId="1"/>
    <xf numFmtId="171" fontId="0" fillId="3" borderId="5" pivotButton="0" quotePrefix="0" xfId="0"/>
    <xf numFmtId="171" fontId="0" fillId="0" borderId="5" pivotButton="0" quotePrefix="0" xfId="1"/>
    <xf numFmtId="172" fontId="0" fillId="0" borderId="0" pivotButton="0" quotePrefix="0" xfId="0"/>
    <xf numFmtId="173" fontId="0" fillId="0" borderId="0" pivotButton="0" quotePrefix="0" xfId="0"/>
    <xf numFmtId="173" fontId="0" fillId="0" borderId="0" pivotButton="0" quotePrefix="0" xfId="1"/>
    <xf numFmtId="174" fontId="0" fillId="0" borderId="0" pivotButton="0" quotePrefix="0" xfId="0"/>
    <xf numFmtId="174" fontId="0" fillId="2" borderId="0" pivotButton="0" quotePrefix="0" xfId="0"/>
    <xf numFmtId="175" fontId="0" fillId="0" borderId="0" pivotButton="0" quotePrefix="0" xfId="1"/>
    <xf numFmtId="175" fontId="0" fillId="0" borderId="0" pivotButton="0" quotePrefix="0" xfId="0"/>
    <xf numFmtId="176" fontId="0" fillId="0" borderId="0" pivotButton="0" quotePrefix="0" xfId="1"/>
  </cellXfs>
  <cellStyles count="3">
    <cellStyle name="Normal" xfId="0" builtinId="0"/>
    <cellStyle name="Monétaire" xfId="1" builtinId="4"/>
    <cellStyle name="Pourcentage" xfId="2" builtinId="5"/>
  </cellStyles>
  <dxfs count="260"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  <dxf>
      <font>
        <condense val="0"/>
        <color rgb="FF9C0006"/>
        <extend val="0"/>
      </font>
      <fill>
        <patternFill>
          <bgColor rgb="FFFFC7CE"/>
        </patternFill>
      </fill>
    </dxf>
    <dxf>
      <font>
        <condense val="0"/>
        <color rgb="FF006100"/>
        <extend val="0"/>
      </font>
      <fill>
        <patternFill>
          <bgColor rgb="FFC6EFCE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worksheet" Target="/xl/worksheets/sheet8.xml" Id="rId8" /><Relationship Type="http://schemas.openxmlformats.org/officeDocument/2006/relationships/worksheet" Target="/xl/worksheets/sheet9.xml" Id="rId9" /><Relationship Type="http://schemas.openxmlformats.org/officeDocument/2006/relationships/worksheet" Target="/xl/worksheets/sheet10.xml" Id="rId10" /><Relationship Type="http://schemas.openxmlformats.org/officeDocument/2006/relationships/worksheet" Target="/xl/worksheets/sheet11.xml" Id="rId11" /><Relationship Type="http://schemas.openxmlformats.org/officeDocument/2006/relationships/worksheet" Target="/xl/worksheets/sheet12.xml" Id="rId12" /><Relationship Type="http://schemas.openxmlformats.org/officeDocument/2006/relationships/worksheet" Target="/xl/worksheets/sheet13.xml" Id="rId13" /><Relationship Type="http://schemas.openxmlformats.org/officeDocument/2006/relationships/worksheet" Target="/xl/worksheets/sheet14.xml" Id="rId14" /><Relationship Type="http://schemas.openxmlformats.org/officeDocument/2006/relationships/worksheet" Target="/xl/worksheets/sheet15.xml" Id="rId15" /><Relationship Type="http://schemas.openxmlformats.org/officeDocument/2006/relationships/worksheet" Target="/xl/worksheets/sheet16.xml" Id="rId16" /><Relationship Type="http://schemas.openxmlformats.org/officeDocument/2006/relationships/worksheet" Target="/xl/worksheets/sheet17.xml" Id="rId17" /><Relationship Type="http://schemas.openxmlformats.org/officeDocument/2006/relationships/worksheet" Target="/xl/worksheets/sheet18.xml" Id="rId18" /><Relationship Type="http://schemas.openxmlformats.org/officeDocument/2006/relationships/worksheet" Target="/xl/worksheets/sheet19.xml" Id="rId19" /><Relationship Type="http://schemas.openxmlformats.org/officeDocument/2006/relationships/worksheet" Target="/xl/worksheets/sheet20.xml" Id="rId20" /><Relationship Type="http://schemas.openxmlformats.org/officeDocument/2006/relationships/worksheet" Target="/xl/worksheets/sheet21.xml" Id="rId21" /><Relationship Type="http://schemas.openxmlformats.org/officeDocument/2006/relationships/worksheet" Target="/xl/worksheets/sheet22.xml" Id="rId22" /><Relationship Type="http://schemas.openxmlformats.org/officeDocument/2006/relationships/worksheet" Target="/xl/worksheets/sheet23.xml" Id="rId23" /><Relationship Type="http://schemas.openxmlformats.org/officeDocument/2006/relationships/worksheet" Target="/xl/worksheets/sheet24.xml" Id="rId24" /><Relationship Type="http://schemas.openxmlformats.org/officeDocument/2006/relationships/worksheet" Target="/xl/worksheets/sheet25.xml" Id="rId25" /><Relationship Type="http://schemas.openxmlformats.org/officeDocument/2006/relationships/worksheet" Target="/xl/worksheets/sheet26.xml" Id="rId26" /><Relationship Type="http://schemas.openxmlformats.org/officeDocument/2006/relationships/worksheet" Target="/xl/worksheets/sheet27.xml" Id="rId27" /><Relationship Type="http://schemas.openxmlformats.org/officeDocument/2006/relationships/worksheet" Target="/xl/worksheets/sheet28.xml" Id="rId28" /><Relationship Type="http://schemas.openxmlformats.org/officeDocument/2006/relationships/worksheet" Target="/xl/worksheets/sheet29.xml" Id="rId29" /><Relationship Type="http://schemas.openxmlformats.org/officeDocument/2006/relationships/worksheet" Target="/xl/worksheets/sheet30.xml" Id="rId30" /><Relationship Type="http://schemas.openxmlformats.org/officeDocument/2006/relationships/worksheet" Target="/xl/worksheets/sheet31.xml" Id="rId31" /><Relationship Type="http://schemas.openxmlformats.org/officeDocument/2006/relationships/worksheet" Target="/xl/worksheets/sheet32.xml" Id="rId32" /><Relationship Type="http://schemas.openxmlformats.org/officeDocument/2006/relationships/worksheet" Target="/xl/worksheets/sheet33.xml" Id="rId33" /><Relationship Type="http://schemas.openxmlformats.org/officeDocument/2006/relationships/worksheet" Target="/xl/worksheets/sheet34.xml" Id="rId34" /><Relationship Type="http://schemas.openxmlformats.org/officeDocument/2006/relationships/worksheet" Target="/xl/worksheets/sheet35.xml" Id="rId35" /><Relationship Type="http://schemas.openxmlformats.org/officeDocument/2006/relationships/styles" Target="styles.xml" Id="rId36" /><Relationship Type="http://schemas.openxmlformats.org/officeDocument/2006/relationships/theme" Target="theme/theme1.xml" Id="rId37" /></Relationships>
</file>

<file path=xl/charts/chart1.xml><?xml version="1.0" encoding="utf-8"?>
<chartSpace xmlns:a="http://schemas.openxmlformats.org/drawingml/2006/main" xmlns="http://schemas.openxmlformats.org/drawingml/2006/chart">
  <chart>
    <plotArea>
      <layout/>
      <lineChart>
        <grouping val="standard"/>
        <ser>
          <idx val="0"/>
          <order val="0"/>
          <tx>
            <strRef>
              <f>DefiCake!$C$31</f>
              <strCache>
                <ptCount val="1"/>
                <pt idx="0">
                  <v>Assets worth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DefiCake!$B$32:$B$340</f>
              <numCache>
                <formatCode>dd/mm/yy;@</formatCode>
                <ptCount val="309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DefiCake!$C$32:$C$308</f>
              <numCache>
                <formatCode>0.00</formatCode>
                <ptCount val="277"/>
                <pt idx="0">
                  <v>235</v>
                </pt>
                <pt idx="1">
                  <v>272.32</v>
                </pt>
                <pt idx="2">
                  <v>259.28</v>
                </pt>
                <pt idx="3">
                  <v>255</v>
                </pt>
                <pt idx="4">
                  <v>251.56</v>
                </pt>
                <pt idx="5">
                  <v>251.63</v>
                </pt>
                <pt idx="6">
                  <v>216.13</v>
                </pt>
                <pt idx="7">
                  <v>232.52</v>
                </pt>
                <pt idx="8">
                  <v>232.35</v>
                </pt>
                <pt idx="9">
                  <v>232.2</v>
                </pt>
                <pt idx="10">
                  <v>228</v>
                </pt>
                <pt idx="11">
                  <v>224.35</v>
                </pt>
                <pt idx="12">
                  <v>219.73</v>
                </pt>
                <pt idx="13">
                  <v>210.32</v>
                </pt>
                <pt idx="14">
                  <v>216</v>
                </pt>
                <pt idx="15">
                  <v>222.58</v>
                </pt>
                <pt idx="16">
                  <v>223.95</v>
                </pt>
                <pt idx="17">
                  <v>233.46</v>
                </pt>
                <pt idx="18">
                  <v>231.2</v>
                </pt>
                <pt idx="19">
                  <v>233</v>
                </pt>
                <pt idx="20">
                  <v>234.81</v>
                </pt>
                <pt idx="21">
                  <v>227.26</v>
                </pt>
                <pt idx="22">
                  <v>224.71</v>
                </pt>
                <pt idx="23">
                  <v>223.77</v>
                </pt>
                <pt idx="24">
                  <v>224.5</v>
                </pt>
                <pt idx="25">
                  <v>225.2</v>
                </pt>
                <pt idx="26">
                  <v>225.91</v>
                </pt>
                <pt idx="27">
                  <v>230</v>
                </pt>
                <pt idx="28">
                  <v>234.54</v>
                </pt>
                <pt idx="29">
                  <v>231.39</v>
                </pt>
                <pt idx="30">
                  <v>207</v>
                </pt>
                <pt idx="31">
                  <v>200</v>
                </pt>
                <pt idx="32">
                  <v>193</v>
                </pt>
                <pt idx="33">
                  <v>189</v>
                </pt>
                <pt idx="34">
                  <v>191</v>
                </pt>
                <pt idx="35">
                  <v>196</v>
                </pt>
                <pt idx="36">
                  <v>207.3</v>
                </pt>
                <pt idx="37">
                  <v>206.2</v>
                </pt>
                <pt idx="38">
                  <v>207.73</v>
                </pt>
                <pt idx="39">
                  <v>210.75</v>
                </pt>
                <pt idx="40">
                  <v>212.98</v>
                </pt>
                <pt idx="41">
                  <v>209</v>
                </pt>
                <pt idx="42">
                  <v>208.18</v>
                </pt>
                <pt idx="43">
                  <v>210</v>
                </pt>
                <pt idx="44">
                  <v>213</v>
                </pt>
                <pt idx="45">
                  <v>181.65</v>
                </pt>
                <pt idx="46">
                  <v>175</v>
                </pt>
                <pt idx="47">
                  <v>167</v>
                </pt>
                <pt idx="48">
                  <v>175</v>
                </pt>
                <pt idx="49">
                  <v>181.45</v>
                </pt>
                <pt idx="50">
                  <v>181</v>
                </pt>
                <pt idx="51">
                  <v>181</v>
                </pt>
                <pt idx="52">
                  <v>181</v>
                </pt>
                <pt idx="53">
                  <v>181</v>
                </pt>
                <pt idx="54">
                  <v>181</v>
                </pt>
                <pt idx="55">
                  <v>181</v>
                </pt>
                <pt idx="56">
                  <v>183</v>
                </pt>
                <pt idx="57">
                  <v>181</v>
                </pt>
                <pt idx="58">
                  <v>180.28</v>
                </pt>
                <pt idx="59">
                  <v>190</v>
                </pt>
                <pt idx="60">
                  <v>202.89</v>
                </pt>
                <pt idx="61">
                  <v>205</v>
                </pt>
                <pt idx="62">
                  <v>226.72</v>
                </pt>
                <pt idx="63">
                  <v>230</v>
                </pt>
                <pt idx="64">
                  <v>250</v>
                </pt>
                <pt idx="65">
                  <v>255</v>
                </pt>
                <pt idx="66">
                  <v>250</v>
                </pt>
                <pt idx="67">
                  <v>245</v>
                </pt>
                <pt idx="68">
                  <v>245</v>
                </pt>
                <pt idx="69">
                  <v>238</v>
                </pt>
                <pt idx="70">
                  <v>250</v>
                </pt>
                <pt idx="71">
                  <v>250</v>
                </pt>
                <pt idx="72">
                  <v>246</v>
                </pt>
                <pt idx="73">
                  <v>241.11</v>
                </pt>
                <pt idx="74">
                  <v>238</v>
                </pt>
                <pt idx="75">
                  <v>234</v>
                </pt>
                <pt idx="76">
                  <v>232</v>
                </pt>
                <pt idx="77">
                  <v>229.63</v>
                </pt>
                <pt idx="78">
                  <v>245</v>
                </pt>
                <pt idx="79">
                  <v>266</v>
                </pt>
                <pt idx="80">
                  <v>326</v>
                </pt>
                <pt idx="81">
                  <v>325.44</v>
                </pt>
                <pt idx="82">
                  <v>323.57</v>
                </pt>
                <pt idx="83">
                  <v>313</v>
                </pt>
                <pt idx="84">
                  <v>307.44</v>
                </pt>
                <pt idx="85">
                  <v>303.8</v>
                </pt>
                <pt idx="86">
                  <v>305.5</v>
                </pt>
                <pt idx="87">
                  <v>308</v>
                </pt>
                <pt idx="88">
                  <v>316</v>
                </pt>
                <pt idx="89">
                  <v>317.5</v>
                </pt>
                <pt idx="90">
                  <v>318.5</v>
                </pt>
                <pt idx="91">
                  <v>215</v>
                </pt>
                <pt idx="92">
                  <v>90</v>
                </pt>
                <pt idx="93">
                  <v>98</v>
                </pt>
                <pt idx="94">
                  <v>99</v>
                </pt>
                <pt idx="95">
                  <v>101.5</v>
                </pt>
                <pt idx="96">
                  <v>95.5</v>
                </pt>
                <pt idx="97">
                  <v>88</v>
                </pt>
                <pt idx="98">
                  <v>85</v>
                </pt>
                <pt idx="99">
                  <v>93.12</v>
                </pt>
                <pt idx="100">
                  <v>105</v>
                </pt>
                <pt idx="101">
                  <v>101</v>
                </pt>
                <pt idx="102">
                  <v>97</v>
                </pt>
                <pt idx="103">
                  <v>97</v>
                </pt>
                <pt idx="104">
                  <v>99</v>
                </pt>
                <pt idx="105">
                  <v>103</v>
                </pt>
                <pt idx="106">
                  <v>107</v>
                </pt>
                <pt idx="107">
                  <v>113</v>
                </pt>
                <pt idx="108">
                  <v>111</v>
                </pt>
                <pt idx="109">
                  <v>118</v>
                </pt>
                <pt idx="110">
                  <v>121</v>
                </pt>
                <pt idx="111">
                  <v>115</v>
                </pt>
                <pt idx="112">
                  <v>104</v>
                </pt>
                <pt idx="113">
                  <v>102</v>
                </pt>
                <pt idx="114">
                  <v>104</v>
                </pt>
                <pt idx="115">
                  <v>103.6</v>
                </pt>
                <pt idx="116">
                  <v>103.7</v>
                </pt>
                <pt idx="117">
                  <v>104.5</v>
                </pt>
                <pt idx="118">
                  <v>98.5</v>
                </pt>
                <pt idx="119">
                  <v>90</v>
                </pt>
                <pt idx="120">
                  <v>94.5</v>
                </pt>
                <pt idx="121">
                  <v>96.3</v>
                </pt>
                <pt idx="122">
                  <v>101.36</v>
                </pt>
                <pt idx="123">
                  <v>97</v>
                </pt>
                <pt idx="124">
                  <v>115</v>
                </pt>
                <pt idx="125">
                  <v>124.2</v>
                </pt>
                <pt idx="126">
                  <v>103</v>
                </pt>
                <pt idx="127">
                  <v>110</v>
                </pt>
                <pt idx="128">
                  <v>101</v>
                </pt>
                <pt idx="129">
                  <v>102.85</v>
                </pt>
                <pt idx="130">
                  <v>100.77</v>
                </pt>
                <pt idx="131">
                  <v>95</v>
                </pt>
                <pt idx="132">
                  <v>91</v>
                </pt>
                <pt idx="133">
                  <v>88</v>
                </pt>
                <pt idx="134">
                  <v>83</v>
                </pt>
                <pt idx="135">
                  <v>80.70999999999989</v>
                </pt>
                <pt idx="136">
                  <v>81.89</v>
                </pt>
                <pt idx="137">
                  <v>82.63</v>
                </pt>
                <pt idx="138">
                  <v>76.62</v>
                </pt>
                <pt idx="139">
                  <v>75.89</v>
                </pt>
                <pt idx="140">
                  <v>80.67</v>
                </pt>
                <pt idx="141">
                  <v>81.16</v>
                </pt>
                <pt idx="142">
                  <v>80.45</v>
                </pt>
                <pt idx="143">
                  <v>82.39</v>
                </pt>
                <pt idx="144">
                  <v>76.61</v>
                </pt>
                <pt idx="145">
                  <v>62.64</v>
                </pt>
                <pt idx="146">
                  <v>63.84</v>
                </pt>
                <pt idx="147">
                  <v>60</v>
                </pt>
                <pt idx="148">
                  <v>60.45</v>
                </pt>
                <pt idx="149">
                  <v>62.6</v>
                </pt>
                <pt idx="150">
                  <v>62.26</v>
                </pt>
                <pt idx="151">
                  <v>63.09</v>
                </pt>
                <pt idx="152">
                  <v>65.38</v>
                </pt>
                <pt idx="153">
                  <v>60.84</v>
                </pt>
                <pt idx="154">
                  <v>60.92</v>
                </pt>
                <pt idx="155">
                  <v>58.87</v>
                </pt>
                <pt idx="156">
                  <v>59.06</v>
                </pt>
                <pt idx="157">
                  <v>60.11</v>
                </pt>
                <pt idx="158">
                  <v>60.45</v>
                </pt>
                <pt idx="159">
                  <v>64.65000000000001</v>
                </pt>
                <pt idx="160">
                  <v>65.84999999999989</v>
                </pt>
                <pt idx="161">
                  <v>71.42</v>
                </pt>
                <pt idx="162">
                  <v>72.02</v>
                </pt>
                <pt idx="163">
                  <v>76.94</v>
                </pt>
                <pt idx="164">
                  <v>77.19</v>
                </pt>
                <pt idx="165">
                  <v>84.2</v>
                </pt>
                <pt idx="166">
                  <v>87.31999999999989</v>
                </pt>
                <pt idx="167">
                  <v>88.52</v>
                </pt>
                <pt idx="168">
                  <v>83.43000000000001</v>
                </pt>
                <pt idx="169">
                  <v>84.14</v>
                </pt>
                <pt idx="170">
                  <v>79.29000000000001</v>
                </pt>
                <pt idx="171">
                  <v>79.7</v>
                </pt>
                <pt idx="172">
                  <v>78.54000000000001</v>
                </pt>
                <pt idx="173">
                  <v>86.18000000000001</v>
                </pt>
                <pt idx="174">
                  <v>87.81</v>
                </pt>
                <pt idx="175">
                  <v>87.89</v>
                </pt>
                <pt idx="176">
                  <v>86.51000000000001</v>
                </pt>
                <pt idx="177">
                  <v>82.41</v>
                </pt>
                <pt idx="178">
                  <v>76.27</v>
                </pt>
                <pt idx="179">
                  <v>74.23</v>
                </pt>
                <pt idx="180">
                  <v>74.02</v>
                </pt>
                <pt idx="181">
                  <v>81.26000000000001</v>
                </pt>
                <pt idx="182">
                  <v>88.56999999999989</v>
                </pt>
                <pt idx="183">
                  <v>89.39</v>
                </pt>
                <pt idx="184">
                  <v>85.04000000000001</v>
                </pt>
                <pt idx="185">
                  <v>86.56999999999989</v>
                </pt>
                <pt idx="186">
                  <v>82.84</v>
                </pt>
                <pt idx="187">
                  <v>83.18000000000001</v>
                </pt>
                <pt idx="188">
                  <v>85.08</v>
                </pt>
                <pt idx="189">
                  <v>86.19</v>
                </pt>
                <pt idx="190">
                  <v>79.84</v>
                </pt>
                <pt idx="191">
                  <v>66.19</v>
                </pt>
                <pt idx="192">
                  <v>64.45</v>
                </pt>
                <pt idx="193">
                  <v>63.78</v>
                </pt>
                <pt idx="194">
                  <v>66.20999999999999</v>
                </pt>
                <pt idx="195">
                  <v>61.33</v>
                </pt>
                <pt idx="196">
                  <v>62.31</v>
                </pt>
                <pt idx="197">
                  <v>59.4</v>
                </pt>
                <pt idx="198">
                  <v>68.67</v>
                </pt>
                <pt idx="199">
                  <v>69.15000000000001</v>
                </pt>
                <pt idx="200">
                  <v>64.76000000000001</v>
                </pt>
              </numCache>
            </numRef>
          </val>
        </ser>
        <ser>
          <idx val="1"/>
          <order val="1"/>
          <tx>
            <strRef>
              <f>DefiCake!$D$31</f>
              <strCache>
                <ptCount val="1"/>
                <pt idx="0">
                  <v>DFI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DefiCake!$B$32:$B$263</f>
              <numCache>
                <formatCode>dd/mm/yy;@</formatCode>
                <ptCount val="232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DefiCake!$D$32:$D$263</f>
              <numCache>
                <formatCode>0.00</formatCode>
                <ptCount val="232"/>
                <pt idx="0">
                  <v>234.6</v>
                </pt>
                <pt idx="1">
                  <v>265.2</v>
                </pt>
                <pt idx="2">
                  <v>244.8</v>
                </pt>
                <pt idx="3">
                  <v>238.68</v>
                </pt>
                <pt idx="4">
                  <v>232.05</v>
                </pt>
                <pt idx="5">
                  <v>228.99</v>
                </pt>
                <pt idx="6">
                  <v>183.6</v>
                </pt>
                <pt idx="7">
                  <v>206.55</v>
                </pt>
                <pt idx="8">
                  <v>204</v>
                </pt>
                <pt idx="9">
                  <v>204</v>
                </pt>
                <pt idx="10">
                  <v>193.8</v>
                </pt>
                <pt idx="11">
                  <v>191.25</v>
                </pt>
                <pt idx="12">
                  <v>184.62</v>
                </pt>
                <pt idx="13">
                  <v>173.91</v>
                </pt>
                <pt idx="14">
                  <v>177.48</v>
                </pt>
                <pt idx="15">
                  <v>181.05</v>
                </pt>
                <pt idx="16">
                  <v>172.38</v>
                </pt>
                <pt idx="17">
                  <v>175.44</v>
                </pt>
                <pt idx="18">
                  <v>175.44</v>
                </pt>
                <pt idx="19">
                  <v>171.87</v>
                </pt>
                <pt idx="20">
                  <v>168.3</v>
                </pt>
                <pt idx="21">
                  <v>173.4</v>
                </pt>
                <pt idx="22">
                  <v>168.81</v>
                </pt>
                <pt idx="23">
                  <v>169.32</v>
                </pt>
                <pt idx="24">
                  <v>169.83</v>
                </pt>
                <pt idx="25">
                  <v>170.34</v>
                </pt>
                <pt idx="26">
                  <v>170.85</v>
                </pt>
                <pt idx="27">
                  <v>175.95</v>
                </pt>
                <pt idx="28">
                  <v>181.56</v>
                </pt>
                <pt idx="29">
                  <v>176.46</v>
                </pt>
                <pt idx="30">
                  <v>155.55</v>
                </pt>
                <pt idx="31">
                  <v>147.9</v>
                </pt>
                <pt idx="32">
                  <v>142.8</v>
                </pt>
                <pt idx="33">
                  <v>137.19</v>
                </pt>
                <pt idx="34">
                  <v>137.7</v>
                </pt>
                <pt idx="35">
                  <v>138.21</v>
                </pt>
                <pt idx="36">
                  <v>150.45</v>
                </pt>
                <pt idx="37">
                  <v>148.92</v>
                </pt>
                <pt idx="38">
                  <v>151.47</v>
                </pt>
                <pt idx="39">
                  <v>153.51</v>
                </pt>
                <pt idx="40">
                  <v>156.57</v>
                </pt>
                <pt idx="41">
                  <v>156.06</v>
                </pt>
                <pt idx="42">
                  <v>153.51</v>
                </pt>
                <pt idx="43">
                  <v>154.53</v>
                </pt>
                <pt idx="44">
                  <v>156.06</v>
                </pt>
                <pt idx="45">
                  <v>135.15</v>
                </pt>
                <pt idx="46">
                  <v>130.05</v>
                </pt>
                <pt idx="47">
                  <v>122.4</v>
                </pt>
                <pt idx="48">
                  <v>122.4</v>
                </pt>
                <pt idx="49">
                  <v>130.05</v>
                </pt>
                <pt idx="50">
                  <v>130.05</v>
                </pt>
                <pt idx="51">
                  <v>130.05</v>
                </pt>
                <pt idx="52">
                  <v>130.05</v>
                </pt>
                <pt idx="53">
                  <v>130.05</v>
                </pt>
                <pt idx="54">
                  <v>129.54</v>
                </pt>
                <pt idx="55">
                  <v>130.05</v>
                </pt>
                <pt idx="56">
                  <v>130.05</v>
                </pt>
                <pt idx="57">
                  <v>127.5</v>
                </pt>
                <pt idx="58">
                  <v>125.46</v>
                </pt>
                <pt idx="59">
                  <v>134.64</v>
                </pt>
                <pt idx="60">
                  <v>138.72</v>
                </pt>
                <pt idx="61">
                  <v>142.8</v>
                </pt>
                <pt idx="62">
                  <v>164.73</v>
                </pt>
                <pt idx="63">
                  <v>167.28</v>
                </pt>
                <pt idx="64">
                  <v>173.4</v>
                </pt>
                <pt idx="65">
                  <v>188.7</v>
                </pt>
                <pt idx="66">
                  <v>183.6</v>
                </pt>
                <pt idx="67">
                  <v>178.5</v>
                </pt>
                <pt idx="68">
                  <v>178.5</v>
                </pt>
                <pt idx="69">
                  <v>173.4</v>
                </pt>
                <pt idx="70">
                  <v>184.11</v>
                </pt>
                <pt idx="71">
                  <v>187.68</v>
                </pt>
                <pt idx="72">
                  <v>186.15</v>
                </pt>
                <pt idx="73">
                  <v>180.54</v>
                </pt>
                <pt idx="74">
                  <v>178.5</v>
                </pt>
                <pt idx="75">
                  <v>173.4</v>
                </pt>
                <pt idx="76">
                  <v>175.44</v>
                </pt>
                <pt idx="77">
                  <v>170.34</v>
                </pt>
                <pt idx="78">
                  <v>175.95</v>
                </pt>
                <pt idx="79">
                  <v>191.25</v>
                </pt>
                <pt idx="80">
                  <v>237.15</v>
                </pt>
                <pt idx="81">
                  <v>233.07</v>
                </pt>
                <pt idx="82">
                  <v>232.05</v>
                </pt>
                <pt idx="83">
                  <v>225.42</v>
                </pt>
                <pt idx="84">
                  <v>222.36</v>
                </pt>
                <pt idx="85">
                  <v>220.83</v>
                </pt>
                <pt idx="86">
                  <v>219.81</v>
                </pt>
                <pt idx="87">
                  <v>220.83</v>
                </pt>
                <pt idx="88">
                  <v>225.42</v>
                </pt>
                <pt idx="89">
                  <v>226.44</v>
                </pt>
                <pt idx="90">
                  <v>226.95</v>
                </pt>
                <pt idx="91">
                  <v>153</v>
                </pt>
                <pt idx="92">
                  <v>51</v>
                </pt>
                <pt idx="93">
                  <v>51</v>
                </pt>
                <pt idx="94">
                  <v>51</v>
                </pt>
                <pt idx="95">
                  <v>51</v>
                </pt>
                <pt idx="96">
                  <v>48.45</v>
                </pt>
                <pt idx="97">
                  <v>45.645</v>
                </pt>
                <pt idx="98">
                  <v>43.35</v>
                </pt>
                <pt idx="99">
                  <v>47.94</v>
                </pt>
                <pt idx="100">
                  <v>54.06</v>
                </pt>
                <pt idx="101">
                  <v>52.02</v>
                </pt>
                <pt idx="102">
                  <v>49.98</v>
                </pt>
                <pt idx="103">
                  <v>49.47</v>
                </pt>
                <pt idx="104">
                  <v>50.49</v>
                </pt>
                <pt idx="105">
                  <v>53.04</v>
                </pt>
                <pt idx="106">
                  <v>55.59</v>
                </pt>
                <pt idx="107">
                  <v>57.63</v>
                </pt>
                <pt idx="108">
                  <v>57.63</v>
                </pt>
                <pt idx="109">
                  <v>60.69</v>
                </pt>
                <pt idx="110">
                  <v>61.2</v>
                </pt>
                <pt idx="111">
                  <v>58.13999999999999</v>
                </pt>
                <pt idx="112">
                  <v>51</v>
                </pt>
                <pt idx="113">
                  <v>48.45</v>
                </pt>
                <pt idx="114">
                  <v>49.47</v>
                </pt>
                <pt idx="115">
                  <v>47.94</v>
                </pt>
                <pt idx="116">
                  <v>48.45</v>
                </pt>
                <pt idx="117">
                  <v>48.45</v>
                </pt>
                <pt idx="118">
                  <v>45.9</v>
                </pt>
                <pt idx="119">
                  <v>42.33</v>
                </pt>
                <pt idx="120">
                  <v>44.37</v>
                </pt>
                <pt idx="121">
                  <v>45.39</v>
                </pt>
                <pt idx="122">
                  <v>47.94</v>
                </pt>
                <pt idx="123">
                  <v>46.92</v>
                </pt>
                <pt idx="124">
                  <v>60.18</v>
                </pt>
                <pt idx="125">
                  <v>65.79000000000001</v>
                </pt>
                <pt idx="126">
                  <v>51.51</v>
                </pt>
                <pt idx="127">
                  <v>54.06</v>
                </pt>
                <pt idx="128">
                  <v>48.45</v>
                </pt>
                <pt idx="129">
                  <v>50.49</v>
                </pt>
                <pt idx="130">
                  <v>48.96</v>
                </pt>
                <pt idx="131">
                  <v>45.39</v>
                </pt>
                <pt idx="132">
                  <v>42.84</v>
                </pt>
                <pt idx="133">
                  <v>40.29</v>
                </pt>
                <pt idx="134">
                  <v>36.72</v>
                </pt>
                <pt idx="135">
                  <v>35.7</v>
                </pt>
                <pt idx="136">
                  <v>35.7</v>
                </pt>
                <pt idx="137">
                  <v>35.7</v>
                </pt>
                <pt idx="138">
                  <v>32.13</v>
                </pt>
                <pt idx="139">
                  <v>32.13</v>
                </pt>
                <pt idx="140">
                  <v>33.15</v>
                </pt>
                <pt idx="141">
                  <v>33.15</v>
                </pt>
                <pt idx="142">
                  <v>33.048</v>
                </pt>
                <pt idx="143">
                  <v>33.558</v>
                </pt>
                <pt idx="144">
                  <v>31.62</v>
                </pt>
                <pt idx="145">
                  <v>24.48</v>
                </pt>
                <pt idx="146">
                  <v>24.48</v>
                </pt>
                <pt idx="147">
                  <v>23.205</v>
                </pt>
                <pt idx="148">
                  <v>23.46</v>
                </pt>
                <pt idx="149">
                  <v>23.97</v>
                </pt>
                <pt idx="150">
                  <v>24.48</v>
                </pt>
                <pt idx="151">
                  <v>24.48</v>
                </pt>
                <pt idx="152">
                  <v>24.99</v>
                </pt>
                <pt idx="153">
                  <v>23.205</v>
                </pt>
                <pt idx="154">
                  <v>23.052</v>
                </pt>
                <pt idx="155">
                  <v>21.42</v>
                </pt>
                <pt idx="156">
                  <v>21.42</v>
                </pt>
                <pt idx="157">
                  <v>21.93</v>
                </pt>
                <pt idx="158">
                  <v>21.93</v>
                </pt>
                <pt idx="159">
                  <v>23.562</v>
                </pt>
                <pt idx="160">
                  <v>23.766</v>
                </pt>
                <pt idx="161">
                  <v>25.5</v>
                </pt>
                <pt idx="162">
                  <v>26.01</v>
                </pt>
                <pt idx="163">
                  <v>27.54</v>
                </pt>
                <pt idx="164">
                  <v>27.387</v>
                </pt>
                <pt idx="165">
                  <v>30.6</v>
                </pt>
                <pt idx="166">
                  <v>32.3595</v>
                </pt>
                <pt idx="167">
                  <v>32.997</v>
                </pt>
                <pt idx="168">
                  <v>30.4011</v>
                </pt>
                <pt idx="169">
                  <v>30.5439</v>
                </pt>
                <pt idx="170">
                  <v>28.713</v>
                </pt>
                <pt idx="171">
                  <v>28.9986</v>
                </pt>
                <pt idx="172">
                  <v>28.2234</v>
                </pt>
                <pt idx="173">
                  <v>30.6</v>
                </pt>
                <pt idx="174">
                  <v>31.4415</v>
                </pt>
                <pt idx="175">
                  <v>31.365</v>
                </pt>
                <pt idx="176">
                  <v>30.8805</v>
                </pt>
                <pt idx="177">
                  <v>29.223</v>
                </pt>
                <pt idx="178">
                  <v>26.3058</v>
                </pt>
                <pt idx="179">
                  <v>25.6326</v>
                </pt>
                <pt idx="180">
                  <v>25.6224</v>
                </pt>
                <pt idx="181">
                  <v>27.642</v>
                </pt>
                <pt idx="182">
                  <v>29.58</v>
                </pt>
                <pt idx="183">
                  <v>29.58</v>
                </pt>
                <pt idx="184">
                  <v>27.948</v>
                </pt>
                <pt idx="185">
                  <v>28.2387</v>
                </pt>
                <pt idx="186">
                  <v>26.3568</v>
                </pt>
                <pt idx="187">
                  <v>25.7601</v>
                </pt>
                <pt idx="188">
                  <v>26.7444</v>
                </pt>
                <pt idx="189">
                  <v>26.7801</v>
                </pt>
                <pt idx="190">
                  <v>24.3015</v>
                </pt>
                <pt idx="191">
                  <v>18.7935</v>
                </pt>
                <pt idx="192">
                  <v>18.1152</v>
                </pt>
                <pt idx="193">
                  <v>17.85</v>
                </pt>
                <pt idx="194">
                  <v>18.411</v>
                </pt>
                <pt idx="195">
                  <v>17.0595</v>
                </pt>
                <pt idx="196">
                  <v>17.136</v>
                </pt>
                <pt idx="197">
                  <v>16.1772</v>
                </pt>
                <pt idx="198">
                  <v>18.3957</v>
                </pt>
                <pt idx="199">
                  <v>18.4875</v>
                </pt>
                <pt idx="200">
                  <v>16.779</v>
                </pt>
              </numCache>
            </numRef>
          </val>
        </ser>
        <ser>
          <idx val="2"/>
          <order val="2"/>
          <tx>
            <strRef>
              <f>DefiCake!$E$31</f>
              <strCache>
                <ptCount val="1"/>
                <pt idx="0">
                  <v>BTC * Coef</v>
                </pt>
              </strCache>
            </strRef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cat>
            <numRef>
              <f>DefiCake!$B$32:$B$245</f>
              <numCache>
                <formatCode>dd/mm/yy;@</formatCode>
                <ptCount val="214"/>
                <pt idx="0">
                  <v>44537</v>
                </pt>
                <pt idx="1">
                  <v>44538</v>
                </pt>
                <pt idx="2">
                  <v>44539</v>
                </pt>
                <pt idx="3">
                  <v>44540</v>
                </pt>
                <pt idx="4">
                  <v>44541</v>
                </pt>
                <pt idx="5">
                  <v>44542</v>
                </pt>
                <pt idx="6">
                  <v>44543</v>
                </pt>
                <pt idx="7">
                  <v>44544</v>
                </pt>
                <pt idx="8">
                  <v>44545</v>
                </pt>
                <pt idx="9">
                  <v>44546</v>
                </pt>
                <pt idx="10">
                  <v>44547</v>
                </pt>
                <pt idx="11">
                  <v>44548</v>
                </pt>
                <pt idx="12">
                  <v>44549</v>
                </pt>
                <pt idx="13">
                  <v>44550</v>
                </pt>
                <pt idx="14">
                  <v>44551</v>
                </pt>
                <pt idx="15">
                  <v>44552</v>
                </pt>
                <pt idx="16">
                  <v>44553</v>
                </pt>
                <pt idx="17">
                  <v>44554</v>
                </pt>
                <pt idx="18">
                  <v>44555</v>
                </pt>
                <pt idx="19">
                  <v>44556</v>
                </pt>
                <pt idx="20">
                  <v>44557</v>
                </pt>
                <pt idx="21">
                  <v>44558</v>
                </pt>
                <pt idx="22">
                  <v>44559</v>
                </pt>
                <pt idx="23">
                  <v>44560</v>
                </pt>
                <pt idx="24">
                  <v>44561</v>
                </pt>
                <pt idx="25">
                  <v>44562</v>
                </pt>
                <pt idx="26">
                  <v>44563</v>
                </pt>
                <pt idx="27">
                  <v>44564</v>
                </pt>
                <pt idx="28">
                  <v>44565</v>
                </pt>
                <pt idx="29">
                  <v>44566</v>
                </pt>
                <pt idx="30">
                  <v>44567</v>
                </pt>
                <pt idx="31">
                  <v>44568</v>
                </pt>
                <pt idx="32">
                  <v>44569</v>
                </pt>
                <pt idx="33">
                  <v>44570</v>
                </pt>
                <pt idx="34">
                  <v>44571</v>
                </pt>
                <pt idx="35">
                  <v>44572</v>
                </pt>
                <pt idx="36">
                  <v>44573</v>
                </pt>
                <pt idx="37">
                  <v>44574</v>
                </pt>
                <pt idx="38">
                  <v>44575</v>
                </pt>
                <pt idx="39">
                  <v>44576</v>
                </pt>
                <pt idx="40">
                  <v>44577</v>
                </pt>
                <pt idx="41">
                  <v>44578</v>
                </pt>
                <pt idx="42">
                  <v>44579</v>
                </pt>
                <pt idx="43">
                  <v>44580</v>
                </pt>
                <pt idx="44">
                  <v>44581</v>
                </pt>
                <pt idx="45">
                  <v>44582</v>
                </pt>
                <pt idx="46">
                  <v>44583</v>
                </pt>
                <pt idx="47">
                  <v>44584</v>
                </pt>
                <pt idx="48">
                  <v>44585</v>
                </pt>
                <pt idx="49">
                  <v>44586</v>
                </pt>
                <pt idx="50">
                  <v>44587</v>
                </pt>
                <pt idx="51">
                  <v>44588</v>
                </pt>
                <pt idx="52">
                  <v>44589</v>
                </pt>
                <pt idx="53">
                  <v>44590</v>
                </pt>
                <pt idx="54">
                  <v>44591</v>
                </pt>
                <pt idx="55">
                  <v>44592</v>
                </pt>
                <pt idx="56">
                  <v>44593</v>
                </pt>
                <pt idx="57">
                  <v>44594</v>
                </pt>
                <pt idx="58">
                  <v>44595</v>
                </pt>
                <pt idx="59">
                  <v>44596</v>
                </pt>
                <pt idx="60">
                  <v>44597</v>
                </pt>
                <pt idx="61">
                  <v>44598</v>
                </pt>
                <pt idx="62">
                  <v>44599</v>
                </pt>
                <pt idx="63">
                  <v>44600</v>
                </pt>
                <pt idx="64">
                  <v>44601</v>
                </pt>
                <pt idx="65">
                  <v>44602</v>
                </pt>
                <pt idx="66">
                  <v>44603</v>
                </pt>
                <pt idx="67">
                  <v>44604</v>
                </pt>
                <pt idx="68">
                  <v>44605</v>
                </pt>
                <pt idx="69">
                  <v>44606</v>
                </pt>
                <pt idx="70">
                  <v>44607</v>
                </pt>
                <pt idx="71">
                  <v>44608</v>
                </pt>
                <pt idx="72">
                  <v>44609</v>
                </pt>
                <pt idx="73">
                  <v>44610</v>
                </pt>
                <pt idx="74">
                  <v>44611</v>
                </pt>
                <pt idx="75">
                  <v>44612</v>
                </pt>
                <pt idx="76">
                  <v>44613</v>
                </pt>
                <pt idx="77">
                  <v>44614</v>
                </pt>
                <pt idx="78">
                  <v>44630</v>
                </pt>
                <pt idx="79">
                  <v>44639</v>
                </pt>
                <pt idx="80">
                  <v>44649</v>
                </pt>
                <pt idx="81">
                  <v>44653</v>
                </pt>
                <pt idx="82">
                  <v>44657</v>
                </pt>
                <pt idx="83">
                  <v>44660</v>
                </pt>
                <pt idx="84">
                  <v>44662</v>
                </pt>
                <pt idx="85">
                  <v>44665</v>
                </pt>
                <pt idx="86">
                  <v>44667</v>
                </pt>
                <pt idx="87">
                  <v>44669</v>
                </pt>
                <pt idx="88">
                  <v>44670</v>
                </pt>
                <pt idx="89">
                  <v>44671</v>
                </pt>
                <pt idx="90">
                  <v>44672</v>
                </pt>
                <pt idx="91">
                  <v>44698</v>
                </pt>
                <pt idx="92">
                  <v>44731</v>
                </pt>
                <pt idx="93">
                  <v>44732</v>
                </pt>
                <pt idx="94">
                  <v>44734</v>
                </pt>
                <pt idx="95">
                  <v>44739</v>
                </pt>
                <pt idx="96">
                  <v>44741</v>
                </pt>
                <pt idx="97">
                  <v>44743</v>
                </pt>
                <pt idx="98">
                  <v>44745</v>
                </pt>
                <pt idx="99">
                  <v>44748</v>
                </pt>
                <pt idx="100">
                  <v>44751</v>
                </pt>
                <pt idx="101">
                  <v>44752</v>
                </pt>
                <pt idx="102">
                  <v>44754</v>
                </pt>
                <pt idx="103">
                  <v>44756</v>
                </pt>
                <pt idx="104">
                  <v>44757</v>
                </pt>
                <pt idx="105">
                  <v>44758</v>
                </pt>
                <pt idx="106">
                  <v>44760</v>
                </pt>
                <pt idx="107">
                  <v>44761</v>
                </pt>
                <pt idx="108">
                  <v>44764</v>
                </pt>
                <pt idx="109">
                  <v>44770</v>
                </pt>
                <pt idx="110">
                  <v>44772</v>
                </pt>
                <pt idx="111">
                  <v>44774</v>
                </pt>
                <pt idx="112">
                  <v>44778</v>
                </pt>
                <pt idx="113">
                  <v>44780</v>
                </pt>
                <pt idx="114">
                  <v>44781</v>
                </pt>
                <pt idx="115">
                  <v>44783</v>
                </pt>
                <pt idx="116">
                  <v>44784</v>
                </pt>
                <pt idx="117">
                  <v>44787</v>
                </pt>
                <pt idx="118">
                  <v>44791</v>
                </pt>
                <pt idx="119">
                  <v>44795</v>
                </pt>
                <pt idx="120">
                  <v>44796</v>
                </pt>
                <pt idx="121">
                  <v>44797</v>
                </pt>
                <pt idx="122">
                  <v>44799</v>
                </pt>
                <pt idx="123">
                  <v>44804</v>
                </pt>
                <pt idx="124">
                  <v>44808</v>
                </pt>
                <pt idx="125">
                  <v>44809</v>
                </pt>
                <pt idx="126">
                  <v>44811</v>
                </pt>
                <pt idx="127">
                  <v>44813</v>
                </pt>
                <pt idx="128">
                  <v>44817</v>
                </pt>
                <pt idx="129">
                  <v>44819</v>
                </pt>
                <pt idx="130">
                  <v>44820</v>
                </pt>
                <pt idx="131">
                  <v>44822</v>
                </pt>
                <pt idx="132">
                  <v>44825</v>
                </pt>
                <pt idx="133">
                  <v>44829</v>
                </pt>
                <pt idx="134">
                  <v>44834</v>
                </pt>
                <pt idx="135">
                  <v>44835</v>
                </pt>
                <pt idx="136">
                  <v>44838</v>
                </pt>
                <pt idx="137">
                  <v>44840</v>
                </pt>
                <pt idx="138">
                  <v>44844</v>
                </pt>
                <pt idx="139">
                  <v>44853</v>
                </pt>
                <pt idx="140">
                  <v>44861</v>
                </pt>
                <pt idx="141">
                  <v>44864</v>
                </pt>
                <pt idx="142">
                  <v>44866</v>
                </pt>
                <pt idx="143">
                  <v>44870</v>
                </pt>
                <pt idx="144">
                  <v>44873</v>
                </pt>
                <pt idx="145">
                  <v>44878</v>
                </pt>
                <pt idx="146">
                  <v>44880</v>
                </pt>
                <pt idx="147">
                  <v>44887</v>
                </pt>
                <pt idx="148">
                  <v>44891</v>
                </pt>
                <pt idx="149">
                  <v>44896</v>
                </pt>
                <pt idx="150">
                  <v>44902</v>
                </pt>
                <pt idx="151">
                  <v>44907</v>
                </pt>
                <pt idx="152">
                  <v>44909</v>
                </pt>
                <pt idx="153">
                  <v>44912</v>
                </pt>
                <pt idx="154">
                  <v>44915</v>
                </pt>
                <pt idx="155">
                  <v>44928</v>
                </pt>
                <pt idx="156">
                  <v>44935</v>
                </pt>
                <pt idx="157">
                  <v>44936</v>
                </pt>
                <pt idx="158">
                  <v>44937</v>
                </pt>
                <pt idx="159">
                  <v>44938</v>
                </pt>
                <pt idx="160">
                  <v>44939</v>
                </pt>
                <pt idx="161">
                  <v>44941</v>
                </pt>
                <pt idx="162">
                  <v>44943</v>
                </pt>
                <pt idx="163">
                  <v>44947</v>
                </pt>
                <pt idx="164">
                  <v>44952</v>
                </pt>
                <pt idx="165">
                  <v>44955</v>
                </pt>
                <pt idx="166">
                  <v>44958</v>
                </pt>
                <pt idx="167">
                  <v>44960</v>
                </pt>
                <pt idx="168">
                  <v>44963</v>
                </pt>
                <pt idx="169">
                  <v>44965</v>
                </pt>
                <pt idx="170">
                  <v>44967</v>
                </pt>
                <pt idx="171">
                  <v>44969</v>
                </pt>
                <pt idx="172">
                  <v>44971</v>
                </pt>
                <pt idx="173">
                  <v>44972</v>
                </pt>
                <pt idx="174">
                  <v>44973</v>
                </pt>
                <pt idx="175">
                  <v>44978</v>
                </pt>
                <pt idx="176">
                  <v>44980</v>
                </pt>
                <pt idx="177">
                  <v>44985</v>
                </pt>
                <pt idx="178">
                  <v>44990</v>
                </pt>
                <pt idx="179">
                  <v>44993</v>
                </pt>
                <pt idx="180">
                  <v>44998</v>
                </pt>
                <pt idx="181">
                  <v>44999</v>
                </pt>
                <pt idx="182">
                  <v>45005</v>
                </pt>
                <pt idx="183">
                  <v>45007</v>
                </pt>
                <pt idx="184">
                  <v>45011</v>
                </pt>
                <pt idx="185">
                  <v>45015</v>
                </pt>
                <pt idx="186">
                  <v>45020</v>
                </pt>
                <pt idx="187">
                  <v>45026</v>
                </pt>
                <pt idx="188">
                  <v>45029</v>
                </pt>
                <pt idx="189">
                  <v>45033</v>
                </pt>
                <pt idx="190">
                  <v>45043</v>
                </pt>
                <pt idx="191">
                  <v>45061</v>
                </pt>
                <pt idx="192">
                  <v>45068</v>
                </pt>
                <pt idx="193">
                  <v>45073</v>
                </pt>
                <pt idx="194">
                  <v>45075</v>
                </pt>
                <pt idx="195">
                  <v>45083</v>
                </pt>
                <pt idx="196">
                  <v>45086</v>
                </pt>
                <pt idx="197">
                  <v>45093</v>
                </pt>
                <pt idx="198">
                  <v>45107</v>
                </pt>
                <pt idx="199">
                  <v>45110</v>
                </pt>
                <pt idx="200">
                  <v>45131</v>
                </pt>
              </numCache>
            </numRef>
          </cat>
          <val>
            <numRef>
              <f>DefiCake!$E$32:$E$245</f>
              <numCache>
                <formatCode>0.00</formatCode>
                <ptCount val="214"/>
                <pt idx="0">
                  <v>234.7417840375587</v>
                </pt>
                <pt idx="1">
                  <v>237.0892018779343</v>
                </pt>
                <pt idx="2">
                  <v>224.4131455399061</v>
                </pt>
                <pt idx="3">
                  <v>226.056338028169</v>
                </pt>
                <pt idx="4">
                  <v>227.6995305164319</v>
                </pt>
                <pt idx="5">
                  <v>235.6807511737089</v>
                </pt>
                <pt idx="6">
                  <v>223.4741784037559</v>
                </pt>
                <pt idx="7">
                  <v>219.0610328638498</v>
                </pt>
                <pt idx="8">
                  <v>221.830985915493</v>
                </pt>
                <pt idx="9">
                  <v>224.5539906103286</v>
                </pt>
                <pt idx="10">
                  <v>220.6572769953052</v>
                </pt>
                <pt idx="11">
                  <v>220.6572769953052</v>
                </pt>
                <pt idx="12">
                  <v>221.2910798122066</v>
                </pt>
                <pt idx="13">
                  <v>214.0845070422535</v>
                </pt>
                <pt idx="14">
                  <v>222.0657276995305</v>
                </pt>
                <pt idx="15">
                  <v>230.0469483568075</v>
                </pt>
                <pt idx="16">
                  <v>239.4366197183099</v>
                </pt>
                <pt idx="17">
                  <v>239.906103286385</v>
                </pt>
                <pt idx="18">
                  <v>237.5586854460094</v>
                </pt>
                <pt idx="19">
                  <v>234.7417840375587</v>
                </pt>
                <pt idx="20">
                  <v>238.0281690140845</v>
                </pt>
                <pt idx="21">
                  <v>225.3521126760564</v>
                </pt>
                <pt idx="22">
                  <v>221.2816901408451</v>
                </pt>
                <pt idx="23">
                  <v>223.0046948356808</v>
                </pt>
                <pt idx="24">
                  <v>222.3004694835681</v>
                </pt>
                <pt idx="25">
                  <v>221.2206572769953</v>
                </pt>
                <pt idx="26">
                  <v>220.6572769953052</v>
                </pt>
                <pt idx="27">
                  <v>219.4835680751174</v>
                </pt>
                <pt idx="28">
                  <v>218.3098591549296</v>
                </pt>
                <pt idx="29">
                  <v>215.0234741784038</v>
                </pt>
                <pt idx="30">
                  <v>204.2253521126761</v>
                </pt>
                <pt idx="31">
                  <v>201.4084507042253</v>
                </pt>
                <pt idx="32">
                  <v>198.5915492957747</v>
                </pt>
                <pt idx="33">
                  <v>196.2441314553991</v>
                </pt>
                <pt idx="34">
                  <v>198.1220657276995</v>
                </pt>
                <pt idx="35">
                  <v>200.9389671361502</v>
                </pt>
                <pt idx="36">
                  <v>204.6948356807512</v>
                </pt>
                <pt idx="37">
                  <v>201.1267605633803</v>
                </pt>
                <pt idx="38">
                  <v>201.8779342723005</v>
                </pt>
                <pt idx="39">
                  <v>203.4272300469484</v>
                </pt>
                <pt idx="40">
                  <v>201.8779342723005</v>
                </pt>
                <pt idx="41">
                  <v>197.6525821596244</v>
                </pt>
                <pt idx="42">
                  <v>197.6525821596244</v>
                </pt>
                <pt idx="43">
                  <v>197.6525821596244</v>
                </pt>
                <pt idx="44">
                  <v>202.8169014084507</v>
                </pt>
                <pt idx="45">
                  <v>173.7089201877934</v>
                </pt>
                <pt idx="46">
                  <v>169.0140845070423</v>
                </pt>
                <pt idx="47">
                  <v>165.2582159624413</v>
                </pt>
                <pt idx="48">
                  <v>169.0140845070423</v>
                </pt>
                <pt idx="49">
                  <v>175.3521126760564</v>
                </pt>
                <pt idx="50">
                  <v>176.9953051643193</v>
                </pt>
                <pt idx="51">
                  <v>176.9953051643193</v>
                </pt>
                <pt idx="52">
                  <v>173.7089201877934</v>
                </pt>
                <pt idx="53">
                  <v>176.9953051643193</v>
                </pt>
                <pt idx="54">
                  <v>178.4037558685446</v>
                </pt>
                <pt idx="55">
                  <v>176.9953051643193</v>
                </pt>
                <pt idx="56">
                  <v>180.7511737089202</v>
                </pt>
                <pt idx="57">
                  <v>173.7089201877934</v>
                </pt>
                <pt idx="58">
                  <v>173.7089201877934</v>
                </pt>
                <pt idx="59">
                  <v>173.7089201877934</v>
                </pt>
                <pt idx="60">
                  <v>187.7934272300469</v>
                </pt>
                <pt idx="61">
                  <v>194.8356807511737</v>
                </pt>
                <pt idx="62">
                  <v>200</v>
                </pt>
                <pt idx="63">
                  <v>200.9389671361502</v>
                </pt>
                <pt idx="64">
                  <v>206.5727699530516</v>
                </pt>
                <pt idx="65">
                  <v>211.2676056338028</v>
                </pt>
                <pt idx="66">
                  <v>204.6948356807512</v>
                </pt>
                <pt idx="67">
                  <v>198.5915492957747</v>
                </pt>
                <pt idx="68">
                  <v>199.5305164319249</v>
                </pt>
                <pt idx="69">
                  <v>197.1830985915493</v>
                </pt>
                <pt idx="70">
                  <v>207.0422535211268</v>
                </pt>
                <pt idx="71">
                  <v>204.2253521126761</v>
                </pt>
                <pt idx="72">
                  <v>197.1830985915493</v>
                </pt>
                <pt idx="73">
                  <v>188.7323943661972</v>
                </pt>
                <pt idx="74">
                  <v>187.7934272300469</v>
                </pt>
                <pt idx="75">
                  <v>179.81220657277</v>
                </pt>
                <pt idx="76">
                  <v>183.0985915492958</v>
                </pt>
                <pt idx="77">
                  <v>178.4037558685446</v>
                </pt>
                <pt idx="78">
                  <v>187.7934272300469</v>
                </pt>
                <pt idx="79">
                  <v>196.7136150234742</v>
                </pt>
                <pt idx="80">
                  <v>223.0046948356808</v>
                </pt>
                <pt idx="81">
                  <v>214.5539906103286</v>
                </pt>
                <pt idx="82">
                  <v>212.6760563380282</v>
                </pt>
                <pt idx="83">
                  <v>199.5305164319249</v>
                </pt>
                <pt idx="84">
                  <v>194.8356807511737</v>
                </pt>
                <pt idx="85">
                  <v>192.4882629107981</v>
                </pt>
                <pt idx="86">
                  <v>190.1408450704225</v>
                </pt>
                <pt idx="87">
                  <v>191.924882629108</v>
                </pt>
                <pt idx="88">
                  <v>194.8356807511737</v>
                </pt>
                <pt idx="89">
                  <v>196.2441314553991</v>
                </pt>
                <pt idx="90">
                  <v>196.2441314553991</v>
                </pt>
                <pt idx="91">
                  <v>140.8450704225352</v>
                </pt>
                <pt idx="92">
                  <v>84.50704225352113</v>
                </pt>
                <pt idx="93">
                  <v>96.24413145539906</v>
                </pt>
                <pt idx="94">
                  <v>97.65258215962442</v>
                </pt>
                <pt idx="95">
                  <v>100.9389671361502</v>
                </pt>
                <pt idx="96">
                  <v>95.02347417840376</v>
                </pt>
                <pt idx="97">
                  <v>89.67136150234742</v>
                </pt>
                <pt idx="98">
                  <v>91.07981220657277</v>
                </pt>
                <pt idx="99">
                  <v>94.83568075117371</v>
                </pt>
                <pt idx="100">
                  <v>100.9389671361502</v>
                </pt>
                <pt idx="101">
                  <v>100.093896713615</v>
                </pt>
                <pt idx="102">
                  <v>95.11737089201878</v>
                </pt>
                <pt idx="103">
                  <v>96.24413145539906</v>
                </pt>
                <pt idx="104">
                  <v>97.65258215962442</v>
                </pt>
                <pt idx="105">
                  <v>99.53051643192488</v>
                </pt>
                <pt idx="106">
                  <v>105.1643192488263</v>
                </pt>
                <pt idx="107">
                  <v>109.3896713615024</v>
                </pt>
                <pt idx="108">
                  <v>107.981220657277</v>
                </pt>
                <pt idx="109">
                  <v>112.2065727699531</v>
                </pt>
                <pt idx="110">
                  <v>115.0234741784038</v>
                </pt>
                <pt idx="111">
                  <v>109.6244131455399</v>
                </pt>
                <pt idx="112">
                  <v>107.0422535211268</v>
                </pt>
                <pt idx="113">
                  <v>108.9201877934272</v>
                </pt>
                <pt idx="114">
                  <v>111.9718309859155</v>
                </pt>
                <pt idx="115">
                  <v>112.6760563380282</v>
                </pt>
                <pt idx="116">
                  <v>113.4741784037559</v>
                </pt>
                <pt idx="117">
                  <v>115.0234741784038</v>
                </pt>
                <pt idx="118">
                  <v>110.3286384976526</v>
                </pt>
                <pt idx="119">
                  <v>98.59154929577466</v>
                </pt>
                <pt idx="120">
                  <v>100.9389671361502</v>
                </pt>
                <pt idx="121">
                  <v>100.9389671361502</v>
                </pt>
                <pt idx="122">
                  <v>101.8779342723005</v>
                </pt>
                <pt idx="123">
                  <v>94.36619718309859</v>
                </pt>
                <pt idx="124">
                  <v>92.95774647887325</v>
                </pt>
                <pt idx="125">
                  <v>93.1924882629108</v>
                </pt>
                <pt idx="126">
                  <v>91.07981220657277</v>
                </pt>
                <pt idx="127">
                  <v>99.06103286384976</v>
                </pt>
                <pt idx="128">
                  <v>97.65258215962442</v>
                </pt>
                <pt idx="129">
                  <v>92.72300469483568</v>
                </pt>
                <pt idx="130">
                  <v>92.95774647887325</v>
                </pt>
                <pt idx="131">
                  <v>92.48826291079813</v>
                </pt>
                <pt idx="132">
                  <v>89.8075117370892</v>
                </pt>
                <pt idx="133">
                  <v>89.2018779342723</v>
                </pt>
                <pt idx="134">
                  <v>91.54929577464789</v>
                </pt>
                <pt idx="135">
                  <v>90.61032863849765</v>
                </pt>
                <pt idx="136">
                  <v>94.35402480898966</v>
                </pt>
                <pt idx="137">
                  <v>95.21237124389999</v>
                </pt>
                <pt idx="138">
                  <v>89.7314315736385</v>
                </pt>
                <pt idx="139">
                  <v>90.14084507042254</v>
                </pt>
                <pt idx="140">
                  <v>96.61971830985915</v>
                </pt>
                <pt idx="141">
                  <v>97.1830985915493</v>
                </pt>
                <pt idx="142">
                  <v>96.39906103286386</v>
                </pt>
                <pt idx="143">
                  <v>99.9530516431925</v>
                </pt>
                <pt idx="144">
                  <v>92.39109451649672</v>
                </pt>
                <pt idx="145">
                  <v>77.69953051643192</v>
                </pt>
                <pt idx="146">
                  <v>78.40375586854461</v>
                </pt>
                <pt idx="147">
                  <v>75.82159624413146</v>
                </pt>
                <pt idx="148">
                  <v>77.30516431924883</v>
                </pt>
                <pt idx="149">
                  <v>80.18779342723005</v>
                </pt>
                <pt idx="150">
                  <v>78.86854460093898</v>
                </pt>
                <pt idx="151">
                  <v>80.56338028169014</v>
                </pt>
                <pt idx="152">
                  <v>83.67136150234742</v>
                </pt>
                <pt idx="153">
                  <v>78.45070422535211</v>
                </pt>
                <pt idx="154">
                  <v>79.06103286384976</v>
                </pt>
                <pt idx="155">
                  <v>78.54460093896714</v>
                </pt>
                <pt idx="156">
                  <v>80.28169014084507</v>
                </pt>
                <pt idx="157">
                  <v>81.07042253521126</v>
                </pt>
                <pt idx="158">
                  <v>82.3943661971831</v>
                </pt>
                <pt idx="159">
                  <v>88.63849765258216</v>
                </pt>
                <pt idx="160">
                  <v>90.84507042253522</v>
                </pt>
                <pt idx="161">
                  <v>98.59154929577466</v>
                </pt>
                <pt idx="162">
                  <v>99.43661971830986</v>
                </pt>
                <pt idx="163">
                  <v>107.3943661971831</v>
                </pt>
                <pt idx="164">
                  <v>107.981220657277</v>
                </pt>
                <pt idx="165">
                  <v>110.3286384976526</v>
                </pt>
                <pt idx="166">
                  <v>109.8591549295775</v>
                </pt>
                <pt idx="167">
                  <v>109.8591549295775</v>
                </pt>
                <pt idx="168">
                  <v>107.8965208707211</v>
                </pt>
                <pt idx="169">
                  <v>108.8542673495944</v>
                </pt>
                <pt idx="170">
                  <v>102.5866617157915</v>
                </pt>
                <pt idx="171">
                  <v>102.2110748613315</v>
                </pt>
                <pt idx="172">
                  <v>102.5779695711634</v>
                </pt>
                <pt idx="173">
                  <v>113.641865517584</v>
                </pt>
                <pt idx="174">
                  <v>116.0204253537653</v>
                </pt>
                <pt idx="175">
                  <v>116.0204253537653</v>
                </pt>
                <pt idx="176">
                  <v>113.8514112692582</v>
                </pt>
                <pt idx="177">
                  <v>109.7199558701972</v>
                </pt>
                <pt idx="178">
                  <v>105.1643192488263</v>
                </pt>
                <pt idx="179">
                  <v>103.7558685446009</v>
                </pt>
                <pt idx="180">
                  <v>103.7558685446009</v>
                </pt>
                <pt idx="181">
                  <v>114.7887323943662</v>
                </pt>
                <pt idx="182">
                  <v>128.169014084507</v>
                </pt>
                <pt idx="183">
                  <v>132.0657276995305</v>
                </pt>
                <pt idx="184">
                  <v>128.9381832885812</v>
                </pt>
                <pt idx="185">
                  <v>134.7456950256704</v>
                </pt>
                <pt idx="186">
                  <v>130.9576216820765</v>
                </pt>
                <pt idx="187">
                  <v>137.1218188812437</v>
                </pt>
                <pt idx="188">
                  <v>142.504154109215</v>
                </pt>
                <pt idx="189">
                  <v>142.5557973017033</v>
                </pt>
                <pt idx="190">
                  <v>135.9154929577465</v>
                </pt>
                <pt idx="191">
                  <v>128.4788732394366</v>
                </pt>
                <pt idx="192">
                  <v>125.8215962441315</v>
                </pt>
                <pt idx="193">
                  <v>124.8826291079812</v>
                </pt>
                <pt idx="194">
                  <v>130.9859154929578</v>
                </pt>
                <pt idx="195">
                  <v>121.6811059778315</v>
                </pt>
                <pt idx="196">
                  <v>125.0707773393338</v>
                </pt>
                <pt idx="197">
                  <v>120.0140845070423</v>
                </pt>
                <pt idx="198">
                  <v>144.0852080111685</v>
                </pt>
                <pt idx="199">
                  <v>143.850466227131</v>
                </pt>
                <pt idx="200">
                  <v>139.6627264033047</v>
                </pt>
              </numCache>
            </numRef>
          </val>
        </ser>
        <marker val="1"/>
        <axId val="74880512"/>
        <axId val="74882432"/>
      </lineChart>
      <dateAx>
        <axId val="74880512"/>
        <scaling>
          <orientation val="minMax"/>
        </scaling>
        <axPos val="b"/>
        <numFmt formatCode="dd/mm/yy;@" sourceLinked="1"/>
        <majorTickMark val="none"/>
        <minorTickMark val="none"/>
        <tickLblPos val="nextTo"/>
        <crossAx val="74882432"/>
        <crosses val="autoZero"/>
        <lblOffset val="100"/>
      </dateAx>
      <valAx>
        <axId val="74882432"/>
        <scaling>
          <orientation val="minMax"/>
        </scaling>
        <axPos val="l"/>
        <majorGridlines/>
        <numFmt formatCode="0.00" sourceLinked="1"/>
        <majorTickMark val="none"/>
        <minorTickMark val="none"/>
        <tickLblPos val="nextTo"/>
        <crossAx val="74880512"/>
        <crosses val="autoZero"/>
        <crossBetween val="between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</col>
      <colOff>347382</colOff>
      <row>3</row>
      <rowOff>156883</rowOff>
    </from>
    <to>
      <col>31</col>
      <colOff>22412</colOff>
      <row>29</row>
      <rowOff>19300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U42"/>
  <sheetViews>
    <sheetView workbookViewId="0">
      <selection activeCell="F41" sqref="F41:G41"/>
    </sheetView>
  </sheetViews>
  <sheetFormatPr baseColWidth="10" defaultColWidth="9.140625" defaultRowHeight="15"/>
  <cols>
    <col width="12" bestFit="1" customWidth="1" style="14" min="3" max="3"/>
    <col width="12.28515625" bestFit="1" customWidth="1" style="14" min="4" max="4"/>
    <col width="10.5703125" bestFit="1" customWidth="1" style="14" min="7" max="7"/>
    <col width="12.42578125" bestFit="1" customWidth="1" style="14" min="9" max="9"/>
    <col width="10.5703125" bestFit="1" customWidth="1" style="14" min="10" max="10"/>
    <col width="12" bestFit="1" customWidth="1" style="14" min="14" max="14"/>
    <col width="11.5703125" bestFit="1" customWidth="1" style="14" min="15" max="15"/>
    <col width="10.5703125" bestFit="1" customWidth="1" style="14" min="19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1945.272890723387</v>
      </c>
      <c r="M3" t="inlineStr">
        <is>
          <t>Objectif :</t>
        </is>
      </c>
      <c r="N3">
        <f>(INDEX(N5:N29,MATCH(MAX(O18,O10),O5:O29,0))/0.9)</f>
        <v/>
      </c>
      <c r="O3" s="57">
        <f>(MAX(O18,O10)*0.85)</f>
        <v/>
      </c>
      <c r="P3" s="23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(B42*J3)</f>
        <v/>
      </c>
      <c r="K4" s="4">
        <f>(J4/D42-1)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0.25</v>
      </c>
      <c r="C5" s="57" t="n">
        <v>4000</v>
      </c>
      <c r="D5" s="23">
        <f>B5*C5</f>
        <v/>
      </c>
      <c r="N5" t="inlineStr">
        <is>
          <t>Qty to Buy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7" t="n">
        <v>4000</v>
      </c>
      <c r="T5" s="23">
        <f>(R5*S5)</f>
        <v/>
      </c>
    </row>
    <row r="6">
      <c r="B6" s="24" t="n">
        <v>0.0005999999999999999</v>
      </c>
      <c r="C6" s="57" t="n">
        <v>3950</v>
      </c>
      <c r="D6" s="23">
        <f>B6*C6</f>
        <v/>
      </c>
      <c r="M6" t="inlineStr">
        <is>
          <t>Objectif :</t>
        </is>
      </c>
      <c r="N6" s="57">
        <f>(MIN(C5,C6,C7,C18:C25)*2)</f>
        <v/>
      </c>
      <c r="O6">
        <f>(INDEX(B5:B25,MATCH(N6/2,C5:C25,0)))</f>
        <v/>
      </c>
      <c r="P6" s="23">
        <f>(N6*O6/2)</f>
        <v/>
      </c>
      <c r="R6" s="24">
        <f>(B6)</f>
        <v/>
      </c>
      <c r="S6" s="57" t="n">
        <v>3950</v>
      </c>
      <c r="T6" s="23">
        <f>(R6*S6)</f>
        <v/>
      </c>
    </row>
    <row r="7">
      <c r="B7" s="24" t="n">
        <v>0.0034</v>
      </c>
      <c r="C7" s="57" t="n">
        <v>3428</v>
      </c>
      <c r="D7" s="23">
        <f>B7*C7</f>
        <v/>
      </c>
      <c r="F7" t="inlineStr">
        <is>
          <t>Moy</t>
        </is>
      </c>
      <c r="G7" s="56">
        <f>(D42/B42)</f>
        <v/>
      </c>
      <c r="R7" s="24">
        <f>(B7)</f>
        <v/>
      </c>
      <c r="S7" s="57" t="n">
        <v>3428</v>
      </c>
      <c r="T7" s="23">
        <f>(R7*S7)</f>
        <v/>
      </c>
    </row>
    <row r="8">
      <c r="B8" s="24" t="n">
        <v>-0.0076</v>
      </c>
      <c r="C8" s="56" t="n">
        <v>3216.89</v>
      </c>
      <c r="D8" s="23">
        <f>B8*C8</f>
        <v/>
      </c>
      <c r="R8" s="24">
        <f>(B11+B10+B9+B8)</f>
        <v/>
      </c>
      <c r="S8" s="56" t="n">
        <v>0</v>
      </c>
      <c r="T8" s="23">
        <f>(D11+D10+D9+D8)</f>
        <v/>
      </c>
    </row>
    <row r="9">
      <c r="B9" s="24" t="n">
        <v>-0.0076</v>
      </c>
      <c r="C9" s="56" t="n">
        <v>3214.67</v>
      </c>
      <c r="D9" s="23">
        <f>B9*C9</f>
        <v/>
      </c>
      <c r="M9" t="inlineStr">
        <is>
          <t>DCA1</t>
        </is>
      </c>
      <c r="N9" t="inlineStr">
        <is>
          <t>Qty to Buy</t>
        </is>
      </c>
      <c r="O9" t="inlineStr">
        <is>
          <t>Token Price</t>
        </is>
      </c>
      <c r="P9" t="inlineStr">
        <is>
          <t>Value</t>
        </is>
      </c>
      <c r="R9" s="24">
        <f>(B12)</f>
        <v/>
      </c>
      <c r="S9" s="56" t="n">
        <v>0</v>
      </c>
      <c r="T9" s="23">
        <f>(R9*S9)</f>
        <v/>
      </c>
    </row>
    <row r="10">
      <c r="B10" s="24" t="n">
        <v>-0.0076</v>
      </c>
      <c r="C10" s="56" t="n">
        <v>3213.16</v>
      </c>
      <c r="D10" s="23">
        <f>B10*C10</f>
        <v/>
      </c>
      <c r="M10" t="inlineStr">
        <is>
          <t>Objectif</t>
        </is>
      </c>
      <c r="N10">
        <f>(-B39)</f>
        <v/>
      </c>
      <c r="O10" s="57">
        <f>(C39)</f>
        <v/>
      </c>
      <c r="P10" s="23">
        <f>(O10*N10)</f>
        <v/>
      </c>
      <c r="Q10" t="inlineStr">
        <is>
          <t>Done</t>
        </is>
      </c>
      <c r="R10" s="24">
        <f>(SUM(B13:B20))</f>
        <v/>
      </c>
      <c r="S10" s="57">
        <f>(T10/R10)</f>
        <v/>
      </c>
      <c r="T10" s="23">
        <f>(SUM(D13:D20))</f>
        <v/>
      </c>
    </row>
    <row r="11">
      <c r="B11" s="24" t="n">
        <v>0.0243</v>
      </c>
      <c r="C11" s="57" t="n">
        <v>3010</v>
      </c>
      <c r="D11" s="23">
        <f>B11*C11</f>
        <v/>
      </c>
      <c r="I11" t="inlineStr">
        <is>
          <t>Objectif</t>
        </is>
      </c>
      <c r="J11" t="n">
        <v>0.6</v>
      </c>
      <c r="N11">
        <f>(2*($R$18+N10)/5-N10)</f>
        <v/>
      </c>
      <c r="O11" s="57">
        <f>($S$18*Params!K16)</f>
        <v/>
      </c>
      <c r="P11" s="23">
        <f>(O11*N11)</f>
        <v/>
      </c>
      <c r="R11" s="24">
        <f>(B21)</f>
        <v/>
      </c>
      <c r="S11" s="57" t="n">
        <v>1895</v>
      </c>
      <c r="T11" s="23">
        <f>(R11*S11)</f>
        <v/>
      </c>
    </row>
    <row r="12">
      <c r="B12" s="25" t="n">
        <v>0.00616639</v>
      </c>
      <c r="C12" s="58" t="n">
        <v>0</v>
      </c>
      <c r="D12" s="26">
        <f>B12*C12</f>
        <v/>
      </c>
      <c r="E12" s="56">
        <f>(B12*J3)</f>
        <v/>
      </c>
      <c r="I12" t="inlineStr">
        <is>
          <t>Difference</t>
        </is>
      </c>
      <c r="J12">
        <f>(J11-B42)</f>
        <v/>
      </c>
      <c r="N12">
        <f>($B$35/5)</f>
        <v/>
      </c>
      <c r="O12" s="57">
        <f>($S$18*Params!K17)</f>
        <v/>
      </c>
      <c r="P12" s="23">
        <f>(O12*N12)</f>
        <v/>
      </c>
      <c r="R12" s="24">
        <f>(B22)</f>
        <v/>
      </c>
      <c r="S12" s="57" t="n">
        <v>1890.15</v>
      </c>
      <c r="T12" s="23">
        <f>(R12*S12)</f>
        <v/>
      </c>
    </row>
    <row r="13">
      <c r="B13" s="24" t="n">
        <v>-0.008</v>
      </c>
      <c r="C13" s="56" t="n">
        <v>2340</v>
      </c>
      <c r="D13" s="23">
        <f>B13*C13</f>
        <v/>
      </c>
      <c r="I13" t="inlineStr">
        <is>
          <t>Diff in $</t>
        </is>
      </c>
      <c r="J13" s="56">
        <f>(J12*J3)</f>
        <v/>
      </c>
      <c r="N13">
        <f>($B$35/5)</f>
        <v/>
      </c>
      <c r="O13" s="57">
        <f>($S$18*Params!K18)</f>
        <v/>
      </c>
      <c r="P13" s="23">
        <f>(O13*N13)</f>
        <v/>
      </c>
      <c r="R13" s="24">
        <f>(B23)</f>
        <v/>
      </c>
      <c r="S13" s="57">
        <f>(T13/R13)</f>
        <v/>
      </c>
      <c r="T13" s="23">
        <f>(82.1)</f>
        <v/>
      </c>
    </row>
    <row r="14">
      <c r="B14" s="24" t="n">
        <v>-0.01</v>
      </c>
      <c r="C14" s="56" t="n">
        <v>2263</v>
      </c>
      <c r="D14" s="23">
        <f>B14*C14</f>
        <v/>
      </c>
      <c r="R14" s="24">
        <f>(B24)</f>
        <v/>
      </c>
      <c r="S14" s="57" t="n">
        <v>1709</v>
      </c>
      <c r="T14" s="23">
        <f>(S14*R14)</f>
        <v/>
      </c>
    </row>
    <row r="15">
      <c r="B15" s="24" t="n">
        <v>-0.008999999999999999</v>
      </c>
      <c r="C15" s="56" t="n">
        <v>2114</v>
      </c>
      <c r="D15" s="23">
        <f>B15*C15</f>
        <v/>
      </c>
      <c r="P15" s="23">
        <f>(SUM(P10:P13))</f>
        <v/>
      </c>
      <c r="R15" s="24">
        <f>(B25)</f>
        <v/>
      </c>
      <c r="S15" s="57" t="n">
        <v>1617.3</v>
      </c>
      <c r="T15" s="23">
        <f>(S15*R15)</f>
        <v/>
      </c>
    </row>
    <row r="16">
      <c r="B16" s="24" t="n">
        <v>-0.008</v>
      </c>
      <c r="C16" s="56" t="n">
        <v>2027.47</v>
      </c>
      <c r="D16" s="23">
        <f>B16*C16</f>
        <v/>
      </c>
      <c r="R16" s="24">
        <f>(SUM(B26:B33))</f>
        <v/>
      </c>
      <c r="S16" s="56" t="n">
        <v>0</v>
      </c>
      <c r="T16" s="23">
        <f>(SUM(D26:D33))</f>
        <v/>
      </c>
    </row>
    <row r="17">
      <c r="B17" s="24" t="n">
        <v>-0.008200000000000001</v>
      </c>
      <c r="C17" s="56" t="n">
        <v>1961</v>
      </c>
      <c r="D17" s="23">
        <f>B17*C17</f>
        <v/>
      </c>
      <c r="M17" t="inlineStr">
        <is>
          <t>DCA2</t>
        </is>
      </c>
      <c r="N17" t="inlineStr">
        <is>
          <t>Qty to Buy</t>
        </is>
      </c>
      <c r="O17" t="inlineStr">
        <is>
          <t>Token Price</t>
        </is>
      </c>
      <c r="P17" t="inlineStr">
        <is>
          <t>Value</t>
        </is>
      </c>
      <c r="R17" s="24">
        <f>(B34)</f>
        <v/>
      </c>
      <c r="S17" s="56">
        <f>(T17/R17)</f>
        <v/>
      </c>
      <c r="T17" s="23" t="n">
        <v>-12.19326523</v>
      </c>
    </row>
    <row r="18">
      <c r="B18" s="24" t="n">
        <v>0.016</v>
      </c>
      <c r="C18" s="57">
        <f>1/0.00048218</f>
        <v/>
      </c>
      <c r="D18" s="23">
        <f>B18*C18</f>
        <v/>
      </c>
      <c r="M18" t="inlineStr">
        <is>
          <t>Objectif</t>
        </is>
      </c>
      <c r="N18">
        <f>(-B38)</f>
        <v/>
      </c>
      <c r="O18" s="57">
        <f>(C38)</f>
        <v/>
      </c>
      <c r="P18" s="23">
        <f>(O18*N18)</f>
        <v/>
      </c>
      <c r="Q18" t="inlineStr">
        <is>
          <t>Done</t>
        </is>
      </c>
      <c r="R18" s="24">
        <f>(B35+B39)</f>
        <v/>
      </c>
      <c r="S18" s="57">
        <f>(T18/R18)</f>
        <v/>
      </c>
      <c r="T18" s="23">
        <f>(D35+1283.68*B39)</f>
        <v/>
      </c>
      <c r="U18" t="inlineStr">
        <is>
          <t>DCA1</t>
        </is>
      </c>
    </row>
    <row r="19">
      <c r="B19" s="24" t="n">
        <v>0.012</v>
      </c>
      <c r="C19" s="57">
        <f>1/0.0008564</f>
        <v/>
      </c>
      <c r="D19" s="23">
        <f>B19*C19</f>
        <v/>
      </c>
      <c r="N19">
        <f>(2*($R$19+N18)/5-N18)</f>
        <v/>
      </c>
      <c r="O19" s="57">
        <f>($S$19*Params!K16)</f>
        <v/>
      </c>
      <c r="P19" s="23">
        <f>(O19*N19)</f>
        <v/>
      </c>
      <c r="R19" s="24">
        <f>(B36+B38)</f>
        <v/>
      </c>
      <c r="S19" s="57">
        <f>(T19/R19)</f>
        <v/>
      </c>
      <c r="T19" s="23">
        <f>(D36+1269.75*B38)</f>
        <v/>
      </c>
      <c r="U19" t="inlineStr">
        <is>
          <t>DCA2</t>
        </is>
      </c>
    </row>
    <row r="20">
      <c r="B20" s="24" t="n">
        <v>0.03210429</v>
      </c>
      <c r="C20" s="57">
        <f>D20/B20</f>
        <v/>
      </c>
      <c r="D20" s="23" t="n">
        <v>50</v>
      </c>
      <c r="N20">
        <f>($B$36/5)</f>
        <v/>
      </c>
      <c r="O20" s="57">
        <f>($S$19*Params!K17)</f>
        <v/>
      </c>
      <c r="P20" s="23">
        <f>(O20*N20)</f>
        <v/>
      </c>
      <c r="R20" s="24">
        <f>(B37)</f>
        <v/>
      </c>
      <c r="S20" s="57">
        <f>(C37)</f>
        <v/>
      </c>
      <c r="T20" s="23">
        <f>(D37)</f>
        <v/>
      </c>
    </row>
    <row r="21">
      <c r="B21" s="24" t="n">
        <v>0.01</v>
      </c>
      <c r="C21" s="57" t="n">
        <v>1895</v>
      </c>
      <c r="D21" s="23">
        <f>B21*C21</f>
        <v/>
      </c>
      <c r="N21">
        <f>($B$36/5)</f>
        <v/>
      </c>
      <c r="O21" s="57">
        <f>($S$19*Params!K18)</f>
        <v/>
      </c>
      <c r="P21" s="23">
        <f>(O21*N21)</f>
        <v/>
      </c>
      <c r="R21" s="24">
        <f>(B38-B38)</f>
        <v/>
      </c>
      <c r="S21" s="56" t="n">
        <v>0</v>
      </c>
      <c r="T21" s="23">
        <f>(1269.75*-B38+D38)</f>
        <v/>
      </c>
      <c r="U21" t="inlineStr">
        <is>
          <t>DCA2 1/5</t>
        </is>
      </c>
    </row>
    <row r="22">
      <c r="B22" s="24" t="n">
        <v>0.01</v>
      </c>
      <c r="C22" s="57" t="n">
        <v>1890.15</v>
      </c>
      <c r="D22" s="23">
        <f>B22*C22</f>
        <v/>
      </c>
      <c r="R22" s="24">
        <f>(B39-B39)</f>
        <v/>
      </c>
      <c r="S22" s="56" t="n">
        <v>0</v>
      </c>
      <c r="T22" s="23">
        <f>(1283.68*-B39+D39)</f>
        <v/>
      </c>
      <c r="U22" t="inlineStr">
        <is>
          <t>DCA1 1/5</t>
        </is>
      </c>
    </row>
    <row r="23">
      <c r="B23" s="24">
        <f>0.05-0.00005</f>
        <v/>
      </c>
      <c r="C23" s="57">
        <f>D23/B23</f>
        <v/>
      </c>
      <c r="D23" s="23">
        <f>82.1</f>
        <v/>
      </c>
      <c r="P23" s="23">
        <f>(SUM(P18:P21))</f>
        <v/>
      </c>
      <c r="R23" s="24">
        <f>(B40)</f>
        <v/>
      </c>
      <c r="S23" s="57">
        <f>(T23/R23)</f>
        <v/>
      </c>
      <c r="T23" s="23">
        <f>(D40)</f>
        <v/>
      </c>
      <c r="U23" t="inlineStr">
        <is>
          <t>DCA3</t>
        </is>
      </c>
    </row>
    <row r="24">
      <c r="B24" s="24" t="n">
        <v>0.01</v>
      </c>
      <c r="C24" s="57" t="n">
        <v>1709</v>
      </c>
      <c r="D24" s="23">
        <f>C24*B24</f>
        <v/>
      </c>
    </row>
    <row r="25">
      <c r="B25" s="24" t="n">
        <v>0.01</v>
      </c>
      <c r="C25" s="57" t="n">
        <v>1617.3</v>
      </c>
      <c r="D25" s="23">
        <f>(C25*B25)</f>
        <v/>
      </c>
      <c r="N25" t="inlineStr">
        <is>
          <t>Qty to Buy</t>
        </is>
      </c>
      <c r="O25" t="inlineStr">
        <is>
          <t>Token Price</t>
        </is>
      </c>
      <c r="P25" t="inlineStr">
        <is>
          <t>Value</t>
        </is>
      </c>
    </row>
    <row r="26">
      <c r="B26" s="24" t="n">
        <v>-0.01</v>
      </c>
      <c r="C26" s="56" t="n">
        <v>1530</v>
      </c>
      <c r="D26" s="23">
        <f>(C26*B26)</f>
        <v/>
      </c>
      <c r="M26" t="inlineStr">
        <is>
          <t>Objectif</t>
        </is>
      </c>
      <c r="N26" s="24">
        <f>($R$20/5)</f>
        <v/>
      </c>
      <c r="O26" s="57">
        <f>($S$20*Params!K15)</f>
        <v/>
      </c>
      <c r="P26" s="23">
        <f>(O26*N26)</f>
        <v/>
      </c>
    </row>
    <row r="27">
      <c r="B27" s="24" t="n">
        <v>0.01</v>
      </c>
      <c r="C27" s="57" t="n">
        <v>1500</v>
      </c>
      <c r="D27" s="23">
        <f>(C27*B27)</f>
        <v/>
      </c>
      <c r="N27" s="24">
        <f>($R$20/5)</f>
        <v/>
      </c>
      <c r="O27" s="57">
        <f>($S$20*Params!K16)</f>
        <v/>
      </c>
      <c r="P27" s="23">
        <f>(O27*N27)</f>
        <v/>
      </c>
    </row>
    <row r="28">
      <c r="B28" s="24" t="n">
        <v>-0.01</v>
      </c>
      <c r="C28" s="56">
        <f>(D28/B28)</f>
        <v/>
      </c>
      <c r="D28" s="23" t="n">
        <v>-14.43</v>
      </c>
      <c r="N28" s="24">
        <f>($R$20/5)</f>
        <v/>
      </c>
      <c r="O28" s="57">
        <f>($S$20*Params!K17)</f>
        <v/>
      </c>
      <c r="P28" s="23">
        <f>(O28*N28)</f>
        <v/>
      </c>
    </row>
    <row r="29">
      <c r="B29" s="24" t="n">
        <v>0.01</v>
      </c>
      <c r="C29" s="57" t="n">
        <v>1428.89</v>
      </c>
      <c r="D29" s="23">
        <f>(C29*B29)</f>
        <v/>
      </c>
      <c r="N29" s="24">
        <f>($R$20/5)</f>
        <v/>
      </c>
      <c r="O29" s="57">
        <f>($S$20*Params!K18)</f>
        <v/>
      </c>
      <c r="P29" s="23">
        <f>(O29*N29)</f>
        <v/>
      </c>
    </row>
    <row r="30">
      <c r="B30" s="24" t="n">
        <v>-0.01</v>
      </c>
      <c r="C30" s="56" t="n">
        <v>1402.5</v>
      </c>
      <c r="D30" s="23">
        <f>(C30*B30)</f>
        <v/>
      </c>
    </row>
    <row r="31">
      <c r="B31" s="24" t="n">
        <v>0.01</v>
      </c>
      <c r="C31" s="57" t="n">
        <v>1372</v>
      </c>
      <c r="D31" s="23">
        <f>(C31*B31)</f>
        <v/>
      </c>
      <c r="P31" s="23">
        <f>(SUM(P26:P29))</f>
        <v/>
      </c>
    </row>
    <row r="32">
      <c r="B32" s="24" t="n">
        <v>-0.01</v>
      </c>
      <c r="C32" s="56" t="n">
        <v>1286.66</v>
      </c>
      <c r="D32" s="23">
        <f>(C32*B32)</f>
        <v/>
      </c>
      <c r="R32">
        <f>(SUM(R5:R31))</f>
        <v/>
      </c>
      <c r="T32" s="23">
        <f>(SUM(T5:T31))</f>
        <v/>
      </c>
    </row>
    <row r="33">
      <c r="B33" s="24" t="n">
        <v>0.01</v>
      </c>
      <c r="C33" s="57" t="n">
        <v>1250</v>
      </c>
      <c r="D33" s="23">
        <f>(C33*B33)</f>
        <v/>
      </c>
      <c r="M33" t="inlineStr">
        <is>
          <t>DCA3</t>
        </is>
      </c>
      <c r="N33" t="inlineStr">
        <is>
          <t>Qty to Buy</t>
        </is>
      </c>
      <c r="O33" t="inlineStr">
        <is>
          <t>Token Price</t>
        </is>
      </c>
      <c r="P33" t="inlineStr">
        <is>
          <t>Value</t>
        </is>
      </c>
    </row>
    <row r="34">
      <c r="B34" s="24" t="n">
        <v>-0.01</v>
      </c>
      <c r="C34" s="56">
        <f>(D34/B34)</f>
        <v/>
      </c>
      <c r="D34" s="23" t="n">
        <v>-12.19326523</v>
      </c>
      <c r="M34" t="inlineStr">
        <is>
          <t>Objectif</t>
        </is>
      </c>
      <c r="N34">
        <f>($R$23/5)</f>
        <v/>
      </c>
      <c r="O34" s="57">
        <f>($S$23*Params!K15)</f>
        <v/>
      </c>
      <c r="P34" s="23">
        <f>(O34*N34)</f>
        <v/>
      </c>
    </row>
    <row r="35">
      <c r="B35" s="24" t="n">
        <v>0.10758759</v>
      </c>
      <c r="C35" s="57">
        <f>(D35/B35)</f>
        <v/>
      </c>
      <c r="D35" s="23" t="n">
        <v>175.68</v>
      </c>
      <c r="E35" t="inlineStr">
        <is>
          <t>DCA1</t>
        </is>
      </c>
      <c r="N35">
        <f>($R$23/5)</f>
        <v/>
      </c>
      <c r="O35" s="57">
        <f>($S$23*Params!K16)</f>
        <v/>
      </c>
      <c r="P35" s="23">
        <f>(O35*N35)</f>
        <v/>
      </c>
    </row>
    <row r="36">
      <c r="B36" s="24" t="n">
        <v>0.02209742</v>
      </c>
      <c r="C36" s="57">
        <f>(D36/B36)</f>
        <v/>
      </c>
      <c r="D36" s="23" t="n">
        <v>37.1</v>
      </c>
      <c r="E36" t="inlineStr">
        <is>
          <t>DCA2</t>
        </is>
      </c>
      <c r="N36">
        <f>($R$23/5)</f>
        <v/>
      </c>
      <c r="O36" s="57">
        <f>($S$23*Params!K17)</f>
        <v/>
      </c>
      <c r="P36" s="23">
        <f>(O36*N36)</f>
        <v/>
      </c>
    </row>
    <row r="37">
      <c r="B37" s="24" t="n">
        <v>0.00041228</v>
      </c>
      <c r="C37" s="57">
        <f>(D37/B37)</f>
        <v/>
      </c>
      <c r="D37" s="23" t="n">
        <v>0.5</v>
      </c>
      <c r="N37">
        <f>($R$23/5)</f>
        <v/>
      </c>
      <c r="O37" s="57">
        <f>($S$23*Params!K18)</f>
        <v/>
      </c>
      <c r="P37" s="23">
        <f>(O37*N37)</f>
        <v/>
      </c>
    </row>
    <row r="38">
      <c r="B38" s="24">
        <f>(-0.000705)</f>
        <v/>
      </c>
      <c r="C38" s="56" t="n">
        <v>1605</v>
      </c>
      <c r="D38" s="23">
        <f>(C38*B38)</f>
        <v/>
      </c>
    </row>
    <row r="39">
      <c r="B39" s="24">
        <f>(-0.00535-B38)</f>
        <v/>
      </c>
      <c r="C39" s="56" t="n">
        <v>1605</v>
      </c>
      <c r="D39" s="23">
        <f>(C39*B39)</f>
        <v/>
      </c>
      <c r="P39" s="23">
        <f>(SUM(P34:P37))</f>
        <v/>
      </c>
    </row>
    <row r="40">
      <c r="B40" s="24" t="n">
        <v>0.05015091</v>
      </c>
      <c r="C40" s="57">
        <f>(D40/B40)</f>
        <v/>
      </c>
      <c r="D40" s="23" t="n">
        <v>91.25</v>
      </c>
      <c r="E40" t="inlineStr">
        <is>
          <t>DCA3</t>
        </is>
      </c>
    </row>
    <row r="41">
      <c r="F41" t="inlineStr">
        <is>
          <t>Moy</t>
        </is>
      </c>
      <c r="G41" s="57">
        <f>D42/B42</f>
        <v/>
      </c>
    </row>
    <row r="42">
      <c r="B42">
        <f>(SUM(B5:B41))</f>
        <v/>
      </c>
      <c r="D42" s="23">
        <f>(SUM(D5:D41))</f>
        <v/>
      </c>
    </row>
  </sheetData>
  <conditionalFormatting sqref="C5:C7 C11 C18:C25 C27 C29 C31 C33 C35:C37 C40 N6 O11:O13 O19:O21 O26:O29 O34:O37 S5:S7 S10:S15 S18:S20 S23">
    <cfRule type="cellIs" priority="37" operator="lessThan" dxfId="1">
      <formula>$J$3</formula>
    </cfRule>
    <cfRule type="cellIs" priority="38" operator="greaterThan" dxfId="0">
      <formula>$J$3</formula>
    </cfRule>
  </conditionalFormatting>
  <conditionalFormatting sqref="G41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1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1.345976383066207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11.56542788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0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36" t="n">
        <v>0.56770484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(SUM(R5:R7)/5)</f>
        <v/>
      </c>
      <c r="O6" s="56">
        <f>($C$5*Params!K8)</f>
        <v/>
      </c>
      <c r="P6" s="56">
        <f>(O6*N6)</f>
        <v/>
      </c>
      <c r="R6" s="29">
        <f>(B5)</f>
        <v/>
      </c>
      <c r="S6" s="56">
        <f>(T6/R6)</f>
        <v/>
      </c>
      <c r="T6" s="56">
        <f>(D5)</f>
        <v/>
      </c>
      <c r="U6" t="inlineStr">
        <is>
          <t>DCA2</t>
        </is>
      </c>
    </row>
    <row r="7">
      <c r="B7" s="29" t="n">
        <v>-0.2273</v>
      </c>
      <c r="C7" s="56">
        <f>(D7/B7)</f>
        <v/>
      </c>
      <c r="D7" s="56" t="n">
        <v>-1.125135</v>
      </c>
      <c r="N7" s="29">
        <f>(SUM(R5:R7)/5)</f>
        <v/>
      </c>
      <c r="O7" s="56">
        <f>($C$5*Params!K9)</f>
        <v/>
      </c>
      <c r="P7" s="56">
        <f>(O7*N7)</f>
        <v/>
      </c>
      <c r="R7" s="29">
        <f>(SUM(B7:B12))</f>
        <v/>
      </c>
      <c r="S7" s="56" t="n">
        <v>0</v>
      </c>
      <c r="T7" s="56">
        <f>(SUM(D7:D12))</f>
        <v/>
      </c>
      <c r="U7" s="57">
        <f>-T7+R7*J3</f>
        <v/>
      </c>
    </row>
    <row r="8">
      <c r="B8" s="29" t="n">
        <v>-0.305</v>
      </c>
      <c r="C8" s="56">
        <f>(D8/B8)</f>
        <v/>
      </c>
      <c r="D8" s="56" t="n">
        <v>-1.91101378</v>
      </c>
      <c r="N8" s="29">
        <f>(SUM(R5:R7)/5)</f>
        <v/>
      </c>
      <c r="O8" s="56">
        <f>($C$5*Params!K10)</f>
        <v/>
      </c>
      <c r="P8" s="56">
        <f>(O8*N8)</f>
        <v/>
      </c>
    </row>
    <row r="9">
      <c r="B9" s="29" t="n">
        <v>0.34203371</v>
      </c>
      <c r="C9" s="56">
        <f>(D9/B9)</f>
        <v/>
      </c>
      <c r="D9" s="56" t="n">
        <v>1.8</v>
      </c>
      <c r="N9" s="29">
        <f>(SUM(R5:R7)/5)</f>
        <v/>
      </c>
      <c r="O9" s="56">
        <f>($C$5*Params!K11)</f>
        <v/>
      </c>
      <c r="P9" s="56">
        <f>(O9*N9)</f>
        <v/>
      </c>
    </row>
    <row r="10">
      <c r="B10" s="29" t="n">
        <v>0.25620803</v>
      </c>
      <c r="C10" s="56">
        <f>(D10/B10)</f>
        <v/>
      </c>
      <c r="D10" s="56" t="n">
        <v>1.06</v>
      </c>
    </row>
    <row r="11">
      <c r="B11" s="29" t="n">
        <v>-0.4</v>
      </c>
      <c r="C11" s="56">
        <f>(D11/B11)</f>
        <v/>
      </c>
      <c r="D11" s="56" t="n">
        <v>-1.66251396</v>
      </c>
      <c r="P11" s="56">
        <f>(SUM(P6:P9))</f>
        <v/>
      </c>
    </row>
    <row r="12">
      <c r="B12" s="29" t="n">
        <v>0.4</v>
      </c>
      <c r="C12" s="56">
        <f>(D12/B12)</f>
        <v/>
      </c>
      <c r="D12" s="56">
        <f>(1.64908115)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  <c r="R14" s="29">
        <f>(SUM(R5:R13))</f>
        <v/>
      </c>
      <c r="T14" s="56">
        <f>(SUM(T5:T13))</f>
        <v/>
      </c>
    </row>
    <row r="15"/>
    <row r="16"/>
    <row r="17"/>
    <row r="18"/>
    <row r="19"/>
    <row r="20"/>
    <row r="21"/>
    <row r="22">
      <c r="D22" s="29" t="n"/>
    </row>
  </sheetData>
  <conditionalFormatting sqref="C5 C7:C12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6:S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1.xml><?xml version="1.0" encoding="utf-8"?>
<worksheet xmlns="http://schemas.openxmlformats.org/spreadsheetml/2006/main">
  <sheetPr>
    <outlinePr summaryBelow="1" summaryRight="1"/>
    <pageSetUpPr/>
  </sheetPr>
  <dimension ref="B1:P14"/>
  <sheetViews>
    <sheetView workbookViewId="0">
      <selection activeCell="B8" sqref="B8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8.292744573173417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</row>
    <row r="5">
      <c r="B5" s="29" t="n">
        <v>1.11</v>
      </c>
      <c r="C5" s="56">
        <f>(D5/B5)</f>
        <v/>
      </c>
      <c r="D5" s="56" t="n">
        <v>10.93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9" t="n">
        <v>0.08793607000000001</v>
      </c>
      <c r="C6" s="56" t="n">
        <v>0</v>
      </c>
      <c r="D6" s="56">
        <f>(B6*C6)</f>
        <v/>
      </c>
      <c r="E6" s="56">
        <f>(B6*J3)</f>
        <v/>
      </c>
      <c r="M6" t="inlineStr">
        <is>
          <t>Objectif</t>
        </is>
      </c>
      <c r="N6" s="1">
        <f>(SUM($B$5:$B$7)/5)</f>
        <v/>
      </c>
      <c r="O6" s="56">
        <f>($C$5*Params!K8)</f>
        <v/>
      </c>
      <c r="P6" s="56">
        <f>(O6*N6)</f>
        <v/>
      </c>
    </row>
    <row r="7">
      <c r="B7" s="36" t="n">
        <v>0.02364975</v>
      </c>
      <c r="C7" s="58" t="n">
        <v>0</v>
      </c>
      <c r="D7" s="26">
        <f>(C7*B7)</f>
        <v/>
      </c>
      <c r="E7" s="56">
        <f>(B7*J4)</f>
        <v/>
      </c>
      <c r="N7" s="1">
        <f>(SUM($B$5:$B$7)/5)</f>
        <v/>
      </c>
      <c r="O7" s="56">
        <f>($C$5*Params!K9)</f>
        <v/>
      </c>
      <c r="P7" s="56">
        <f>(O7*N7)</f>
        <v/>
      </c>
    </row>
    <row r="8">
      <c r="N8" s="1">
        <f>(SUM($B$5:$B$7)/5)</f>
        <v/>
      </c>
      <c r="O8" s="56">
        <f>($C$5*Params!K10)</f>
        <v/>
      </c>
      <c r="P8" s="56">
        <f>(O8*N8)</f>
        <v/>
      </c>
    </row>
    <row r="9">
      <c r="N9" s="1">
        <f>(SUM($B$5:$B$7)/5)</f>
        <v/>
      </c>
      <c r="O9" s="56">
        <f>($C$5*Params!K11)</f>
        <v/>
      </c>
      <c r="P9" s="56">
        <f>(O9*N9)</f>
        <v/>
      </c>
    </row>
    <row r="10"/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2.xml><?xml version="1.0" encoding="utf-8"?>
<worksheet xmlns="http://schemas.openxmlformats.org/spreadsheetml/2006/main">
  <sheetPr>
    <outlinePr summaryBelow="1" summaryRight="1"/>
    <pageSetUpPr/>
  </sheetPr>
  <dimension ref="B1:V21"/>
  <sheetViews>
    <sheetView workbookViewId="0">
      <selection activeCell="I41" sqref="I41"/>
    </sheetView>
  </sheetViews>
  <sheetFormatPr baseColWidth="10" defaultColWidth="9.140625" defaultRowHeight="15"/>
  <cols>
    <col width="10.28515625" bestFit="1" customWidth="1" style="14" min="4" max="4"/>
    <col width="9.140625" customWidth="1" style="14" min="5" max="5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5703125" bestFit="1" customWidth="1" style="14" min="18" max="18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19.11852600699664</v>
      </c>
      <c r="M3" t="inlineStr">
        <is>
          <t>Objectif :</t>
        </is>
      </c>
      <c r="N3" s="24">
        <f>(INDEX(N5:N19,MATCH(MAX(O16,O6),O5:O19,0))/0.9)</f>
        <v/>
      </c>
      <c r="O3" s="57">
        <f>(MAX(O16,O6)*0.85)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2.45134387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 s="56">
        <f>(R5*J3)</f>
        <v/>
      </c>
    </row>
    <row r="6">
      <c r="B6" s="25" t="n">
        <v>0.01512128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($B$5+$R$7)/5</f>
        <v/>
      </c>
      <c r="O6" s="56">
        <f>($C$5*Params!K8)</f>
        <v/>
      </c>
      <c r="P6" s="56">
        <f>(O6*N6)</f>
        <v/>
      </c>
      <c r="Q6" t="inlineStr">
        <is>
          <t>Done</t>
        </is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-0.0717</v>
      </c>
      <c r="C7" s="56">
        <f>(D7/B7)</f>
        <v/>
      </c>
      <c r="D7" s="56" t="n">
        <v>-1.132143</v>
      </c>
      <c r="N7" s="24">
        <f>($B$5+$R$7)/5</f>
        <v/>
      </c>
      <c r="O7" s="56">
        <f>($C$5*Params!K9)</f>
        <v/>
      </c>
      <c r="P7" s="56">
        <f>(O7*N7)</f>
        <v/>
      </c>
      <c r="R7" s="24">
        <f>(B7+B11+B8+B9)</f>
        <v/>
      </c>
      <c r="S7" s="56" t="n">
        <v>0</v>
      </c>
      <c r="T7" s="56">
        <f>D7+D11+D8+D9</f>
        <v/>
      </c>
      <c r="U7" t="inlineStr">
        <is>
          <t>DCA2 *</t>
        </is>
      </c>
      <c r="V7" s="57">
        <f>-T7+R7*J3</f>
        <v/>
      </c>
    </row>
    <row r="8">
      <c r="B8" t="n">
        <v>-0.114356</v>
      </c>
      <c r="C8" s="56">
        <f>(D8/B8)</f>
        <v/>
      </c>
      <c r="D8" s="56" t="n">
        <v>-2.35151189</v>
      </c>
      <c r="N8" s="24">
        <f>($B$5+$R$7)/5</f>
        <v/>
      </c>
      <c r="O8" s="56">
        <f>($C$5*Params!K10)</f>
        <v/>
      </c>
      <c r="P8" s="56">
        <f>(O8*N8)</f>
        <v/>
      </c>
      <c r="R8" s="24">
        <f>(B10)</f>
        <v/>
      </c>
      <c r="S8" s="56">
        <f>(T8/R8)</f>
        <v/>
      </c>
      <c r="T8" s="56">
        <f>(D10)</f>
        <v/>
      </c>
      <c r="U8">
        <f>E10</f>
        <v/>
      </c>
    </row>
    <row r="9">
      <c r="B9" s="24" t="n">
        <v>0.1272787</v>
      </c>
      <c r="C9" s="56">
        <f>(D9/B9)</f>
        <v/>
      </c>
      <c r="D9" s="56" t="n">
        <v>2.22</v>
      </c>
      <c r="N9" s="24">
        <f>($B$5+$R$7)/5</f>
        <v/>
      </c>
      <c r="O9" s="56">
        <f>($C$5*Params!K11)</f>
        <v/>
      </c>
      <c r="P9" s="56">
        <f>(O9*N9)</f>
        <v/>
      </c>
    </row>
    <row r="10">
      <c r="B10" s="24" t="n">
        <v>0.68756226</v>
      </c>
      <c r="C10" s="56">
        <f>(D10/B10)</f>
        <v/>
      </c>
      <c r="D10" s="56" t="n">
        <v>9.84</v>
      </c>
      <c r="E10" t="inlineStr">
        <is>
          <t>DCA4</t>
        </is>
      </c>
    </row>
    <row r="11">
      <c r="B11" s="24" t="n">
        <v>0.09107438</v>
      </c>
      <c r="C11" s="56">
        <f>(D11/B11)</f>
        <v/>
      </c>
      <c r="D11" s="56" t="n">
        <v>1.06</v>
      </c>
      <c r="P11" s="56">
        <f>(SUM(P6:P9))</f>
        <v/>
      </c>
    </row>
    <row r="12">
      <c r="B12" s="24" t="n">
        <v>-0.1375</v>
      </c>
      <c r="C12" s="56">
        <f>(D12/B12)</f>
        <v/>
      </c>
      <c r="D12" s="56" t="n">
        <v>-2.54918818</v>
      </c>
      <c r="P12" s="56" t="n"/>
    </row>
    <row r="13">
      <c r="B13" s="24" t="n">
        <v>-0.4967</v>
      </c>
      <c r="C13" s="56">
        <f>(D13/B13)</f>
        <v/>
      </c>
      <c r="D13" s="56" t="n">
        <v>-10.84507767</v>
      </c>
      <c r="P13" s="56" t="n"/>
    </row>
    <row r="14">
      <c r="F14" t="inlineStr">
        <is>
          <t>Moy</t>
        </is>
      </c>
      <c r="G14" s="56">
        <f>(D15/B15)</f>
        <v/>
      </c>
    </row>
    <row r="15">
      <c r="B15" s="24">
        <f>(SUM(B5:B14))</f>
        <v/>
      </c>
      <c r="D15" s="56">
        <f>(SUM(D5:D14))</f>
        <v/>
      </c>
      <c r="M15" t="inlineStr">
        <is>
          <t>DCA4</t>
        </is>
      </c>
      <c r="N15" t="inlineStr">
        <is>
          <t>Qty to Sell</t>
        </is>
      </c>
      <c r="O15" t="inlineStr">
        <is>
          <t>Token Price</t>
        </is>
      </c>
      <c r="P15" t="inlineStr">
        <is>
          <t>Value</t>
        </is>
      </c>
      <c r="R15" s="24">
        <f>(SUM(R5:R14))</f>
        <v/>
      </c>
      <c r="T15" s="56">
        <f>(SUM(T5:T14))</f>
        <v/>
      </c>
    </row>
    <row r="16">
      <c r="M16" t="inlineStr">
        <is>
          <t>Objectif</t>
        </is>
      </c>
      <c r="N16" s="24">
        <f>-B12</f>
        <v/>
      </c>
      <c r="O16" s="56">
        <f>18.6</f>
        <v/>
      </c>
      <c r="P16" s="56">
        <f>-D12</f>
        <v/>
      </c>
      <c r="Q16" t="inlineStr">
        <is>
          <t>Done</t>
        </is>
      </c>
    </row>
    <row r="17">
      <c r="N17" s="24">
        <f>($B$10)/5</f>
        <v/>
      </c>
      <c r="O17" s="56">
        <f>($C$10*Params!K9)</f>
        <v/>
      </c>
      <c r="P17" s="56">
        <f>(O17*N17)</f>
        <v/>
      </c>
    </row>
    <row r="18">
      <c r="N18" s="24">
        <f>($B$10)/5</f>
        <v/>
      </c>
      <c r="O18" s="56">
        <f>($C$10*Params!K10)</f>
        <v/>
      </c>
      <c r="P18" s="56">
        <f>(O18*N18)</f>
        <v/>
      </c>
    </row>
    <row r="19">
      <c r="N19" s="24">
        <f>($B$10)/5</f>
        <v/>
      </c>
      <c r="O19" s="56">
        <f>($C$10*Params!K11)</f>
        <v/>
      </c>
      <c r="P19" s="56">
        <f>(O19*N19)</f>
        <v/>
      </c>
    </row>
    <row r="20"/>
    <row r="21">
      <c r="P21" s="56">
        <f>(SUM(P16:P19))</f>
        <v/>
      </c>
    </row>
  </sheetData>
  <conditionalFormatting sqref="C5 C9:C12 G14 O7:O9 O17:O19 S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S8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3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  <pageSetup orientation="portrait"/>
</worksheet>
</file>

<file path=xl/worksheets/sheet13.xml><?xml version="1.0" encoding="utf-8"?>
<worksheet xmlns="http://schemas.openxmlformats.org/spreadsheetml/2006/main">
  <sheetPr>
    <outlinePr summaryBelow="1" summaryRight="1"/>
    <pageSetUpPr/>
  </sheetPr>
  <dimension ref="B3:T15"/>
  <sheetViews>
    <sheetView workbookViewId="0">
      <selection activeCell="S6" sqref="S6"/>
    </sheetView>
  </sheetViews>
  <sheetFormatPr baseColWidth="10" defaultColWidth="9.140625" defaultRowHeight="15"/>
  <cols>
    <col width="10" bestFit="1" customWidth="1" style="14" min="3" max="3"/>
    <col width="10.28515625" bestFit="1" customWidth="1" style="14" min="4" max="4"/>
    <col width="10" bestFit="1" customWidth="1" style="14" min="7" max="7"/>
    <col width="12.42578125" bestFit="1" customWidth="1" style="14" min="9" max="9"/>
    <col width="10" bestFit="1" customWidth="1" style="14" min="10" max="10"/>
    <col width="10.140625" bestFit="1" customWidth="1" style="14" min="14" max="14"/>
    <col width="11.28515625" bestFit="1" customWidth="1" style="14" min="15" max="15"/>
    <col width="10" bestFit="1" customWidth="1" style="14" min="19" max="19"/>
    <col width="10.28515625" bestFit="1" customWidth="1" style="14" min="20" max="20"/>
  </cols>
  <sheetData>
    <row r="3">
      <c r="I3" t="inlineStr">
        <is>
          <t>Actual Price :</t>
        </is>
      </c>
      <c r="J3" s="68" t="n">
        <v>0.002241410084375868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7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883.65</v>
      </c>
      <c r="C5" s="68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(B5)</f>
        <v/>
      </c>
      <c r="S5" s="68">
        <f>(T5/R5)</f>
        <v/>
      </c>
      <c r="T5" s="57">
        <f>(D5)</f>
        <v/>
      </c>
    </row>
    <row r="6">
      <c r="B6" s="19" t="n">
        <v>-170.21276596</v>
      </c>
      <c r="C6" s="68">
        <f>(D6/B6)</f>
        <v/>
      </c>
      <c r="D6" s="56" t="n">
        <v>-0.778379</v>
      </c>
      <c r="M6" t="inlineStr">
        <is>
          <t>Objectif</t>
        </is>
      </c>
      <c r="N6" s="19">
        <f>(($B$5+$R$6)/5)</f>
        <v/>
      </c>
      <c r="O6" s="68">
        <f>(C6)</f>
        <v/>
      </c>
      <c r="P6" s="56">
        <f>(O6*N6)</f>
        <v/>
      </c>
      <c r="R6" s="19">
        <f>(SUM(B6:B11))</f>
        <v/>
      </c>
      <c r="S6" s="68" t="n">
        <v>0</v>
      </c>
      <c r="T6" s="57">
        <f>(SUM(D6:D11))</f>
        <v/>
      </c>
    </row>
    <row r="7">
      <c r="B7" s="19" t="n">
        <v>-175.57251908</v>
      </c>
      <c r="C7" s="68">
        <f>(D7/B7)</f>
        <v/>
      </c>
      <c r="D7" s="56" t="n">
        <v>-0.893567</v>
      </c>
      <c r="N7" s="19">
        <f>(($B$5+$R$6)/5)</f>
        <v/>
      </c>
      <c r="O7" s="68">
        <f>($C$5*Params!K9)</f>
        <v/>
      </c>
      <c r="P7" s="56">
        <f>(O7*N7)</f>
        <v/>
      </c>
      <c r="S7" s="68" t="n"/>
    </row>
    <row r="8">
      <c r="B8" s="19" t="n">
        <v>-167.7852349</v>
      </c>
      <c r="C8" s="68">
        <f>(D8/B8)</f>
        <v/>
      </c>
      <c r="D8" s="56" t="n">
        <v>-1.213721</v>
      </c>
      <c r="N8" s="19">
        <f>(($B$5+$R$6)/5)</f>
        <v/>
      </c>
      <c r="O8" s="68">
        <f>($C$5*Params!K10)</f>
        <v/>
      </c>
      <c r="P8" s="56">
        <f>(O8*N8)</f>
        <v/>
      </c>
    </row>
    <row r="9">
      <c r="B9" s="19" t="n">
        <v>196.03891277</v>
      </c>
      <c r="C9" s="68">
        <f>(D9/B9)</f>
        <v/>
      </c>
      <c r="D9" s="56" t="n">
        <v>1.130011</v>
      </c>
      <c r="N9" s="19">
        <f>(($B$5+$R$6)/5)</f>
        <v/>
      </c>
      <c r="O9" s="68">
        <f>($C$5*Params!K11)</f>
        <v/>
      </c>
      <c r="P9" s="56">
        <f>(O9*N9)</f>
        <v/>
      </c>
    </row>
    <row r="10">
      <c r="B10" s="19" t="n">
        <v>197.79050008</v>
      </c>
      <c r="C10" s="68">
        <f>(D10/B10)</f>
        <v/>
      </c>
      <c r="D10" s="56" t="n">
        <v>0.85006</v>
      </c>
    </row>
    <row r="11">
      <c r="B11" s="19" t="n">
        <v>191.37734579</v>
      </c>
      <c r="C11" s="68">
        <f>(D11/B11)</f>
        <v/>
      </c>
      <c r="D11" s="56" t="n">
        <v>0.737757</v>
      </c>
    </row>
    <row r="12">
      <c r="F12" t="inlineStr">
        <is>
          <t>Moy</t>
        </is>
      </c>
      <c r="G12" s="68">
        <f>(D13/B13)</f>
        <v/>
      </c>
      <c r="P12" s="56">
        <f>(SUM(P6:P9))</f>
        <v/>
      </c>
    </row>
    <row r="13">
      <c r="B13">
        <f>(SUM(B5:B12))</f>
        <v/>
      </c>
      <c r="D13" s="57">
        <f>(SUM(D5:D12))</f>
        <v/>
      </c>
    </row>
    <row r="15">
      <c r="R15">
        <f>(SUM(R5:R14))</f>
        <v/>
      </c>
      <c r="T15" s="57">
        <f>(SUM(T5:T14))</f>
        <v/>
      </c>
    </row>
  </sheetData>
  <conditionalFormatting sqref="C5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C9:C11">
    <cfRule type="cellIs" priority="15" operator="lessThan" dxfId="1">
      <formula>$J$3</formula>
    </cfRule>
    <cfRule type="cellIs" priority="16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">
    <cfRule type="cellIs" priority="7" operator="lessThan" dxfId="1">
      <formula>$J$3</formula>
    </cfRule>
    <cfRule type="cellIs" priority="8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2">
    <cfRule type="cellIs" priority="3" operator="lessThan" dxfId="1">
      <formula>$J$3</formula>
    </cfRule>
    <cfRule type="cellIs" priority="4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4.xml><?xml version="1.0" encoding="utf-8"?>
<worksheet xmlns="http://schemas.openxmlformats.org/spreadsheetml/2006/main">
  <sheetPr>
    <outlinePr summaryBelow="1" summaryRight="1"/>
    <pageSetUpPr/>
  </sheetPr>
  <dimension ref="B1:U37"/>
  <sheetViews>
    <sheetView workbookViewId="0">
      <selection activeCell="I26" sqref="I26"/>
    </sheetView>
  </sheetViews>
  <sheetFormatPr baseColWidth="10" defaultColWidth="9.140625" defaultRowHeight="15"/>
  <cols>
    <col width="9.140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0.5703125" bestFit="1" customWidth="1" style="14" min="15" max="15"/>
    <col width="10.28515625" bestFit="1" customWidth="1" style="14" min="20" max="20"/>
  </cols>
  <sheetData>
    <row r="1"/>
    <row r="2"/>
    <row r="3">
      <c r="I3" t="inlineStr">
        <is>
          <t>Actual Price :</t>
        </is>
      </c>
      <c r="J3" s="56" t="n">
        <v>227.5441906873298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(B17*J3)</f>
        <v/>
      </c>
      <c r="K4" s="4">
        <f>(J4/D17-1)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69" t="n">
        <v>0.00021512</v>
      </c>
      <c r="C5" s="56" t="n">
        <v>244</v>
      </c>
      <c r="D5" s="56">
        <f>(B5*C5)</f>
        <v/>
      </c>
      <c r="M5" t="inlineStr">
        <is>
          <t>DCA1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69">
        <f>(B5+B13+B9)</f>
        <v/>
      </c>
      <c r="S5" s="56">
        <f>(T5/R5)</f>
        <v/>
      </c>
      <c r="T5" s="56">
        <f>(D5+D13+D9)</f>
        <v/>
      </c>
    </row>
    <row r="6">
      <c r="B6" s="69" t="n">
        <v>0.00664788</v>
      </c>
      <c r="C6" s="56" t="n">
        <v>373</v>
      </c>
      <c r="D6" s="56">
        <f>(C6*B6)</f>
        <v/>
      </c>
      <c r="M6" t="inlineStr">
        <is>
          <t>Objectif</t>
        </is>
      </c>
      <c r="N6" s="24">
        <f>($R$8/5)</f>
        <v/>
      </c>
      <c r="O6" s="56">
        <f>($S$8*Params!K8)</f>
        <v/>
      </c>
      <c r="P6" s="56">
        <f>(O6*N6)</f>
        <v/>
      </c>
      <c r="R6" s="69">
        <f>(B6)</f>
        <v/>
      </c>
      <c r="S6" s="56">
        <f>(C6)</f>
        <v/>
      </c>
      <c r="T6" s="56">
        <f>(R6*S6)</f>
        <v/>
      </c>
    </row>
    <row r="7">
      <c r="B7" s="69" t="n">
        <v>0.000235</v>
      </c>
      <c r="C7" s="56" t="n">
        <v>0</v>
      </c>
      <c r="D7" s="56" t="n">
        <v>0</v>
      </c>
      <c r="E7" s="56">
        <f>(B7*J3)</f>
        <v/>
      </c>
      <c r="N7" s="24">
        <f>($R$8/5)</f>
        <v/>
      </c>
      <c r="O7" s="56">
        <f>($S$8*Params!K9)</f>
        <v/>
      </c>
      <c r="P7" s="56">
        <f>(O7*N7)</f>
        <v/>
      </c>
      <c r="R7" s="69">
        <f>(B7+B8+B10)</f>
        <v/>
      </c>
      <c r="S7" s="56">
        <f>(C7)</f>
        <v/>
      </c>
      <c r="T7" s="56">
        <f>(R7*S7)</f>
        <v/>
      </c>
    </row>
    <row r="8">
      <c r="B8" s="69" t="n">
        <v>9.498e-05</v>
      </c>
      <c r="C8" s="56" t="n">
        <v>0</v>
      </c>
      <c r="D8" s="56" t="n">
        <v>0</v>
      </c>
      <c r="E8" s="56">
        <f>(B8*J3)</f>
        <v/>
      </c>
      <c r="N8" s="24">
        <f>($R$8/5)</f>
        <v/>
      </c>
      <c r="O8" s="56">
        <f>($S$8*Params!K10)</f>
        <v/>
      </c>
      <c r="P8" s="56">
        <f>(O8*N8)</f>
        <v/>
      </c>
      <c r="R8" s="69">
        <f>(B11)</f>
        <v/>
      </c>
      <c r="S8" s="56">
        <f>(C11)</f>
        <v/>
      </c>
      <c r="T8" s="56">
        <f>(R8*S8)</f>
        <v/>
      </c>
      <c r="U8" t="inlineStr">
        <is>
          <t>DCA1</t>
        </is>
      </c>
    </row>
    <row r="9">
      <c r="B9" s="69" t="n">
        <v>9.092e-05</v>
      </c>
      <c r="C9" s="56" t="n">
        <v>276</v>
      </c>
      <c r="D9" s="56">
        <f>(B9*C9)</f>
        <v/>
      </c>
      <c r="E9" s="56" t="n"/>
      <c r="N9" s="24">
        <f>($R$8/5)</f>
        <v/>
      </c>
      <c r="O9" s="56">
        <f>($S$8*Params!K11)</f>
        <v/>
      </c>
      <c r="P9" s="56">
        <f>(O9*N9)</f>
        <v/>
      </c>
      <c r="R9" s="69">
        <f>(B12)</f>
        <v/>
      </c>
      <c r="S9" s="56">
        <f>(C12)</f>
        <v/>
      </c>
      <c r="T9" s="56">
        <f>(R9*S9)</f>
        <v/>
      </c>
      <c r="U9" t="inlineStr">
        <is>
          <t>DCA2</t>
        </is>
      </c>
    </row>
    <row r="10">
      <c r="B10" s="70" t="n">
        <v>0.00204564</v>
      </c>
      <c r="C10" s="58" t="n">
        <v>0</v>
      </c>
      <c r="D10" s="26" t="n">
        <v>0</v>
      </c>
      <c r="E10" s="56">
        <f>(B10*J3)</f>
        <v/>
      </c>
      <c r="P10" s="56" t="n"/>
      <c r="R10" s="69">
        <f>B14+B15</f>
        <v/>
      </c>
      <c r="S10" s="56" t="n">
        <v>0</v>
      </c>
      <c r="T10" s="57">
        <f>D14+D15</f>
        <v/>
      </c>
    </row>
    <row r="11">
      <c r="B11" s="69" t="n">
        <v>0.54390024</v>
      </c>
      <c r="C11" s="56">
        <f>(D11/B11)</f>
        <v/>
      </c>
      <c r="D11" s="56" t="n">
        <v>155.07</v>
      </c>
      <c r="E11" t="inlineStr">
        <is>
          <t>DCA1</t>
        </is>
      </c>
      <c r="P11" s="56">
        <f>(SUM(P6:P9))</f>
        <v/>
      </c>
    </row>
    <row r="12">
      <c r="B12" s="69" t="n">
        <v>0.12890462</v>
      </c>
      <c r="C12" s="56">
        <f>(D12/B12)</f>
        <v/>
      </c>
      <c r="D12" s="56" t="n">
        <v>37.1</v>
      </c>
      <c r="E12" t="inlineStr">
        <is>
          <t>DCA2</t>
        </is>
      </c>
    </row>
    <row r="13">
      <c r="B13" s="69" t="n">
        <v>0.0020117</v>
      </c>
      <c r="C13" s="56">
        <f>(D13/B13)</f>
        <v/>
      </c>
      <c r="D13" s="56" t="n">
        <v>0.5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</row>
    <row r="14">
      <c r="B14" s="69" t="n">
        <v>0.29477874</v>
      </c>
      <c r="C14" s="56">
        <f>(D14/B14)</f>
        <v/>
      </c>
      <c r="D14" s="56">
        <f>39.9285+28.954</f>
        <v/>
      </c>
      <c r="M14" t="inlineStr">
        <is>
          <t>Objectif</t>
        </is>
      </c>
      <c r="N14" s="24">
        <f>($R$9/5)</f>
        <v/>
      </c>
      <c r="O14" s="56">
        <f>($S$9*Params!K8)</f>
        <v/>
      </c>
      <c r="P14" s="56">
        <f>(O14*N14)</f>
        <v/>
      </c>
    </row>
    <row r="15">
      <c r="B15" s="69" t="n">
        <v>-0.294</v>
      </c>
      <c r="C15" s="56">
        <f>(D15/B15)</f>
        <v/>
      </c>
      <c r="D15" s="56" t="n">
        <v>-71.95797</v>
      </c>
      <c r="N15" s="24">
        <f>($R$9/5)</f>
        <v/>
      </c>
      <c r="O15" s="56">
        <f>($S$9*Params!K9)</f>
        <v/>
      </c>
      <c r="P15" s="56">
        <f>(O15*N15)</f>
        <v/>
      </c>
    </row>
    <row r="16">
      <c r="N16" s="24">
        <f>($R$9/5)</f>
        <v/>
      </c>
      <c r="O16" s="56">
        <f>($S$9*Params!K10)</f>
        <v/>
      </c>
      <c r="P16" s="56">
        <f>(O16*N16)</f>
        <v/>
      </c>
    </row>
    <row r="17">
      <c r="B17" s="69">
        <f>(SUM(B5:B16))</f>
        <v/>
      </c>
      <c r="D17" s="56">
        <f>(SUM(D5:D16))</f>
        <v/>
      </c>
      <c r="F17" t="inlineStr">
        <is>
          <t>Moy</t>
        </is>
      </c>
      <c r="G17" s="56">
        <f>(SUM(D5:D16)/SUM(B5:B16))</f>
        <v/>
      </c>
      <c r="N17" s="24">
        <f>($R$9/5)</f>
        <v/>
      </c>
      <c r="O17" s="56">
        <f>($S$9*Params!K11)</f>
        <v/>
      </c>
      <c r="P17" s="56">
        <f>(O17*N17)</f>
        <v/>
      </c>
    </row>
    <row r="18">
      <c r="P18" s="56" t="n"/>
    </row>
    <row r="19">
      <c r="P19" s="56">
        <f>(SUM(P14:P17))</f>
        <v/>
      </c>
    </row>
    <row r="20"/>
    <row r="21">
      <c r="N21" t="inlineStr">
        <is>
          <t>Qty to Sell</t>
        </is>
      </c>
      <c r="O21" t="inlineStr">
        <is>
          <t>Token Price</t>
        </is>
      </c>
      <c r="P21" t="inlineStr">
        <is>
          <t>Value</t>
        </is>
      </c>
    </row>
    <row r="22">
      <c r="M22" t="inlineStr">
        <is>
          <t>Objectif</t>
        </is>
      </c>
      <c r="N22" s="24">
        <f>(($R$5+$R$7)/5)</f>
        <v/>
      </c>
      <c r="O22" s="56">
        <f>($S$5*Params!K8)</f>
        <v/>
      </c>
      <c r="P22" s="56">
        <f>(O22*N22)</f>
        <v/>
      </c>
    </row>
    <row r="23">
      <c r="N23" s="24">
        <f>(($R$5+$R$7)/5)</f>
        <v/>
      </c>
      <c r="O23" s="56">
        <f>($S$5*Params!K9)</f>
        <v/>
      </c>
      <c r="P23" s="56">
        <f>(O23*N23)</f>
        <v/>
      </c>
    </row>
    <row r="24">
      <c r="N24" s="24">
        <f>(($R$5+$R$7)/5)</f>
        <v/>
      </c>
      <c r="O24" s="56">
        <f>($S$5*Params!K10)</f>
        <v/>
      </c>
      <c r="P24" s="56">
        <f>(O24*N24)</f>
        <v/>
      </c>
    </row>
    <row r="25">
      <c r="N25" s="24">
        <f>(($R$5+$R$7)/5)</f>
        <v/>
      </c>
      <c r="O25" s="56">
        <f>($S$5*Params!K11)</f>
        <v/>
      </c>
      <c r="P25" s="56">
        <f>(O25*N25)</f>
        <v/>
      </c>
    </row>
    <row r="26">
      <c r="P26" s="56" t="n"/>
    </row>
    <row r="27">
      <c r="P27" s="56">
        <f>(SUM(P22:P25))</f>
        <v/>
      </c>
    </row>
    <row r="28"/>
    <row r="29"/>
    <row r="30"/>
    <row r="31"/>
    <row r="32"/>
    <row r="33"/>
    <row r="34"/>
    <row r="35"/>
    <row r="36"/>
    <row r="37">
      <c r="R37" s="69">
        <f>(SUM(R5:R27))</f>
        <v/>
      </c>
      <c r="T37" s="56">
        <f>(SUM(T5:T27))</f>
        <v/>
      </c>
    </row>
  </sheetData>
  <conditionalFormatting sqref="C5:C6 C9 C11:C14 O6:O9 O14 S5:S6 S8:S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15:O17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2:O2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1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M41" sqref="M41"/>
    </sheetView>
  </sheetViews>
  <sheetFormatPr baseColWidth="10" defaultColWidth="9.140625" defaultRowHeight="15"/>
  <cols>
    <col width="9.28515625" customWidth="1" style="14" min="2" max="2"/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71" t="n">
        <v>0.0723458416247364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9" t="n">
        <v>61.11911839</v>
      </c>
      <c r="C5" s="56">
        <f>(D5/B5)</f>
        <v/>
      </c>
      <c r="D5" s="56" t="n">
        <v>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0.26726681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($B$13/5)</f>
        <v/>
      </c>
      <c r="O6" s="56">
        <f>($C$5*Params!K8)</f>
        <v/>
      </c>
      <c r="P6" s="56">
        <f>(O6*N6)</f>
        <v/>
      </c>
    </row>
    <row r="7">
      <c r="N7" s="29">
        <f>($B$13/5)</f>
        <v/>
      </c>
      <c r="O7" s="56">
        <f>($C$5*Params!K9)</f>
        <v/>
      </c>
      <c r="P7" s="56">
        <f>(O7*N7)</f>
        <v/>
      </c>
    </row>
    <row r="8">
      <c r="N8" s="29">
        <f>($B$13/5)</f>
        <v/>
      </c>
      <c r="O8" s="56">
        <f>($C$5*Params!K10)</f>
        <v/>
      </c>
      <c r="P8" s="56">
        <f>(O8*N8)</f>
        <v/>
      </c>
    </row>
    <row r="9">
      <c r="N9" s="29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 s="29">
        <f>(SUM(B5:B12))</f>
        <v/>
      </c>
      <c r="D13" s="56">
        <f>(SUM(D5:D12))</f>
        <v/>
      </c>
    </row>
  </sheetData>
  <conditionalFormatting sqref="O6:O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C5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6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B5" sqref="B5"/>
    </sheetView>
  </sheetViews>
  <sheetFormatPr baseColWidth="10" defaultColWidth="9.140625" defaultRowHeight="15"/>
  <cols>
    <col width="9.140625" customWidth="1" style="14" min="2" max="2"/>
    <col width="12.42578125" bestFit="1" customWidth="1" style="14" min="9" max="9"/>
    <col width="11.28515625" bestFit="1" customWidth="1" style="14" min="14" max="15"/>
  </cols>
  <sheetData>
    <row r="1"/>
    <row r="2"/>
    <row r="3">
      <c r="I3" t="inlineStr">
        <is>
          <t>Actual Price :</t>
        </is>
      </c>
      <c r="J3" s="56" t="n">
        <v>4.910981015652763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6.70712605</v>
      </c>
      <c r="C5" s="56">
        <f>(D5/B5)</f>
        <v/>
      </c>
      <c r="D5" s="56" t="n">
        <v>37.1</v>
      </c>
      <c r="E5" t="inlineStr">
        <is>
          <t>DCA2</t>
        </is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5">
        <f>(B6)</f>
        <v/>
      </c>
      <c r="S5" s="58" t="n">
        <v>0</v>
      </c>
      <c r="T5" s="26">
        <f>(D6)</f>
        <v/>
      </c>
      <c r="U5">
        <f>(R5*J3)</f>
        <v/>
      </c>
    </row>
    <row r="6">
      <c r="B6" s="25" t="n">
        <v>0.06736872000000001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($B$14/5)</f>
        <v/>
      </c>
      <c r="O6" s="56">
        <f>($S$6*Params!K8)</f>
        <v/>
      </c>
      <c r="P6" s="56">
        <f>(O6*N6)</f>
        <v/>
      </c>
      <c r="R6" s="24">
        <f>B5</f>
        <v/>
      </c>
      <c r="S6" s="56">
        <f>(T6/R6)</f>
        <v/>
      </c>
      <c r="T6" s="56">
        <f>D5</f>
        <v/>
      </c>
      <c r="U6" t="inlineStr">
        <is>
          <t>DCA2</t>
        </is>
      </c>
    </row>
    <row r="7">
      <c r="B7" s="24" t="n">
        <v>0.11156135</v>
      </c>
      <c r="C7" s="56">
        <f>(D7/B7)</f>
        <v/>
      </c>
      <c r="D7" s="56" t="n">
        <v>0.5</v>
      </c>
      <c r="N7" s="24">
        <f>($B$14/5)</f>
        <v/>
      </c>
      <c r="O7" s="56">
        <f>($S$6*Params!K9)</f>
        <v/>
      </c>
      <c r="P7" s="56">
        <f>(O7*N7)</f>
        <v/>
      </c>
      <c r="R7" s="24">
        <f>B7</f>
        <v/>
      </c>
      <c r="S7" s="56">
        <f>(T7/R7)</f>
        <v/>
      </c>
      <c r="T7" s="57">
        <f>D7</f>
        <v/>
      </c>
    </row>
    <row r="8">
      <c r="B8" s="24">
        <f>(-0.2134+N15)</f>
        <v/>
      </c>
      <c r="C8" s="56">
        <f>(D8/B8)</f>
        <v/>
      </c>
      <c r="D8" s="56">
        <f>(-1.27565659-D9)</f>
        <v/>
      </c>
      <c r="N8" s="24">
        <f>($B$14/5)</f>
        <v/>
      </c>
      <c r="O8" s="56">
        <f>($C$5*Params!K10)</f>
        <v/>
      </c>
      <c r="P8" s="56">
        <f>(O8*N8)</f>
        <v/>
      </c>
      <c r="R8" s="24">
        <f>SUM(B8:B10)</f>
        <v/>
      </c>
      <c r="S8" s="56">
        <f>(T8/R8)</f>
        <v/>
      </c>
      <c r="T8" s="56">
        <f>SUM(D8:D10)</f>
        <v/>
      </c>
    </row>
    <row r="9">
      <c r="B9">
        <f>-B7/5</f>
        <v/>
      </c>
      <c r="C9" s="56" t="n">
        <v>5.97777</v>
      </c>
      <c r="D9" s="56">
        <f>(C9*B9)</f>
        <v/>
      </c>
      <c r="N9" s="24">
        <f>($B$14/5)</f>
        <v/>
      </c>
      <c r="O9" s="56">
        <f>($C$5*Params!K11)</f>
        <v/>
      </c>
      <c r="P9" s="56">
        <f>(O9*N9)</f>
        <v/>
      </c>
    </row>
    <row r="10">
      <c r="B10" s="24" t="n">
        <v>0.21193237</v>
      </c>
      <c r="C10" s="56">
        <f>D10/B10</f>
        <v/>
      </c>
      <c r="D10" s="56" t="n">
        <v>1.07</v>
      </c>
      <c r="N10" s="24" t="n"/>
      <c r="P10" s="56" t="n"/>
    </row>
    <row r="11">
      <c r="N11" s="24" t="n"/>
      <c r="P11" s="56" t="n"/>
    </row>
    <row r="12">
      <c r="N12" s="24" t="n"/>
      <c r="P12" s="56">
        <f>(SUM(P6:P9))</f>
        <v/>
      </c>
    </row>
    <row r="13">
      <c r="F13" t="inlineStr">
        <is>
          <t>Moy</t>
        </is>
      </c>
      <c r="G13" s="56">
        <f>(D14/B14)</f>
        <v/>
      </c>
      <c r="N13" s="24" t="n"/>
      <c r="P13" s="56" t="n"/>
      <c r="R13" s="24">
        <f>(SUM(R5:R12))</f>
        <v/>
      </c>
      <c r="T13" s="56">
        <f>(SUM(T5:T12))</f>
        <v/>
      </c>
    </row>
    <row r="14">
      <c r="B14">
        <f>(SUM(B5:B13))</f>
        <v/>
      </c>
      <c r="D14" s="56">
        <f>(SUM(D5:D13))</f>
        <v/>
      </c>
    </row>
    <row r="15">
      <c r="N15" s="24" t="n"/>
      <c r="O15" s="56" t="n"/>
      <c r="P15" s="56" t="n"/>
    </row>
    <row r="16">
      <c r="N16" s="24" t="n"/>
      <c r="O16" s="56" t="n"/>
      <c r="P16" s="56" t="n"/>
    </row>
    <row r="17">
      <c r="N17" s="24" t="n"/>
      <c r="O17" s="56" t="n"/>
      <c r="P17" s="56" t="n"/>
    </row>
    <row r="18">
      <c r="N18" s="24" t="n"/>
      <c r="O18" s="56" t="n"/>
      <c r="P18" s="56" t="n"/>
    </row>
    <row r="19">
      <c r="P19" s="56" t="n"/>
    </row>
    <row r="20">
      <c r="P20" s="56" t="n"/>
    </row>
    <row r="21">
      <c r="P21" s="56" t="n"/>
    </row>
    <row r="22"/>
    <row r="23"/>
    <row r="24"/>
    <row r="25"/>
    <row r="26"/>
    <row r="27">
      <c r="G27" s="57" t="n"/>
    </row>
  </sheetData>
  <conditionalFormatting sqref="C5 C7 C10 G13 O6:O9 S6:S7">
    <cfRule type="cellIs" priority="15" operator="lessThan" dxfId="1">
      <formula>$J$3</formula>
    </cfRule>
    <cfRule type="cellIs" priority="16" operator="greaterThan" dxfId="0">
      <formula>$J$3</formula>
    </cfRule>
  </conditionalFormatting>
  <pageMargins left="0.75" right="0.75" top="1" bottom="1" header="0.5" footer="0.5"/>
</worksheet>
</file>

<file path=xl/worksheets/sheet1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J3" sqref="J3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40.21393192968921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4" t="n">
        <v>0.12084767</v>
      </c>
      <c r="C5" s="56" t="n">
        <v>43.03</v>
      </c>
      <c r="D5" s="56" t="n">
        <v>5.2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5" t="n">
        <v>0.00292544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($B$13/5)</f>
        <v/>
      </c>
      <c r="O6" s="56">
        <f>($C$5*Params!K8)</f>
        <v/>
      </c>
      <c r="P6" s="56">
        <f>(O6*N6)</f>
        <v/>
      </c>
    </row>
    <row r="7">
      <c r="N7" s="24">
        <f>($B$13/5)</f>
        <v/>
      </c>
      <c r="O7" s="56">
        <f>($C$5*Params!K9)</f>
        <v/>
      </c>
      <c r="P7" s="56">
        <f>(O7*N7)</f>
        <v/>
      </c>
    </row>
    <row r="8">
      <c r="N8" s="24">
        <f>($B$13/5)</f>
        <v/>
      </c>
      <c r="O8" s="56">
        <f>($C$5*Params!K10)</f>
        <v/>
      </c>
      <c r="P8" s="56">
        <f>(O8*N8)</f>
        <v/>
      </c>
    </row>
    <row r="9">
      <c r="N9" s="24">
        <f>($B$13/5)</f>
        <v/>
      </c>
      <c r="O9" s="56">
        <f>($C$5*Params!K11)</f>
        <v/>
      </c>
      <c r="P9" s="56">
        <f>(O9*N9)</f>
        <v/>
      </c>
    </row>
    <row r="10"/>
    <row r="11">
      <c r="P11" s="56">
        <f>(SUM(P6:P9))</f>
        <v/>
      </c>
    </row>
    <row r="12">
      <c r="F12" t="inlineStr">
        <is>
          <t>Moy</t>
        </is>
      </c>
      <c r="G12" s="56">
        <f>(D13/B13)</f>
        <v/>
      </c>
    </row>
    <row r="13">
      <c r="B13">
        <f>(SUM(B5:B12))</f>
        <v/>
      </c>
      <c r="D13" s="56">
        <f>(SUM(D5:D12))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2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8.xml><?xml version="1.0" encoding="utf-8"?>
<worksheet xmlns="http://schemas.openxmlformats.org/spreadsheetml/2006/main">
  <sheetPr>
    <outlinePr summaryBelow="1" summaryRight="1"/>
    <pageSetUpPr/>
  </sheetPr>
  <dimension ref="B1:P12"/>
  <sheetViews>
    <sheetView workbookViewId="0">
      <selection activeCell="B6" sqref="B6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4.124943086064255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2.21018205</v>
      </c>
      <c r="C5" s="56">
        <f>(D5/B5)</f>
        <v/>
      </c>
      <c r="D5" s="56" t="n">
        <v>10.2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0.0021653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($B$10/5)</f>
        <v/>
      </c>
      <c r="O6" s="56">
        <f>($C$5*Params!K8)</f>
        <v/>
      </c>
      <c r="P6" s="56">
        <f>(O6*N6)</f>
        <v/>
      </c>
    </row>
    <row r="7">
      <c r="N7" s="24">
        <f>($B$10/5)</f>
        <v/>
      </c>
      <c r="O7" s="56">
        <f>($C$5*Params!K9)</f>
        <v/>
      </c>
      <c r="P7" s="56">
        <f>(O7*N7)</f>
        <v/>
      </c>
    </row>
    <row r="8">
      <c r="N8" s="24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4">
        <f>($B$10/5)</f>
        <v/>
      </c>
      <c r="O9" s="56">
        <f>($C$5*Params!K11)</f>
        <v/>
      </c>
      <c r="P9" s="56">
        <f>(O9*N9)</f>
        <v/>
      </c>
    </row>
    <row r="10">
      <c r="B10">
        <f>(SUM(B5:B9))</f>
        <v/>
      </c>
      <c r="D10" s="56">
        <f>(SUM(D5:D9))</f>
        <v/>
      </c>
    </row>
    <row r="11">
      <c r="P11" s="56">
        <f>(SUM(P6:P9))</f>
        <v/>
      </c>
    </row>
    <row r="12"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19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B6" sqref="B6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2.230075511271052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1" t="n">
        <v>5.25555128</v>
      </c>
      <c r="C5" s="56">
        <f>(D5/B5)</f>
        <v/>
      </c>
      <c r="D5" s="56" t="n">
        <v>11.37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0.01709552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">
        <f>($B$10/5)</f>
        <v/>
      </c>
      <c r="O6" s="56">
        <f>($C$5*Params!K8)</f>
        <v/>
      </c>
      <c r="P6" s="56">
        <f>(O6*N6)</f>
        <v/>
      </c>
    </row>
    <row r="7">
      <c r="N7" s="1">
        <f>($B$10/5)</f>
        <v/>
      </c>
      <c r="O7" s="56">
        <f>($C$5*Params!K9)</f>
        <v/>
      </c>
      <c r="P7" s="56">
        <f>(O7*N7)</f>
        <v/>
      </c>
    </row>
    <row r="8">
      <c r="N8" s="1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1">
        <f>($B$10/5)</f>
        <v/>
      </c>
      <c r="O9" s="56">
        <f>($C$5*Params!K11)</f>
        <v/>
      </c>
      <c r="P9" s="56">
        <f>(O9*N9)</f>
        <v/>
      </c>
    </row>
    <row r="10">
      <c r="B10" s="1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B1:U78"/>
  <sheetViews>
    <sheetView workbookViewId="0">
      <selection activeCell="R19" sqref="R19:U20"/>
    </sheetView>
  </sheetViews>
  <sheetFormatPr baseColWidth="10" defaultColWidth="9.140625" defaultRowHeight="15"/>
  <cols>
    <col width="11.7109375" bestFit="1" customWidth="1" style="14" min="2" max="2"/>
    <col width="11.5703125" bestFit="1" customWidth="1" style="14" min="3" max="3"/>
    <col width="11.5703125" bestFit="1" customWidth="1" style="14" min="7" max="7"/>
    <col width="12.42578125" bestFit="1" customWidth="1" style="14" min="9" max="9"/>
    <col width="11.5703125" bestFit="1" customWidth="1" style="14" min="10" max="10"/>
    <col width="12" bestFit="1" customWidth="1" style="14" min="13" max="13"/>
    <col width="12.5703125" bestFit="1" customWidth="1" style="14" min="14" max="14"/>
    <col width="11.5703125" bestFit="1" customWidth="1" style="14" min="19" max="19"/>
  </cols>
  <sheetData>
    <row r="1"/>
    <row r="2"/>
    <row r="3">
      <c r="I3" t="inlineStr">
        <is>
          <t>Actual Price :</t>
        </is>
      </c>
      <c r="J3" s="56" t="n">
        <v>35976.79982889049</v>
      </c>
      <c r="M3" t="inlineStr">
        <is>
          <t>Qty to Buy</t>
        </is>
      </c>
      <c r="N3" t="inlineStr">
        <is>
          <t>Token Price</t>
        </is>
      </c>
      <c r="O3" t="inlineStr">
        <is>
          <t>Value</t>
        </is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K4" s="4">
        <f>(J4/D37-1)</f>
        <v/>
      </c>
      <c r="L4" t="inlineStr">
        <is>
          <t>Objectif :</t>
        </is>
      </c>
      <c r="M4">
        <f>(INDEX((M9:M68),MATCH(N4/0.85,N9:N68,0))/0.9)</f>
        <v/>
      </c>
      <c r="N4" s="57">
        <f>(MAX(N9,N17:N19,N49,N25,N33,N41,N57,N65)*0.85)</f>
        <v/>
      </c>
      <c r="O4" s="59">
        <f>(N4*M4)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 t="n">
        <v>0.00399983</v>
      </c>
      <c r="C5" s="56" t="n">
        <v>41500</v>
      </c>
      <c r="D5" s="56">
        <f>(B5*C5)</f>
        <v/>
      </c>
      <c r="R5" s="24">
        <f>(B5)</f>
        <v/>
      </c>
      <c r="S5" s="56" t="n">
        <v>41500</v>
      </c>
      <c r="T5" s="56">
        <f>(R5*S5)</f>
        <v/>
      </c>
    </row>
    <row r="6">
      <c r="B6" s="25" t="n">
        <v>0.00034667</v>
      </c>
      <c r="C6" s="58" t="n">
        <v>0</v>
      </c>
      <c r="D6" s="26">
        <f>(B6*C6)</f>
        <v/>
      </c>
      <c r="E6" s="56">
        <f>(B6*J3)</f>
        <v/>
      </c>
      <c r="I6" t="inlineStr">
        <is>
          <t>Objectif</t>
        </is>
      </c>
      <c r="J6" t="n">
        <v>0.03</v>
      </c>
      <c r="R6" s="24">
        <f>(B6)</f>
        <v/>
      </c>
      <c r="S6" s="56" t="n">
        <v>0</v>
      </c>
      <c r="T6" s="56">
        <f>(R6*S6)</f>
        <v/>
      </c>
    </row>
    <row r="7">
      <c r="B7" s="24" t="n">
        <v>0.00051073</v>
      </c>
      <c r="C7" s="56">
        <f>D7/B7</f>
        <v/>
      </c>
      <c r="D7" s="56" t="n">
        <v>15.6</v>
      </c>
      <c r="I7" t="inlineStr">
        <is>
          <t>Difference</t>
        </is>
      </c>
      <c r="J7">
        <f>(J6-B37)</f>
        <v/>
      </c>
      <c r="R7" s="24">
        <f>(B7)</f>
        <v/>
      </c>
      <c r="S7" s="56">
        <f>(T7/R7)</f>
        <v/>
      </c>
      <c r="T7" s="56" t="inlineStr">
        <is>
          <t>15.6</t>
        </is>
      </c>
    </row>
    <row r="8">
      <c r="B8" s="24" t="n">
        <v>0.00491083</v>
      </c>
      <c r="C8" s="56">
        <f>D8/B8</f>
        <v/>
      </c>
      <c r="D8" s="56" t="n">
        <v>105</v>
      </c>
      <c r="I8" t="inlineStr">
        <is>
          <t>Diff in $</t>
        </is>
      </c>
      <c r="J8" s="59">
        <f>(J7*J3)</f>
        <v/>
      </c>
      <c r="M8" t="inlineStr">
        <is>
          <t>Qty to Buy</t>
        </is>
      </c>
      <c r="N8" t="inlineStr">
        <is>
          <t>Token Price</t>
        </is>
      </c>
      <c r="O8" t="inlineStr">
        <is>
          <t>Value</t>
        </is>
      </c>
      <c r="R8" s="24">
        <f>(B8)</f>
        <v/>
      </c>
      <c r="S8" s="56">
        <f>(T8/R8)</f>
        <v/>
      </c>
      <c r="T8" s="56" t="inlineStr">
        <is>
          <t>105</t>
        </is>
      </c>
    </row>
    <row r="9">
      <c r="B9" s="24" t="n">
        <v>0.002</v>
      </c>
      <c r="C9" s="56">
        <f>D9/B9</f>
        <v/>
      </c>
      <c r="D9" s="56" t="n">
        <v>43.5</v>
      </c>
      <c r="L9" t="inlineStr">
        <is>
          <t>Objectif</t>
        </is>
      </c>
      <c r="M9">
        <f>($B$16/5)</f>
        <v/>
      </c>
      <c r="N9" s="56">
        <f>(C26)</f>
        <v/>
      </c>
      <c r="O9" s="59">
        <f>(N9*M9)</f>
        <v/>
      </c>
      <c r="P9" t="inlineStr">
        <is>
          <t>Done</t>
        </is>
      </c>
      <c r="R9" s="24">
        <f>(B9)</f>
        <v/>
      </c>
      <c r="S9" s="56">
        <f>(T9/R9)</f>
        <v/>
      </c>
      <c r="T9" s="56" t="inlineStr">
        <is>
          <t>43.5</t>
        </is>
      </c>
    </row>
    <row r="10">
      <c r="B10" s="24" t="n">
        <v>0.0007</v>
      </c>
      <c r="C10" s="56" t="n">
        <v>20458</v>
      </c>
      <c r="D10" s="56">
        <f>(C10*B10)</f>
        <v/>
      </c>
      <c r="M10">
        <f>($B$16/5)</f>
        <v/>
      </c>
      <c r="N10" s="56">
        <f>($C$16*Params!K16)</f>
        <v/>
      </c>
      <c r="O10" s="59">
        <f>(N10*M10)</f>
        <v/>
      </c>
      <c r="R10" s="24">
        <f>(B10)</f>
        <v/>
      </c>
      <c r="S10" s="56" t="n">
        <v>20458</v>
      </c>
      <c r="T10" s="56">
        <f>(S10*R10)</f>
        <v/>
      </c>
    </row>
    <row r="11">
      <c r="B11" s="24" t="n">
        <v>0.00051</v>
      </c>
      <c r="C11" s="56" t="n">
        <v>19873.31</v>
      </c>
      <c r="D11" s="56">
        <f>(C11*B11)</f>
        <v/>
      </c>
      <c r="M11">
        <f>($B$16/5)</f>
        <v/>
      </c>
      <c r="N11" s="56">
        <f>($C$16*Params!K17)</f>
        <v/>
      </c>
      <c r="O11" s="59">
        <f>(N11*M11)</f>
        <v/>
      </c>
      <c r="R11" s="24">
        <f>(B12)</f>
        <v/>
      </c>
      <c r="S11" s="56" t="n">
        <v>19169.31</v>
      </c>
      <c r="T11" s="56">
        <f>(S11*R11)</f>
        <v/>
      </c>
    </row>
    <row r="12">
      <c r="B12" s="24" t="n">
        <v>0.0006400000000000001</v>
      </c>
      <c r="C12" s="56" t="n">
        <v>19169.31</v>
      </c>
      <c r="D12" s="56">
        <f>(C12*B12)</f>
        <v/>
      </c>
      <c r="M12">
        <f>($B$16/5)</f>
        <v/>
      </c>
      <c r="N12" s="56">
        <f>($C$16*Params!K18)</f>
        <v/>
      </c>
      <c r="O12" s="59">
        <f>(N12*M12)</f>
        <v/>
      </c>
      <c r="R12" s="24">
        <f>(B13+B11+B14)</f>
        <v/>
      </c>
      <c r="S12" s="56">
        <f>(T12/R12)</f>
        <v/>
      </c>
      <c r="T12" s="56">
        <f>(D13+D11+D14)</f>
        <v/>
      </c>
    </row>
    <row r="13">
      <c r="B13" s="24" t="n">
        <v>-0.0005</v>
      </c>
      <c r="C13" s="56" t="n">
        <v>20709.08</v>
      </c>
      <c r="D13" s="56">
        <f>(C13*B13)</f>
        <v/>
      </c>
      <c r="R13" s="24">
        <f>(B15)</f>
        <v/>
      </c>
      <c r="S13" s="56" t="n">
        <v>18969</v>
      </c>
      <c r="T13" s="56">
        <f>(S13*R13)</f>
        <v/>
      </c>
    </row>
    <row r="14">
      <c r="B14" s="24" t="n">
        <v>0.00054</v>
      </c>
      <c r="C14" s="56" t="n">
        <v>19000</v>
      </c>
      <c r="D14" s="56">
        <f>(C14*B14)</f>
        <v/>
      </c>
      <c r="O14" s="59">
        <f>(SUM(O9:O12))</f>
        <v/>
      </c>
      <c r="R14" s="24">
        <f>(B16+B26)</f>
        <v/>
      </c>
      <c r="S14" s="56">
        <f>(T14/R14)</f>
        <v/>
      </c>
      <c r="T14" s="56">
        <f>(D16+D26)</f>
        <v/>
      </c>
    </row>
    <row r="15">
      <c r="B15" s="24" t="n">
        <v>0.00258</v>
      </c>
      <c r="C15" s="56" t="n">
        <v>18969</v>
      </c>
      <c r="D15" s="56">
        <f>(C15*B15)</f>
        <v/>
      </c>
      <c r="R15" s="24">
        <f>(B17+B18+B21+B33)</f>
        <v/>
      </c>
      <c r="S15" s="56">
        <f>(T15/R15)</f>
        <v/>
      </c>
      <c r="T15" s="56">
        <f>(D17+D18+D21+D33)</f>
        <v/>
      </c>
    </row>
    <row r="16">
      <c r="B16" s="24" t="n">
        <v>0.00168</v>
      </c>
      <c r="C16" s="56" t="n">
        <v>16620.02</v>
      </c>
      <c r="D16" s="56">
        <f>(C16*B16)</f>
        <v/>
      </c>
      <c r="M16" t="inlineStr">
        <is>
          <t>Qty to Buy</t>
        </is>
      </c>
      <c r="N16" t="inlineStr">
        <is>
          <t>Token Price</t>
        </is>
      </c>
      <c r="O16" t="inlineStr">
        <is>
          <t>Value</t>
        </is>
      </c>
      <c r="R16" s="24">
        <f>(B19+B27)</f>
        <v/>
      </c>
      <c r="S16" s="56">
        <f>(T16/R16)</f>
        <v/>
      </c>
      <c r="T16" s="56">
        <f>(D19+D27)</f>
        <v/>
      </c>
    </row>
    <row r="17">
      <c r="B17" s="24" t="n">
        <v>0.00092134</v>
      </c>
      <c r="C17" s="56">
        <f>(D17/B17)</f>
        <v/>
      </c>
      <c r="D17" s="56" t="n">
        <v>10.36</v>
      </c>
      <c r="L17" t="inlineStr">
        <is>
          <t>Objectif</t>
        </is>
      </c>
      <c r="M17">
        <f>($B$17/5)</f>
        <v/>
      </c>
      <c r="N17" s="56">
        <f>(C18)</f>
        <v/>
      </c>
      <c r="O17" s="59">
        <f>(N17*M17)</f>
        <v/>
      </c>
      <c r="P17" t="inlineStr">
        <is>
          <t>Done</t>
        </is>
      </c>
      <c r="R17" s="24">
        <f>(B20+B28)</f>
        <v/>
      </c>
      <c r="S17" s="56">
        <f>(T17/R17)</f>
        <v/>
      </c>
      <c r="T17" s="56">
        <f>(D20+D28)</f>
        <v/>
      </c>
    </row>
    <row r="18">
      <c r="B18" s="24" t="n">
        <v>-0.00018</v>
      </c>
      <c r="C18" s="56">
        <f>(D18/B18)</f>
        <v/>
      </c>
      <c r="D18" s="56">
        <f>(-2.96)</f>
        <v/>
      </c>
      <c r="M18">
        <f>($B$17/5)</f>
        <v/>
      </c>
      <c r="N18" s="56">
        <f>(C21)</f>
        <v/>
      </c>
      <c r="O18" s="59">
        <f>(N18*M18)</f>
        <v/>
      </c>
      <c r="P18" t="inlineStr">
        <is>
          <t>Done</t>
        </is>
      </c>
      <c r="R18" s="24">
        <f>(B22+B27)</f>
        <v/>
      </c>
      <c r="S18" s="56">
        <f>(T18/R18)</f>
        <v/>
      </c>
      <c r="T18" s="56">
        <f>(D22+D29)</f>
        <v/>
      </c>
    </row>
    <row r="19">
      <c r="B19" s="24" t="n">
        <v>0.000599999999999999</v>
      </c>
      <c r="C19" s="56">
        <f>(D19/B19)</f>
        <v/>
      </c>
      <c r="D19" s="56" t="n">
        <v>10.02</v>
      </c>
      <c r="F19" s="24" t="n"/>
      <c r="I19" s="57" t="n"/>
      <c r="M19">
        <f>($B$17/5)</f>
        <v/>
      </c>
      <c r="N19" s="56">
        <f>(C33)</f>
        <v/>
      </c>
      <c r="O19" s="59">
        <f>(N19*M19)</f>
        <v/>
      </c>
      <c r="P19" t="inlineStr">
        <is>
          <t>Done</t>
        </is>
      </c>
      <c r="R19" s="24">
        <f>(B23+B32)</f>
        <v/>
      </c>
      <c r="S19" s="56">
        <f>(T19/R19)</f>
        <v/>
      </c>
      <c r="T19" s="56">
        <f>(D23+17438.6*B32)</f>
        <v/>
      </c>
      <c r="U19" t="inlineStr">
        <is>
          <t>DCA1</t>
        </is>
      </c>
    </row>
    <row r="20">
      <c r="B20" s="24" t="n">
        <v>0.0009133</v>
      </c>
      <c r="C20" s="56">
        <f>(D20/B20)</f>
        <v/>
      </c>
      <c r="D20" s="56" t="n">
        <v>15.6</v>
      </c>
      <c r="M20">
        <f>($B$17/5)</f>
        <v/>
      </c>
      <c r="N20" s="56">
        <f>($C$17*Params!K18)</f>
        <v/>
      </c>
      <c r="O20" s="59">
        <f>(N20*M20)</f>
        <v/>
      </c>
      <c r="R20" s="24">
        <f>(B24+B31)</f>
        <v/>
      </c>
      <c r="S20" s="56">
        <f>(T20/R20)</f>
        <v/>
      </c>
      <c r="T20" s="56">
        <f>(D24+17211.7*B31)</f>
        <v/>
      </c>
      <c r="U20" t="inlineStr">
        <is>
          <t>DCA2</t>
        </is>
      </c>
    </row>
    <row r="21">
      <c r="B21" s="24" t="n">
        <v>-0.000184</v>
      </c>
      <c r="C21" s="56">
        <f>(D21/B21)</f>
        <v/>
      </c>
      <c r="D21" s="56" t="n">
        <v>-3.15</v>
      </c>
      <c r="R21" s="24">
        <f>(B25+B30)</f>
        <v/>
      </c>
      <c r="S21" s="56">
        <f>(T21/R21)</f>
        <v/>
      </c>
      <c r="T21" s="56">
        <f>(D25+D30)</f>
        <v/>
      </c>
    </row>
    <row r="22">
      <c r="B22" s="24" t="n">
        <v>0.00058</v>
      </c>
      <c r="C22" s="56">
        <f>(D22/B22)</f>
        <v/>
      </c>
      <c r="D22" s="56" t="n">
        <v>9.880000000000001</v>
      </c>
      <c r="O22" s="59">
        <f>(SUM(O17:O20))</f>
        <v/>
      </c>
      <c r="R22" s="24">
        <f>(B31-B31)</f>
        <v/>
      </c>
      <c r="S22" s="56" t="n">
        <v>0</v>
      </c>
      <c r="T22" s="56">
        <f>(17211.7*-B31+D31)</f>
        <v/>
      </c>
      <c r="U22" t="inlineStr">
        <is>
          <t>DCA2 1/5</t>
        </is>
      </c>
    </row>
    <row r="23">
      <c r="B23" s="24" t="n">
        <v>0.00656665</v>
      </c>
      <c r="C23" s="56">
        <f>(D23/B23)</f>
        <v/>
      </c>
      <c r="D23" s="56" t="n">
        <v>153.21</v>
      </c>
      <c r="E23" t="inlineStr">
        <is>
          <t>DCA1</t>
        </is>
      </c>
      <c r="R23" s="24">
        <f>(B32-B32)</f>
        <v/>
      </c>
      <c r="S23" s="56" t="n">
        <v>0</v>
      </c>
      <c r="T23" s="56">
        <f>(17438.6*-B32+D32)</f>
        <v/>
      </c>
      <c r="U23" t="inlineStr">
        <is>
          <t>DCA1 1/5</t>
        </is>
      </c>
    </row>
    <row r="24">
      <c r="B24" s="24" t="n">
        <v>0.00148488</v>
      </c>
      <c r="C24" s="56">
        <f>(D24/B24)</f>
        <v/>
      </c>
      <c r="D24" s="56" t="n">
        <v>37.1</v>
      </c>
      <c r="E24" t="inlineStr">
        <is>
          <t>DCA2</t>
        </is>
      </c>
      <c r="M24" t="inlineStr">
        <is>
          <t>Qty to Buy</t>
        </is>
      </c>
      <c r="N24" t="inlineStr">
        <is>
          <t>Token Price</t>
        </is>
      </c>
      <c r="O24" t="inlineStr">
        <is>
          <t>Value</t>
        </is>
      </c>
      <c r="R24" s="24">
        <f>(B34)</f>
        <v/>
      </c>
      <c r="S24" s="56">
        <f>(T24/R24)</f>
        <v/>
      </c>
      <c r="T24" s="56">
        <f>(D34)</f>
        <v/>
      </c>
      <c r="U24" t="inlineStr">
        <is>
          <t>DCA3</t>
        </is>
      </c>
    </row>
    <row r="25">
      <c r="B25" s="24" t="n">
        <v>2.97e-05</v>
      </c>
      <c r="C25" s="56">
        <f>(D25/B25)</f>
        <v/>
      </c>
      <c r="D25" s="56" t="n">
        <v>0.5</v>
      </c>
      <c r="L25" t="inlineStr">
        <is>
          <t>Objectif</t>
        </is>
      </c>
      <c r="M25">
        <f>($B$19/5)</f>
        <v/>
      </c>
      <c r="N25" s="56">
        <f>(C27)</f>
        <v/>
      </c>
      <c r="O25" s="59">
        <f>(N25*M25)</f>
        <v/>
      </c>
      <c r="P25" t="inlineStr">
        <is>
          <t>Done</t>
        </is>
      </c>
    </row>
    <row r="26">
      <c r="B26" s="24" t="n">
        <v>-0.000336</v>
      </c>
      <c r="C26" s="56">
        <f>(D26/B26)</f>
        <v/>
      </c>
      <c r="D26" s="56">
        <f>(-7.04895293)</f>
        <v/>
      </c>
      <c r="M26">
        <f>($B$19/5)</f>
        <v/>
      </c>
      <c r="N26" s="56">
        <f>($C$19*Params!K16)</f>
        <v/>
      </c>
      <c r="O26" s="59">
        <f>(N26*M26)</f>
        <v/>
      </c>
    </row>
    <row r="27">
      <c r="B27" s="24" t="n">
        <v>-0.00012</v>
      </c>
      <c r="C27" s="56" t="n">
        <v>20900</v>
      </c>
      <c r="D27" s="56">
        <f>(C27*B27)</f>
        <v/>
      </c>
      <c r="M27">
        <f>($B$19/5)</f>
        <v/>
      </c>
      <c r="N27" s="56">
        <f>($C$19*Params!K17)</f>
        <v/>
      </c>
      <c r="O27" s="59">
        <f>(N27*M27)</f>
        <v/>
      </c>
    </row>
    <row r="28">
      <c r="B28" s="24" t="n">
        <v>-0.00018</v>
      </c>
      <c r="C28" s="56" t="n">
        <v>21355</v>
      </c>
      <c r="D28" s="56">
        <f>(B28*C28)</f>
        <v/>
      </c>
      <c r="M28">
        <f>($B$19/5)</f>
        <v/>
      </c>
      <c r="N28" s="56">
        <f>($C$19*Params!K18)</f>
        <v/>
      </c>
      <c r="O28" s="59">
        <f>(N28*M28)</f>
        <v/>
      </c>
    </row>
    <row r="29">
      <c r="B29" s="24" t="n">
        <v>-0.00012</v>
      </c>
      <c r="C29" s="56" t="n">
        <v>21355</v>
      </c>
      <c r="D29" s="56">
        <f>(C29*B29)</f>
        <v/>
      </c>
    </row>
    <row r="30">
      <c r="B30" s="24">
        <f>(-M65)</f>
        <v/>
      </c>
      <c r="C30" s="56" t="n">
        <v>21560</v>
      </c>
      <c r="D30" s="56">
        <f>(C30*B30)</f>
        <v/>
      </c>
      <c r="O30" s="59">
        <f>(SUM(O25:O28))</f>
        <v/>
      </c>
    </row>
    <row r="31">
      <c r="B31" s="24">
        <f>(-0.000058-B30)</f>
        <v/>
      </c>
      <c r="C31" s="56" t="n">
        <v>21560</v>
      </c>
      <c r="D31" s="56">
        <f>(C31*B31)</f>
        <v/>
      </c>
    </row>
    <row r="32">
      <c r="B32" s="24" t="n">
        <v>-0.000342</v>
      </c>
      <c r="C32" s="56">
        <f>(D32/B32)</f>
        <v/>
      </c>
      <c r="D32" s="56" t="n">
        <v>-7.4556</v>
      </c>
      <c r="M32" t="inlineStr">
        <is>
          <t>Qty to Buy</t>
        </is>
      </c>
      <c r="N32" t="inlineStr">
        <is>
          <t>Token Price</t>
        </is>
      </c>
      <c r="O32" t="inlineStr">
        <is>
          <t>Value</t>
        </is>
      </c>
    </row>
    <row r="33">
      <c r="B33" s="24">
        <f>(-0.000184)</f>
        <v/>
      </c>
      <c r="C33" s="56">
        <f>(D33/B33)</f>
        <v/>
      </c>
      <c r="D33" s="56">
        <f>(-4.215072)</f>
        <v/>
      </c>
      <c r="L33" t="inlineStr">
        <is>
          <t>Objectif</t>
        </is>
      </c>
      <c r="M33">
        <f>($B$20/5)</f>
        <v/>
      </c>
      <c r="N33" s="56">
        <f>(C28)</f>
        <v/>
      </c>
      <c r="O33" s="59">
        <f>(N33*M33)</f>
        <v/>
      </c>
      <c r="P33" t="inlineStr">
        <is>
          <t>Done</t>
        </is>
      </c>
    </row>
    <row r="34">
      <c r="B34" s="24" t="n">
        <v>0.00164183</v>
      </c>
      <c r="C34" s="56">
        <f>(D34/B34)</f>
        <v/>
      </c>
      <c r="D34" s="56" t="n">
        <v>42.75</v>
      </c>
      <c r="E34" t="inlineStr">
        <is>
          <t>DCA3</t>
        </is>
      </c>
      <c r="M34">
        <f>($B$20/5)</f>
        <v/>
      </c>
      <c r="N34" s="56">
        <f>($C$20*Params!K16)</f>
        <v/>
      </c>
      <c r="O34" s="59">
        <f>(N34*M34)</f>
        <v/>
      </c>
    </row>
    <row r="35">
      <c r="B35" s="24">
        <f>0.00073-0.00000073</f>
        <v/>
      </c>
      <c r="C35" s="56">
        <f>(D35/B35)</f>
        <v/>
      </c>
      <c r="D35" s="56" t="n">
        <v>19.978567</v>
      </c>
      <c r="M35">
        <f>($B$20/5)</f>
        <v/>
      </c>
      <c r="N35" s="56">
        <f>($C$20*Params!K17)</f>
        <v/>
      </c>
      <c r="O35" s="59">
        <f>(N35*M35)</f>
        <v/>
      </c>
    </row>
    <row r="36">
      <c r="F36" t="inlineStr">
        <is>
          <t>Moy</t>
        </is>
      </c>
      <c r="G36" s="57">
        <f>(D37/B37)</f>
        <v/>
      </c>
      <c r="M36">
        <f>($B$20/5)</f>
        <v/>
      </c>
      <c r="N36" s="56">
        <f>($C$20*Params!K18)</f>
        <v/>
      </c>
      <c r="O36" s="59">
        <f>(N36*M36)</f>
        <v/>
      </c>
      <c r="R36">
        <f>(SUM(R5:R25))</f>
        <v/>
      </c>
      <c r="T36" s="56">
        <f>(SUM(T5:T25))</f>
        <v/>
      </c>
    </row>
    <row r="37">
      <c r="B37">
        <f>(SUM(B5:B36))</f>
        <v/>
      </c>
      <c r="D37" s="56">
        <f>(SUM(D5:D36))</f>
        <v/>
      </c>
    </row>
    <row r="38">
      <c r="O38" s="59">
        <f>(SUM(O33:O36))</f>
        <v/>
      </c>
    </row>
    <row r="39"/>
    <row r="40">
      <c r="M40" t="inlineStr">
        <is>
          <t>Qty to Buy</t>
        </is>
      </c>
      <c r="N40" t="inlineStr">
        <is>
          <t>Token Price</t>
        </is>
      </c>
      <c r="O40" t="inlineStr">
        <is>
          <t>Value</t>
        </is>
      </c>
    </row>
    <row r="41">
      <c r="L41" t="inlineStr">
        <is>
          <t>Objectif</t>
        </is>
      </c>
      <c r="M41">
        <f>(-B29)</f>
        <v/>
      </c>
      <c r="N41" s="56">
        <f>(C29)</f>
        <v/>
      </c>
      <c r="O41" s="59">
        <f>(N41*M41)</f>
        <v/>
      </c>
      <c r="P41" t="inlineStr">
        <is>
          <t>Done</t>
        </is>
      </c>
    </row>
    <row r="42">
      <c r="M42">
        <f>($B$22/5)</f>
        <v/>
      </c>
      <c r="N42" s="56">
        <f>($C$22*Params!K16)</f>
        <v/>
      </c>
      <c r="O42" s="59">
        <f>(N42*M42)</f>
        <v/>
      </c>
    </row>
    <row r="43">
      <c r="M43">
        <f>($B$22/5)</f>
        <v/>
      </c>
      <c r="N43" s="56">
        <f>($C$22*Params!K17)</f>
        <v/>
      </c>
      <c r="O43" s="59">
        <f>(N43*M43)</f>
        <v/>
      </c>
    </row>
    <row r="44">
      <c r="M44">
        <f>($B$22/5)</f>
        <v/>
      </c>
      <c r="N44" s="56">
        <f>($C$22*Params!K18)</f>
        <v/>
      </c>
      <c r="O44" s="59">
        <f>(N44*M44)</f>
        <v/>
      </c>
    </row>
    <row r="45"/>
    <row r="46">
      <c r="O46" s="59">
        <f>(SUM(O41:O44))</f>
        <v/>
      </c>
    </row>
    <row r="47"/>
    <row r="48">
      <c r="L48" t="inlineStr">
        <is>
          <t>DCA1</t>
        </is>
      </c>
      <c r="M48" t="inlineStr">
        <is>
          <t>Qty to Buy</t>
        </is>
      </c>
      <c r="N48" t="inlineStr">
        <is>
          <t>Token Price</t>
        </is>
      </c>
      <c r="O48" t="inlineStr">
        <is>
          <t>Value</t>
        </is>
      </c>
    </row>
    <row r="49">
      <c r="L49" t="inlineStr">
        <is>
          <t>Objectif</t>
        </is>
      </c>
      <c r="M49">
        <f>(-B32)</f>
        <v/>
      </c>
      <c r="N49" s="56">
        <f>(C32)</f>
        <v/>
      </c>
      <c r="O49" s="59">
        <f>(N49*M49)</f>
        <v/>
      </c>
      <c r="P49" t="inlineStr">
        <is>
          <t>Done</t>
        </is>
      </c>
    </row>
    <row r="50">
      <c r="M50">
        <f>(2*($R$19+M49)/5-M49)</f>
        <v/>
      </c>
      <c r="N50" s="56">
        <f>($S$19*Params!K16)</f>
        <v/>
      </c>
      <c r="O50" s="59">
        <f>(N50*M50)</f>
        <v/>
      </c>
    </row>
    <row r="51">
      <c r="M51">
        <f>($B$23/5)</f>
        <v/>
      </c>
      <c r="N51" s="56">
        <f>($S$19*Params!K17)</f>
        <v/>
      </c>
      <c r="O51" s="59">
        <f>(N51*M51)</f>
        <v/>
      </c>
    </row>
    <row r="52">
      <c r="M52">
        <f>($B$23/5)</f>
        <v/>
      </c>
      <c r="N52" s="56">
        <f>($S$19*Params!K18)</f>
        <v/>
      </c>
      <c r="O52" s="59">
        <f>(N52*M52)</f>
        <v/>
      </c>
    </row>
    <row r="53"/>
    <row r="54">
      <c r="O54" s="59">
        <f>(SUM(O49:O52))</f>
        <v/>
      </c>
    </row>
    <row r="55"/>
    <row r="56">
      <c r="L56" t="inlineStr">
        <is>
          <t>DCA2</t>
        </is>
      </c>
      <c r="M56" t="inlineStr">
        <is>
          <t>Qty to Buy</t>
        </is>
      </c>
      <c r="N56" t="inlineStr">
        <is>
          <t>Token Price</t>
        </is>
      </c>
      <c r="O56" t="inlineStr">
        <is>
          <t>Value</t>
        </is>
      </c>
    </row>
    <row r="57">
      <c r="L57" t="inlineStr">
        <is>
          <t>Objectif</t>
        </is>
      </c>
      <c r="M57">
        <f>(-B31)</f>
        <v/>
      </c>
      <c r="N57" s="56">
        <f>(C31)</f>
        <v/>
      </c>
      <c r="O57" s="59">
        <f>(N57*M57)</f>
        <v/>
      </c>
      <c r="P57" t="inlineStr">
        <is>
          <t>Done</t>
        </is>
      </c>
    </row>
    <row r="58">
      <c r="M58">
        <f>(2*($R$20+M57)/5-M57)</f>
        <v/>
      </c>
      <c r="N58" s="56">
        <f>($S$20*Params!K16)</f>
        <v/>
      </c>
      <c r="O58" s="59">
        <f>(N58*M58)</f>
        <v/>
      </c>
    </row>
    <row r="59">
      <c r="M59">
        <f>($B$24/5)</f>
        <v/>
      </c>
      <c r="N59" s="56">
        <f>($S$20*Params!K17)</f>
        <v/>
      </c>
      <c r="O59" s="59">
        <f>(N59*M59)</f>
        <v/>
      </c>
    </row>
    <row r="60">
      <c r="M60">
        <f>($B$24/5)</f>
        <v/>
      </c>
      <c r="N60" s="56">
        <f>($S$20*Params!K18)</f>
        <v/>
      </c>
      <c r="O60" s="59">
        <f>(N60*M60)</f>
        <v/>
      </c>
    </row>
    <row r="61"/>
    <row r="62">
      <c r="O62" s="59">
        <f>(SUM(O57:O60))</f>
        <v/>
      </c>
    </row>
    <row r="63"/>
    <row r="64">
      <c r="M64" t="inlineStr">
        <is>
          <t>Qty to Buy</t>
        </is>
      </c>
      <c r="N64" t="inlineStr">
        <is>
          <t>Token Price</t>
        </is>
      </c>
      <c r="O64" t="inlineStr">
        <is>
          <t>Value</t>
        </is>
      </c>
    </row>
    <row r="65">
      <c r="L65" t="inlineStr">
        <is>
          <t>Objectif</t>
        </is>
      </c>
      <c r="M65">
        <f>($B$25/5)</f>
        <v/>
      </c>
      <c r="N65" s="56">
        <f>(C30)</f>
        <v/>
      </c>
      <c r="O65" s="59">
        <f>(N65*M65)</f>
        <v/>
      </c>
      <c r="P65" t="inlineStr">
        <is>
          <t>Done</t>
        </is>
      </c>
    </row>
    <row r="66">
      <c r="M66">
        <f>($B$25/5)</f>
        <v/>
      </c>
      <c r="N66" s="56">
        <f>($C$25*Params!K16)</f>
        <v/>
      </c>
      <c r="O66" s="59">
        <f>(N66*M66)</f>
        <v/>
      </c>
    </row>
    <row r="67">
      <c r="M67">
        <f>($B$25/5)</f>
        <v/>
      </c>
      <c r="N67" s="56">
        <f>($C$25*Params!K17)</f>
        <v/>
      </c>
      <c r="O67" s="59">
        <f>(N67*M67)</f>
        <v/>
      </c>
    </row>
    <row r="68">
      <c r="M68">
        <f>($B$25/5)</f>
        <v/>
      </c>
      <c r="N68" s="56">
        <f>($C$25*Params!K18)</f>
        <v/>
      </c>
      <c r="O68" s="59">
        <f>(N68*M68)</f>
        <v/>
      </c>
    </row>
    <row r="69"/>
    <row r="70">
      <c r="O70" s="59">
        <f>(SUM(O65:O68))</f>
        <v/>
      </c>
    </row>
    <row r="71"/>
    <row r="72">
      <c r="L72" t="inlineStr">
        <is>
          <t>DCA 3</t>
        </is>
      </c>
      <c r="M72" t="inlineStr">
        <is>
          <t>Qty to Buy</t>
        </is>
      </c>
      <c r="N72" t="inlineStr">
        <is>
          <t>Token Price</t>
        </is>
      </c>
      <c r="O72" t="inlineStr">
        <is>
          <t>Value</t>
        </is>
      </c>
    </row>
    <row r="73">
      <c r="L73" t="inlineStr">
        <is>
          <t>Objectif</t>
        </is>
      </c>
      <c r="M73">
        <f>($R$24/5)</f>
        <v/>
      </c>
      <c r="N73" s="56">
        <f>($S$24*Params!K15)</f>
        <v/>
      </c>
      <c r="O73" s="59">
        <f>(N73*M73)</f>
        <v/>
      </c>
    </row>
    <row r="74">
      <c r="M74">
        <f>($R$24/5)</f>
        <v/>
      </c>
      <c r="N74" s="56">
        <f>($S$24*Params!K16)</f>
        <v/>
      </c>
      <c r="O74" s="59">
        <f>(N74*M74)</f>
        <v/>
      </c>
    </row>
    <row r="75">
      <c r="M75">
        <f>($R$24/5)</f>
        <v/>
      </c>
      <c r="N75" s="56">
        <f>($S$24*Params!K17)</f>
        <v/>
      </c>
      <c r="O75" s="59">
        <f>(N75*M75)</f>
        <v/>
      </c>
    </row>
    <row r="76">
      <c r="M76">
        <f>($R$24/5)</f>
        <v/>
      </c>
      <c r="N76" s="56">
        <f>($S$24*Params!K18)</f>
        <v/>
      </c>
      <c r="O76" s="59">
        <f>(N76*M76)</f>
        <v/>
      </c>
    </row>
    <row r="77"/>
    <row r="78">
      <c r="O78" s="59">
        <f>(SUM(O73:O76))</f>
        <v/>
      </c>
    </row>
  </sheetData>
  <conditionalFormatting sqref="C5 C7:C17 C19:C20 C22:C25 C34:C35 G36 N10:N12 N20 N26:N28 N34 S5 S7:S21 S24">
    <cfRule type="cellIs" priority="45" operator="lessThan" dxfId="1">
      <formula>$J$3</formula>
    </cfRule>
    <cfRule type="cellIs" priority="46" operator="greaterThan" dxfId="0">
      <formula>$J$3</formula>
    </cfRule>
  </conditionalFormatting>
  <conditionalFormatting sqref="N35:N36">
    <cfRule type="cellIs" priority="19" operator="lessThan" dxfId="1">
      <formula>$J$3</formula>
    </cfRule>
    <cfRule type="cellIs" priority="20" operator="greaterThan" dxfId="0">
      <formula>$J$3</formula>
    </cfRule>
  </conditionalFormatting>
  <conditionalFormatting sqref="N42:N44">
    <cfRule type="cellIs" priority="17" operator="lessThan" dxfId="1">
      <formula>$J$3</formula>
    </cfRule>
    <cfRule type="cellIs" priority="18" operator="greaterThan" dxfId="0">
      <formula>$J$3</formula>
    </cfRule>
  </conditionalFormatting>
  <conditionalFormatting sqref="N50:N52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N58:N60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6:N68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N73:N7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4">
    <cfRule type="cellIs" priority="1" operator="greaterThan" dxfId="1">
      <formula>$J$3</formula>
    </cfRule>
    <cfRule type="cellIs" priority="2" operator="lessThan" dxfId="0">
      <formula>$J$3</formula>
    </cfRule>
  </conditionalFormatting>
  <pageMargins left="0.75" right="0.75" top="1" bottom="1" header="0.5" footer="0.5"/>
</worksheet>
</file>

<file path=xl/worksheets/sheet20.xml><?xml version="1.0" encoding="utf-8"?>
<worksheet xmlns="http://schemas.openxmlformats.org/spreadsheetml/2006/main">
  <sheetPr>
    <outlinePr summaryBelow="1" summaryRight="1"/>
    <pageSetUpPr/>
  </sheetPr>
  <dimension ref="B1:U22"/>
  <sheetViews>
    <sheetView workbookViewId="0">
      <selection activeCell="M1" sqref="M1:P3"/>
    </sheetView>
  </sheetViews>
  <sheetFormatPr baseColWidth="10" defaultColWidth="9.140625" defaultRowHeight="15"/>
  <cols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140625" customWidth="1" style="14" min="18" max="21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13.61691574614531</v>
      </c>
      <c r="M3" t="inlineStr">
        <is>
          <t>Objectif :</t>
        </is>
      </c>
      <c r="N3" s="24">
        <f>(INDEX(N5:N16,MATCH(MAX(O6:O7),O5:O16,0))/0.9)</f>
        <v/>
      </c>
      <c r="O3" s="57">
        <f>(MAX(O6:O8)*0.85)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(B11*J3)</f>
        <v/>
      </c>
      <c r="K4" s="4">
        <f>(J4/D11-1)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1.30836553</v>
      </c>
      <c r="C5" s="56">
        <f>(D5/B5)</f>
        <v/>
      </c>
      <c r="D5" s="56" t="n">
        <v>9.029999999999999</v>
      </c>
      <c r="E5" t="inlineStr">
        <is>
          <t>DCA4</t>
        </is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0.00223508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4">
        <f>-B7</f>
        <v/>
      </c>
      <c r="O6" s="56">
        <f>9.45</f>
        <v/>
      </c>
      <c r="P6" s="56">
        <f>-D7</f>
        <v/>
      </c>
      <c r="Q6" t="inlineStr">
        <is>
          <t>Done</t>
        </is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-0.25</v>
      </c>
      <c r="C7" s="56">
        <f>D7/B7</f>
        <v/>
      </c>
      <c r="D7" s="56">
        <f>-2.54970727</f>
        <v/>
      </c>
      <c r="N7" s="24">
        <f>2*($B$5/5)-N6</f>
        <v/>
      </c>
      <c r="O7" s="56">
        <f>C8</f>
        <v/>
      </c>
      <c r="P7" s="56">
        <f>(O7*N7)</f>
        <v/>
      </c>
      <c r="Q7" t="inlineStr">
        <is>
          <t>Done</t>
        </is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-0.27</v>
      </c>
      <c r="C8" s="56">
        <f>D8/B8</f>
        <v/>
      </c>
      <c r="D8" s="56" t="n">
        <v>-3.09156748</v>
      </c>
      <c r="N8" s="24">
        <f>-B9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1">
        <f>B8</f>
        <v/>
      </c>
      <c r="S8" s="56">
        <f>(T8/R8)</f>
        <v/>
      </c>
      <c r="T8" s="56">
        <f>D8</f>
        <v/>
      </c>
      <c r="U8" s="57" t="n"/>
    </row>
    <row r="9">
      <c r="B9" s="1" t="n">
        <v>-0.2616</v>
      </c>
      <c r="C9" s="56">
        <f>D9/B9</f>
        <v/>
      </c>
      <c r="D9" s="56">
        <f>-4.0102794</f>
        <v/>
      </c>
      <c r="N9" s="24">
        <f>4*($B$5+B6)/5-N8-N7-N6</f>
        <v/>
      </c>
      <c r="O9" s="56">
        <f>($C$5*Params!K11)</f>
        <v/>
      </c>
      <c r="P9" s="56">
        <f>(O9*N9)</f>
        <v/>
      </c>
      <c r="R9" s="1">
        <f>B9</f>
        <v/>
      </c>
      <c r="S9" s="56">
        <f>(T9/R9)</f>
        <v/>
      </c>
      <c r="T9" s="56">
        <f>D9</f>
        <v/>
      </c>
      <c r="U9" s="57" t="n"/>
    </row>
    <row r="10">
      <c r="C10" s="56" t="n"/>
      <c r="D10" s="56" t="n"/>
      <c r="F10" t="inlineStr">
        <is>
          <t>Moy</t>
        </is>
      </c>
      <c r="G10" s="56">
        <f>(D11/B11)</f>
        <v/>
      </c>
      <c r="O10" s="56" t="n"/>
      <c r="P10" s="56" t="n"/>
      <c r="R10" s="1" t="n"/>
      <c r="S10" s="56" t="n"/>
      <c r="T10" s="56" t="n"/>
      <c r="U10" s="57" t="n"/>
    </row>
    <row r="11">
      <c r="B11">
        <f>(SUM(B5:B10))</f>
        <v/>
      </c>
      <c r="C11" s="56" t="n"/>
      <c r="D11" s="56">
        <f>(SUM(D5:D10))</f>
        <v/>
      </c>
      <c r="O11" s="56" t="n"/>
      <c r="P11" s="56">
        <f>(SUM(P6:P9))</f>
        <v/>
      </c>
      <c r="R11" s="1" t="n"/>
      <c r="S11" s="56" t="n"/>
      <c r="T11" s="57" t="n"/>
    </row>
    <row r="12"/>
    <row r="13"/>
    <row r="14"/>
    <row r="15"/>
    <row r="16"/>
    <row r="17"/>
    <row r="18"/>
    <row r="19"/>
    <row r="20"/>
    <row r="21"/>
    <row r="22">
      <c r="R22">
        <f>(SUM(R5:R21))</f>
        <v/>
      </c>
      <c r="T22" s="56">
        <f>(SUM(T5:T21))</f>
        <v/>
      </c>
    </row>
  </sheetData>
  <conditionalFormatting sqref="C5 G10 O9 S5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3" operator="greaterThan" dxfId="1">
      <formula>$J$3</formula>
    </cfRule>
    <cfRule type="cellIs" priority="4" operator="lessThan" dxfId="0">
      <formula>$J$3</formula>
    </cfRule>
  </conditionalFormatting>
  <pageMargins left="0.75" right="0.75" top="1" bottom="1" header="0.5" footer="0.5"/>
</worksheet>
</file>

<file path=xl/worksheets/sheet21.xml><?xml version="1.0" encoding="utf-8"?>
<worksheet xmlns="http://schemas.openxmlformats.org/spreadsheetml/2006/main">
  <sheetPr>
    <outlinePr summaryBelow="1" summaryRight="1"/>
    <pageSetUpPr/>
  </sheetPr>
  <dimension ref="B1:U35"/>
  <sheetViews>
    <sheetView workbookViewId="0">
      <selection activeCell="D10" activeCellId="1" sqref="D8 D10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66.66556649440845</v>
      </c>
      <c r="M3" t="inlineStr">
        <is>
          <t>Objectif :</t>
        </is>
      </c>
      <c r="N3" s="24">
        <f>(INDEX(N5:N15,MATCH(MAX(O6),O5:O15,0))/0.9)</f>
        <v/>
      </c>
      <c r="O3" s="57">
        <f>(MAX(O6)*0.85)</f>
        <v/>
      </c>
      <c r="P3" s="35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(B15*J3)</f>
        <v/>
      </c>
      <c r="K4" s="4">
        <f>(J4/D15-1)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0.00760667</v>
      </c>
      <c r="C5" s="56">
        <f>(D5/B5)</f>
        <v/>
      </c>
      <c r="D5" s="56" t="n">
        <v>0.5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2" t="n">
        <v>0.00102861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69">
        <f>(SUM(R$5:R$8)/5)</f>
        <v/>
      </c>
      <c r="O6" s="56">
        <f>($C$7*Params!K8)</f>
        <v/>
      </c>
      <c r="P6" s="56">
        <f>(O6*N6)</f>
        <v/>
      </c>
      <c r="R6" s="2">
        <f>(B6)</f>
        <v/>
      </c>
      <c r="S6" s="58">
        <f>(T6/R6)</f>
        <v/>
      </c>
      <c r="T6" s="26">
        <f>(D6)</f>
        <v/>
      </c>
    </row>
    <row r="7">
      <c r="B7" s="1" t="n">
        <v>0.144855</v>
      </c>
      <c r="C7" s="56">
        <f>(D7/B7)</f>
        <v/>
      </c>
      <c r="D7" s="56" t="n">
        <v>9.9673</v>
      </c>
      <c r="N7" s="69">
        <f>(SUM(R$5:R$8)/5)</f>
        <v/>
      </c>
      <c r="O7" s="56">
        <f>($C$7*Params!K9)</f>
        <v/>
      </c>
      <c r="P7" s="56">
        <f>(O7*N7)</f>
        <v/>
      </c>
      <c r="R7" s="1">
        <f>(B7)</f>
        <v/>
      </c>
      <c r="S7" s="56">
        <f>(T7/R7)</f>
        <v/>
      </c>
      <c r="T7" s="56">
        <f>(D7)</f>
        <v/>
      </c>
    </row>
    <row r="8">
      <c r="B8" s="1" t="n">
        <v>-0.0305107</v>
      </c>
      <c r="C8" s="56">
        <f>(D8/B8)</f>
        <v/>
      </c>
      <c r="D8" s="56" t="n">
        <v>-2.78264645</v>
      </c>
      <c r="N8" s="69">
        <f>(SUM(R$5:R$8)/5)</f>
        <v/>
      </c>
      <c r="O8" s="56">
        <f>($C$7*Params!K10)</f>
        <v/>
      </c>
      <c r="P8" s="56">
        <f>(O8*N8)</f>
        <v/>
      </c>
      <c r="R8" s="1">
        <f>(B8+B9)+B11+B12+B10+B13</f>
        <v/>
      </c>
      <c r="S8" s="56" t="n">
        <v>0</v>
      </c>
      <c r="T8" s="56">
        <f>(D8+D9)+D11+D12+D10+D13</f>
        <v/>
      </c>
      <c r="U8" s="57">
        <f>R8*J3-T8</f>
        <v/>
      </c>
    </row>
    <row r="9">
      <c r="B9" s="1" t="n">
        <v>0.03383532</v>
      </c>
      <c r="C9" s="56">
        <f>(D9/B9)</f>
        <v/>
      </c>
      <c r="D9" s="56" t="n">
        <v>2.62</v>
      </c>
      <c r="N9" s="69">
        <f>(SUM(R$5:R$8)/5)</f>
        <v/>
      </c>
      <c r="O9" s="56">
        <f>($C$7*Params!K11)</f>
        <v/>
      </c>
      <c r="P9" s="56">
        <f>(O9*N9)</f>
        <v/>
      </c>
      <c r="R9" s="1" t="n"/>
      <c r="S9" s="56" t="n"/>
      <c r="T9" s="56" t="n"/>
      <c r="U9" s="57" t="n"/>
    </row>
    <row r="10">
      <c r="B10" s="1" t="n">
        <v>-0.031254</v>
      </c>
      <c r="C10" s="56">
        <f>(D10/B10)</f>
        <v/>
      </c>
      <c r="D10" s="56" t="n">
        <v>-2.85198602</v>
      </c>
      <c r="O10" s="56" t="n"/>
      <c r="P10" s="56" t="n"/>
      <c r="R10" s="1" t="n"/>
      <c r="S10" s="56" t="n"/>
      <c r="T10" s="57" t="n"/>
    </row>
    <row r="11">
      <c r="B11" s="1" t="n">
        <v>-0.031261</v>
      </c>
      <c r="C11" s="56">
        <f>(D11/B11)</f>
        <v/>
      </c>
      <c r="D11" s="56" t="n">
        <v>-3.46678924</v>
      </c>
      <c r="O11" s="56" t="n"/>
      <c r="P11" s="56">
        <f>(SUM(P6:P9))</f>
        <v/>
      </c>
    </row>
    <row r="12">
      <c r="B12" s="1" t="n">
        <v>0.03471228</v>
      </c>
      <c r="C12" s="56">
        <f>(D12/B12)</f>
        <v/>
      </c>
      <c r="D12" s="56" t="n">
        <v>3.26</v>
      </c>
      <c r="O12" s="56" t="n"/>
      <c r="P12" s="56" t="n"/>
    </row>
    <row r="13">
      <c r="B13" s="1" t="n">
        <v>0.03497402</v>
      </c>
      <c r="C13" s="56">
        <f>(D13/B13)</f>
        <v/>
      </c>
      <c r="D13" s="56" t="n">
        <v>2.693</v>
      </c>
      <c r="O13" s="56" t="n"/>
      <c r="P13" s="56" t="n"/>
    </row>
    <row r="14">
      <c r="F14" t="inlineStr">
        <is>
          <t>Moy</t>
        </is>
      </c>
      <c r="G14" s="56">
        <f>(D15/B15)</f>
        <v/>
      </c>
    </row>
    <row r="15">
      <c r="B15" s="1">
        <f>(SUM(B5:B14))</f>
        <v/>
      </c>
      <c r="D15" s="56">
        <f>(SUM(D5:D14))</f>
        <v/>
      </c>
    </row>
    <row r="16"/>
    <row r="17"/>
    <row r="18"/>
    <row r="19"/>
    <row r="20"/>
    <row r="21">
      <c r="R21">
        <f>(SUM(R5:R20))</f>
        <v/>
      </c>
      <c r="T21" s="56">
        <f>(SUM(T5:T20))</f>
        <v/>
      </c>
    </row>
    <row r="22"/>
    <row r="23"/>
    <row r="24"/>
    <row r="25"/>
    <row r="26"/>
    <row r="27"/>
    <row r="28"/>
    <row r="29"/>
    <row r="30"/>
    <row r="31"/>
    <row r="32"/>
    <row r="33"/>
    <row r="34"/>
    <row r="35">
      <c r="I35" s="57" t="n"/>
    </row>
  </sheetData>
  <conditionalFormatting sqref="C5 C7 O6:O9 S5 S7">
    <cfRule type="cellIs" priority="21" operator="lessThan" dxfId="1">
      <formula>$J$3</formula>
    </cfRule>
    <cfRule type="cellIs" priority="22" operator="greaterThan" dxfId="0">
      <formula>$J$3</formula>
    </cfRule>
  </conditionalFormatting>
  <conditionalFormatting sqref="C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3">
    <cfRule type="cellIs" priority="7" operator="greaterThan" dxfId="1">
      <formula>$J$3</formula>
    </cfRule>
    <cfRule type="cellIs" priority="8" operator="lessThan" dxfId="0">
      <formula>$J$3</formula>
    </cfRule>
  </conditionalFormatting>
  <conditionalFormatting sqref="C12:C1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7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4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2.xml><?xml version="1.0" encoding="utf-8"?>
<worksheet xmlns="http://schemas.openxmlformats.org/spreadsheetml/2006/main">
  <sheetPr>
    <outlinePr summaryBelow="1" summaryRight="1"/>
    <pageSetUpPr/>
  </sheetPr>
  <dimension ref="B1:J20"/>
  <sheetViews>
    <sheetView workbookViewId="0">
      <selection activeCell="E25" sqref="E25"/>
    </sheetView>
  </sheetViews>
  <sheetFormatPr baseColWidth="10" defaultColWidth="9.140625" defaultRowHeight="15"/>
  <cols>
    <col width="9.28515625" bestFit="1" customWidth="1" style="14" min="2" max="2"/>
    <col width="10.28515625" bestFit="1" customWidth="1" style="14" min="4" max="4"/>
    <col width="12.42578125" bestFit="1" customWidth="1" style="14" min="9" max="9"/>
  </cols>
  <sheetData>
    <row r="1"/>
    <row r="2"/>
    <row r="3">
      <c r="I3" t="inlineStr">
        <is>
          <t>Actual Price :</t>
        </is>
      </c>
      <c r="J3" s="56" t="n">
        <v>0.5704341203046538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(B20*J3)</f>
        <v/>
      </c>
    </row>
    <row r="5">
      <c r="B5" t="n">
        <v>3.25270461</v>
      </c>
      <c r="C5" s="56" t="n">
        <v>0</v>
      </c>
      <c r="D5" s="56">
        <f>(B5*C5)</f>
        <v/>
      </c>
    </row>
    <row r="6">
      <c r="B6" s="70" t="n">
        <v>0.0542821</v>
      </c>
      <c r="C6" s="58" t="n">
        <v>0</v>
      </c>
      <c r="D6" s="26">
        <f>(B6*C6)</f>
        <v/>
      </c>
      <c r="E6" s="56">
        <f>(B6*J3)</f>
        <v/>
      </c>
    </row>
    <row r="7">
      <c r="B7" s="69">
        <f>-3.25700016-0.002</f>
        <v/>
      </c>
      <c r="C7" s="56">
        <f>(D7/B7)</f>
        <v/>
      </c>
      <c r="D7" s="56" t="n">
        <v>-5.39743191</v>
      </c>
    </row>
    <row r="8">
      <c r="B8" t="n">
        <v>0.31639059</v>
      </c>
      <c r="C8" s="56" t="n">
        <v>0</v>
      </c>
      <c r="D8" s="56">
        <f>(B8*C8)</f>
        <v/>
      </c>
    </row>
    <row r="9">
      <c r="B9" t="n">
        <v>0.31639059</v>
      </c>
      <c r="C9" s="56" t="n">
        <v>0</v>
      </c>
      <c r="D9" s="56">
        <f>(B9*C9)</f>
        <v/>
      </c>
    </row>
    <row r="10">
      <c r="B10" t="n">
        <v>0.31639059</v>
      </c>
      <c r="C10" s="56" t="n">
        <v>0</v>
      </c>
      <c r="D10" s="56">
        <f>(B10*C10)</f>
        <v/>
      </c>
    </row>
    <row r="11">
      <c r="B11" t="n">
        <v>0.31639059</v>
      </c>
      <c r="C11" s="56" t="n">
        <v>0</v>
      </c>
      <c r="D11" s="56">
        <f>(B11*C11)</f>
        <v/>
      </c>
    </row>
    <row r="12">
      <c r="B12" t="n">
        <v>0.31639059</v>
      </c>
      <c r="C12" s="56" t="n">
        <v>0</v>
      </c>
      <c r="D12" s="56">
        <f>(B12*C12)</f>
        <v/>
      </c>
    </row>
    <row r="13">
      <c r="B13" t="n">
        <v>0.31639059</v>
      </c>
      <c r="C13" s="56" t="n">
        <v>0</v>
      </c>
      <c r="D13" s="56">
        <f>(B13*C13)</f>
        <v/>
      </c>
    </row>
    <row r="14">
      <c r="B14" t="n">
        <v>0.31639059</v>
      </c>
      <c r="C14" s="56" t="n">
        <v>0</v>
      </c>
      <c r="D14" s="56">
        <f>(B14*C14)</f>
        <v/>
      </c>
    </row>
    <row r="15">
      <c r="B15" t="n">
        <v>0.31639059</v>
      </c>
      <c r="C15" s="56" t="n">
        <v>0</v>
      </c>
      <c r="D15" s="56">
        <f>(B15*C15)</f>
        <v/>
      </c>
    </row>
    <row r="16">
      <c r="B16" t="n">
        <v>0.31639059</v>
      </c>
      <c r="C16" s="56" t="n">
        <v>0</v>
      </c>
      <c r="D16" s="56">
        <f>(B16*C16)</f>
        <v/>
      </c>
    </row>
    <row r="17">
      <c r="B17" t="n">
        <v>0.31639059</v>
      </c>
      <c r="C17" s="56" t="n">
        <v>0</v>
      </c>
      <c r="D17" s="56">
        <f>(B17*C17)</f>
        <v/>
      </c>
    </row>
    <row r="18">
      <c r="B18" t="n">
        <v>0.31639059</v>
      </c>
      <c r="C18" s="56" t="n">
        <v>0</v>
      </c>
      <c r="D18" s="56">
        <f>(B18*C18)</f>
        <v/>
      </c>
    </row>
    <row r="19"/>
    <row r="20">
      <c r="B20">
        <f>(SUM(B5:B19))</f>
        <v/>
      </c>
      <c r="D20" s="56">
        <f>(SUM(D5:D19))</f>
        <v/>
      </c>
    </row>
  </sheetData>
  <pageMargins left="0.75" right="0.75" top="1" bottom="1" header="0.5" footer="0.5"/>
  <pageSetup orientation="portrait"/>
</worksheet>
</file>

<file path=xl/worksheets/sheet23.xml><?xml version="1.0" encoding="utf-8"?>
<worksheet xmlns="http://schemas.openxmlformats.org/spreadsheetml/2006/main">
  <sheetPr>
    <outlinePr summaryBelow="1" summaryRight="1"/>
    <pageSetUpPr/>
  </sheetPr>
  <dimension ref="B1:T37"/>
  <sheetViews>
    <sheetView workbookViewId="0">
      <selection activeCell="B19" sqref="B19"/>
    </sheetView>
  </sheetViews>
  <sheetFormatPr baseColWidth="10" defaultColWidth="9.140625" defaultRowHeight="15"/>
  <cols>
    <col width="12.7109375" bestFit="1" customWidth="1" style="14" min="2" max="2"/>
    <col width="13" bestFit="1" customWidth="1" style="14" min="3" max="3"/>
    <col width="11.7109375" bestFit="1" customWidth="1" style="14" min="7" max="7"/>
    <col width="12.42578125" bestFit="1" customWidth="1" style="14" min="9" max="9"/>
    <col width="11" bestFit="1" customWidth="1" style="14" min="10" max="10"/>
    <col width="11.28515625" bestFit="1" customWidth="1" style="14" min="14" max="14"/>
    <col width="11.5703125" bestFit="1" customWidth="1" style="14" min="15" max="15"/>
    <col width="12" bestFit="1" customWidth="1" style="14" min="18" max="18"/>
    <col width="13" bestFit="1" customWidth="1" style="14" min="19" max="19"/>
  </cols>
  <sheetData>
    <row r="1"/>
    <row r="2"/>
    <row r="3">
      <c r="I3" t="inlineStr">
        <is>
          <t>Actual Price :</t>
        </is>
      </c>
      <c r="J3" s="28" t="n">
        <v>6.986665555040615e-05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(B37*J3)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0.2363634506</v>
      </c>
      <c r="C5" s="28" t="n">
        <v>115.55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  <c r="R5" s="29">
        <f>(B5)</f>
        <v/>
      </c>
      <c r="S5" s="28" t="n">
        <v>115.55</v>
      </c>
      <c r="T5" s="56">
        <f>(R5*S5)</f>
        <v/>
      </c>
    </row>
    <row r="6">
      <c r="B6" s="29" t="n">
        <v>0.3</v>
      </c>
      <c r="C6" s="28" t="n">
        <v>91.3</v>
      </c>
      <c r="D6" s="56">
        <f>(B6*C6)</f>
        <v/>
      </c>
      <c r="M6" t="inlineStr">
        <is>
          <t>Objectif :</t>
        </is>
      </c>
      <c r="N6" s="68">
        <f>(MIN(C5:C8,C14:C16)*2)</f>
        <v/>
      </c>
      <c r="O6">
        <f>(INDEX(B5:B17,MATCH(N6/2,C5:C17,0)))</f>
        <v/>
      </c>
      <c r="P6" s="56">
        <f>(O6*N6/2)</f>
        <v/>
      </c>
      <c r="R6" s="29">
        <f>(B6)</f>
        <v/>
      </c>
      <c r="S6" s="28" t="n">
        <v>91.3</v>
      </c>
      <c r="T6" s="56">
        <f>(R6*S6)</f>
        <v/>
      </c>
    </row>
    <row r="7">
      <c r="B7" s="29" t="n">
        <v>2.79041387</v>
      </c>
      <c r="C7" s="28" t="n">
        <v>6.5</v>
      </c>
      <c r="D7" s="56">
        <f>(B7*C7)</f>
        <v/>
      </c>
      <c r="R7" s="29">
        <f>(B7)</f>
        <v/>
      </c>
      <c r="S7" s="28" t="n">
        <v>6.5</v>
      </c>
      <c r="T7" s="56">
        <f>(R7*S7)</f>
        <v/>
      </c>
    </row>
    <row r="8">
      <c r="B8" s="29" t="n">
        <v>722</v>
      </c>
      <c r="C8" s="28">
        <f>(D8/B8)</f>
        <v/>
      </c>
      <c r="D8" s="56" t="n">
        <v>15</v>
      </c>
      <c r="N8" t="inlineStr">
        <is>
          <t>Token Price</t>
        </is>
      </c>
      <c r="O8" t="inlineStr">
        <is>
          <t>Qty to Sell</t>
        </is>
      </c>
      <c r="P8" t="inlineStr">
        <is>
          <t>Value</t>
        </is>
      </c>
      <c r="R8" s="29">
        <f>(B8)</f>
        <v/>
      </c>
      <c r="S8" s="28">
        <f>(T8/R8)</f>
        <v/>
      </c>
      <c r="T8" s="56" t="n">
        <v>15</v>
      </c>
    </row>
    <row r="9">
      <c r="B9" s="29">
        <f>(891400)</f>
        <v/>
      </c>
      <c r="C9" s="28">
        <f>(D9/B9)</f>
        <v/>
      </c>
      <c r="D9" s="56" t="n">
        <v>10</v>
      </c>
      <c r="M9" t="inlineStr">
        <is>
          <t>Objectif :</t>
        </is>
      </c>
      <c r="N9" s="68">
        <f>(C35*1.1)</f>
        <v/>
      </c>
      <c r="O9" s="21">
        <f>(B35/1.1)</f>
        <v/>
      </c>
      <c r="P9" s="56">
        <f>(O9*N9)</f>
        <v/>
      </c>
      <c r="R9" s="29">
        <f>(B9)</f>
        <v/>
      </c>
      <c r="S9" s="28">
        <f>(T9/R9)</f>
        <v/>
      </c>
      <c r="T9" s="56" t="n">
        <v>10</v>
      </c>
    </row>
    <row r="10">
      <c r="B10" s="29" t="n">
        <v>-200000</v>
      </c>
      <c r="C10" s="28">
        <f>(D10/B10)</f>
        <v/>
      </c>
      <c r="D10" s="56" t="n">
        <v>-12</v>
      </c>
      <c r="N10" s="28" t="n"/>
      <c r="R10" s="29">
        <f>(B10)</f>
        <v/>
      </c>
      <c r="S10" s="28">
        <f>(T10/R10)</f>
        <v/>
      </c>
      <c r="T10" s="56" t="n">
        <v>-12</v>
      </c>
    </row>
    <row r="11">
      <c r="B11" s="29" t="n">
        <v>-43873</v>
      </c>
      <c r="C11" s="28">
        <f>(D11/B11)</f>
        <v/>
      </c>
      <c r="D11" s="56" t="n">
        <v>-10</v>
      </c>
      <c r="R11" s="29">
        <f>(B11)</f>
        <v/>
      </c>
      <c r="S11" s="28">
        <f>(T11/R11)</f>
        <v/>
      </c>
      <c r="T11" s="56" t="n">
        <v>-10</v>
      </c>
    </row>
    <row r="12">
      <c r="B12" s="29" t="n">
        <v>-20000</v>
      </c>
      <c r="C12" s="28">
        <f>(D12/B12)</f>
        <v/>
      </c>
      <c r="D12" s="56" t="n">
        <v>-10</v>
      </c>
      <c r="R12" s="29">
        <f>(B12)</f>
        <v/>
      </c>
      <c r="S12" s="28">
        <f>(T12/R12)</f>
        <v/>
      </c>
      <c r="T12" s="56" t="n">
        <v>-10</v>
      </c>
    </row>
    <row r="13">
      <c r="B13" s="29" t="n">
        <v>-66800</v>
      </c>
      <c r="C13" s="28">
        <f>(D13/B13)</f>
        <v/>
      </c>
      <c r="D13" s="56" t="n">
        <v>-33.4</v>
      </c>
      <c r="R13" s="29">
        <f>(B13+B14+B15+B16)</f>
        <v/>
      </c>
      <c r="S13" s="28">
        <f>(T13/R13)</f>
        <v/>
      </c>
      <c r="T13" s="56">
        <f>(D13+D15+D14+D16)</f>
        <v/>
      </c>
    </row>
    <row r="14">
      <c r="B14" s="29" t="n">
        <v>22223</v>
      </c>
      <c r="C14" s="28">
        <f>(D14/B14)</f>
        <v/>
      </c>
      <c r="D14" s="56" t="n">
        <v>10.00035</v>
      </c>
      <c r="R14" s="29">
        <f>(B17)</f>
        <v/>
      </c>
      <c r="S14" s="28" t="n">
        <v>0.0001</v>
      </c>
      <c r="T14" s="56">
        <f>(S14*R14)</f>
        <v/>
      </c>
    </row>
    <row r="15">
      <c r="B15" s="29" t="n">
        <v>48000</v>
      </c>
      <c r="C15" s="28">
        <f>(D15/B15)</f>
        <v/>
      </c>
      <c r="D15" s="56" t="n">
        <v>18</v>
      </c>
      <c r="R15" s="29">
        <f>(B18)</f>
        <v/>
      </c>
      <c r="S15" s="28" t="n">
        <v>0</v>
      </c>
      <c r="T15" s="56">
        <f>(R15*S15)</f>
        <v/>
      </c>
    </row>
    <row r="16">
      <c r="B16" s="29" t="n">
        <v>40000</v>
      </c>
      <c r="C16" s="28">
        <f>(D16/B16)</f>
        <v/>
      </c>
      <c r="D16" s="56" t="n">
        <v>10</v>
      </c>
      <c r="R16" s="29">
        <f>(B19)</f>
        <v/>
      </c>
      <c r="S16" s="28" t="n">
        <v>0.0001829</v>
      </c>
      <c r="T16" s="56">
        <f>(S16*R16)</f>
        <v/>
      </c>
    </row>
    <row r="17">
      <c r="B17" s="29" t="n">
        <v>-150000</v>
      </c>
      <c r="C17" s="28" t="n">
        <v>0.0001</v>
      </c>
      <c r="D17" s="56">
        <f>(C17*B17)</f>
        <v/>
      </c>
      <c r="R17" s="29">
        <f>(B20)</f>
        <v/>
      </c>
      <c r="S17" s="28" t="n">
        <v>0.0001828</v>
      </c>
      <c r="T17" s="56">
        <f>(S17*R17)</f>
        <v/>
      </c>
    </row>
    <row r="18">
      <c r="B18" s="36" t="n">
        <v>4741.42826397</v>
      </c>
      <c r="C18" s="58" t="n">
        <v>0</v>
      </c>
      <c r="D18" s="26">
        <f>(B18*C18)</f>
        <v/>
      </c>
      <c r="E18" s="56">
        <f>(B18*J3)</f>
        <v/>
      </c>
      <c r="R18" s="29">
        <f>(B21)</f>
        <v/>
      </c>
      <c r="S18" s="28">
        <f>(T18/R18)</f>
        <v/>
      </c>
      <c r="T18" s="56" t="n">
        <v>-10.875</v>
      </c>
    </row>
    <row r="19">
      <c r="B19" s="29" t="n">
        <v>-60293.19</v>
      </c>
      <c r="C19" s="28" t="n">
        <v>0.0001829</v>
      </c>
      <c r="D19" s="56">
        <f>(C19*B19)</f>
        <v/>
      </c>
      <c r="R19" s="29">
        <f>(B22)</f>
        <v/>
      </c>
      <c r="S19" s="28">
        <f>(T19/R19)</f>
        <v/>
      </c>
      <c r="T19" s="56" t="n">
        <v>-15.777</v>
      </c>
    </row>
    <row r="20">
      <c r="B20" s="29" t="n">
        <v>-41141.35</v>
      </c>
      <c r="C20" s="28" t="n">
        <v>0.0001828</v>
      </c>
      <c r="D20" s="56">
        <f>(C20*B20)</f>
        <v/>
      </c>
      <c r="R20" s="29">
        <f>(B23)</f>
        <v/>
      </c>
      <c r="S20" s="28">
        <f>(T20/R20)</f>
        <v/>
      </c>
      <c r="T20" s="56" t="n">
        <v>-12.7</v>
      </c>
    </row>
    <row r="21">
      <c r="B21" s="29" t="n">
        <v>-26969.34</v>
      </c>
      <c r="C21" s="28">
        <f>(D21/B21)</f>
        <v/>
      </c>
      <c r="D21" s="56" t="n">
        <v>-10.875</v>
      </c>
      <c r="R21" s="29">
        <f>(B24+B25+B26)</f>
        <v/>
      </c>
      <c r="S21" s="28">
        <f>(T21/R21)</f>
        <v/>
      </c>
      <c r="T21" s="56">
        <f>(D24+D25+D26)</f>
        <v/>
      </c>
    </row>
    <row r="22">
      <c r="B22" s="29" t="n">
        <v>-39131.89</v>
      </c>
      <c r="C22" s="28">
        <f>(D22/B22)</f>
        <v/>
      </c>
      <c r="D22" s="56" t="n">
        <v>-15.777</v>
      </c>
      <c r="R22" s="29">
        <f>(B27+B28)</f>
        <v/>
      </c>
      <c r="S22" s="28" t="n">
        <v>0</v>
      </c>
      <c r="T22" s="56">
        <f>(D27+D28)</f>
        <v/>
      </c>
    </row>
    <row r="23">
      <c r="B23" s="29" t="n">
        <v>-31019.52</v>
      </c>
      <c r="C23" s="28">
        <f>(D23/B23)</f>
        <v/>
      </c>
      <c r="D23" s="56" t="n">
        <v>-12.7</v>
      </c>
      <c r="R23" s="29">
        <f>(B29+B30)</f>
        <v/>
      </c>
      <c r="S23" s="28" t="n">
        <v>0</v>
      </c>
      <c r="T23" s="56">
        <f>(D29+D30)</f>
        <v/>
      </c>
    </row>
    <row r="24">
      <c r="B24" s="29" t="n">
        <v>-20035.65</v>
      </c>
      <c r="C24" s="28">
        <f>(D24/B24)</f>
        <v/>
      </c>
      <c r="D24" s="56" t="n">
        <v>-11.12</v>
      </c>
      <c r="R24" s="29">
        <f>(B31+B32)</f>
        <v/>
      </c>
      <c r="S24" s="28" t="n">
        <v>0</v>
      </c>
      <c r="T24" s="56">
        <f>(D31+D32)</f>
        <v/>
      </c>
    </row>
    <row r="25">
      <c r="B25" s="29">
        <f>(15252.99-15.25299)</f>
        <v/>
      </c>
      <c r="C25" s="28" t="n">
        <v>0.00051739</v>
      </c>
      <c r="D25" s="56">
        <f>(B25*C25)</f>
        <v/>
      </c>
      <c r="R25" s="29">
        <f>(B33+B34+B35)</f>
        <v/>
      </c>
      <c r="S25" s="28" t="n">
        <v>0</v>
      </c>
      <c r="T25" s="56">
        <f>(D33+D34+D35)</f>
        <v/>
      </c>
    </row>
    <row r="26">
      <c r="B26" s="29">
        <f>(4747.01-4.74701)</f>
        <v/>
      </c>
      <c r="C26" s="28" t="n">
        <v>0.00051738</v>
      </c>
      <c r="D26" s="56">
        <f>(B26*C26)</f>
        <v/>
      </c>
    </row>
    <row r="27">
      <c r="B27" s="29" t="n">
        <v>-40000</v>
      </c>
      <c r="C27" s="28">
        <f>(D27/B27)</f>
        <v/>
      </c>
      <c r="D27" s="56" t="n">
        <v>-12.44</v>
      </c>
    </row>
    <row r="28">
      <c r="B28" s="29" t="n">
        <v>40000</v>
      </c>
      <c r="C28" s="28">
        <f>(D28/B28)</f>
        <v/>
      </c>
      <c r="D28" s="56" t="n">
        <v>10</v>
      </c>
    </row>
    <row r="29">
      <c r="B29" s="29" t="n">
        <v>-40000</v>
      </c>
      <c r="C29" s="28">
        <f>(D29/B29)</f>
        <v/>
      </c>
      <c r="D29" s="56" t="n">
        <v>-12.39</v>
      </c>
    </row>
    <row r="30">
      <c r="B30" s="29" t="n">
        <v>44000</v>
      </c>
      <c r="C30" s="28">
        <f>(D30/B30)</f>
        <v/>
      </c>
      <c r="D30" s="56" t="n">
        <v>10.42</v>
      </c>
    </row>
    <row r="31">
      <c r="B31" s="29" t="n">
        <v>-270017.67672339</v>
      </c>
      <c r="C31" s="28">
        <f>(D31/B31)</f>
        <v/>
      </c>
      <c r="D31" s="56" t="n">
        <v>-48.19233598</v>
      </c>
    </row>
    <row r="32">
      <c r="B32" s="29">
        <f>(272743.3*0.99)</f>
        <v/>
      </c>
      <c r="C32" s="28">
        <f>(D32/B32)</f>
        <v/>
      </c>
      <c r="D32" s="56" t="n">
        <v>34.21</v>
      </c>
    </row>
    <row r="33">
      <c r="B33" s="29" t="n">
        <v>-33998.23</v>
      </c>
      <c r="C33" s="28">
        <f>(D33/B33)</f>
        <v/>
      </c>
      <c r="D33" s="56" t="n">
        <v>-6.45</v>
      </c>
    </row>
    <row r="34">
      <c r="B34" s="29" t="n">
        <v>-20001.77</v>
      </c>
      <c r="C34" s="28">
        <f>(D34/B34)</f>
        <v/>
      </c>
      <c r="D34" s="56" t="n">
        <v>-3.795</v>
      </c>
    </row>
    <row r="35">
      <c r="B35" s="29">
        <f>(62154.32-62.15432)</f>
        <v/>
      </c>
      <c r="C35" s="28">
        <f>(D35/B35)</f>
        <v/>
      </c>
      <c r="D35" s="56" t="n">
        <v>10.1</v>
      </c>
      <c r="E35" s="56">
        <f>(B35*J3)</f>
        <v/>
      </c>
    </row>
    <row r="36"/>
    <row r="37">
      <c r="B37">
        <f>(SUM(B5:B36))</f>
        <v/>
      </c>
      <c r="D37" s="56">
        <f>(SUM(D5:D36))</f>
        <v/>
      </c>
      <c r="F37" t="inlineStr">
        <is>
          <t>Moy</t>
        </is>
      </c>
      <c r="G37" s="28">
        <f>(D37/B37)</f>
        <v/>
      </c>
      <c r="R37">
        <f>(SUM(R5:R36))</f>
        <v/>
      </c>
      <c r="T37">
        <f>(SUM(T5:T36))</f>
        <v/>
      </c>
    </row>
  </sheetData>
  <conditionalFormatting sqref="C5:C9 C14:C16 C25:C26 C28 C30 C32 C3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N6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N9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S5:S9 S1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37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4.xml><?xml version="1.0" encoding="utf-8"?>
<worksheet xmlns="http://schemas.openxmlformats.org/spreadsheetml/2006/main">
  <sheetPr>
    <outlinePr summaryBelow="1" summaryRight="1"/>
    <pageSetUpPr/>
  </sheetPr>
  <dimension ref="B1:U27"/>
  <sheetViews>
    <sheetView workbookViewId="0">
      <selection activeCell="O6" sqref="O6"/>
    </sheetView>
  </sheetViews>
  <sheetFormatPr baseColWidth="10" defaultColWidth="9.140625" defaultRowHeight="15"/>
  <cols>
    <col width="8.85546875" customWidth="1" style="14" min="3" max="3"/>
    <col width="10.28515625" bestFit="1" customWidth="1" style="14" min="4" max="4"/>
    <col width="9.28515625" customWidth="1" style="14" min="6" max="6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0.7352245814399763</v>
      </c>
      <c r="N3" s="19" t="n"/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(B18*J3)</f>
        <v/>
      </c>
      <c r="K4" s="4">
        <f>(J4/D18-1)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12.2</v>
      </c>
      <c r="C5" s="56">
        <f>(D5/B5)</f>
        <v/>
      </c>
      <c r="D5" s="56" t="n">
        <v>10.5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9">
        <f>B5</f>
        <v/>
      </c>
      <c r="S5" s="56">
        <f>(T5/R5)</f>
        <v/>
      </c>
      <c r="T5" s="56">
        <f>D5</f>
        <v/>
      </c>
    </row>
    <row r="6">
      <c r="B6" s="36" t="n">
        <v>0.31358397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19">
        <f>($B$7+$R$9)/5</f>
        <v/>
      </c>
      <c r="O6" s="56">
        <f>($S$7*Params!K8)</f>
        <v/>
      </c>
      <c r="P6" s="56">
        <f>(O6*N6)</f>
        <v/>
      </c>
      <c r="R6" s="36">
        <f>(B6)</f>
        <v/>
      </c>
      <c r="S6" s="58" t="n">
        <v>0</v>
      </c>
      <c r="T6" s="26">
        <f>(D6)</f>
        <v/>
      </c>
      <c r="U6" s="56">
        <f>(R6*J3)</f>
        <v/>
      </c>
    </row>
    <row r="7">
      <c r="B7" s="19" t="n">
        <v>40.06623562</v>
      </c>
      <c r="C7" s="56">
        <f>(D7/B7)</f>
        <v/>
      </c>
      <c r="D7" s="56" t="n">
        <v>37.1</v>
      </c>
      <c r="E7" t="inlineStr">
        <is>
          <t>DCA2</t>
        </is>
      </c>
      <c r="N7" s="19">
        <f>($B$7+$R$9)/5</f>
        <v/>
      </c>
      <c r="O7" s="56">
        <f>($S$7*Params!K9)</f>
        <v/>
      </c>
      <c r="P7" s="56">
        <f>(O7*N7)</f>
        <v/>
      </c>
      <c r="R7" s="1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9" t="n">
        <v>0.63003905</v>
      </c>
      <c r="C8" s="56">
        <f>(D8/B8)</f>
        <v/>
      </c>
      <c r="D8" s="56" t="n">
        <v>0.5</v>
      </c>
      <c r="N8" s="19">
        <f>($B$7+$R$9)/5</f>
        <v/>
      </c>
      <c r="O8" s="56">
        <f>($S$7*Params!K10)</f>
        <v/>
      </c>
      <c r="P8" s="56">
        <f>(O8*N8)</f>
        <v/>
      </c>
      <c r="R8" s="19">
        <f>B8</f>
        <v/>
      </c>
      <c r="S8" s="56">
        <f>C8</f>
        <v/>
      </c>
      <c r="T8" s="57">
        <f>D8</f>
        <v/>
      </c>
    </row>
    <row r="9">
      <c r="B9" s="19" t="n">
        <v>-1.08</v>
      </c>
      <c r="C9" s="56">
        <f>(D9/B9)</f>
        <v/>
      </c>
      <c r="D9" s="56" t="n">
        <v>-1.134</v>
      </c>
      <c r="N9" s="19">
        <f>($B$7+$R$9)/5</f>
        <v/>
      </c>
      <c r="O9" s="56">
        <f>($C$7*Params!K11)</f>
        <v/>
      </c>
      <c r="P9" s="56">
        <f>(O9*N9)</f>
        <v/>
      </c>
      <c r="R9" s="19">
        <f>SUM(B9,B12,B13,B16)</f>
        <v/>
      </c>
      <c r="S9" s="56" t="n">
        <v>0</v>
      </c>
      <c r="T9" s="56">
        <f>SUM(D9,D12,D13,D16)</f>
        <v/>
      </c>
    </row>
    <row r="10">
      <c r="B10" s="19" t="n">
        <v>-2.44</v>
      </c>
      <c r="C10" s="56">
        <f>(D10/B10)</f>
        <v/>
      </c>
      <c r="D10" s="56" t="n">
        <v>-2.64426302</v>
      </c>
      <c r="O10" s="56" t="n"/>
      <c r="P10" s="56" t="n"/>
      <c r="R10" s="19">
        <f>SUM(B10,B11,B14,B15,)</f>
        <v/>
      </c>
      <c r="S10" s="56" t="n">
        <v>0</v>
      </c>
      <c r="T10" s="56">
        <f>SUM(D10,D11,D14,D15)</f>
        <v/>
      </c>
    </row>
    <row r="11">
      <c r="B11" s="19" t="n">
        <v>-2.44</v>
      </c>
      <c r="C11" s="56">
        <f>(D11/B11)</f>
        <v/>
      </c>
      <c r="D11" s="56" t="n">
        <v>-3.18898028</v>
      </c>
      <c r="O11" s="56" t="n"/>
      <c r="P11" s="56">
        <f>(SUM(P6:P9))</f>
        <v/>
      </c>
      <c r="R11" s="19" t="n"/>
      <c r="S11" s="56" t="n"/>
      <c r="T11" s="56" t="n"/>
    </row>
    <row r="12">
      <c r="B12" s="19" t="n">
        <v>-2.72</v>
      </c>
      <c r="C12" s="56">
        <f>(D12/B12)</f>
        <v/>
      </c>
      <c r="D12" s="56" t="n">
        <v>-4.01642344</v>
      </c>
      <c r="O12" s="56" t="n"/>
      <c r="P12" s="56" t="n"/>
      <c r="S12" s="56" t="n"/>
      <c r="T12" s="56" t="n"/>
    </row>
    <row r="13">
      <c r="B13" s="19" t="n">
        <v>3.02232854</v>
      </c>
      <c r="C13" s="56">
        <f>(D13/B13)</f>
        <v/>
      </c>
      <c r="D13" s="56" t="n">
        <v>3.79</v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9" t="n">
        <v>2.71232876</v>
      </c>
      <c r="C14" s="56">
        <f>(D14/B14)</f>
        <v/>
      </c>
      <c r="D14" s="56" t="n">
        <v>2.97</v>
      </c>
      <c r="M14" t="inlineStr">
        <is>
          <t>Objectif</t>
        </is>
      </c>
      <c r="N14" s="19">
        <f>($B$5+$R$10)/5</f>
        <v/>
      </c>
      <c r="O14" s="56">
        <f>($C$5*Params!K8)</f>
        <v/>
      </c>
      <c r="P14" s="56">
        <f>(O14*N14)</f>
        <v/>
      </c>
      <c r="S14" s="56" t="n"/>
      <c r="T14" s="56" t="n"/>
    </row>
    <row r="15">
      <c r="B15" s="19">
        <f>2.44/0.9</f>
        <v/>
      </c>
      <c r="C15" s="56" t="n">
        <v>0.847152</v>
      </c>
      <c r="D15" s="56">
        <f>B15*C15</f>
        <v/>
      </c>
      <c r="N15" s="19">
        <f>($B$5+$R$10)/5</f>
        <v/>
      </c>
      <c r="O15" s="56">
        <f>($C$5*Params!K9)</f>
        <v/>
      </c>
      <c r="P15" s="56">
        <f>(O15*N15)</f>
        <v/>
      </c>
      <c r="S15" s="56" t="n"/>
      <c r="T15" s="56" t="n"/>
    </row>
    <row r="16">
      <c r="B16" s="19">
        <f>4.11968757-B15</f>
        <v/>
      </c>
      <c r="C16" s="56" t="n">
        <v>0.847152</v>
      </c>
      <c r="D16" s="56">
        <f>B16*C16</f>
        <v/>
      </c>
      <c r="N16" s="19">
        <f>($B$5+$R$10)/5</f>
        <v/>
      </c>
      <c r="O16" s="56">
        <f>($C$5*Params!K10)</f>
        <v/>
      </c>
      <c r="P16" s="56">
        <f>(O16*N16)</f>
        <v/>
      </c>
      <c r="S16" s="56" t="n"/>
      <c r="T16" s="56" t="n"/>
    </row>
    <row r="17">
      <c r="B17" s="19" t="n"/>
      <c r="F17" t="inlineStr">
        <is>
          <t>Moy</t>
        </is>
      </c>
      <c r="G17" s="56">
        <f>(D18/B18)</f>
        <v/>
      </c>
      <c r="N17" s="19">
        <f>($B$5+$R$10)/5</f>
        <v/>
      </c>
      <c r="O17" s="56">
        <f>($C$5*Params!K11)</f>
        <v/>
      </c>
      <c r="P17" s="56">
        <f>(O17*N17)</f>
        <v/>
      </c>
      <c r="R17">
        <f>(SUM(R5:R12))</f>
        <v/>
      </c>
      <c r="S17" s="56" t="n"/>
      <c r="T17" s="56">
        <f>(SUM(T5:T12))</f>
        <v/>
      </c>
    </row>
    <row r="18">
      <c r="B18" s="19">
        <f>(SUM(B5:B17))</f>
        <v/>
      </c>
      <c r="D18" s="56">
        <f>(SUM(D5:D17))</f>
        <v/>
      </c>
      <c r="O18" s="56" t="n"/>
      <c r="P18" s="56" t="n"/>
    </row>
    <row r="19">
      <c r="O19" s="56" t="n"/>
      <c r="P19" s="56" t="n"/>
    </row>
    <row r="20">
      <c r="O20" s="56" t="n"/>
      <c r="P20" s="56">
        <f>(SUM(P14:P17))</f>
        <v/>
      </c>
    </row>
    <row r="21"/>
    <row r="22"/>
    <row r="23"/>
    <row r="24"/>
    <row r="25"/>
    <row r="26"/>
    <row r="27">
      <c r="H27" s="57" t="n"/>
    </row>
  </sheetData>
  <conditionalFormatting sqref="C5 C7:C8 C13:C16 O6:O9 O14:O17 S5 S7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S8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5.xml><?xml version="1.0" encoding="utf-8"?>
<worksheet xmlns="http://schemas.openxmlformats.org/spreadsheetml/2006/main">
  <sheetPr>
    <outlinePr summaryBelow="1" summaryRight="1"/>
    <pageSetUpPr/>
  </sheetPr>
  <dimension ref="B1:P11"/>
  <sheetViews>
    <sheetView workbookViewId="0">
      <selection activeCell="E5" sqref="E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0.586550115041324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52.2477</v>
      </c>
      <c r="C5" s="56">
        <f>(D5/B5)</f>
        <v/>
      </c>
      <c r="D5" s="56" t="n">
        <v>39.59</v>
      </c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0.31235586</v>
      </c>
      <c r="C6" s="58" t="n">
        <v>0</v>
      </c>
      <c r="D6" s="26">
        <f>(B6*C6)</f>
        <v/>
      </c>
      <c r="E6" s="56">
        <f>(B6*J3)</f>
        <v/>
      </c>
      <c r="M6" t="inlineStr">
        <is>
          <t>Objectif</t>
        </is>
      </c>
      <c r="N6" s="29">
        <f>($B$10/5)</f>
        <v/>
      </c>
      <c r="O6" s="56">
        <f>($C$5*Params!K8)</f>
        <v/>
      </c>
      <c r="P6" s="56">
        <f>(O6*N6)</f>
        <v/>
      </c>
    </row>
    <row r="7">
      <c r="B7" s="36" t="n">
        <v>0.21534154</v>
      </c>
      <c r="C7" s="58" t="n">
        <v>0</v>
      </c>
      <c r="D7" s="26">
        <f>(B7*C7)</f>
        <v/>
      </c>
      <c r="E7" s="56">
        <f>(B7*J3)</f>
        <v/>
      </c>
      <c r="N7" s="29">
        <f>($B$10/5)</f>
        <v/>
      </c>
      <c r="O7" s="56">
        <f>($C$5*Params!K9)</f>
        <v/>
      </c>
      <c r="P7" s="56">
        <f>(O7*N7)</f>
        <v/>
      </c>
    </row>
    <row r="8">
      <c r="N8" s="29">
        <f>($B$10/5)</f>
        <v/>
      </c>
      <c r="O8" s="56">
        <f>($C$5*Params!K10)</f>
        <v/>
      </c>
      <c r="P8" s="56">
        <f>(O8*N8)</f>
        <v/>
      </c>
    </row>
    <row r="9">
      <c r="F9" t="inlineStr">
        <is>
          <t>Moy</t>
        </is>
      </c>
      <c r="G9" s="56">
        <f>(D10/B10)</f>
        <v/>
      </c>
      <c r="N9" s="29">
        <f>($B$10/5)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D10" s="56">
        <f>(SUM(D5:D9))</f>
        <v/>
      </c>
    </row>
    <row r="11">
      <c r="P11" s="56">
        <f>(SUM(P6:P9))</f>
        <v/>
      </c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6.xml><?xml version="1.0" encoding="utf-8"?>
<worksheet xmlns="http://schemas.openxmlformats.org/spreadsheetml/2006/main">
  <sheetPr>
    <outlinePr summaryBelow="1" summaryRight="1"/>
    <pageSetUpPr/>
  </sheetPr>
  <dimension ref="B1:V22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1.767011489276643</v>
      </c>
      <c r="N3" s="1" t="n"/>
      <c r="O3" s="72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(B19*J3)</f>
        <v/>
      </c>
      <c r="K4" s="4">
        <f>(J4/D19-1)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1.79</v>
      </c>
      <c r="C5" s="56">
        <f>(D5/B5)</f>
        <v/>
      </c>
      <c r="D5" s="56" t="n">
        <v>3</v>
      </c>
      <c r="E5" t="inlineStr">
        <is>
          <t>Learn</t>
        </is>
      </c>
      <c r="M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(B5)</f>
        <v/>
      </c>
      <c r="S5" s="56">
        <f>(T5/R5)</f>
        <v/>
      </c>
      <c r="T5" s="56">
        <f>(D5)</f>
        <v/>
      </c>
    </row>
    <row r="6">
      <c r="B6" s="1" t="n">
        <v>21.32625675</v>
      </c>
      <c r="C6" s="56">
        <f>(D6/B6)</f>
        <v/>
      </c>
      <c r="D6" s="56" t="n">
        <v>37.1</v>
      </c>
      <c r="E6" t="inlineStr">
        <is>
          <t>DCA2</t>
        </is>
      </c>
      <c r="M6" t="inlineStr">
        <is>
          <t>Objectif</t>
        </is>
      </c>
      <c r="N6" s="1">
        <f>(($B$5+$R$9)/5)</f>
        <v/>
      </c>
      <c r="O6" s="56">
        <f>($C$5*Params!K8)</f>
        <v/>
      </c>
      <c r="P6" s="56">
        <f>(O6*N6)</f>
        <v/>
      </c>
      <c r="R6" s="1">
        <f>B6</f>
        <v/>
      </c>
      <c r="S6" s="56">
        <f>(T6/R6)</f>
        <v/>
      </c>
      <c r="T6" s="56">
        <f>D6</f>
        <v/>
      </c>
      <c r="U6" s="56">
        <f>(E6)</f>
        <v/>
      </c>
    </row>
    <row r="7">
      <c r="B7" s="2" t="n">
        <v>0.09860855</v>
      </c>
      <c r="C7" s="58" t="n">
        <v>0</v>
      </c>
      <c r="D7" s="26" t="n">
        <v>0</v>
      </c>
      <c r="E7" s="57">
        <f>B7*J3</f>
        <v/>
      </c>
      <c r="N7" s="1">
        <f>(($B$5+$R$9)/5)</f>
        <v/>
      </c>
      <c r="O7" s="56">
        <f>($C$5*Params!K9)</f>
        <v/>
      </c>
      <c r="P7" s="56">
        <f>(O7*N7)</f>
        <v/>
      </c>
      <c r="R7" s="2">
        <f>(B7)</f>
        <v/>
      </c>
      <c r="S7" s="58" t="n">
        <v>0</v>
      </c>
      <c r="T7" s="26">
        <f>(D7)</f>
        <v/>
      </c>
    </row>
    <row r="8">
      <c r="B8" s="1" t="n">
        <v>-0.6</v>
      </c>
      <c r="C8" s="56">
        <f>(D8/B8)</f>
        <v/>
      </c>
      <c r="D8" s="56" t="n">
        <v>-1.15882087</v>
      </c>
      <c r="N8" s="1">
        <f>(($B$5+$R$9)/5)</f>
        <v/>
      </c>
      <c r="O8" s="56">
        <f>($C$5*Params!K10)</f>
        <v/>
      </c>
      <c r="P8" s="56">
        <f>(O8*N8)</f>
        <v/>
      </c>
      <c r="R8" s="1">
        <f>(B10+B13+B8+B17)</f>
        <v/>
      </c>
      <c r="S8" s="56" t="n">
        <v>0</v>
      </c>
      <c r="T8" s="56">
        <f>(D10+D13+D8+D17)</f>
        <v/>
      </c>
      <c r="U8" t="inlineStr">
        <is>
          <t>DCA2</t>
        </is>
      </c>
      <c r="V8" s="57">
        <f>-T8+R8*$J$3</f>
        <v/>
      </c>
    </row>
    <row r="9">
      <c r="B9" s="1" t="n">
        <v>-0.358</v>
      </c>
      <c r="C9" s="56">
        <f>(D9/B9)</f>
        <v/>
      </c>
      <c r="D9" s="56">
        <f>(-0.764+0.005)</f>
        <v/>
      </c>
      <c r="N9" s="1">
        <f>(($B$5+$R$9)/5)</f>
        <v/>
      </c>
      <c r="O9" s="56">
        <f>($C$5*Params!K11)</f>
        <v/>
      </c>
      <c r="P9" s="56">
        <f>(O9*N9)</f>
        <v/>
      </c>
      <c r="R9" s="1">
        <f>(B12+B11+B9+B14+B15+B16)</f>
        <v/>
      </c>
      <c r="S9" s="56" t="n">
        <v>0</v>
      </c>
      <c r="T9" s="56">
        <f>(D12+D11+D9+D14)+D15+D16</f>
        <v/>
      </c>
      <c r="U9" t="inlineStr">
        <is>
          <t>Learn</t>
        </is>
      </c>
      <c r="V9" s="57">
        <f>-T9+R9*$J$3</f>
        <v/>
      </c>
    </row>
    <row r="10">
      <c r="B10" s="1" t="n">
        <v>-0.6</v>
      </c>
      <c r="C10" s="56">
        <f>(D10/B10)</f>
        <v/>
      </c>
      <c r="D10" s="56" t="n">
        <v>-1.353</v>
      </c>
      <c r="N10" s="1" t="n"/>
      <c r="O10" s="56" t="n"/>
      <c r="P10" s="56" t="n"/>
      <c r="R10" s="1" t="n"/>
      <c r="S10" s="56" t="n"/>
      <c r="T10" s="56" t="n"/>
    </row>
    <row r="11">
      <c r="B11" s="1" t="n">
        <v>-0.357420357420357</v>
      </c>
      <c r="C11" s="56">
        <f>(D11/B11)</f>
        <v/>
      </c>
      <c r="D11" s="56" t="n">
        <v>-0.895829</v>
      </c>
      <c r="N11" s="1" t="n"/>
      <c r="O11" s="56" t="n"/>
      <c r="P11" s="56">
        <f>(SUM(P6:P9))</f>
        <v/>
      </c>
    </row>
    <row r="12">
      <c r="B12" s="1" t="n">
        <v>0.388533371311533</v>
      </c>
      <c r="C12" s="56">
        <f>(D12/B12)</f>
        <v/>
      </c>
      <c r="D12" s="56" t="n">
        <v>0.84983</v>
      </c>
      <c r="N12" s="1" t="n"/>
      <c r="O12" s="56" t="n"/>
      <c r="P12" s="56" t="n"/>
      <c r="S12" s="56" t="n"/>
      <c r="T12" s="56" t="n"/>
    </row>
    <row r="13">
      <c r="B13" s="1" t="n">
        <v>0.66773927</v>
      </c>
      <c r="C13" s="56">
        <f>(D13/B13)</f>
        <v/>
      </c>
      <c r="D13" s="56" t="n">
        <v>1.277</v>
      </c>
      <c r="M13" t="inlineStr">
        <is>
          <t>DCA2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S13" s="56" t="n"/>
      <c r="T13" s="56" t="n"/>
    </row>
    <row r="14">
      <c r="B14" s="1" t="n">
        <v>0.393802115862377</v>
      </c>
      <c r="C14" s="56">
        <f>(D14/B14)</f>
        <v/>
      </c>
      <c r="D14" s="56" t="n">
        <v>0.696157</v>
      </c>
      <c r="M14" t="inlineStr">
        <is>
          <t>Objectif</t>
        </is>
      </c>
      <c r="N14" s="1">
        <f>(($B$6+$R$8)/5)</f>
        <v/>
      </c>
      <c r="O14" s="56">
        <f>($C$6*Params!K8)</f>
        <v/>
      </c>
      <c r="P14" s="56">
        <f>(O14*N14)</f>
        <v/>
      </c>
      <c r="S14" s="56" t="n"/>
      <c r="T14" s="56" t="n"/>
    </row>
    <row r="15">
      <c r="B15" s="1" t="n">
        <v>-0.364896073903002</v>
      </c>
      <c r="C15" s="56">
        <f>(D15/B15)</f>
        <v/>
      </c>
      <c r="D15" s="56" t="n">
        <v>-0.767007</v>
      </c>
      <c r="N15" s="1">
        <f>(($B$6+$R$8)/5)</f>
        <v/>
      </c>
      <c r="O15" s="56">
        <f>($C$6*Params!K9)</f>
        <v/>
      </c>
      <c r="P15" s="56">
        <f>(O15*N15)</f>
        <v/>
      </c>
      <c r="S15" s="56" t="n"/>
      <c r="T15" s="56" t="n"/>
    </row>
    <row r="16">
      <c r="B16" s="1" t="n">
        <v>0.419286856535433</v>
      </c>
      <c r="C16" s="56">
        <f>(D16/B16)</f>
        <v/>
      </c>
      <c r="D16" s="56" t="n">
        <v>0.709744</v>
      </c>
      <c r="N16" s="1">
        <f>(($B$6+$R$8)/5)</f>
        <v/>
      </c>
      <c r="O16" s="56">
        <f>($C$6*Params!K10)</f>
        <v/>
      </c>
      <c r="P16" s="56">
        <f>(O16*N16)</f>
        <v/>
      </c>
      <c r="S16" s="56" t="n"/>
      <c r="T16" s="56" t="n"/>
    </row>
    <row r="17">
      <c r="B17" s="1" t="n">
        <v>0.668076</v>
      </c>
      <c r="C17" s="56">
        <f>(D17/B17)</f>
        <v/>
      </c>
      <c r="D17" s="56" t="n">
        <v>1.1</v>
      </c>
      <c r="N17" s="1">
        <f>(($B$6+$R$8)/5)</f>
        <v/>
      </c>
      <c r="O17" s="56">
        <f>($C$6*Params!K11)</f>
        <v/>
      </c>
      <c r="P17" s="56">
        <f>(O17*N17)</f>
        <v/>
      </c>
      <c r="S17" s="56" t="n"/>
      <c r="T17" s="56" t="n"/>
    </row>
    <row r="18">
      <c r="C18" s="56" t="n"/>
      <c r="D18" s="56" t="n"/>
      <c r="F18" t="inlineStr">
        <is>
          <t>Moy</t>
        </is>
      </c>
      <c r="G18" s="56">
        <f>(D19/B19)</f>
        <v/>
      </c>
      <c r="O18" s="56" t="n"/>
      <c r="P18" s="56" t="n"/>
      <c r="S18" s="56" t="n"/>
      <c r="T18" s="56" t="n"/>
    </row>
    <row r="19">
      <c r="B19" s="1">
        <f>(SUM(B5:B18))</f>
        <v/>
      </c>
      <c r="C19" s="56" t="n"/>
      <c r="D19" s="56">
        <f>(SUM(D5:D18))</f>
        <v/>
      </c>
      <c r="O19" s="56" t="n"/>
      <c r="P19" s="56">
        <f>(SUM(P14:P17))</f>
        <v/>
      </c>
      <c r="S19" s="56" t="n"/>
      <c r="T19" s="56" t="n"/>
    </row>
    <row r="20">
      <c r="S20" s="56" t="n"/>
      <c r="T20" s="56" t="n"/>
    </row>
    <row r="21">
      <c r="S21" s="56" t="n"/>
      <c r="T21" s="56" t="n"/>
    </row>
    <row r="22">
      <c r="R22" s="1">
        <f>(SUM(R5:R21))</f>
        <v/>
      </c>
      <c r="S22" s="56" t="n"/>
      <c r="T22" s="56">
        <f>(SUM(T5:T21))</f>
        <v/>
      </c>
    </row>
  </sheetData>
  <conditionalFormatting sqref="C5:C6 C12:C14 C16:C17 O6:O9 O14:O17 S5:S6"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7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S41" sqref="S41"/>
    </sheetView>
  </sheetViews>
  <sheetFormatPr baseColWidth="10" defaultColWidth="9.140625" defaultRowHeight="15"/>
  <cols>
    <col width="12" bestFit="1" customWidth="1" style="14" min="3" max="3"/>
    <col width="12.42578125" bestFit="1" customWidth="1" style="14" min="9" max="9"/>
    <col width="12" bestFit="1" customWidth="1" style="14" min="10" max="10"/>
    <col width="10.140625" bestFit="1" customWidth="1" style="14" min="14" max="14"/>
    <col width="12" bestFit="1" customWidth="1" style="14" min="15" max="15"/>
  </cols>
  <sheetData>
    <row r="1"/>
    <row r="2"/>
    <row r="3">
      <c r="I3" t="inlineStr">
        <is>
          <t>Actual Price :</t>
        </is>
      </c>
      <c r="J3" s="73" t="n">
        <v>7.803011942229574e-06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22" t="n">
        <v>439531.68</v>
      </c>
      <c r="C5" s="73">
        <f>(D5/B5)</f>
        <v/>
      </c>
      <c r="D5" s="56" t="n">
        <v>5.03</v>
      </c>
      <c r="E5" s="56" t="n"/>
      <c r="F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36" t="n">
        <v>254.74</v>
      </c>
      <c r="C6" s="58" t="n">
        <v>0</v>
      </c>
      <c r="D6" s="26">
        <f>(B6*C6)</f>
        <v/>
      </c>
      <c r="E6" s="56">
        <f>(B6*J3)</f>
        <v/>
      </c>
      <c r="F6" s="56" t="n"/>
      <c r="G6" s="56" t="n"/>
      <c r="M6" t="inlineStr">
        <is>
          <t>Objectif</t>
        </is>
      </c>
      <c r="N6" s="22">
        <f>($B$5/5)</f>
        <v/>
      </c>
      <c r="O6" s="28">
        <f>($C$5*Params!K8)</f>
        <v/>
      </c>
      <c r="P6" s="56">
        <f>(O6*N6)</f>
        <v/>
      </c>
    </row>
    <row r="7">
      <c r="C7" s="56" t="n"/>
      <c r="D7" s="56" t="n"/>
      <c r="E7" s="56" t="n"/>
      <c r="F7" s="56" t="n"/>
      <c r="G7" s="56" t="n"/>
      <c r="N7" s="22">
        <f>($B$5/5)</f>
        <v/>
      </c>
      <c r="O7" s="28">
        <f>($C$5*Params!K9)</f>
        <v/>
      </c>
      <c r="P7" s="56">
        <f>(O7*N7)</f>
        <v/>
      </c>
    </row>
    <row r="8">
      <c r="C8" s="56" t="n"/>
      <c r="D8" s="56" t="n"/>
      <c r="E8" s="56" t="n"/>
      <c r="F8" s="56" t="n"/>
      <c r="G8" s="56" t="n"/>
      <c r="N8" s="22">
        <f>($B$5/5)</f>
        <v/>
      </c>
      <c r="O8" s="28">
        <f>($C$5*Params!K10)</f>
        <v/>
      </c>
      <c r="P8" s="56">
        <f>(O8*N8)</f>
        <v/>
      </c>
    </row>
    <row r="9">
      <c r="C9" s="56" t="n"/>
      <c r="D9" s="56" t="n"/>
      <c r="E9" s="56" t="n"/>
      <c r="F9" s="56" t="n"/>
      <c r="G9" s="56" t="n"/>
      <c r="N9" s="22">
        <f>($B$5/5)</f>
        <v/>
      </c>
      <c r="O9" s="28">
        <f>($C$5*Params!K11)</f>
        <v/>
      </c>
      <c r="P9" s="56">
        <f>(O9*N9)</f>
        <v/>
      </c>
    </row>
    <row r="10">
      <c r="C10" s="56" t="n"/>
      <c r="D10" s="56" t="n"/>
      <c r="E10" s="56" t="n"/>
      <c r="F10" s="56" t="n"/>
      <c r="G10" s="56" t="n"/>
      <c r="O10" s="56" t="n"/>
      <c r="P10" s="56" t="n"/>
    </row>
    <row r="11">
      <c r="C11" s="56" t="n"/>
      <c r="D11" s="56" t="n"/>
      <c r="E11" s="56" t="n"/>
      <c r="F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s="56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F13" s="56" t="n"/>
      <c r="G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J3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28.xml><?xml version="1.0" encoding="utf-8"?>
<worksheet xmlns="http://schemas.openxmlformats.org/spreadsheetml/2006/main">
  <sheetPr>
    <outlinePr summaryBelow="1" summaryRight="1"/>
    <pageSetUpPr/>
  </sheetPr>
  <dimension ref="B1:W47"/>
  <sheetViews>
    <sheetView workbookViewId="0">
      <selection activeCell="R37" sqref="R37"/>
    </sheetView>
  </sheetViews>
  <sheetFormatPr baseColWidth="10" defaultColWidth="9.140625" defaultRowHeight="15"/>
  <cols>
    <col width="9" bestFit="1" customWidth="1" style="14" min="3" max="3"/>
    <col width="10.28515625" bestFit="1" customWidth="1" style="14" min="4" max="4"/>
    <col width="9.7109375" bestFit="1" customWidth="1" style="14" min="5" max="5"/>
    <col width="12.42578125" bestFit="1" customWidth="1" style="14" min="9" max="9"/>
    <col width="12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56" t="n">
        <v>52.26717724055512</v>
      </c>
      <c r="M3" t="inlineStr">
        <is>
          <t>Objectif :</t>
        </is>
      </c>
      <c r="N3" s="24">
        <f>(INDEX(N5:N26,MATCH(MAX(O6:O9,O23:O24,O14:O15),O5:O26,0))/0.9)</f>
        <v/>
      </c>
      <c r="O3" s="57">
        <f>(MAX(O14:O16,O23:O25,O6:O9)*0.85)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t="inlineStr">
        <is>
          <t>Comment</t>
        </is>
      </c>
      <c r="I4" t="inlineStr">
        <is>
          <t>Total :</t>
        </is>
      </c>
      <c r="J4" s="56">
        <f>(B43*J3)</f>
        <v/>
      </c>
      <c r="K4" s="4">
        <f>(J4/D43-1)</f>
        <v/>
      </c>
      <c r="O4" s="56" t="n"/>
      <c r="P4" s="56" t="n"/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4">
        <f>(0.108955+8*0.0233458)</f>
        <v/>
      </c>
      <c r="C5" s="56" t="n">
        <v>196</v>
      </c>
      <c r="D5" s="56">
        <f>(B5*C5)</f>
        <v/>
      </c>
      <c r="E5" s="56" t="n"/>
      <c r="M5" t="inlineStr">
        <is>
          <t>Ph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4">
        <f>(B5)</f>
        <v/>
      </c>
      <c r="S5" s="56">
        <f>(C5)</f>
        <v/>
      </c>
      <c r="T5" s="56">
        <f>(R5*S5)</f>
        <v/>
      </c>
    </row>
    <row r="6">
      <c r="B6" s="24">
        <f>(-0.00801)</f>
        <v/>
      </c>
      <c r="C6" s="56">
        <f>(D6/B6)</f>
        <v/>
      </c>
      <c r="D6" s="56" t="n">
        <v>-0.300785</v>
      </c>
      <c r="E6" s="56" t="n"/>
      <c r="M6" t="inlineStr">
        <is>
          <t>Objectif</t>
        </is>
      </c>
      <c r="N6" s="24">
        <f>($B$16/5)</f>
        <v/>
      </c>
      <c r="O6" s="56">
        <f>(C23)</f>
        <v/>
      </c>
      <c r="P6" s="56">
        <f>(O6*N6)</f>
        <v/>
      </c>
      <c r="Q6" t="inlineStr">
        <is>
          <t>Done</t>
        </is>
      </c>
      <c r="R6" s="24">
        <f>(B6+B7+B8+B9)</f>
        <v/>
      </c>
      <c r="S6" s="56" t="n">
        <v>0</v>
      </c>
      <c r="T6" s="56">
        <f>(D6+D7+D8+D9)</f>
        <v/>
      </c>
    </row>
    <row r="7">
      <c r="B7" s="24" t="n">
        <v>-0.007325</v>
      </c>
      <c r="C7" s="56">
        <f>(D7/B7)</f>
        <v/>
      </c>
      <c r="D7" s="56" t="n">
        <v>-0.3</v>
      </c>
      <c r="E7" s="56" t="n"/>
      <c r="N7" s="24">
        <f>(($B$16+$R$20+$R$9)/5)</f>
        <v/>
      </c>
      <c r="O7" s="56" t="n">
        <v>23</v>
      </c>
      <c r="P7" s="56">
        <f>-D36</f>
        <v/>
      </c>
      <c r="Q7" t="inlineStr">
        <is>
          <t>Done</t>
        </is>
      </c>
      <c r="R7" s="24">
        <f>(B10+B11)</f>
        <v/>
      </c>
      <c r="S7" s="56" t="n">
        <v>0</v>
      </c>
      <c r="T7" s="56">
        <f>(D10+D11)</f>
        <v/>
      </c>
    </row>
    <row r="8">
      <c r="B8" s="24">
        <f>(0.00803628-0.0000683)</f>
        <v/>
      </c>
      <c r="C8" s="56">
        <f>(D8/B8)</f>
        <v/>
      </c>
      <c r="D8" s="56" t="n">
        <v>0.29</v>
      </c>
      <c r="E8" s="56" t="n"/>
      <c r="N8" s="24">
        <f>(($B$16+$R$20+$R$9)/5)</f>
        <v/>
      </c>
      <c r="O8" s="56">
        <f>C38</f>
        <v/>
      </c>
      <c r="P8" s="56">
        <f>-D38</f>
        <v/>
      </c>
      <c r="Q8" t="inlineStr">
        <is>
          <t>Done</t>
        </is>
      </c>
      <c r="R8" s="24">
        <f>(B12)</f>
        <v/>
      </c>
      <c r="S8" s="56" t="n">
        <v>0</v>
      </c>
      <c r="T8" s="56">
        <f>(R8*S8)</f>
        <v/>
      </c>
    </row>
    <row r="9">
      <c r="B9" s="24">
        <f>(0.00884882-0.00007521)</f>
        <v/>
      </c>
      <c r="C9" s="56">
        <f>(D9/B9)</f>
        <v/>
      </c>
      <c r="D9" s="56" t="n">
        <v>0.28</v>
      </c>
      <c r="E9" s="56" t="n"/>
      <c r="N9" s="24">
        <f>(($B$16+$R$20+$R$9)/5)</f>
        <v/>
      </c>
      <c r="O9" s="56">
        <f>($C$16*Params!K11)</f>
        <v/>
      </c>
      <c r="P9" s="56">
        <f>(O9*N9)</f>
        <v/>
      </c>
      <c r="Q9" t="inlineStr">
        <is>
          <t>Done</t>
        </is>
      </c>
      <c r="R9" s="24">
        <f>(B13)</f>
        <v/>
      </c>
      <c r="S9" s="56">
        <f>(T9/R9)</f>
        <v/>
      </c>
      <c r="T9" s="56" t="n">
        <v>0</v>
      </c>
      <c r="U9">
        <f>E13</f>
        <v/>
      </c>
    </row>
    <row r="10">
      <c r="B10" s="24" t="n">
        <v>0.10169404</v>
      </c>
      <c r="C10" s="56">
        <f>(D10/B10)</f>
        <v/>
      </c>
      <c r="D10" s="56" t="n">
        <v>3.56</v>
      </c>
      <c r="E10" s="56" t="n"/>
      <c r="O10" s="56" t="n"/>
      <c r="P10" s="56" t="n"/>
      <c r="R10" s="24">
        <f>(B14)</f>
        <v/>
      </c>
      <c r="S10" s="56">
        <f>(C14)</f>
        <v/>
      </c>
      <c r="T10" s="56">
        <f>(D14)</f>
        <v/>
      </c>
    </row>
    <row r="11">
      <c r="B11" s="24" t="n">
        <v>-0.1</v>
      </c>
      <c r="C11" s="56">
        <f>(D11/B11)</f>
        <v/>
      </c>
      <c r="D11" s="56" t="n">
        <v>-3.7812</v>
      </c>
      <c r="E11" s="56" t="n"/>
      <c r="O11" s="56" t="n"/>
      <c r="P11" s="56">
        <f>(SUM(P6:P9))</f>
        <v/>
      </c>
      <c r="R11" s="24">
        <f>(B15)</f>
        <v/>
      </c>
      <c r="S11" s="56">
        <f>(C15)</f>
        <v/>
      </c>
      <c r="T11" s="56">
        <f>(D15)</f>
        <v/>
      </c>
    </row>
    <row r="12">
      <c r="B12" s="24" t="n">
        <v>0.0021</v>
      </c>
      <c r="C12" s="56" t="n">
        <v>0</v>
      </c>
      <c r="D12" s="56" t="n">
        <v>0</v>
      </c>
      <c r="E12" s="56">
        <f>(B12*$J$3)</f>
        <v/>
      </c>
      <c r="O12" s="56" t="n"/>
      <c r="P12" s="56" t="n"/>
      <c r="R12" s="24">
        <f>(B16+B23)</f>
        <v/>
      </c>
      <c r="S12" s="56">
        <f>(T12/R12)</f>
        <v/>
      </c>
      <c r="T12" s="56">
        <f>(D16+D23)</f>
        <v/>
      </c>
    </row>
    <row r="13">
      <c r="B13" s="24">
        <f>(0.002039*7)</f>
        <v/>
      </c>
      <c r="C13" s="56" t="n">
        <v>0</v>
      </c>
      <c r="D13" s="56">
        <f>(C13*B13)</f>
        <v/>
      </c>
      <c r="E13" t="inlineStr">
        <is>
          <t>NFT Burn</t>
        </is>
      </c>
      <c r="F13" s="57" t="n"/>
      <c r="M13" t="inlineStr">
        <is>
          <t>DCA1</t>
        </is>
      </c>
      <c r="N13" t="inlineStr">
        <is>
          <t>Qty to Sell</t>
        </is>
      </c>
      <c r="O13" t="inlineStr">
        <is>
          <t>Token Price</t>
        </is>
      </c>
      <c r="P13" t="inlineStr">
        <is>
          <t>Value</t>
        </is>
      </c>
      <c r="R13" s="24">
        <f>(B17+B21)</f>
        <v/>
      </c>
      <c r="S13" s="56">
        <f>(T13/R13)</f>
        <v/>
      </c>
      <c r="T13" s="56">
        <f>(D17+11.97*B21)</f>
        <v/>
      </c>
    </row>
    <row r="14">
      <c r="B14" s="24">
        <f>(0.60148-0.595318987)</f>
        <v/>
      </c>
      <c r="C14" s="56" t="n">
        <v>0</v>
      </c>
      <c r="D14" s="56" t="n">
        <v>0</v>
      </c>
      <c r="E14" s="56">
        <f>(B14*$J$3)</f>
        <v/>
      </c>
      <c r="M14" t="inlineStr">
        <is>
          <t>Objectif</t>
        </is>
      </c>
      <c r="N14" s="24">
        <f>(-B21)</f>
        <v/>
      </c>
      <c r="O14" s="56">
        <f>(C21)</f>
        <v/>
      </c>
      <c r="P14" s="56">
        <f>(O14*N14)</f>
        <v/>
      </c>
      <c r="Q14" t="inlineStr">
        <is>
          <t>Done</t>
        </is>
      </c>
      <c r="R14" s="24">
        <f>(B18)</f>
        <v/>
      </c>
      <c r="S14" s="56">
        <f>(C18)</f>
        <v/>
      </c>
      <c r="T14" s="56">
        <f>(D18)</f>
        <v/>
      </c>
    </row>
    <row r="15">
      <c r="B15" s="24">
        <f>(0.10209-0.101562222)</f>
        <v/>
      </c>
      <c r="C15" s="56" t="n">
        <v>0</v>
      </c>
      <c r="D15" s="56" t="n">
        <v>0</v>
      </c>
      <c r="E15" s="56">
        <f>(B15*$J$3)</f>
        <v/>
      </c>
      <c r="N15" s="24">
        <f>-B37</f>
        <v/>
      </c>
      <c r="O15" s="56">
        <f>C37</f>
        <v/>
      </c>
      <c r="P15" s="56">
        <f>(O15*N15)</f>
        <v/>
      </c>
      <c r="Q15" t="inlineStr">
        <is>
          <t>Done</t>
        </is>
      </c>
      <c r="R15" s="24">
        <f>B19+B22</f>
        <v/>
      </c>
      <c r="S15" s="56">
        <f>(T15/R15)</f>
        <v/>
      </c>
      <c r="T15" s="56">
        <f>(D19+12.6*B22)</f>
        <v/>
      </c>
    </row>
    <row r="16">
      <c r="B16" s="24" t="n">
        <v>0.49053</v>
      </c>
      <c r="C16" s="56">
        <f>(D16/B16)</f>
        <v/>
      </c>
      <c r="D16" s="56" t="n">
        <v>6.3</v>
      </c>
      <c r="E16" s="56" t="n"/>
      <c r="N16" s="24">
        <f>(3*($R$13+N14+$R$21)/5-N14-N15)</f>
        <v/>
      </c>
      <c r="O16" s="56">
        <f>43.54</f>
        <v/>
      </c>
      <c r="P16" s="56">
        <f>(O16*N16)</f>
        <v/>
      </c>
      <c r="Q16" t="inlineStr">
        <is>
          <t>Done</t>
        </is>
      </c>
      <c r="R16" s="24">
        <f>(B20)</f>
        <v/>
      </c>
      <c r="S16" s="56">
        <f>(T16/R16)</f>
        <v/>
      </c>
      <c r="T16" s="56">
        <f>(D20)</f>
        <v/>
      </c>
    </row>
    <row r="17">
      <c r="B17" s="24" t="n">
        <v>5.94414944</v>
      </c>
      <c r="C17" s="56">
        <f>(D17/B17)</f>
        <v/>
      </c>
      <c r="D17" s="56" t="n">
        <v>115.44</v>
      </c>
      <c r="E17" t="inlineStr">
        <is>
          <t>DCA1</t>
        </is>
      </c>
      <c r="N17" s="24">
        <f>(($R$13+N14+$R$21)/5)</f>
        <v/>
      </c>
      <c r="O17" s="56">
        <f>($S$13*Params!K11)</f>
        <v/>
      </c>
      <c r="P17" s="56">
        <f>(O17*N17)</f>
        <v/>
      </c>
      <c r="R17" s="24">
        <f>(B21-B21)</f>
        <v/>
      </c>
      <c r="S17" s="56" t="n">
        <v>0</v>
      </c>
      <c r="T17" s="56">
        <f>(14.952/1.25*-B21+D21)</f>
        <v/>
      </c>
      <c r="U17" t="inlineStr">
        <is>
          <t>DCA1 1/5</t>
        </is>
      </c>
    </row>
    <row r="18">
      <c r="B18" s="25" t="n">
        <v>0.06035458</v>
      </c>
      <c r="C18" s="58" t="n">
        <v>0</v>
      </c>
      <c r="D18" s="26" t="n">
        <v>0</v>
      </c>
      <c r="E18" s="57">
        <f>B18*J3</f>
        <v/>
      </c>
      <c r="O18" s="56" t="n"/>
      <c r="P18" s="56" t="n"/>
      <c r="R18" s="24">
        <f>(B22-B22)</f>
        <v/>
      </c>
      <c r="S18" s="56" t="n">
        <v>0</v>
      </c>
      <c r="T18" s="56">
        <f>(12.6*-B22+D22)</f>
        <v/>
      </c>
      <c r="U18" t="inlineStr">
        <is>
          <t>DCA2 1/5</t>
        </is>
      </c>
    </row>
    <row r="19">
      <c r="B19" s="24" t="n">
        <v>1.83307005</v>
      </c>
      <c r="C19" s="56">
        <f>(D19/B19)</f>
        <v/>
      </c>
      <c r="D19" s="56" t="n">
        <v>37.1</v>
      </c>
      <c r="E19" t="inlineStr">
        <is>
          <t>DCA2</t>
        </is>
      </c>
      <c r="O19" s="56" t="n"/>
      <c r="P19" s="56">
        <f>(SUM(P14:P17))</f>
        <v/>
      </c>
      <c r="R19" s="24">
        <f>(B26+B27)</f>
        <v/>
      </c>
      <c r="S19" s="56" t="n">
        <v>0</v>
      </c>
      <c r="T19" s="56">
        <f>(D26+D27)</f>
        <v/>
      </c>
      <c r="U19" t="inlineStr">
        <is>
          <t>DCA2*</t>
        </is>
      </c>
      <c r="V19" s="57">
        <f>-T19+R19*$J$3</f>
        <v/>
      </c>
    </row>
    <row r="20">
      <c r="B20" s="24" t="n">
        <v>0.0414744</v>
      </c>
      <c r="C20" s="56">
        <f>(D20/B20)</f>
        <v/>
      </c>
      <c r="D20" s="56" t="n">
        <v>0.5</v>
      </c>
      <c r="E20" s="56" t="n"/>
      <c r="N20" s="24" t="n"/>
      <c r="O20" s="56" t="n"/>
      <c r="P20" s="56" t="n"/>
      <c r="R20" s="24">
        <f>(B28+B25+B33+B34+B29+B35)</f>
        <v/>
      </c>
      <c r="S20" s="56" t="n">
        <v>0</v>
      </c>
      <c r="T20" s="56">
        <f>(D28+D25+D33+D34+D29+D35)</f>
        <v/>
      </c>
      <c r="U20" t="inlineStr">
        <is>
          <t>Ph*</t>
        </is>
      </c>
      <c r="V20" s="57">
        <f>-T20+R20*$J$3</f>
        <v/>
      </c>
    </row>
    <row r="21">
      <c r="B21" s="24" t="n">
        <v>-0.2809</v>
      </c>
      <c r="C21" s="56">
        <f>(D21/B21)</f>
        <v/>
      </c>
      <c r="D21" s="56" t="n">
        <v>-4.2022</v>
      </c>
      <c r="E21" s="56" t="n"/>
      <c r="O21" s="56" t="n"/>
      <c r="P21" s="56" t="n"/>
      <c r="R21" s="24">
        <f>B31+B24+B30+B32</f>
        <v/>
      </c>
      <c r="S21" s="56" t="n">
        <v>0</v>
      </c>
      <c r="T21" s="56">
        <f>D31+D24+D30+D32</f>
        <v/>
      </c>
      <c r="U21" t="inlineStr">
        <is>
          <t>DCA1*</t>
        </is>
      </c>
      <c r="V21" s="57">
        <f>-T21+R21*$J$3</f>
        <v/>
      </c>
    </row>
    <row r="22">
      <c r="B22" s="24" t="n">
        <v>-0.07144</v>
      </c>
      <c r="C22" s="56">
        <f>(D22/B22)</f>
        <v/>
      </c>
      <c r="D22" s="56" t="n">
        <v>-1.16310352</v>
      </c>
      <c r="E22" s="56" t="n"/>
      <c r="M22" t="inlineStr">
        <is>
          <t>DCA2</t>
        </is>
      </c>
      <c r="N22" t="inlineStr">
        <is>
          <t>Qty to Sell</t>
        </is>
      </c>
      <c r="O22" t="inlineStr">
        <is>
          <t>Token Price</t>
        </is>
      </c>
      <c r="P22" t="inlineStr">
        <is>
          <t>Value</t>
        </is>
      </c>
      <c r="R22" s="24">
        <f>B36</f>
        <v/>
      </c>
      <c r="S22" s="57">
        <f>T22/R22</f>
        <v/>
      </c>
      <c r="T22" s="57">
        <f>D36</f>
        <v/>
      </c>
    </row>
    <row r="23">
      <c r="B23" s="24" t="n">
        <v>-0.09811</v>
      </c>
      <c r="C23" s="56">
        <f>(D23/B23)</f>
        <v/>
      </c>
      <c r="D23" s="56" t="n">
        <v>-1.59267</v>
      </c>
      <c r="E23" s="56" t="n"/>
      <c r="M23" t="inlineStr">
        <is>
          <t>Objectif</t>
        </is>
      </c>
      <c r="N23" s="24">
        <f>(-B22)</f>
        <v/>
      </c>
      <c r="O23" s="56">
        <f>(C22)</f>
        <v/>
      </c>
      <c r="P23" s="56">
        <f>(O23*N23)</f>
        <v/>
      </c>
      <c r="Q23" t="inlineStr">
        <is>
          <t>Done</t>
        </is>
      </c>
      <c r="R23" s="24">
        <f>B37</f>
        <v/>
      </c>
      <c r="S23" s="57">
        <f>T23/R23</f>
        <v/>
      </c>
      <c r="T23" s="56">
        <f>D37</f>
        <v/>
      </c>
      <c r="U23" t="inlineStr">
        <is>
          <t>DCA1 2/5</t>
        </is>
      </c>
    </row>
    <row r="24">
      <c r="B24" s="24" t="n">
        <v>-0.31</v>
      </c>
      <c r="C24" s="56">
        <f>(D24/B24)</f>
        <v/>
      </c>
      <c r="D24" s="56" t="n">
        <v>-5.704</v>
      </c>
      <c r="E24" s="56" t="n"/>
      <c r="N24" s="24">
        <f>-B39</f>
        <v/>
      </c>
      <c r="O24" s="56">
        <f>($S$15*Params!K9)</f>
        <v/>
      </c>
      <c r="P24" s="56">
        <f>(O24*N24)</f>
        <v/>
      </c>
      <c r="Q24" t="inlineStr">
        <is>
          <t>Done</t>
        </is>
      </c>
      <c r="R24" s="24">
        <f>B38</f>
        <v/>
      </c>
      <c r="S24" s="56">
        <f>T24/R24</f>
        <v/>
      </c>
      <c r="T24" s="56">
        <f>D38</f>
        <v/>
      </c>
      <c r="U24" t="inlineStr">
        <is>
          <t>Ph 3/5</t>
        </is>
      </c>
    </row>
    <row r="25">
      <c r="B25" s="24" t="n">
        <v>-0.098095</v>
      </c>
      <c r="C25" s="56">
        <f>(D25/B25)</f>
        <v/>
      </c>
      <c r="D25" s="56" t="n">
        <v>-2.16</v>
      </c>
      <c r="E25" s="56" t="n"/>
      <c r="N25" s="24">
        <f>(3*($R$15+$N$23+$R$19)/5-$N$23-N24)</f>
        <v/>
      </c>
      <c r="O25" s="56">
        <f>45.21</f>
        <v/>
      </c>
      <c r="P25" s="56">
        <f>(O25*N25)</f>
        <v/>
      </c>
      <c r="Q25" t="inlineStr">
        <is>
          <t>Done</t>
        </is>
      </c>
      <c r="R25" s="24">
        <f>B39</f>
        <v/>
      </c>
      <c r="S25" s="56">
        <f>C39</f>
        <v/>
      </c>
      <c r="T25" s="56">
        <f>D39</f>
        <v/>
      </c>
      <c r="U25" t="inlineStr">
        <is>
          <t>DCA2 2/5</t>
        </is>
      </c>
    </row>
    <row r="26">
      <c r="B26" s="24">
        <f>(-0.05715)</f>
        <v/>
      </c>
      <c r="C26" s="56">
        <f>(D26/B26)</f>
        <v/>
      </c>
      <c r="D26" s="56" t="n">
        <v>-1.25988073</v>
      </c>
      <c r="E26" s="56" t="n"/>
      <c r="N26" s="24">
        <f>($R$15+$N$23+$R$19)/5</f>
        <v/>
      </c>
      <c r="O26" s="56">
        <f>($S$15*Params!K11)</f>
        <v/>
      </c>
      <c r="P26" s="56">
        <f>(O26*N26)</f>
        <v/>
      </c>
      <c r="R26" s="24">
        <f>B40</f>
        <v/>
      </c>
      <c r="S26" s="56">
        <f>C40</f>
        <v/>
      </c>
      <c r="T26" s="56">
        <f>D40</f>
        <v/>
      </c>
      <c r="U26" t="inlineStr">
        <is>
          <t>DCA1&amp;2 3/5</t>
        </is>
      </c>
    </row>
    <row r="27">
      <c r="B27" s="24" t="n">
        <v>0.06353443</v>
      </c>
      <c r="C27" s="56">
        <f>(D27/B27)</f>
        <v/>
      </c>
      <c r="D27" s="56" t="n">
        <v>1.19</v>
      </c>
      <c r="E27" s="56" t="n"/>
      <c r="O27" s="56" t="n"/>
      <c r="P27" s="56" t="n"/>
      <c r="R27" s="24">
        <f>B41</f>
        <v/>
      </c>
      <c r="S27" s="56">
        <f>C41</f>
        <v/>
      </c>
      <c r="T27" s="56">
        <f>D41</f>
        <v/>
      </c>
      <c r="U27" t="inlineStr">
        <is>
          <t>Ph 4/5</t>
        </is>
      </c>
    </row>
    <row r="28">
      <c r="B28" s="24">
        <f>(0.02767109+0.08304053-0.00094104)</f>
        <v/>
      </c>
      <c r="C28" s="56">
        <f>(D28/B28)</f>
        <v/>
      </c>
      <c r="D28" s="56" t="n">
        <v>2.04</v>
      </c>
      <c r="E28" s="56" t="n"/>
      <c r="O28" s="56" t="n"/>
      <c r="P28" s="56">
        <f>(SUM(P23:P26))</f>
        <v/>
      </c>
      <c r="S28" s="56" t="n"/>
      <c r="T28" s="56" t="n"/>
    </row>
    <row r="29">
      <c r="B29" s="24" t="n">
        <v>-0.102</v>
      </c>
      <c r="C29" s="56">
        <f>(D29/B29)</f>
        <v/>
      </c>
      <c r="D29" s="56">
        <f>(-2.275+0.019338)</f>
        <v/>
      </c>
      <c r="E29" s="56" t="n"/>
      <c r="S29" s="56" t="n"/>
      <c r="T29" s="56" t="n"/>
    </row>
    <row r="30">
      <c r="B30" s="24" t="n">
        <v>0.11322</v>
      </c>
      <c r="C30" s="56">
        <f>(D30/B30)</f>
        <v/>
      </c>
      <c r="D30" s="56" t="n">
        <v>2.13</v>
      </c>
      <c r="E30" s="56" t="n"/>
      <c r="N30" s="24" t="n"/>
      <c r="P30" s="24" t="n"/>
      <c r="S30" s="56" t="n"/>
      <c r="T30" s="56" t="n"/>
    </row>
    <row r="31">
      <c r="B31" s="24" t="n">
        <v>0.34735262</v>
      </c>
      <c r="C31" s="56">
        <f>(D31/B31)</f>
        <v/>
      </c>
      <c r="D31" s="56" t="n">
        <v>5.38</v>
      </c>
      <c r="E31" s="56" t="n"/>
      <c r="S31" s="56" t="n"/>
      <c r="T31" s="56" t="n"/>
    </row>
    <row r="32">
      <c r="B32" s="24" t="n">
        <v>-0.1055</v>
      </c>
      <c r="C32" s="56">
        <f>(D32/B32)</f>
        <v/>
      </c>
      <c r="D32" s="56" t="n">
        <v>-2.26115192</v>
      </c>
      <c r="E32" s="56" t="n"/>
      <c r="S32" s="56" t="n"/>
      <c r="T32" s="56" t="n"/>
    </row>
    <row r="33">
      <c r="B33" s="24" t="n">
        <v>-0.1</v>
      </c>
      <c r="C33" s="56">
        <f>D33/B33</f>
        <v/>
      </c>
      <c r="D33" s="56">
        <f>-2.8715+0.024408</f>
        <v/>
      </c>
      <c r="E33" s="56" t="n"/>
      <c r="S33" s="56" t="n"/>
      <c r="T33" s="56" t="n"/>
    </row>
    <row r="34">
      <c r="B34" s="24">
        <f>0.11560694-0.00098265-0.0000162</f>
        <v/>
      </c>
      <c r="C34" s="56">
        <f>D34/B34</f>
        <v/>
      </c>
      <c r="D34" s="56" t="n">
        <v>2.68</v>
      </c>
      <c r="E34" s="56" t="n"/>
      <c r="S34" s="56" t="n"/>
      <c r="T34" s="56" t="n"/>
    </row>
    <row r="35">
      <c r="B35" s="24" t="n">
        <v>0.11518</v>
      </c>
      <c r="C35" s="56">
        <f>D35/B35</f>
        <v/>
      </c>
      <c r="D35" s="56" t="n">
        <v>2.13</v>
      </c>
      <c r="E35" s="56" t="n"/>
      <c r="F35" s="24" t="n"/>
      <c r="H35" s="57" t="n"/>
      <c r="J35" s="57" t="n"/>
      <c r="S35" s="56" t="n"/>
      <c r="T35" s="56" t="n"/>
    </row>
    <row r="36">
      <c r="B36" s="24" t="n">
        <v>-0.10885</v>
      </c>
      <c r="C36" s="56">
        <f>D36/B36</f>
        <v/>
      </c>
      <c r="D36" s="56" t="n">
        <v>-2.606</v>
      </c>
      <c r="E36" s="56" t="n"/>
      <c r="S36" s="56" t="n"/>
      <c r="T36" s="56" t="n"/>
    </row>
    <row r="37">
      <c r="B37" s="24" t="n">
        <v>-2.08</v>
      </c>
      <c r="C37" s="56">
        <f>D37/B37</f>
        <v/>
      </c>
      <c r="D37" s="56" t="n">
        <v>-65.30216475</v>
      </c>
      <c r="E37" s="56" t="n"/>
      <c r="S37" s="56" t="n"/>
      <c r="T37" s="56" t="n"/>
    </row>
    <row r="38">
      <c r="B38" s="24" t="n">
        <v>-0.1</v>
      </c>
      <c r="C38" s="56">
        <f>D38/B38</f>
        <v/>
      </c>
      <c r="D38" s="56">
        <f>-3.1462+0.026743</f>
        <v/>
      </c>
      <c r="E38" s="56" t="n"/>
      <c r="N38" s="24" t="n"/>
      <c r="P38" s="57" t="n"/>
      <c r="S38" s="56" t="n"/>
      <c r="T38" s="56" t="n"/>
    </row>
    <row r="39">
      <c r="B39" s="24" t="n">
        <v>-0.65</v>
      </c>
      <c r="C39" s="56">
        <f>D39/B39</f>
        <v/>
      </c>
      <c r="D39" s="56">
        <f>-21.40712492</f>
        <v/>
      </c>
      <c r="E39" s="56" t="n"/>
      <c r="S39" s="56" t="n"/>
      <c r="T39" s="56" t="n"/>
    </row>
    <row r="40">
      <c r="B40" s="24" t="n">
        <v>-1.6148</v>
      </c>
      <c r="C40" s="56">
        <f>D40/B40</f>
        <v/>
      </c>
      <c r="D40" s="56" t="n">
        <v>-75.67129853</v>
      </c>
      <c r="E40" s="56" t="n"/>
      <c r="S40" s="56" t="n"/>
      <c r="T40" s="56" t="n"/>
    </row>
    <row r="41">
      <c r="B41" s="24" t="n">
        <v>-0.1088</v>
      </c>
      <c r="C41" s="56">
        <f>D41/B41</f>
        <v/>
      </c>
      <c r="D41" s="56">
        <f>-6.4064+0.054455</f>
        <v/>
      </c>
      <c r="E41" s="56" t="n"/>
      <c r="S41" s="56" t="n"/>
      <c r="T41" s="56" t="n"/>
    </row>
    <row r="42">
      <c r="C42" s="56" t="n"/>
      <c r="D42" s="56" t="n"/>
      <c r="E42" s="56" t="n"/>
      <c r="S42" s="56" t="n"/>
      <c r="T42" s="56" t="n"/>
    </row>
    <row r="43">
      <c r="B43" s="24">
        <f>(SUM(B5:B42))</f>
        <v/>
      </c>
      <c r="C43" s="56" t="n"/>
      <c r="D43" s="56">
        <f>(SUM(D5:D42))</f>
        <v/>
      </c>
      <c r="E43" s="56" t="n"/>
      <c r="F43" t="inlineStr">
        <is>
          <t>Moy</t>
        </is>
      </c>
      <c r="G43" s="56">
        <f>(D43/B43)</f>
        <v/>
      </c>
      <c r="R43" s="24">
        <f>(SUM(R5:R36))</f>
        <v/>
      </c>
      <c r="S43" s="56" t="n"/>
      <c r="T43" s="56">
        <f>(SUM(T5:T36))</f>
        <v/>
      </c>
      <c r="V43" t="inlineStr">
        <is>
          <t>Moy</t>
        </is>
      </c>
      <c r="W43" s="56">
        <f>(T43/R43)</f>
        <v/>
      </c>
    </row>
    <row r="44">
      <c r="M44" s="24" t="n"/>
      <c r="S44" s="56" t="n"/>
      <c r="T44" s="56" t="n"/>
    </row>
    <row r="45"/>
    <row r="46"/>
    <row r="47">
      <c r="N47" s="24" t="n"/>
    </row>
  </sheetData>
  <conditionalFormatting sqref="C5 C8:C10 S5">
    <cfRule type="cellIs" priority="95" operator="lessThan" dxfId="1">
      <formula>$J$3</formula>
    </cfRule>
    <cfRule type="cellIs" priority="96" operator="greaterThan" dxfId="0">
      <formula>$J$3</formula>
    </cfRule>
  </conditionalFormatting>
  <conditionalFormatting sqref="C16:C17">
    <cfRule type="cellIs" priority="79" operator="lessThan" dxfId="1">
      <formula>$J$3</formula>
    </cfRule>
    <cfRule type="cellIs" priority="80" operator="greaterThan" dxfId="0">
      <formula>$J$3</formula>
    </cfRule>
    <cfRule type="cellIs" priority="81" operator="lessThan" dxfId="1">
      <formula>$J$3</formula>
    </cfRule>
    <cfRule type="cellIs" priority="82" operator="greaterThan" dxfId="0">
      <formula>$J$3</formula>
    </cfRule>
    <cfRule type="cellIs" priority="89" operator="lessThan" dxfId="1">
      <formula>$J$3</formula>
    </cfRule>
    <cfRule type="cellIs" priority="90" operator="greaterThan" dxfId="0">
      <formula>$J$3</formula>
    </cfRule>
  </conditionalFormatting>
  <conditionalFormatting sqref="C19:C20 G43">
    <cfRule type="cellIs" priority="73" operator="lessThan" dxfId="1">
      <formula>$J$3</formula>
    </cfRule>
    <cfRule type="cellIs" priority="74" operator="greaterThan" dxfId="0">
      <formula>$J$3</formula>
    </cfRule>
    <cfRule type="cellIs" priority="75" operator="lessThan" dxfId="1">
      <formula>$J$3</formula>
    </cfRule>
    <cfRule type="cellIs" priority="76" operator="greaterThan" dxfId="0">
      <formula>$J$3</formula>
    </cfRule>
    <cfRule type="cellIs" priority="77" operator="lessThan" dxfId="1">
      <formula>$J$3</formula>
    </cfRule>
    <cfRule type="cellIs" priority="78" operator="greaterThan" dxfId="0">
      <formula>$J$3</formula>
    </cfRule>
    <cfRule type="cellIs" priority="87" operator="lessThan" dxfId="1">
      <formula>$J$3</formula>
    </cfRule>
    <cfRule type="cellIs" priority="88" operator="greaterThan" dxfId="0">
      <formula>$J$3</formula>
    </cfRule>
  </conditionalFormatting>
  <conditionalFormatting sqref="C27:C28 C30:C31 C34:C35">
    <cfRule type="cellIs" priority="65" operator="lessThan" dxfId="1">
      <formula>$J$3</formula>
    </cfRule>
    <cfRule type="cellIs" priority="66" operator="greaterThan" dxfId="0">
      <formula>$J$3</formula>
    </cfRule>
    <cfRule type="cellIs" priority="67" operator="lessThan" dxfId="1">
      <formula>$J$3</formula>
    </cfRule>
    <cfRule type="cellIs" priority="68" operator="greaterThan" dxfId="0">
      <formula>$J$3</formula>
    </cfRule>
    <cfRule type="cellIs" priority="69" operator="lessThan" dxfId="1">
      <formula>$J$3</formula>
    </cfRule>
    <cfRule type="cellIs" priority="70" operator="greaterThan" dxfId="0">
      <formula>$J$3</formula>
    </cfRule>
    <cfRule type="cellIs" priority="71" operator="lessThan" dxfId="1">
      <formula>$J$3</formula>
    </cfRule>
    <cfRule type="cellIs" priority="72" operator="greaterThan" dxfId="0">
      <formula>$J$3</formula>
    </cfRule>
    <cfRule type="cellIs" priority="85" operator="lessThan" dxfId="1">
      <formula>$J$3</formula>
    </cfRule>
    <cfRule type="cellIs" priority="86" operator="greaterThan" dxfId="0">
      <formula>$J$3</formula>
    </cfRule>
  </conditionalFormatting>
  <conditionalFormatting sqref="O17 O26 S12:S13 S15:S16">
    <cfRule type="cellIs" priority="59" operator="lessThan" dxfId="1">
      <formula>$J$3</formula>
    </cfRule>
    <cfRule type="cellIs" priority="60" operator="greaterThan" dxfId="0">
      <formula>$J$3</formula>
    </cfRule>
    <cfRule type="cellIs" priority="61" operator="lessThan" dxfId="1">
      <formula>$J$3</formula>
    </cfRule>
    <cfRule type="cellIs" priority="62" operator="greaterThan" dxfId="0">
      <formula>$J$3</formula>
    </cfRule>
  </conditionalFormatting>
  <conditionalFormatting sqref="O3">
    <cfRule type="cellIs" priority="41" operator="greaterThan" dxfId="1">
      <formula>$J$3</formula>
    </cfRule>
    <cfRule type="cellIs" priority="42" operator="lessThan" dxfId="0">
      <formula>$J$3</formula>
    </cfRule>
  </conditionalFormatting>
  <conditionalFormatting sqref="W43">
    <cfRule type="cellIs" priority="11" operator="lessThan" dxfId="1">
      <formula>$J$3</formula>
    </cfRule>
    <cfRule type="cellIs" priority="12" operator="greaterThan" dxfId="0">
      <formula>$J$3</formula>
    </cfRule>
    <cfRule type="cellIs" priority="13" operator="lessThan" dxfId="1">
      <formula>$J$3</formula>
    </cfRule>
    <cfRule type="cellIs" priority="14" operator="greaterThan" dxfId="0">
      <formula>$J$3</formula>
    </cfRule>
    <cfRule type="cellIs" priority="15" operator="lessThan" dxfId="1">
      <formula>$J$3</formula>
    </cfRule>
    <cfRule type="cellIs" priority="16" operator="greaterThan" dxfId="0">
      <formula>$J$3</formula>
    </cfRule>
    <cfRule type="cellIs" priority="17" operator="lessThan" dxfId="1">
      <formula>$J$3</formula>
    </cfRule>
    <cfRule type="cellIs" priority="18" operator="greaterThan" dxfId="0">
      <formula>$J$3</formula>
    </cfRule>
  </conditionalFormatting>
  <pageMargins left="0.75" right="0.75" top="1" bottom="1" header="0.5" footer="0.5"/>
</worksheet>
</file>

<file path=xl/worksheets/sheet29.xml><?xml version="1.0" encoding="utf-8"?>
<worksheet xmlns="http://schemas.openxmlformats.org/spreadsheetml/2006/main">
  <sheetPr>
    <outlinePr summaryBelow="1" summaryRight="1"/>
    <pageSetUpPr/>
  </sheetPr>
  <dimension ref="B1:Q13"/>
  <sheetViews>
    <sheetView workbookViewId="0">
      <selection activeCell="B7" sqref="B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0.09637681586775038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</row>
    <row r="5">
      <c r="B5" s="19" t="n">
        <v>9.10125837</v>
      </c>
      <c r="C5" s="35">
        <f>(D5/B5)</f>
        <v/>
      </c>
      <c r="D5" s="56" t="n">
        <v>0.5</v>
      </c>
      <c r="E5" s="56" t="n"/>
      <c r="G5" s="56" t="n"/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0" t="n">
        <v>0.23011601</v>
      </c>
      <c r="C6" s="58" t="n">
        <v>0</v>
      </c>
      <c r="D6" s="26">
        <f>(B6*C6)</f>
        <v/>
      </c>
      <c r="E6" s="56">
        <f>(B6*J3)</f>
        <v/>
      </c>
      <c r="G6" s="56" t="n"/>
      <c r="M6" t="inlineStr">
        <is>
          <t>Objectif</t>
        </is>
      </c>
      <c r="N6" s="19">
        <f>($B$13/5)</f>
        <v/>
      </c>
      <c r="O6" s="35">
        <f>($C$5*Params!K8)</f>
        <v/>
      </c>
      <c r="P6" s="56">
        <f>(O6*N6)</f>
        <v/>
      </c>
      <c r="Q6" s="56">
        <f>N6*$J$3</f>
        <v/>
      </c>
    </row>
    <row r="7">
      <c r="C7" s="56" t="n"/>
      <c r="D7" s="56" t="n"/>
      <c r="E7" s="56" t="n"/>
      <c r="G7" s="56" t="n"/>
      <c r="N7" s="19">
        <f>($B$13/5)</f>
        <v/>
      </c>
      <c r="O7" s="35">
        <f>($C$5*Params!K9)</f>
        <v/>
      </c>
      <c r="P7" s="56">
        <f>(O7*N7)</f>
        <v/>
      </c>
      <c r="Q7" s="56">
        <f>Q6*2</f>
        <v/>
      </c>
    </row>
    <row r="8">
      <c r="C8" s="56" t="n"/>
      <c r="D8" s="56" t="n"/>
      <c r="E8" s="56" t="n"/>
      <c r="G8" s="56" t="n"/>
      <c r="N8" s="19">
        <f>($B$13/5)</f>
        <v/>
      </c>
      <c r="O8" s="35">
        <f>($C$5*Params!K10)</f>
        <v/>
      </c>
      <c r="P8" s="56">
        <f>(O8*N8)</f>
        <v/>
      </c>
      <c r="Q8" s="56">
        <f>Q6*3</f>
        <v/>
      </c>
    </row>
    <row r="9">
      <c r="C9" s="56" t="n"/>
      <c r="D9" s="56" t="n"/>
      <c r="E9" s="56" t="n"/>
      <c r="G9" s="56" t="n"/>
      <c r="N9" s="19">
        <f>($B$13/5)</f>
        <v/>
      </c>
      <c r="O9" s="35">
        <f>($C$5*Params!K11)</f>
        <v/>
      </c>
      <c r="P9" s="56">
        <f>(O9*N9)</f>
        <v/>
      </c>
      <c r="Q9" s="56">
        <f>Q6*4</f>
        <v/>
      </c>
    </row>
    <row r="10">
      <c r="C10" s="56" t="n"/>
      <c r="D10" s="56" t="n"/>
      <c r="E10" s="56" t="n"/>
      <c r="G10" s="56" t="n"/>
      <c r="O10" s="56" t="n"/>
      <c r="P10" s="56" t="n"/>
    </row>
    <row r="11">
      <c r="C11" s="56" t="n"/>
      <c r="D11" s="56" t="n"/>
      <c r="E11" s="56" t="n"/>
      <c r="G11" s="56" t="n"/>
      <c r="O11" s="56" t="n"/>
      <c r="P11" s="56">
        <f>(SUM(P6:P9))</f>
        <v/>
      </c>
    </row>
    <row r="12">
      <c r="C12" s="56" t="n"/>
      <c r="D12" s="56" t="n"/>
      <c r="E12" s="56" t="n"/>
      <c r="F12" t="inlineStr">
        <is>
          <t>Moy</t>
        </is>
      </c>
      <c r="G12" s="56">
        <f>(D13/B13)</f>
        <v/>
      </c>
    </row>
    <row r="13">
      <c r="B13">
        <f>(SUM(B5:B12))</f>
        <v/>
      </c>
      <c r="C13" s="56" t="n"/>
      <c r="D13" s="56">
        <f>(SUM(D5:D12))</f>
        <v/>
      </c>
      <c r="E13" s="56" t="n"/>
      <c r="G13" s="56" t="n"/>
    </row>
  </sheetData>
  <conditionalFormatting sqref="C5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6:O9">
    <cfRule type="cellIs" priority="5" operator="lessThan" dxfId="1">
      <formula>$J$3</formula>
    </cfRule>
    <cfRule type="cellIs" priority="6" operator="greaterThan" dxfId="0">
      <formula>$J$3</formula>
    </cfRule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B2:Y232"/>
  <sheetViews>
    <sheetView zoomScale="85" zoomScaleNormal="85" workbookViewId="0">
      <selection activeCell="O232" sqref="O232"/>
    </sheetView>
  </sheetViews>
  <sheetFormatPr baseColWidth="10" defaultColWidth="9.140625" defaultRowHeight="15"/>
  <cols>
    <col width="10.7109375" bestFit="1" customWidth="1" style="3" min="2" max="2"/>
    <col width="12.42578125" bestFit="1" customWidth="1" style="14" min="3" max="3"/>
    <col width="10.28515625" bestFit="1" customWidth="1" style="14" min="4" max="4"/>
    <col width="12.28515625" bestFit="1" customWidth="1" style="14" min="5" max="5"/>
    <col width="13.85546875" bestFit="1" customWidth="1" style="14" min="24" max="24"/>
  </cols>
  <sheetData>
    <row r="2">
      <c r="M2" t="inlineStr">
        <is>
          <t>DFI Coef</t>
        </is>
      </c>
      <c r="N2" t="inlineStr">
        <is>
          <t>BTC Coef</t>
        </is>
      </c>
      <c r="X2" t="inlineStr">
        <is>
          <t>Worth to Date</t>
        </is>
      </c>
      <c r="Y2" s="19">
        <f>(C231)</f>
        <v/>
      </c>
    </row>
    <row r="3">
      <c r="M3" t="n">
        <v>51</v>
      </c>
      <c r="N3">
        <f>(1/213)</f>
        <v/>
      </c>
    </row>
    <row r="31">
      <c r="C31" t="inlineStr">
        <is>
          <t>Assets worth</t>
        </is>
      </c>
      <c r="D31" t="inlineStr">
        <is>
          <t>DFI * Coef</t>
        </is>
      </c>
      <c r="E31" t="inlineStr">
        <is>
          <t>BTC * Coef</t>
        </is>
      </c>
    </row>
    <row r="32">
      <c r="B32" s="27" t="n">
        <v>44537</v>
      </c>
      <c r="C32" s="19" t="n">
        <v>235</v>
      </c>
      <c r="D32" s="19">
        <f>4.6*M3</f>
        <v/>
      </c>
      <c r="E32" s="19">
        <f>50000*N3</f>
        <v/>
      </c>
    </row>
    <row r="33">
      <c r="B33" s="27" t="n">
        <v>44538</v>
      </c>
      <c r="C33" s="19" t="n">
        <v>272.32</v>
      </c>
      <c r="D33" s="19">
        <f>5.2*M3</f>
        <v/>
      </c>
      <c r="E33" s="19">
        <f>50500*N3</f>
        <v/>
      </c>
    </row>
    <row r="34">
      <c r="B34" s="27" t="n">
        <v>44539</v>
      </c>
      <c r="C34" s="19" t="n">
        <v>259.28</v>
      </c>
      <c r="D34" s="19">
        <f>4.8*M3</f>
        <v/>
      </c>
      <c r="E34" s="19">
        <f>47800*N3</f>
        <v/>
      </c>
    </row>
    <row r="35">
      <c r="B35" s="27" t="n">
        <v>44540</v>
      </c>
      <c r="C35" s="19" t="n">
        <v>255</v>
      </c>
      <c r="D35" s="19">
        <f>4.68*M3</f>
        <v/>
      </c>
      <c r="E35" s="19">
        <f>48150*N3</f>
        <v/>
      </c>
    </row>
    <row r="36">
      <c r="B36" s="27" t="n">
        <v>44541</v>
      </c>
      <c r="C36" s="19" t="n">
        <v>251.56</v>
      </c>
      <c r="D36" s="19">
        <f>4.55*M3</f>
        <v/>
      </c>
      <c r="E36" s="19">
        <f>48500*N3</f>
        <v/>
      </c>
    </row>
    <row r="37">
      <c r="B37" s="27" t="n">
        <v>44542</v>
      </c>
      <c r="C37" s="19" t="n">
        <v>251.63</v>
      </c>
      <c r="D37" s="19">
        <f>4.49*M3</f>
        <v/>
      </c>
      <c r="E37" s="19">
        <f>50200*N3</f>
        <v/>
      </c>
    </row>
    <row r="38">
      <c r="B38" s="27" t="n">
        <v>44543</v>
      </c>
      <c r="C38" s="19" t="n">
        <v>216.13</v>
      </c>
      <c r="D38" s="19">
        <f>3.6*M3</f>
        <v/>
      </c>
      <c r="E38" s="19">
        <f>47600*N3</f>
        <v/>
      </c>
    </row>
    <row r="39">
      <c r="B39" s="27" t="n">
        <v>44544</v>
      </c>
      <c r="C39" s="19" t="n">
        <v>232.52</v>
      </c>
      <c r="D39" s="19">
        <f>4.05*M3</f>
        <v/>
      </c>
      <c r="E39" s="19">
        <f>46660*N3</f>
        <v/>
      </c>
    </row>
    <row r="40">
      <c r="B40" s="27" t="n">
        <v>44545</v>
      </c>
      <c r="C40" s="19" t="n">
        <v>232.35</v>
      </c>
      <c r="D40" s="19">
        <f>4*M3</f>
        <v/>
      </c>
      <c r="E40" s="19">
        <f>47250*N3</f>
        <v/>
      </c>
    </row>
    <row r="41">
      <c r="B41" s="27" t="n">
        <v>44546</v>
      </c>
      <c r="C41" s="19" t="n">
        <v>232.2</v>
      </c>
      <c r="D41" s="19">
        <f>4*M3</f>
        <v/>
      </c>
      <c r="E41" s="19">
        <f>47830*N3</f>
        <v/>
      </c>
    </row>
    <row r="42">
      <c r="B42" s="27" t="n">
        <v>44547</v>
      </c>
      <c r="C42" s="19" t="n">
        <v>228</v>
      </c>
      <c r="D42" s="19">
        <f>3.8*M3</f>
        <v/>
      </c>
      <c r="E42" s="19">
        <f>47000*N3</f>
        <v/>
      </c>
    </row>
    <row r="43">
      <c r="B43" s="27" t="n">
        <v>44548</v>
      </c>
      <c r="C43" s="19" t="n">
        <v>224.35</v>
      </c>
      <c r="D43" s="19">
        <f>3.75*M3</f>
        <v/>
      </c>
      <c r="E43" s="19">
        <f>47000*N3</f>
        <v/>
      </c>
    </row>
    <row r="44">
      <c r="B44" s="27" t="n">
        <v>44549</v>
      </c>
      <c r="C44" s="19" t="n">
        <v>219.73</v>
      </c>
      <c r="D44" s="19">
        <f>3.62*M3</f>
        <v/>
      </c>
      <c r="E44" s="19">
        <f>47135*N3</f>
        <v/>
      </c>
    </row>
    <row r="45">
      <c r="B45" s="27" t="n">
        <v>44550</v>
      </c>
      <c r="C45" s="19" t="n">
        <v>210.32</v>
      </c>
      <c r="D45" s="19">
        <f>3.41*M3</f>
        <v/>
      </c>
      <c r="E45" s="19">
        <f>45600*N3</f>
        <v/>
      </c>
    </row>
    <row r="46">
      <c r="B46" s="27" t="n">
        <v>44551</v>
      </c>
      <c r="C46" s="19" t="n">
        <v>216</v>
      </c>
      <c r="D46" s="19">
        <f>3.48*M3</f>
        <v/>
      </c>
      <c r="E46" s="19">
        <f>47300*N3</f>
        <v/>
      </c>
    </row>
    <row r="47">
      <c r="B47" s="27" t="n">
        <v>44552</v>
      </c>
      <c r="C47" s="19" t="n">
        <v>222.58</v>
      </c>
      <c r="D47" s="19">
        <f>3.55*M3</f>
        <v/>
      </c>
      <c r="E47" s="19">
        <f>49000*N3</f>
        <v/>
      </c>
    </row>
    <row r="48">
      <c r="B48" s="27" t="n">
        <v>44553</v>
      </c>
      <c r="C48" s="19" t="n">
        <v>223.95</v>
      </c>
      <c r="D48" s="19">
        <f>3.38*M3</f>
        <v/>
      </c>
      <c r="E48" s="19">
        <f>51000*N3</f>
        <v/>
      </c>
    </row>
    <row r="49">
      <c r="B49" s="27" t="n">
        <v>44554</v>
      </c>
      <c r="C49" s="19" t="n">
        <v>233.46</v>
      </c>
      <c r="D49" s="19">
        <f>3.44*M3</f>
        <v/>
      </c>
      <c r="E49" s="19">
        <f>51100*N3</f>
        <v/>
      </c>
    </row>
    <row r="50">
      <c r="B50" s="27" t="n">
        <v>44555</v>
      </c>
      <c r="C50" s="19" t="n">
        <v>231.2</v>
      </c>
      <c r="D50" s="19">
        <f>3.44*M3</f>
        <v/>
      </c>
      <c r="E50" s="19">
        <f>50600*N3</f>
        <v/>
      </c>
    </row>
    <row r="51">
      <c r="B51" s="27" t="n">
        <v>44556</v>
      </c>
      <c r="C51" s="19" t="n">
        <v>233</v>
      </c>
      <c r="D51" s="19">
        <f>3.37*M3</f>
        <v/>
      </c>
      <c r="E51" s="19">
        <f>50000*N3</f>
        <v/>
      </c>
    </row>
    <row r="52">
      <c r="B52" s="27" t="n">
        <v>44557</v>
      </c>
      <c r="C52" s="19" t="n">
        <v>234.81</v>
      </c>
      <c r="D52" s="19">
        <f>3.3*M3</f>
        <v/>
      </c>
      <c r="E52" s="19">
        <f>50700*N3</f>
        <v/>
      </c>
    </row>
    <row r="53">
      <c r="B53" s="27" t="n">
        <v>44558</v>
      </c>
      <c r="C53" s="19" t="n">
        <v>227.26</v>
      </c>
      <c r="D53" s="19">
        <f>3.4*M3</f>
        <v/>
      </c>
      <c r="E53" s="19">
        <f>48000*N3</f>
        <v/>
      </c>
    </row>
    <row r="54">
      <c r="B54" s="27" t="n">
        <v>44559</v>
      </c>
      <c r="C54" s="19" t="n">
        <v>224.71</v>
      </c>
      <c r="D54" s="19">
        <f>3.31*M3</f>
        <v/>
      </c>
      <c r="E54" s="19">
        <f>47133*N3</f>
        <v/>
      </c>
    </row>
    <row r="55">
      <c r="B55" s="27" t="n">
        <v>44560</v>
      </c>
      <c r="C55" s="19" t="n">
        <v>223.77</v>
      </c>
      <c r="D55" s="19">
        <f>3.32*M3</f>
        <v/>
      </c>
      <c r="E55" s="19">
        <f>47500*N3</f>
        <v/>
      </c>
    </row>
    <row r="56">
      <c r="B56" s="27" t="n">
        <v>44561</v>
      </c>
      <c r="C56" s="19" t="n">
        <v>224.5</v>
      </c>
      <c r="D56" s="19">
        <f>3.33*M3</f>
        <v/>
      </c>
      <c r="E56" s="19">
        <f>47350*N3</f>
        <v/>
      </c>
    </row>
    <row r="57">
      <c r="B57" s="27" t="n">
        <v>44562</v>
      </c>
      <c r="C57" s="19" t="n">
        <v>225.2</v>
      </c>
      <c r="D57" s="19">
        <f>3.34*M3</f>
        <v/>
      </c>
      <c r="E57" s="19">
        <f>47120*N3</f>
        <v/>
      </c>
    </row>
    <row r="58">
      <c r="B58" s="27" t="n">
        <v>44563</v>
      </c>
      <c r="C58" s="19" t="n">
        <v>225.91</v>
      </c>
      <c r="D58" s="19">
        <f>3.35*M3</f>
        <v/>
      </c>
      <c r="E58" s="19">
        <f>47000*N3</f>
        <v/>
      </c>
    </row>
    <row r="59">
      <c r="B59" s="27" t="n">
        <v>44564</v>
      </c>
      <c r="C59" s="19">
        <f>230</f>
        <v/>
      </c>
      <c r="D59" s="19">
        <f>3.45*M3</f>
        <v/>
      </c>
      <c r="E59" s="19">
        <f>46750*N3</f>
        <v/>
      </c>
    </row>
    <row r="60">
      <c r="B60" s="27" t="n">
        <v>44565</v>
      </c>
      <c r="C60" s="19" t="n">
        <v>234.54</v>
      </c>
      <c r="D60" s="19">
        <f>3.56*M3</f>
        <v/>
      </c>
      <c r="E60" s="19">
        <f>46500*N3</f>
        <v/>
      </c>
    </row>
    <row r="61">
      <c r="B61" s="27" t="n">
        <v>44566</v>
      </c>
      <c r="C61" s="19" t="n">
        <v>231.39</v>
      </c>
      <c r="D61" s="19">
        <f>3.46*M3</f>
        <v/>
      </c>
      <c r="E61" s="19">
        <f>45800*N3</f>
        <v/>
      </c>
    </row>
    <row r="62">
      <c r="B62" s="27" t="n">
        <v>44567</v>
      </c>
      <c r="C62" s="19" t="n">
        <v>207</v>
      </c>
      <c r="D62" s="19">
        <f>3.05*M3</f>
        <v/>
      </c>
      <c r="E62" s="19">
        <f>43500*$N$3</f>
        <v/>
      </c>
    </row>
    <row r="63">
      <c r="B63" s="27" t="n">
        <v>44568</v>
      </c>
      <c r="C63" s="19" t="n">
        <v>200</v>
      </c>
      <c r="D63" s="19">
        <f>2.9*M3</f>
        <v/>
      </c>
      <c r="E63" s="19">
        <f>42900*$N$3</f>
        <v/>
      </c>
    </row>
    <row r="64">
      <c r="B64" s="27" t="n">
        <v>44569</v>
      </c>
      <c r="C64" s="19" t="n">
        <v>193</v>
      </c>
      <c r="D64" s="19">
        <f>2.8*M3</f>
        <v/>
      </c>
      <c r="E64" s="19">
        <f>42300*$N$3</f>
        <v/>
      </c>
    </row>
    <row r="65">
      <c r="B65" s="27" t="n">
        <v>44570</v>
      </c>
      <c r="C65" s="19" t="n">
        <v>189</v>
      </c>
      <c r="D65" s="19">
        <f>2.69*M3</f>
        <v/>
      </c>
      <c r="E65" s="19">
        <f>41800*N3</f>
        <v/>
      </c>
    </row>
    <row r="66">
      <c r="B66" s="27" t="n">
        <v>44571</v>
      </c>
      <c r="C66" s="19" t="n">
        <v>191</v>
      </c>
      <c r="D66" s="19">
        <f>2.7*M3</f>
        <v/>
      </c>
      <c r="E66" s="19">
        <f>42200*N3</f>
        <v/>
      </c>
    </row>
    <row r="67">
      <c r="B67" s="27" t="n">
        <v>44572</v>
      </c>
      <c r="C67" s="19" t="n">
        <v>196</v>
      </c>
      <c r="D67" s="19">
        <f>2.71*M3</f>
        <v/>
      </c>
      <c r="E67" s="19">
        <f>42800*N3</f>
        <v/>
      </c>
    </row>
    <row r="68">
      <c r="B68" s="27" t="n">
        <v>44573</v>
      </c>
      <c r="C68" s="19" t="n">
        <v>207.3</v>
      </c>
      <c r="D68" s="19">
        <f>2.95*M3</f>
        <v/>
      </c>
      <c r="E68" s="19">
        <f>43600*N3</f>
        <v/>
      </c>
    </row>
    <row r="69">
      <c r="B69" s="27" t="n">
        <v>44574</v>
      </c>
      <c r="C69" s="19" t="n">
        <v>206.2</v>
      </c>
      <c r="D69" s="19">
        <f>2.92*M3</f>
        <v/>
      </c>
      <c r="E69" s="19">
        <f>42840*N3</f>
        <v/>
      </c>
    </row>
    <row r="70">
      <c r="B70" s="27" t="n">
        <v>44575</v>
      </c>
      <c r="C70" s="19" t="n">
        <v>207.73</v>
      </c>
      <c r="D70" s="19">
        <f>2.97*M3</f>
        <v/>
      </c>
      <c r="E70" s="19">
        <f>43000*N3</f>
        <v/>
      </c>
    </row>
    <row r="71">
      <c r="B71" s="27" t="n">
        <v>44576</v>
      </c>
      <c r="C71" s="19" t="n">
        <v>210.75</v>
      </c>
      <c r="D71" s="19">
        <f>3.01*M3</f>
        <v/>
      </c>
      <c r="E71" s="19">
        <f>43330*N3</f>
        <v/>
      </c>
    </row>
    <row r="72">
      <c r="B72" s="27" t="n">
        <v>44577</v>
      </c>
      <c r="C72" s="19" t="n">
        <v>212.98</v>
      </c>
      <c r="D72" s="19">
        <f>3.07*M3</f>
        <v/>
      </c>
      <c r="E72" s="19">
        <f>43000*N3</f>
        <v/>
      </c>
    </row>
    <row r="73">
      <c r="B73" s="27" t="n">
        <v>44578</v>
      </c>
      <c r="C73" s="19" t="n">
        <v>209</v>
      </c>
      <c r="D73" s="19">
        <f>3.06*M3</f>
        <v/>
      </c>
      <c r="E73" s="19">
        <f>42100*N3</f>
        <v/>
      </c>
    </row>
    <row r="74">
      <c r="B74" s="27" t="n">
        <v>44579</v>
      </c>
      <c r="C74" s="19" t="n">
        <v>208.18</v>
      </c>
      <c r="D74" s="19">
        <f>3.01*M3</f>
        <v/>
      </c>
      <c r="E74" s="19">
        <f>42100*$N$3</f>
        <v/>
      </c>
    </row>
    <row r="75">
      <c r="B75" s="27" t="n">
        <v>44580</v>
      </c>
      <c r="C75" s="19" t="n">
        <v>210</v>
      </c>
      <c r="D75" s="19">
        <f>3.03*M3</f>
        <v/>
      </c>
      <c r="E75" s="19">
        <f>42100*$N$3</f>
        <v/>
      </c>
    </row>
    <row r="76">
      <c r="B76" s="27" t="n">
        <v>44581</v>
      </c>
      <c r="C76" s="19" t="n">
        <v>213</v>
      </c>
      <c r="D76" s="19">
        <f>3.06*M3</f>
        <v/>
      </c>
      <c r="E76" s="19">
        <f>43200*N3</f>
        <v/>
      </c>
    </row>
    <row r="77">
      <c r="B77" s="27" t="n">
        <v>44582</v>
      </c>
      <c r="C77" s="19" t="n">
        <v>181.65</v>
      </c>
      <c r="D77" s="19">
        <f>2.65*M3</f>
        <v/>
      </c>
      <c r="E77" s="19">
        <f>37000*N3</f>
        <v/>
      </c>
    </row>
    <row r="78">
      <c r="B78" s="27" t="n">
        <v>44583</v>
      </c>
      <c r="C78" s="19" t="n">
        <v>175</v>
      </c>
      <c r="D78" s="19">
        <f>2.55*M3</f>
        <v/>
      </c>
      <c r="E78" s="19">
        <f>36000*N3</f>
        <v/>
      </c>
    </row>
    <row r="79">
      <c r="B79" s="27" t="n">
        <v>44584</v>
      </c>
      <c r="C79" s="19" t="n">
        <v>167</v>
      </c>
      <c r="D79" s="19">
        <f>2.4*M3</f>
        <v/>
      </c>
      <c r="E79" s="19">
        <f>35200*N3</f>
        <v/>
      </c>
    </row>
    <row r="80">
      <c r="B80" s="27" t="n">
        <v>44585</v>
      </c>
      <c r="C80" s="19" t="n">
        <v>175</v>
      </c>
      <c r="D80" s="19">
        <f>2.4*M3</f>
        <v/>
      </c>
      <c r="E80" s="19">
        <f>36000*N3</f>
        <v/>
      </c>
    </row>
    <row r="81">
      <c r="B81" s="27" t="n">
        <v>44586</v>
      </c>
      <c r="C81" s="19" t="n">
        <v>181.45</v>
      </c>
      <c r="D81" s="19">
        <f>2.55*M3</f>
        <v/>
      </c>
      <c r="E81" s="19">
        <f>37350*N3</f>
        <v/>
      </c>
    </row>
    <row r="82">
      <c r="B82" s="27" t="n">
        <v>44587</v>
      </c>
      <c r="C82" s="19" t="n">
        <v>181</v>
      </c>
      <c r="D82" s="19">
        <f>2.55*$M$3</f>
        <v/>
      </c>
      <c r="E82" s="19">
        <f>37700*$N$3</f>
        <v/>
      </c>
    </row>
    <row r="83">
      <c r="B83" s="27" t="n">
        <v>44588</v>
      </c>
      <c r="C83" s="19" t="n">
        <v>181</v>
      </c>
      <c r="D83" s="19">
        <f>2.55*$M$3</f>
        <v/>
      </c>
      <c r="E83" s="19">
        <f>37700*$N$3</f>
        <v/>
      </c>
    </row>
    <row r="84">
      <c r="B84" s="27" t="n">
        <v>44589</v>
      </c>
      <c r="C84" s="19" t="n">
        <v>181</v>
      </c>
      <c r="D84" s="19">
        <f>2.55*$M$3</f>
        <v/>
      </c>
      <c r="E84" s="19">
        <f>37000*$N$3</f>
        <v/>
      </c>
    </row>
    <row r="85">
      <c r="B85" s="27" t="n">
        <v>44590</v>
      </c>
      <c r="C85" s="19" t="n">
        <v>181</v>
      </c>
      <c r="D85" s="19">
        <f>2.55*$M$3</f>
        <v/>
      </c>
      <c r="E85" s="19">
        <f>37700*$N$3</f>
        <v/>
      </c>
    </row>
    <row r="86">
      <c r="B86" s="27" t="n">
        <v>44591</v>
      </c>
      <c r="C86" s="19" t="n">
        <v>181</v>
      </c>
      <c r="D86" s="19">
        <f>2.54*$M$3</f>
        <v/>
      </c>
      <c r="E86" s="19">
        <f>38000*$N$3</f>
        <v/>
      </c>
    </row>
    <row r="87">
      <c r="B87" s="27" t="n">
        <v>44592</v>
      </c>
      <c r="C87" s="19" t="n">
        <v>181</v>
      </c>
      <c r="D87" s="19">
        <f>2.55*$M$3</f>
        <v/>
      </c>
      <c r="E87" s="19">
        <f>37700*$N$3</f>
        <v/>
      </c>
    </row>
    <row r="88">
      <c r="B88" s="27" t="n">
        <v>44593</v>
      </c>
      <c r="C88" s="19" t="n">
        <v>183</v>
      </c>
      <c r="D88" s="19">
        <f>2.55*$M$3</f>
        <v/>
      </c>
      <c r="E88" s="19">
        <f>38500*$N$3</f>
        <v/>
      </c>
    </row>
    <row r="89">
      <c r="B89" s="27" t="n">
        <v>44594</v>
      </c>
      <c r="C89" s="19" t="n">
        <v>181</v>
      </c>
      <c r="D89" s="19">
        <f>2.5*$M$3</f>
        <v/>
      </c>
      <c r="E89" s="19">
        <f>37000*$N$3</f>
        <v/>
      </c>
    </row>
    <row r="90">
      <c r="B90" s="27" t="n">
        <v>44595</v>
      </c>
      <c r="C90" s="19" t="n">
        <v>180.28</v>
      </c>
      <c r="D90" s="19">
        <f>2.46*$M$3</f>
        <v/>
      </c>
      <c r="E90" s="19">
        <f>37000*$N$3</f>
        <v/>
      </c>
    </row>
    <row r="91">
      <c r="B91" s="27" t="n">
        <v>44596</v>
      </c>
      <c r="C91" s="19" t="n">
        <v>190</v>
      </c>
      <c r="D91" s="19">
        <f>2.64*$M$3</f>
        <v/>
      </c>
      <c r="E91" s="19">
        <f>37000*N3</f>
        <v/>
      </c>
    </row>
    <row r="92">
      <c r="B92" s="27" t="n">
        <v>44597</v>
      </c>
      <c r="C92" s="19" t="n">
        <v>202.89</v>
      </c>
      <c r="D92" s="19">
        <f>2.72*$M$3</f>
        <v/>
      </c>
      <c r="E92" s="19">
        <f>40000*N3</f>
        <v/>
      </c>
    </row>
    <row r="93">
      <c r="B93" s="27" t="n">
        <v>44598</v>
      </c>
      <c r="C93" s="19" t="n">
        <v>205</v>
      </c>
      <c r="D93" s="19">
        <f>2.8*$M$3</f>
        <v/>
      </c>
      <c r="E93" s="19">
        <f>41500*N3</f>
        <v/>
      </c>
    </row>
    <row r="94">
      <c r="B94" s="27" t="n">
        <v>44599</v>
      </c>
      <c r="C94" s="19" t="n">
        <v>226.72</v>
      </c>
      <c r="D94" s="19">
        <f>3.23*$M$3</f>
        <v/>
      </c>
      <c r="E94" s="19">
        <f>42600*N3</f>
        <v/>
      </c>
    </row>
    <row r="95">
      <c r="B95" s="27" t="n">
        <v>44600</v>
      </c>
      <c r="C95" s="19" t="n">
        <v>230</v>
      </c>
      <c r="D95" s="19">
        <f>3.28*$M$3</f>
        <v/>
      </c>
      <c r="E95" s="19">
        <f>42800*$N$3</f>
        <v/>
      </c>
    </row>
    <row r="96">
      <c r="B96" s="27" t="n">
        <v>44601</v>
      </c>
      <c r="C96" s="19" t="n">
        <v>250</v>
      </c>
      <c r="D96" s="19">
        <f>3.4*$M$3</f>
        <v/>
      </c>
      <c r="E96" s="19">
        <f>44000*$N$3</f>
        <v/>
      </c>
    </row>
    <row r="97">
      <c r="B97" s="27" t="n">
        <v>44602</v>
      </c>
      <c r="C97" s="19" t="n">
        <v>255</v>
      </c>
      <c r="D97" s="19">
        <f>3.7*$M$3</f>
        <v/>
      </c>
      <c r="E97" s="19">
        <f>45000*$N$3</f>
        <v/>
      </c>
    </row>
    <row r="98">
      <c r="B98" s="27" t="n">
        <v>44603</v>
      </c>
      <c r="C98" s="19" t="n">
        <v>250</v>
      </c>
      <c r="D98" s="19">
        <f>3.6*$M$3</f>
        <v/>
      </c>
      <c r="E98" s="19">
        <f>43600*$N$3</f>
        <v/>
      </c>
    </row>
    <row r="99">
      <c r="B99" s="27" t="n">
        <v>44604</v>
      </c>
      <c r="C99" s="19" t="n">
        <v>245</v>
      </c>
      <c r="D99" s="19">
        <f>3.5*$M$3</f>
        <v/>
      </c>
      <c r="E99" s="19">
        <f>42300*$N$3</f>
        <v/>
      </c>
    </row>
    <row r="100">
      <c r="B100" s="27" t="n">
        <v>44605</v>
      </c>
      <c r="C100" s="19" t="n">
        <v>245</v>
      </c>
      <c r="D100" s="19">
        <f>3.5*$M$3</f>
        <v/>
      </c>
      <c r="E100" s="19">
        <f>42500*$N$3</f>
        <v/>
      </c>
    </row>
    <row r="101">
      <c r="B101" s="27" t="n">
        <v>44606</v>
      </c>
      <c r="C101" s="19" t="n">
        <v>238</v>
      </c>
      <c r="D101" s="19">
        <f>3.4*$M$3</f>
        <v/>
      </c>
      <c r="E101" s="19">
        <f>42000*$N$3</f>
        <v/>
      </c>
    </row>
    <row r="102">
      <c r="B102" s="27" t="n">
        <v>44607</v>
      </c>
      <c r="C102" s="19" t="n">
        <v>250</v>
      </c>
      <c r="D102" s="19">
        <f>3.61*M3</f>
        <v/>
      </c>
      <c r="E102" s="19">
        <f>44100*N3</f>
        <v/>
      </c>
    </row>
    <row r="103">
      <c r="B103" s="27" t="n">
        <v>44608</v>
      </c>
      <c r="C103" s="19" t="n">
        <v>250</v>
      </c>
      <c r="D103" s="19">
        <f>3.68*M3</f>
        <v/>
      </c>
      <c r="E103" s="19">
        <f>43500*N3</f>
        <v/>
      </c>
    </row>
    <row r="104">
      <c r="B104" s="27" t="n">
        <v>44609</v>
      </c>
      <c r="C104" s="19" t="n">
        <v>246</v>
      </c>
      <c r="D104" s="19">
        <f>3.65*M3</f>
        <v/>
      </c>
      <c r="E104" s="19">
        <f>42000*N3</f>
        <v/>
      </c>
    </row>
    <row r="105">
      <c r="B105" s="27" t="n">
        <v>44610</v>
      </c>
      <c r="C105" s="19" t="n">
        <v>241.11</v>
      </c>
      <c r="D105" s="19">
        <f>3.54*$M$3</f>
        <v/>
      </c>
      <c r="E105" s="19">
        <f>40200*$N$3</f>
        <v/>
      </c>
    </row>
    <row r="106">
      <c r="B106" s="27" t="n">
        <v>44611</v>
      </c>
      <c r="C106" s="19" t="n">
        <v>238</v>
      </c>
      <c r="D106" s="19">
        <f>3.5*$M$3</f>
        <v/>
      </c>
      <c r="E106" s="19">
        <f>40000*$N$3</f>
        <v/>
      </c>
    </row>
    <row r="107">
      <c r="B107" s="27" t="n">
        <v>44612</v>
      </c>
      <c r="C107" s="19" t="n">
        <v>234</v>
      </c>
      <c r="D107" s="19">
        <f>3.4*$M$3</f>
        <v/>
      </c>
      <c r="E107" s="19">
        <f>38300*$N$3</f>
        <v/>
      </c>
    </row>
    <row r="108">
      <c r="B108" s="27" t="n">
        <v>44613</v>
      </c>
      <c r="C108" s="19" t="n">
        <v>232</v>
      </c>
      <c r="D108" s="19">
        <f>3.44*$M$3</f>
        <v/>
      </c>
      <c r="E108" s="19">
        <f>39000*$N$3</f>
        <v/>
      </c>
    </row>
    <row r="109">
      <c r="B109" s="27" t="n">
        <v>44614</v>
      </c>
      <c r="C109" s="19" t="n">
        <v>229.63</v>
      </c>
      <c r="D109" s="19">
        <f>3.34*$M$3</f>
        <v/>
      </c>
      <c r="E109" s="19">
        <f>38000*$N$3</f>
        <v/>
      </c>
    </row>
    <row r="110">
      <c r="B110" s="27" t="n">
        <v>44630</v>
      </c>
      <c r="C110" s="19" t="n">
        <v>245</v>
      </c>
      <c r="D110" s="19">
        <f>3.45*$M$3</f>
        <v/>
      </c>
      <c r="E110" s="19">
        <f>40000*$N$3</f>
        <v/>
      </c>
    </row>
    <row r="111">
      <c r="B111" s="27" t="n">
        <v>44639</v>
      </c>
      <c r="C111" s="19" t="n">
        <v>266</v>
      </c>
      <c r="D111" s="19">
        <f>3.75*$M$3</f>
        <v/>
      </c>
      <c r="E111" s="19">
        <f>41900*$N$3</f>
        <v/>
      </c>
    </row>
    <row r="112">
      <c r="B112" s="27" t="n">
        <v>44649</v>
      </c>
      <c r="C112" s="19" t="n">
        <v>326</v>
      </c>
      <c r="D112" s="19">
        <f>4.65*$M$3</f>
        <v/>
      </c>
      <c r="E112" s="19">
        <f>47500*$N$3</f>
        <v/>
      </c>
    </row>
    <row r="113">
      <c r="B113" s="27" t="n">
        <v>44653</v>
      </c>
      <c r="C113" s="19" t="n">
        <v>325.44</v>
      </c>
      <c r="D113" s="19">
        <f>4.57*$M$3</f>
        <v/>
      </c>
      <c r="E113" s="19">
        <f>45700*$N$3</f>
        <v/>
      </c>
    </row>
    <row r="114">
      <c r="B114" s="27" t="n">
        <v>44657</v>
      </c>
      <c r="C114" s="19" t="n">
        <v>323.57</v>
      </c>
      <c r="D114" s="19">
        <f>4.55*$M$3</f>
        <v/>
      </c>
      <c r="E114" s="19">
        <f>45300*$N$3</f>
        <v/>
      </c>
    </row>
    <row r="115">
      <c r="B115" s="27" t="n">
        <v>44660</v>
      </c>
      <c r="C115" s="19" t="n">
        <v>313</v>
      </c>
      <c r="D115" s="19">
        <f>4.42*$M$3</f>
        <v/>
      </c>
      <c r="E115" s="19">
        <f>42500*$N$3</f>
        <v/>
      </c>
    </row>
    <row r="116">
      <c r="B116" s="27" t="n">
        <v>44662</v>
      </c>
      <c r="C116" s="19" t="n">
        <v>307.44</v>
      </c>
      <c r="D116" s="19">
        <f>4.36*$M$3</f>
        <v/>
      </c>
      <c r="E116" s="19">
        <f>41500*$N$3</f>
        <v/>
      </c>
    </row>
    <row r="117">
      <c r="B117" s="27" t="n">
        <v>44665</v>
      </c>
      <c r="C117" s="19" t="n">
        <v>303.8</v>
      </c>
      <c r="D117" s="19">
        <f>4.33*$M$3</f>
        <v/>
      </c>
      <c r="E117" s="19">
        <f>41000*$N$3</f>
        <v/>
      </c>
    </row>
    <row r="118">
      <c r="B118" s="27" t="n">
        <v>44667</v>
      </c>
      <c r="C118" s="19" t="n">
        <v>305.5</v>
      </c>
      <c r="D118" s="19">
        <f>4.31*$M$3</f>
        <v/>
      </c>
      <c r="E118" s="19">
        <f>40500*$N$3</f>
        <v/>
      </c>
    </row>
    <row r="119">
      <c r="B119" s="27" t="n">
        <v>44669</v>
      </c>
      <c r="C119" s="19" t="n">
        <v>308</v>
      </c>
      <c r="D119" s="19">
        <f>4.33*$M$3</f>
        <v/>
      </c>
      <c r="E119" s="19">
        <f>40880*$N$3</f>
        <v/>
      </c>
    </row>
    <row r="120">
      <c r="B120" s="27" t="n">
        <v>44670</v>
      </c>
      <c r="C120" s="19" t="n">
        <v>316</v>
      </c>
      <c r="D120" s="19">
        <f>4.42*$M$3</f>
        <v/>
      </c>
      <c r="E120" s="19">
        <f>41500*$N$3</f>
        <v/>
      </c>
    </row>
    <row r="121">
      <c r="B121" s="27" t="n">
        <v>44671</v>
      </c>
      <c r="C121" s="19" t="n">
        <v>317.5</v>
      </c>
      <c r="D121" s="19">
        <f>4.44*$M$3</f>
        <v/>
      </c>
      <c r="E121" s="19">
        <f>41800*$N$3</f>
        <v/>
      </c>
    </row>
    <row r="122">
      <c r="B122" s="27" t="n">
        <v>44672</v>
      </c>
      <c r="C122" s="19" t="n">
        <v>318.5</v>
      </c>
      <c r="D122" s="19">
        <f>4.45*$M$3</f>
        <v/>
      </c>
      <c r="E122" s="19">
        <f>41800*$N$3</f>
        <v/>
      </c>
    </row>
    <row r="123">
      <c r="B123" s="27" t="n">
        <v>44698</v>
      </c>
      <c r="C123" s="19" t="n">
        <v>215</v>
      </c>
      <c r="D123" s="19">
        <f>3*$M$3</f>
        <v/>
      </c>
      <c r="E123" s="19">
        <f>30000*$N$3</f>
        <v/>
      </c>
    </row>
    <row r="124">
      <c r="B124" s="27" t="n">
        <v>44731</v>
      </c>
      <c r="C124" s="19" t="n">
        <v>90</v>
      </c>
      <c r="D124" s="19">
        <f>1*$M$3</f>
        <v/>
      </c>
      <c r="E124" s="19">
        <f>18000*$N$3</f>
        <v/>
      </c>
    </row>
    <row r="125">
      <c r="B125" s="27" t="n">
        <v>44732</v>
      </c>
      <c r="C125" s="19" t="n">
        <v>98</v>
      </c>
      <c r="D125" s="19">
        <f>1*$M$3</f>
        <v/>
      </c>
      <c r="E125" s="19">
        <f>20500*$N$3</f>
        <v/>
      </c>
    </row>
    <row r="126">
      <c r="B126" s="27" t="n">
        <v>44734</v>
      </c>
      <c r="C126" s="19" t="n">
        <v>99</v>
      </c>
      <c r="D126" s="19">
        <f>1*$M$3</f>
        <v/>
      </c>
      <c r="E126" s="19">
        <f>20800*$N$3</f>
        <v/>
      </c>
    </row>
    <row r="127">
      <c r="B127" s="27" t="n">
        <v>44739</v>
      </c>
      <c r="C127" s="19" t="n">
        <v>101.5</v>
      </c>
      <c r="D127" s="19">
        <f>1*$M$3</f>
        <v/>
      </c>
      <c r="E127" s="19">
        <f>21500*$N$3</f>
        <v/>
      </c>
    </row>
    <row r="128">
      <c r="B128" s="27" t="n">
        <v>44741</v>
      </c>
      <c r="C128" s="19" t="n">
        <v>95.5</v>
      </c>
      <c r="D128" s="19">
        <f>0.95*$M$3</f>
        <v/>
      </c>
      <c r="E128" s="19">
        <f>20240*$N$3</f>
        <v/>
      </c>
    </row>
    <row r="129">
      <c r="B129" s="27" t="n">
        <v>44743</v>
      </c>
      <c r="C129" s="19" t="n">
        <v>88</v>
      </c>
      <c r="D129" s="19">
        <f>0.895*$M$3</f>
        <v/>
      </c>
      <c r="E129" s="19">
        <f>19100*$N$3</f>
        <v/>
      </c>
    </row>
    <row r="130">
      <c r="B130" s="27" t="n">
        <v>44745</v>
      </c>
      <c r="C130" s="19" t="n">
        <v>85</v>
      </c>
      <c r="D130" s="19">
        <f>0.85*$M$3</f>
        <v/>
      </c>
      <c r="E130" s="19">
        <f>19400*$N$3</f>
        <v/>
      </c>
    </row>
    <row r="131">
      <c r="B131" s="27" t="n">
        <v>44748</v>
      </c>
      <c r="C131" s="19" t="n">
        <v>93.12</v>
      </c>
      <c r="D131" s="19">
        <f>0.94*$M$3</f>
        <v/>
      </c>
      <c r="E131" s="19">
        <f>20200*$N$3</f>
        <v/>
      </c>
    </row>
    <row r="132">
      <c r="B132" s="27" t="n">
        <v>44751</v>
      </c>
      <c r="C132" s="19" t="n">
        <v>105</v>
      </c>
      <c r="D132" s="19">
        <f>1.06*$M$3</f>
        <v/>
      </c>
      <c r="E132" s="19">
        <f>21500*$N$3</f>
        <v/>
      </c>
    </row>
    <row r="133">
      <c r="B133" s="27" t="n">
        <v>44752</v>
      </c>
      <c r="C133" s="19" t="n">
        <v>101</v>
      </c>
      <c r="D133" s="19">
        <f>1.02*$M$3</f>
        <v/>
      </c>
      <c r="E133" s="19">
        <f>21320*$N$3</f>
        <v/>
      </c>
    </row>
    <row r="134">
      <c r="B134" s="27" t="n">
        <v>44754</v>
      </c>
      <c r="C134" s="19" t="n">
        <v>97</v>
      </c>
      <c r="D134" s="19">
        <f>0.98*$M$3</f>
        <v/>
      </c>
      <c r="E134" s="19">
        <f>20260*$N$3</f>
        <v/>
      </c>
    </row>
    <row r="135">
      <c r="B135" s="27" t="n">
        <v>44756</v>
      </c>
      <c r="C135" s="19" t="n">
        <v>97</v>
      </c>
      <c r="D135" s="19">
        <f>0.97*$M$3</f>
        <v/>
      </c>
      <c r="E135" s="19">
        <f>20500*$N$3</f>
        <v/>
      </c>
    </row>
    <row r="136">
      <c r="B136" s="27" t="n">
        <v>44757</v>
      </c>
      <c r="C136" s="19" t="n">
        <v>99</v>
      </c>
      <c r="D136" s="19">
        <f>0.99*$M$3</f>
        <v/>
      </c>
      <c r="E136" s="19">
        <f>20800*$N$3</f>
        <v/>
      </c>
    </row>
    <row r="137">
      <c r="B137" s="27" t="n">
        <v>44758</v>
      </c>
      <c r="C137" s="19" t="n">
        <v>103</v>
      </c>
      <c r="D137" s="19">
        <f>1.04*$M$3</f>
        <v/>
      </c>
      <c r="E137" s="19">
        <f>21200*$N$3</f>
        <v/>
      </c>
    </row>
    <row r="138">
      <c r="B138" s="27" t="n">
        <v>44760</v>
      </c>
      <c r="C138" s="19" t="n">
        <v>107</v>
      </c>
      <c r="D138" s="19">
        <f>1.09*$M$3</f>
        <v/>
      </c>
      <c r="E138" s="19">
        <f>22400*$N$3</f>
        <v/>
      </c>
    </row>
    <row r="139">
      <c r="B139" s="27" t="n">
        <v>44761</v>
      </c>
      <c r="C139" s="19" t="n">
        <v>113</v>
      </c>
      <c r="D139" s="19">
        <f>1.13*$M$3</f>
        <v/>
      </c>
      <c r="E139" s="19">
        <f>23300*$N$3</f>
        <v/>
      </c>
    </row>
    <row r="140">
      <c r="B140" s="27" t="n">
        <v>44764</v>
      </c>
      <c r="C140" s="19" t="n">
        <v>111</v>
      </c>
      <c r="D140" s="19">
        <f>1.13*$M$3</f>
        <v/>
      </c>
      <c r="E140" s="19">
        <f>23000*$N$3</f>
        <v/>
      </c>
    </row>
    <row r="141">
      <c r="B141" s="27" t="n">
        <v>44770</v>
      </c>
      <c r="C141" s="19" t="n">
        <v>118</v>
      </c>
      <c r="D141" s="19">
        <f>1.19*$M$3</f>
        <v/>
      </c>
      <c r="E141" s="19">
        <f>23900*$N$3</f>
        <v/>
      </c>
    </row>
    <row r="142">
      <c r="B142" s="27" t="n">
        <v>44772</v>
      </c>
      <c r="C142" s="19" t="n">
        <v>121</v>
      </c>
      <c r="D142" s="19">
        <f>1.2*$M$3</f>
        <v/>
      </c>
      <c r="E142" s="19">
        <f>24500*$N$3</f>
        <v/>
      </c>
    </row>
    <row r="143">
      <c r="B143" s="27" t="n">
        <v>44774</v>
      </c>
      <c r="C143" s="19" t="n">
        <v>115</v>
      </c>
      <c r="D143" s="19">
        <f>1.14*$M$3</f>
        <v/>
      </c>
      <c r="E143" s="19">
        <f>23350*$N$3</f>
        <v/>
      </c>
    </row>
    <row r="144">
      <c r="B144" s="27" t="n">
        <v>44778</v>
      </c>
      <c r="C144" s="19" t="n">
        <v>104</v>
      </c>
      <c r="D144" s="19">
        <f>1*$M$3</f>
        <v/>
      </c>
      <c r="E144" s="19">
        <f>22800*$N$3</f>
        <v/>
      </c>
    </row>
    <row r="145">
      <c r="B145" s="27" t="n">
        <v>44780</v>
      </c>
      <c r="C145" s="19" t="n">
        <v>102</v>
      </c>
      <c r="D145" s="19">
        <f>0.95*$M$3</f>
        <v/>
      </c>
      <c r="E145" s="19">
        <f>23200*$N$3</f>
        <v/>
      </c>
    </row>
    <row r="146">
      <c r="B146" s="27" t="n">
        <v>44781</v>
      </c>
      <c r="C146" s="19" t="n">
        <v>104</v>
      </c>
      <c r="D146" s="19">
        <f>0.97*$M$3</f>
        <v/>
      </c>
      <c r="E146" s="19">
        <f>23850*$N$3</f>
        <v/>
      </c>
    </row>
    <row r="147">
      <c r="B147" s="27" t="n">
        <v>44783</v>
      </c>
      <c r="C147" s="19" t="n">
        <v>103.6</v>
      </c>
      <c r="D147" s="19">
        <f>0.94*$M$3</f>
        <v/>
      </c>
      <c r="E147" s="19">
        <f>24000*$N$3</f>
        <v/>
      </c>
    </row>
    <row r="148">
      <c r="B148" s="27" t="n">
        <v>44784</v>
      </c>
      <c r="C148" s="19" t="n">
        <v>103.7</v>
      </c>
      <c r="D148" s="19">
        <f>0.95*$M$3</f>
        <v/>
      </c>
      <c r="E148" s="19">
        <f>24170*$N$3</f>
        <v/>
      </c>
    </row>
    <row r="149">
      <c r="B149" s="27" t="n">
        <v>44787</v>
      </c>
      <c r="C149" s="19" t="n">
        <v>104.5</v>
      </c>
      <c r="D149" s="19">
        <f>0.95*$M$3</f>
        <v/>
      </c>
      <c r="E149" s="19">
        <f>24500*$N$3</f>
        <v/>
      </c>
    </row>
    <row r="150">
      <c r="B150" s="27" t="n">
        <v>44791</v>
      </c>
      <c r="C150" s="19" t="n">
        <v>98.5</v>
      </c>
      <c r="D150" s="19">
        <f>0.9*$M$3</f>
        <v/>
      </c>
      <c r="E150" s="19">
        <f>23500*$N$3</f>
        <v/>
      </c>
    </row>
    <row r="151">
      <c r="B151" s="27" t="n">
        <v>44795</v>
      </c>
      <c r="C151" s="19" t="n">
        <v>90</v>
      </c>
      <c r="D151" s="19">
        <f>0.83*$M$3</f>
        <v/>
      </c>
      <c r="E151" s="19">
        <f>21000*$N$3</f>
        <v/>
      </c>
    </row>
    <row r="152">
      <c r="B152" s="27" t="n">
        <v>44796</v>
      </c>
      <c r="C152" s="19" t="n">
        <v>94.5</v>
      </c>
      <c r="D152" s="19">
        <f>0.87*$M$3</f>
        <v/>
      </c>
      <c r="E152" s="19">
        <f>21500*$N$3</f>
        <v/>
      </c>
    </row>
    <row r="153">
      <c r="B153" s="27" t="n">
        <v>44797</v>
      </c>
      <c r="C153" s="19" t="n">
        <v>96.3</v>
      </c>
      <c r="D153" s="19">
        <f>0.89*$M$3</f>
        <v/>
      </c>
      <c r="E153" s="19">
        <f>21500*$N$3</f>
        <v/>
      </c>
    </row>
    <row r="154">
      <c r="B154" s="27" t="n">
        <v>44799</v>
      </c>
      <c r="C154" s="19" t="n">
        <v>101.36</v>
      </c>
      <c r="D154" s="19">
        <f>0.94*$M$3</f>
        <v/>
      </c>
      <c r="E154" s="19">
        <f>21700*$N$3</f>
        <v/>
      </c>
    </row>
    <row r="155">
      <c r="B155" s="27" t="n">
        <v>44804</v>
      </c>
      <c r="C155" s="19" t="n">
        <v>97</v>
      </c>
      <c r="D155" s="19">
        <f>0.92*$M$3</f>
        <v/>
      </c>
      <c r="E155" s="19">
        <f>20100*$N$3</f>
        <v/>
      </c>
    </row>
    <row r="156">
      <c r="B156" s="27" t="n">
        <v>44808</v>
      </c>
      <c r="C156" s="19" t="n">
        <v>115</v>
      </c>
      <c r="D156" s="19">
        <f>1.18*$M$3</f>
        <v/>
      </c>
      <c r="E156" s="19">
        <f>19800*$N$3</f>
        <v/>
      </c>
    </row>
    <row r="157">
      <c r="B157" s="27" t="n">
        <v>44809</v>
      </c>
      <c r="C157" s="19" t="n">
        <v>124.2</v>
      </c>
      <c r="D157" s="19">
        <f>1.29*$M$3</f>
        <v/>
      </c>
      <c r="E157" s="19">
        <f>19850*$N$3</f>
        <v/>
      </c>
    </row>
    <row r="158">
      <c r="B158" s="27" t="n">
        <v>44811</v>
      </c>
      <c r="C158" s="19" t="n">
        <v>103</v>
      </c>
      <c r="D158" s="19">
        <f>1.01*$M$3</f>
        <v/>
      </c>
      <c r="E158" s="19">
        <f>19400*$N$3</f>
        <v/>
      </c>
    </row>
    <row r="159">
      <c r="B159" s="27" t="n">
        <v>44813</v>
      </c>
      <c r="C159" s="19" t="n">
        <v>110</v>
      </c>
      <c r="D159" s="19">
        <f>1.06*$M$3</f>
        <v/>
      </c>
      <c r="E159" s="19">
        <f>21100*$N$3</f>
        <v/>
      </c>
    </row>
    <row r="160">
      <c r="B160" s="27" t="n">
        <v>44817</v>
      </c>
      <c r="C160" s="19" t="n">
        <v>101</v>
      </c>
      <c r="D160" s="19">
        <f>(0.95*$M$3)</f>
        <v/>
      </c>
      <c r="E160" s="19">
        <f>(20800*$N$3)</f>
        <v/>
      </c>
    </row>
    <row r="161">
      <c r="B161" s="27" t="n">
        <v>44819</v>
      </c>
      <c r="C161" s="19" t="n">
        <v>102.85</v>
      </c>
      <c r="D161" s="19">
        <f>(0.99*$M$3)</f>
        <v/>
      </c>
      <c r="E161" s="19">
        <f>(19750*$N$3)</f>
        <v/>
      </c>
    </row>
    <row r="162">
      <c r="B162" s="27" t="n">
        <v>44820</v>
      </c>
      <c r="C162" s="19" t="n">
        <v>100.77</v>
      </c>
      <c r="D162" s="19">
        <f>(0.96*$M$3)</f>
        <v/>
      </c>
      <c r="E162" s="19">
        <f>(19800*$N$3)</f>
        <v/>
      </c>
    </row>
    <row r="163">
      <c r="B163" s="27" t="n">
        <v>44822</v>
      </c>
      <c r="C163" s="19" t="n">
        <v>95</v>
      </c>
      <c r="D163" s="19">
        <f>(0.89*$M$3)</f>
        <v/>
      </c>
      <c r="E163" s="19">
        <f>(19700*$N$3)</f>
        <v/>
      </c>
    </row>
    <row r="164">
      <c r="B164" s="27" t="n">
        <v>44825</v>
      </c>
      <c r="C164" s="19" t="n">
        <v>91</v>
      </c>
      <c r="D164" s="19">
        <f>(0.84*$M$3)</f>
        <v/>
      </c>
      <c r="E164" s="19">
        <f>(19129*$N$3)</f>
        <v/>
      </c>
    </row>
    <row r="165">
      <c r="B165" s="27" t="n">
        <v>44829</v>
      </c>
      <c r="C165" s="19" t="n">
        <v>88</v>
      </c>
      <c r="D165" s="19">
        <f>(0.79*$M$3)</f>
        <v/>
      </c>
      <c r="E165" s="19">
        <f>(19000*$N$3)</f>
        <v/>
      </c>
    </row>
    <row r="166">
      <c r="B166" s="27" t="n">
        <v>44834</v>
      </c>
      <c r="C166" s="19" t="n">
        <v>83</v>
      </c>
      <c r="D166" s="19">
        <f>(0.72*$M$3)</f>
        <v/>
      </c>
      <c r="E166" s="19">
        <f>(19500*$N$3)</f>
        <v/>
      </c>
    </row>
    <row r="167">
      <c r="B167" s="27" t="n">
        <v>44835</v>
      </c>
      <c r="C167" s="19" t="n">
        <v>80.70999999999989</v>
      </c>
      <c r="D167" s="19">
        <f>(0.7*$M$3)</f>
        <v/>
      </c>
      <c r="E167" s="19">
        <f>(19300*$N$3)</f>
        <v/>
      </c>
    </row>
    <row r="168">
      <c r="B168" s="27" t="n">
        <v>44838</v>
      </c>
      <c r="C168" s="19" t="n">
        <v>81.89</v>
      </c>
      <c r="D168" s="19">
        <f>(0.7*$M$3)</f>
        <v/>
      </c>
      <c r="E168" s="19">
        <f>(20097.4072843148*$N$3)</f>
        <v/>
      </c>
    </row>
    <row r="169">
      <c r="B169" s="27" t="n">
        <v>44840</v>
      </c>
      <c r="C169" s="19" t="n">
        <v>82.63</v>
      </c>
      <c r="D169" s="19">
        <f>(0.7*$M$3)</f>
        <v/>
      </c>
      <c r="E169" s="19">
        <f>(20280.2350749507*$N$3)</f>
        <v/>
      </c>
    </row>
    <row r="170">
      <c r="B170" s="27" t="n">
        <v>44844</v>
      </c>
      <c r="C170" s="19" t="n">
        <v>76.62</v>
      </c>
      <c r="D170" s="19">
        <f>(0.63*$M$3)</f>
        <v/>
      </c>
      <c r="E170" s="19">
        <f>(19112.794925185*$N$3)</f>
        <v/>
      </c>
    </row>
    <row r="171">
      <c r="B171" s="27" t="n">
        <v>44853</v>
      </c>
      <c r="C171" s="19" t="n">
        <v>75.89</v>
      </c>
      <c r="D171" s="19">
        <f>(0.63*$M$3)</f>
        <v/>
      </c>
      <c r="E171" s="19">
        <f>(19200*$N$3)</f>
        <v/>
      </c>
    </row>
    <row r="172">
      <c r="B172" s="27" t="n">
        <v>44861</v>
      </c>
      <c r="C172" s="19" t="n">
        <v>80.67</v>
      </c>
      <c r="D172" s="19">
        <f>(0.65*$M$3)</f>
        <v/>
      </c>
      <c r="E172" s="19">
        <f>(20580*$N$3)</f>
        <v/>
      </c>
    </row>
    <row r="173">
      <c r="B173" s="27" t="n">
        <v>44864</v>
      </c>
      <c r="C173" s="19" t="n">
        <v>81.16</v>
      </c>
      <c r="D173" s="19">
        <f>(0.65*$M$3)</f>
        <v/>
      </c>
      <c r="E173" s="19">
        <f>(20700*$N$3)</f>
        <v/>
      </c>
    </row>
    <row r="174">
      <c r="B174" s="27" t="n">
        <v>44866</v>
      </c>
      <c r="C174" s="19" t="n">
        <v>80.45</v>
      </c>
      <c r="D174" s="19">
        <f>(0.648*$M$3)</f>
        <v/>
      </c>
      <c r="E174" s="19">
        <f>(20533*$N$3)</f>
        <v/>
      </c>
    </row>
    <row r="175">
      <c r="B175" s="27" t="n">
        <v>44870</v>
      </c>
      <c r="C175" s="19" t="n">
        <v>82.39</v>
      </c>
      <c r="D175" s="19">
        <f>(0.658*$M$3)</f>
        <v/>
      </c>
      <c r="E175" s="19">
        <f>(21290*$N$3)</f>
        <v/>
      </c>
    </row>
    <row r="176">
      <c r="B176" s="27" t="n">
        <v>44873</v>
      </c>
      <c r="C176" s="19" t="n">
        <v>76.61</v>
      </c>
      <c r="D176" s="19">
        <f>(0.62*$M$3)</f>
        <v/>
      </c>
      <c r="E176" s="19">
        <f>(19679.3031320138*$N$3)</f>
        <v/>
      </c>
    </row>
    <row r="177">
      <c r="B177" s="27" t="n">
        <v>44878</v>
      </c>
      <c r="C177" s="19" t="n">
        <v>62.64</v>
      </c>
      <c r="D177" s="19">
        <f>(0.48*$M$3)</f>
        <v/>
      </c>
      <c r="E177" s="19">
        <f>(16550*$N$3)</f>
        <v/>
      </c>
    </row>
    <row r="178">
      <c r="B178" s="27" t="n">
        <v>44880</v>
      </c>
      <c r="C178" s="19" t="n">
        <v>63.84</v>
      </c>
      <c r="D178" s="19">
        <f>(0.48*$M$3)</f>
        <v/>
      </c>
      <c r="E178" s="19">
        <f>(16700*$N$3)</f>
        <v/>
      </c>
    </row>
    <row r="179">
      <c r="B179" s="27" t="n">
        <v>44887</v>
      </c>
      <c r="C179" s="19" t="n">
        <v>60</v>
      </c>
      <c r="D179" s="19">
        <f>(0.455*$M$3)</f>
        <v/>
      </c>
      <c r="E179" s="19">
        <f>(16150*$N$3)</f>
        <v/>
      </c>
    </row>
    <row r="180">
      <c r="B180" s="27" t="n">
        <v>44891</v>
      </c>
      <c r="C180" s="19" t="n">
        <v>60.45</v>
      </c>
      <c r="D180" s="19">
        <f>(0.46*$M$3)</f>
        <v/>
      </c>
      <c r="E180" s="19">
        <f>(16466*$N$3)</f>
        <v/>
      </c>
    </row>
    <row r="181">
      <c r="B181" s="27" t="n">
        <v>44896</v>
      </c>
      <c r="C181" s="19" t="n">
        <v>62.6</v>
      </c>
      <c r="D181" s="19">
        <f>(0.47*$M$3)</f>
        <v/>
      </c>
      <c r="E181" s="19">
        <f>(17080*$N$3)</f>
        <v/>
      </c>
    </row>
    <row r="182">
      <c r="B182" s="27" t="n">
        <v>44902</v>
      </c>
      <c r="C182" s="19" t="n">
        <v>62.26</v>
      </c>
      <c r="D182" s="19">
        <f>(0.48*$M$3)</f>
        <v/>
      </c>
      <c r="E182" s="19">
        <f>(16799*$N$3)</f>
        <v/>
      </c>
    </row>
    <row r="183">
      <c r="B183" s="27" t="n">
        <v>44907</v>
      </c>
      <c r="C183" s="19" t="n">
        <v>63.09</v>
      </c>
      <c r="D183" s="19">
        <f>(0.48*$M$3)</f>
        <v/>
      </c>
      <c r="E183" s="19">
        <f>(17160*$N$3)</f>
        <v/>
      </c>
    </row>
    <row r="184">
      <c r="B184" s="27" t="n">
        <v>44909</v>
      </c>
      <c r="C184" s="19" t="n">
        <v>65.38</v>
      </c>
      <c r="D184" s="19">
        <f>(0.49*$M$3)</f>
        <v/>
      </c>
      <c r="E184" s="19">
        <f>(17822*$N$3)</f>
        <v/>
      </c>
    </row>
    <row r="185">
      <c r="B185" s="27" t="n">
        <v>44912</v>
      </c>
      <c r="C185" s="19" t="n">
        <v>60.84</v>
      </c>
      <c r="D185" s="19">
        <f>(0.455*$M$3)</f>
        <v/>
      </c>
      <c r="E185" s="19">
        <f>(16710*$N$3)</f>
        <v/>
      </c>
    </row>
    <row r="186">
      <c r="B186" s="27" t="n">
        <v>44915</v>
      </c>
      <c r="C186" s="19" t="n">
        <v>60.92</v>
      </c>
      <c r="D186" s="19">
        <f>(0.452*$M$3)</f>
        <v/>
      </c>
      <c r="E186" s="19">
        <f>(16840*$N$3)</f>
        <v/>
      </c>
    </row>
    <row r="187">
      <c r="B187" s="27" t="n">
        <v>44928</v>
      </c>
      <c r="C187" s="19" t="n">
        <v>58.87</v>
      </c>
      <c r="D187" s="19">
        <f>(0.42*$M$3)</f>
        <v/>
      </c>
      <c r="E187" s="19">
        <f>(16730*$N$3)</f>
        <v/>
      </c>
    </row>
    <row r="188">
      <c r="B188" s="27" t="n">
        <v>44935</v>
      </c>
      <c r="C188" s="19" t="n">
        <v>59.06</v>
      </c>
      <c r="D188" s="19">
        <f>(0.42*$M$3)</f>
        <v/>
      </c>
      <c r="E188" s="19">
        <f>(17100*$N$3)</f>
        <v/>
      </c>
    </row>
    <row r="189">
      <c r="B189" s="27" t="n">
        <v>44936</v>
      </c>
      <c r="C189" s="19" t="n">
        <v>60.11</v>
      </c>
      <c r="D189" s="19">
        <f>(0.43*$M$3)</f>
        <v/>
      </c>
      <c r="E189" s="19">
        <f>(17268*$N$3)</f>
        <v/>
      </c>
    </row>
    <row r="190">
      <c r="B190" s="27" t="n">
        <v>44937</v>
      </c>
      <c r="C190" s="19" t="n">
        <v>60.45</v>
      </c>
      <c r="D190" s="19">
        <f>(0.43*$M$3)</f>
        <v/>
      </c>
      <c r="E190" s="19">
        <f>(17550*$N$3)</f>
        <v/>
      </c>
    </row>
    <row r="191">
      <c r="B191" s="27" t="n">
        <v>44938</v>
      </c>
      <c r="C191" s="19" t="n">
        <v>64.65000000000001</v>
      </c>
      <c r="D191" s="19">
        <f>(0.462*$M$3)</f>
        <v/>
      </c>
      <c r="E191" s="19">
        <f>(18880*$N$3)</f>
        <v/>
      </c>
    </row>
    <row r="192">
      <c r="B192" s="27" t="n">
        <v>44939</v>
      </c>
      <c r="C192" s="19" t="n">
        <v>65.84999999999989</v>
      </c>
      <c r="D192" s="19">
        <f>(0.466*$M$3)</f>
        <v/>
      </c>
      <c r="E192" s="19">
        <f>(19350*$N$3)</f>
        <v/>
      </c>
    </row>
    <row r="193">
      <c r="B193" s="27" t="n">
        <v>44941</v>
      </c>
      <c r="C193" s="19" t="n">
        <v>71.42</v>
      </c>
      <c r="D193" s="19">
        <f>(0.5*$M$3)</f>
        <v/>
      </c>
      <c r="E193" s="19">
        <f>(21000*$N$3)</f>
        <v/>
      </c>
    </row>
    <row r="194">
      <c r="B194" s="27" t="n">
        <v>44943</v>
      </c>
      <c r="C194" s="19" t="n">
        <v>72.02</v>
      </c>
      <c r="D194" s="19">
        <f>(0.51*$M$3)</f>
        <v/>
      </c>
      <c r="E194" s="19">
        <f>(21180*$N$3)</f>
        <v/>
      </c>
    </row>
    <row r="195">
      <c r="B195" s="27" t="n">
        <v>44947</v>
      </c>
      <c r="C195" s="19" t="n">
        <v>76.94</v>
      </c>
      <c r="D195" s="19">
        <f>(0.54*$M$3)</f>
        <v/>
      </c>
      <c r="E195" s="19">
        <f>(22875*$N$3)</f>
        <v/>
      </c>
    </row>
    <row r="196">
      <c r="B196" s="27" t="n">
        <v>44952</v>
      </c>
      <c r="C196" s="19" t="n">
        <v>77.19</v>
      </c>
      <c r="D196" s="19">
        <f>(0.537*$M$3)</f>
        <v/>
      </c>
      <c r="E196" s="19">
        <f>(23000*$N$3)</f>
        <v/>
      </c>
    </row>
    <row r="197">
      <c r="B197" s="27" t="n">
        <v>44955</v>
      </c>
      <c r="C197" s="19" t="n">
        <v>84.2</v>
      </c>
      <c r="D197" s="19">
        <f>(0.6*$M$3)</f>
        <v/>
      </c>
      <c r="E197" s="19">
        <f>(23500*$N$3)</f>
        <v/>
      </c>
    </row>
    <row r="198">
      <c r="B198" s="27" t="n">
        <v>44958</v>
      </c>
      <c r="C198" s="19" t="n">
        <v>87.31999999999989</v>
      </c>
      <c r="D198" s="19">
        <f>(0.6345*$M$3)</f>
        <v/>
      </c>
      <c r="E198" s="19">
        <f>(23400*$N$3)</f>
        <v/>
      </c>
    </row>
    <row r="199">
      <c r="B199" s="27" t="n">
        <v>44960</v>
      </c>
      <c r="C199" s="19" t="n">
        <v>88.52</v>
      </c>
      <c r="D199" s="19">
        <f>(0.647*$M$3)</f>
        <v/>
      </c>
      <c r="E199" s="19">
        <f>(23400*$N$3)</f>
        <v/>
      </c>
    </row>
    <row r="200">
      <c r="B200" s="27" t="n">
        <v>44963</v>
      </c>
      <c r="C200" s="19" t="n">
        <v>83.43000000000001</v>
      </c>
      <c r="D200" s="19">
        <f>(0.5961*$M$3)</f>
        <v/>
      </c>
      <c r="E200" s="19">
        <f>(22981.9589454636*$N$3)</f>
        <v/>
      </c>
    </row>
    <row r="201">
      <c r="B201" s="27" t="n">
        <v>44965</v>
      </c>
      <c r="C201" s="19" t="n">
        <v>84.14</v>
      </c>
      <c r="D201" s="19">
        <f>(0.5989*$M$3)</f>
        <v/>
      </c>
      <c r="E201" s="19">
        <f>(23185.9589454636*$N$3)</f>
        <v/>
      </c>
    </row>
    <row r="202">
      <c r="B202" s="27" t="n">
        <v>44967</v>
      </c>
      <c r="C202" s="19" t="n">
        <v>79.29000000000001</v>
      </c>
      <c r="D202" s="19">
        <f>(0.563*$M$3)</f>
        <v/>
      </c>
      <c r="E202" s="19">
        <f>(21850.9589454636*$N$3)</f>
        <v/>
      </c>
    </row>
    <row r="203">
      <c r="B203" s="27" t="n">
        <v>44969</v>
      </c>
      <c r="C203" s="19" t="n">
        <v>79.7</v>
      </c>
      <c r="D203" s="19">
        <f>(0.5686*$M$3)</f>
        <v/>
      </c>
      <c r="E203" s="19">
        <f>(21770.9589454636*$N$3)</f>
        <v/>
      </c>
    </row>
    <row r="204">
      <c r="B204" s="27" t="n">
        <v>44971</v>
      </c>
      <c r="C204" s="19" t="n">
        <v>78.54000000000001</v>
      </c>
      <c r="D204" s="19">
        <f>(0.5534*$M$3)</f>
        <v/>
      </c>
      <c r="E204" s="19">
        <f>(21849.1075186578*$N$3)</f>
        <v/>
      </c>
    </row>
    <row r="205">
      <c r="B205" s="27" t="n">
        <v>44972</v>
      </c>
      <c r="C205" s="19" t="n">
        <v>86.18000000000001</v>
      </c>
      <c r="D205" s="19">
        <f>(0.6*$M$3)</f>
        <v/>
      </c>
      <c r="E205" s="19">
        <f>(24205.7173552454*$N$3)</f>
        <v/>
      </c>
    </row>
    <row r="206">
      <c r="B206" s="27" t="n">
        <v>44973</v>
      </c>
      <c r="C206" s="19" t="n">
        <v>87.81</v>
      </c>
      <c r="D206" s="19">
        <f>(0.6165*$M$3)</f>
        <v/>
      </c>
      <c r="E206" s="19">
        <f>(24712.350600352*$N$3)</f>
        <v/>
      </c>
    </row>
    <row r="207">
      <c r="B207" s="27" t="n">
        <v>44978</v>
      </c>
      <c r="C207" s="19" t="n">
        <v>87.89</v>
      </c>
      <c r="D207" s="19">
        <f>(0.615*$M$3)</f>
        <v/>
      </c>
      <c r="E207" s="19">
        <f>(24712.350600352*$N$3)</f>
        <v/>
      </c>
    </row>
    <row r="208">
      <c r="B208" s="27" t="n">
        <v>44980</v>
      </c>
      <c r="C208" s="19" t="n">
        <v>86.51000000000001</v>
      </c>
      <c r="D208" s="19">
        <f>(0.6055*$M$3)</f>
        <v/>
      </c>
      <c r="E208" s="19">
        <f>(24250.350600352*$N$3)</f>
        <v/>
      </c>
    </row>
    <row r="209">
      <c r="B209" s="27" t="n">
        <v>44985</v>
      </c>
      <c r="C209" s="19" t="n">
        <v>82.41</v>
      </c>
      <c r="D209" s="19">
        <f>(0.573*$M$3)</f>
        <v/>
      </c>
      <c r="E209" s="19">
        <f>(23370.350600352*$N$3)</f>
        <v/>
      </c>
    </row>
    <row r="210">
      <c r="B210" s="27" t="n">
        <v>44990</v>
      </c>
      <c r="C210" s="19" t="n">
        <v>76.27</v>
      </c>
      <c r="D210" s="19">
        <f>(0.5158*$M$3)</f>
        <v/>
      </c>
      <c r="E210" s="19">
        <f>(22400*$N$3)</f>
        <v/>
      </c>
    </row>
    <row r="211">
      <c r="B211" s="27" t="n">
        <v>44993</v>
      </c>
      <c r="C211" s="19" t="n">
        <v>74.23</v>
      </c>
      <c r="D211" s="19">
        <f>(0.5026*$M$3)</f>
        <v/>
      </c>
      <c r="E211" s="19">
        <f>(22100*$N$3)</f>
        <v/>
      </c>
    </row>
    <row r="212">
      <c r="B212" s="27" t="n">
        <v>44998</v>
      </c>
      <c r="C212" s="19" t="n">
        <v>74.02</v>
      </c>
      <c r="D212" s="19">
        <f>(0.5024*$M$3)</f>
        <v/>
      </c>
      <c r="E212" s="19">
        <f>(22100*$N$3)</f>
        <v/>
      </c>
    </row>
    <row r="213">
      <c r="B213" s="27" t="n">
        <v>44999</v>
      </c>
      <c r="C213" s="19" t="n">
        <v>81.26000000000001</v>
      </c>
      <c r="D213" s="19">
        <f>(0.542*$M$3)</f>
        <v/>
      </c>
      <c r="E213" s="19">
        <f>(24450*$N$3)</f>
        <v/>
      </c>
    </row>
    <row r="214">
      <c r="B214" s="27" t="n">
        <v>45005</v>
      </c>
      <c r="C214" s="19" t="n">
        <v>88.56999999999989</v>
      </c>
      <c r="D214" s="19">
        <f>(0.58*$M$3)</f>
        <v/>
      </c>
      <c r="E214" s="19">
        <f>(27300*$N$3)</f>
        <v/>
      </c>
    </row>
    <row r="215">
      <c r="B215" s="27" t="n">
        <v>45007</v>
      </c>
      <c r="C215" s="19" t="n">
        <v>89.39</v>
      </c>
      <c r="D215" s="19">
        <f>(0.58*$M$3)</f>
        <v/>
      </c>
      <c r="E215" s="19">
        <f>(28130*$N$3)</f>
        <v/>
      </c>
    </row>
    <row r="216">
      <c r="B216" s="27" t="n">
        <v>45011</v>
      </c>
      <c r="C216" s="19" t="n">
        <v>85.04000000000001</v>
      </c>
      <c r="D216" s="19">
        <f>(0.548*$M$3)</f>
        <v/>
      </c>
      <c r="E216" s="19">
        <f>(27463.8330404678*$N$3)</f>
        <v/>
      </c>
    </row>
    <row r="217">
      <c r="B217" s="27" t="n">
        <v>45015</v>
      </c>
      <c r="C217" s="19" t="n">
        <v>86.56999999999989</v>
      </c>
      <c r="D217" s="19">
        <f>(0.5537*$M$3)</f>
        <v/>
      </c>
      <c r="E217" s="19">
        <f>(28700.8330404678*$N$3)</f>
        <v/>
      </c>
    </row>
    <row r="218">
      <c r="B218" s="27" t="n">
        <v>45020</v>
      </c>
      <c r="C218" s="19" t="n">
        <v>82.84</v>
      </c>
      <c r="D218" s="19">
        <f>(0.5168*$M$3)</f>
        <v/>
      </c>
      <c r="E218" s="19">
        <f>(27893.9734182823*$N$3)</f>
        <v/>
      </c>
    </row>
    <row r="219">
      <c r="B219" s="27" t="n">
        <v>45026</v>
      </c>
      <c r="C219" s="19" t="n">
        <v>83.18000000000001</v>
      </c>
      <c r="D219" s="19">
        <f>(0.5051*$M$3)</f>
        <v/>
      </c>
      <c r="E219" s="19">
        <f>(29206.9474217049*$N$3)</f>
        <v/>
      </c>
    </row>
    <row r="220">
      <c r="B220" s="27" t="n">
        <v>45029</v>
      </c>
      <c r="C220" s="19" t="n">
        <v>85.08</v>
      </c>
      <c r="D220" s="19">
        <f>(0.5244*$M$3)</f>
        <v/>
      </c>
      <c r="E220" s="19">
        <f>(30353.3848252628*$N$3)</f>
        <v/>
      </c>
    </row>
    <row r="221">
      <c r="B221" s="27" t="n">
        <v>45033</v>
      </c>
      <c r="C221" s="19" t="n">
        <v>86.19</v>
      </c>
      <c r="D221" s="19">
        <f>(0.5251*$M$3)</f>
        <v/>
      </c>
      <c r="E221" s="19">
        <f>(30364.3848252628*$N$3)</f>
        <v/>
      </c>
    </row>
    <row r="222">
      <c r="B222" s="27" t="n">
        <v>45043</v>
      </c>
      <c r="C222" s="19" t="n">
        <v>79.84</v>
      </c>
      <c r="D222" s="19">
        <f>(0.4765*$M$3)</f>
        <v/>
      </c>
      <c r="E222" s="19">
        <f>(28950*$N$3)</f>
        <v/>
      </c>
    </row>
    <row r="223">
      <c r="B223" s="27" t="n">
        <v>45061</v>
      </c>
      <c r="C223" s="19" t="n">
        <v>66.19</v>
      </c>
      <c r="D223" s="19">
        <f>(0.3685*$M$3)</f>
        <v/>
      </c>
      <c r="E223" s="19">
        <f>(27366*$N$3)</f>
        <v/>
      </c>
    </row>
    <row r="224">
      <c r="B224" s="27" t="n">
        <v>45068</v>
      </c>
      <c r="C224" s="19" t="n">
        <v>64.45</v>
      </c>
      <c r="D224" s="19">
        <f>(0.3552*$M$3)</f>
        <v/>
      </c>
      <c r="E224" s="19">
        <f>(26800*$N$3)</f>
        <v/>
      </c>
    </row>
    <row r="225">
      <c r="B225" s="27" t="n">
        <v>45073</v>
      </c>
      <c r="C225" s="19" t="n">
        <v>63.78</v>
      </c>
      <c r="D225" s="19">
        <f>(0.35*$M$3)</f>
        <v/>
      </c>
      <c r="E225" s="19">
        <f>(26600*$N$3)</f>
        <v/>
      </c>
    </row>
    <row r="226">
      <c r="B226" s="27" t="n">
        <v>45075</v>
      </c>
      <c r="C226" s="19" t="n">
        <v>66.20999999999999</v>
      </c>
      <c r="D226" s="19">
        <f>(0.361*$M$3)</f>
        <v/>
      </c>
      <c r="E226" s="19">
        <f>(27900*$N$3)</f>
        <v/>
      </c>
    </row>
    <row r="227">
      <c r="B227" s="27" t="n">
        <v>45083</v>
      </c>
      <c r="C227" s="19" t="n">
        <v>61.33</v>
      </c>
      <c r="D227" s="19">
        <f>(0.3345*$M$3)</f>
        <v/>
      </c>
      <c r="E227" s="19">
        <f>(25918.0755732781*$N$3)</f>
        <v/>
      </c>
    </row>
    <row r="228">
      <c r="B228" s="27" t="n">
        <v>45086</v>
      </c>
      <c r="C228" s="19" t="n">
        <v>62.31</v>
      </c>
      <c r="D228" s="19">
        <f>(0.336*$M$3)</f>
        <v/>
      </c>
      <c r="E228" s="19">
        <f>(26640.0755732781*$N$3)</f>
        <v/>
      </c>
    </row>
    <row r="229">
      <c r="B229" s="27" t="n">
        <v>45093</v>
      </c>
      <c r="C229" s="19" t="n">
        <v>59.4</v>
      </c>
      <c r="D229" s="19">
        <f>(0.3172*$M$3)</f>
        <v/>
      </c>
      <c r="E229" s="19">
        <f>(25563*$N$3)</f>
        <v/>
      </c>
    </row>
    <row r="230">
      <c r="B230" s="27" t="n">
        <v>45107</v>
      </c>
      <c r="C230" s="19" t="n">
        <v>68.67</v>
      </c>
      <c r="D230" s="19">
        <f>(0.3607*$M$3)</f>
        <v/>
      </c>
      <c r="E230" s="19">
        <f>(30690.1493063789*$N$3)</f>
        <v/>
      </c>
    </row>
    <row r="231">
      <c r="B231" s="27" t="n">
        <v>45110</v>
      </c>
      <c r="C231" s="19" t="n">
        <v>69.15000000000001</v>
      </c>
      <c r="D231" s="19">
        <f>(0.3625*$M$3)</f>
        <v/>
      </c>
      <c r="E231" s="19">
        <f>(30640.1493063789*$N$3)</f>
        <v/>
      </c>
    </row>
    <row r="232">
      <c r="B232" s="27" t="n">
        <v>45131</v>
      </c>
      <c r="C232" s="19" t="n">
        <v>64.76000000000001</v>
      </c>
      <c r="D232" s="19">
        <f>(0.329*$M$3)</f>
        <v/>
      </c>
      <c r="E232" s="19">
        <f>(29748.1607239039*$N$3)</f>
        <v/>
      </c>
    </row>
  </sheetData>
  <pageMargins left="0.75" right="0.75" top="1" bottom="1" header="0.5" footer="0.5"/>
  <pageSetup orientation="portrait"/>
  <drawing r:id="rId1"/>
</worksheet>
</file>

<file path=xl/worksheets/sheet30.xml><?xml version="1.0" encoding="utf-8"?>
<worksheet xmlns="http://schemas.openxmlformats.org/spreadsheetml/2006/main">
  <sheetPr>
    <outlinePr summaryBelow="1" summaryRight="1"/>
    <pageSetUpPr/>
  </sheetPr>
  <dimension ref="B1:P13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C3" s="56" t="n"/>
      <c r="D3" s="56" t="n"/>
      <c r="E3" s="56" t="n"/>
      <c r="G3" s="56" t="n"/>
      <c r="H3" s="56" t="n"/>
      <c r="I3" t="inlineStr">
        <is>
          <t>Actual Price :</t>
        </is>
      </c>
      <c r="J3" s="56" t="n">
        <v>4.898518687702185</v>
      </c>
      <c r="O3" s="56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E4" s="56" t="n"/>
      <c r="G4" s="56" t="n"/>
      <c r="H4" s="56" t="n"/>
      <c r="I4" t="inlineStr">
        <is>
          <t>Total :</t>
        </is>
      </c>
      <c r="J4" s="56">
        <f>(B10*J3)</f>
        <v/>
      </c>
      <c r="K4" s="4">
        <f>(J4/D10-1)</f>
        <v/>
      </c>
      <c r="O4" s="56" t="n"/>
      <c r="P4" s="56" t="n"/>
    </row>
    <row r="5">
      <c r="B5" s="1" t="n">
        <v>1.93560406</v>
      </c>
      <c r="C5" s="56">
        <f>(D5/B5)</f>
        <v/>
      </c>
      <c r="D5" s="56" t="n">
        <v>10.56</v>
      </c>
      <c r="E5" t="inlineStr">
        <is>
          <t>DCA4</t>
        </is>
      </c>
      <c r="G5" s="56" t="n"/>
      <c r="H5" s="56" t="n"/>
      <c r="J5" s="56" t="n"/>
      <c r="M5" t="inlineStr">
        <is>
          <t>DCA4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" t="n">
        <v>0.00247889</v>
      </c>
      <c r="C6" s="58" t="n">
        <v>0</v>
      </c>
      <c r="D6" s="58">
        <f>(B6*C6)</f>
        <v/>
      </c>
      <c r="E6" s="56">
        <f>(B6*J3)</f>
        <v/>
      </c>
      <c r="G6" s="56" t="n"/>
      <c r="H6" s="56" t="n"/>
      <c r="J6" s="56" t="n"/>
      <c r="M6" t="inlineStr">
        <is>
          <t>Objectif</t>
        </is>
      </c>
      <c r="N6" s="1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E7" s="56" t="n"/>
      <c r="G7" s="56" t="n"/>
      <c r="H7" s="56" t="n"/>
      <c r="J7" s="56" t="n"/>
      <c r="N7" s="1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E8" s="56" t="n"/>
      <c r="G8" s="56" t="n"/>
      <c r="H8" s="56" t="n"/>
      <c r="J8" s="56" t="n"/>
      <c r="N8" s="1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E9" s="56" t="n"/>
      <c r="F9" t="inlineStr">
        <is>
          <t>Moy</t>
        </is>
      </c>
      <c r="G9" s="56">
        <f>(D10/B10)</f>
        <v/>
      </c>
      <c r="H9" s="56" t="n"/>
      <c r="J9" s="56" t="n"/>
      <c r="N9" s="1">
        <f>($B$5/5)</f>
        <v/>
      </c>
      <c r="O9" s="35">
        <f>($C$5*Params!K11)</f>
        <v/>
      </c>
      <c r="P9" s="56">
        <f>(O9*N9)</f>
        <v/>
      </c>
    </row>
    <row r="10">
      <c r="B10" s="1">
        <f>(SUM(B5:B9))</f>
        <v/>
      </c>
      <c r="C10" s="56" t="n"/>
      <c r="D10" s="56">
        <f>(SUM(D5:D9))</f>
        <v/>
      </c>
      <c r="E10" s="56" t="n"/>
      <c r="G10" s="56" t="n"/>
      <c r="H10" s="56" t="n"/>
      <c r="J10" s="56" t="n"/>
      <c r="O10" s="56" t="n"/>
      <c r="P10" s="56" t="n"/>
    </row>
    <row r="11">
      <c r="O11" s="56" t="n"/>
      <c r="P11" s="56">
        <f>(SUM(P6:P9))</f>
        <v/>
      </c>
    </row>
    <row r="12">
      <c r="O12" s="56" t="n"/>
      <c r="P12" s="56" t="n"/>
    </row>
    <row r="13">
      <c r="O13" s="56" t="n"/>
      <c r="P13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:O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1.xml><?xml version="1.0" encoding="utf-8"?>
<worksheet xmlns="http://schemas.openxmlformats.org/spreadsheetml/2006/main">
  <sheetPr>
    <outlinePr summaryBelow="1" summaryRight="1"/>
    <pageSetUpPr/>
  </sheetPr>
  <dimension ref="B1:U25"/>
  <sheetViews>
    <sheetView workbookViewId="0">
      <selection activeCell="L22" sqref="L22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10.28515625" bestFit="1" customWidth="1" style="14" min="20" max="20"/>
  </cols>
  <sheetData>
    <row r="1"/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0.5825894478162864</v>
      </c>
      <c r="M3" t="inlineStr">
        <is>
          <t>Objectif :</t>
        </is>
      </c>
      <c r="N3" s="19">
        <f>(INDEX(N5:N14,MATCH(MAX(O6:O7),O5:O14,0))/0.9)</f>
        <v/>
      </c>
      <c r="O3" s="37">
        <f>(MAX(O6:O7)*0.85)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52.11282</v>
      </c>
      <c r="C5" s="56">
        <f>(D5/B5)</f>
        <v/>
      </c>
      <c r="D5" s="56" t="n">
        <v>18.6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>
        <f>(SUM(B$5:B$7))</f>
        <v/>
      </c>
      <c r="S5" s="56">
        <f>(T5/R5)</f>
        <v/>
      </c>
      <c r="T5" s="56">
        <f>(SUM(D5:D7))</f>
        <v/>
      </c>
    </row>
    <row r="6">
      <c r="B6" s="20" t="n">
        <v>0.75896502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>
        <f>(-B8)</f>
        <v/>
      </c>
      <c r="O6" s="56">
        <f>P6/N6</f>
        <v/>
      </c>
      <c r="P6" s="56">
        <f>(-D8)</f>
        <v/>
      </c>
      <c r="Q6" t="inlineStr">
        <is>
          <t>Done</t>
        </is>
      </c>
      <c r="R6">
        <f>(B8)</f>
        <v/>
      </c>
      <c r="S6" s="56">
        <f>(C8)</f>
        <v/>
      </c>
      <c r="T6" s="56">
        <f>(D8)</f>
        <v/>
      </c>
    </row>
    <row r="7">
      <c r="B7" s="19" t="n">
        <v>1.46219147</v>
      </c>
      <c r="C7" s="56">
        <f>(D7/B7)</f>
        <v/>
      </c>
      <c r="D7" s="56" t="n">
        <v>0.5</v>
      </c>
      <c r="N7" s="19">
        <f>(B$14/3)</f>
        <v/>
      </c>
      <c r="O7" s="56">
        <f>($C$5*Params!K9)</f>
        <v/>
      </c>
      <c r="P7" s="56">
        <f>(O7*N7)</f>
        <v/>
      </c>
      <c r="Q7" t="inlineStr">
        <is>
          <t>Done</t>
        </is>
      </c>
      <c r="R7" s="19">
        <f>B9+B10+B11</f>
        <v/>
      </c>
      <c r="S7" s="56" t="n">
        <v>0</v>
      </c>
      <c r="T7" s="57">
        <f>D9+D10+D11</f>
        <v/>
      </c>
      <c r="U7" s="57" t="n"/>
    </row>
    <row r="8">
      <c r="B8" t="n">
        <v>-10.76</v>
      </c>
      <c r="C8" s="56">
        <f>(D8/B8)</f>
        <v/>
      </c>
      <c r="D8" s="56" t="n">
        <v>-5.05269736</v>
      </c>
      <c r="N8" s="19">
        <f>(B$14/3)</f>
        <v/>
      </c>
      <c r="O8" s="56">
        <f>($C$5*Params!K10)</f>
        <v/>
      </c>
      <c r="P8" s="56">
        <f>(O8*N8)</f>
        <v/>
      </c>
      <c r="R8" s="19">
        <f>B12</f>
        <v/>
      </c>
      <c r="S8" s="57">
        <f>C12</f>
        <v/>
      </c>
      <c r="T8" s="57">
        <f>D12</f>
        <v/>
      </c>
    </row>
    <row r="9">
      <c r="B9" t="n">
        <v>-21.72</v>
      </c>
      <c r="C9" s="57">
        <f>D9/B9</f>
        <v/>
      </c>
      <c r="D9" s="56" t="n">
        <v>-16.82352177</v>
      </c>
      <c r="N9" s="19">
        <f>(B$14/3)</f>
        <v/>
      </c>
      <c r="O9" s="56">
        <f>($C$5*Params!K11)</f>
        <v/>
      </c>
      <c r="P9" s="56">
        <f>(O9*N9)</f>
        <v/>
      </c>
    </row>
    <row r="10">
      <c r="B10" s="19" t="n">
        <v>12.15260941</v>
      </c>
      <c r="C10" s="56">
        <f>D10/B10</f>
        <v/>
      </c>
      <c r="D10" s="56" t="n">
        <v>8.029999999999999</v>
      </c>
    </row>
    <row r="11">
      <c r="B11" s="19" t="n">
        <v>12.36011619</v>
      </c>
      <c r="C11" s="56">
        <f>D11/B11</f>
        <v/>
      </c>
      <c r="D11" s="56" t="n">
        <v>5.87</v>
      </c>
      <c r="P11" s="56">
        <f>(SUM(P6:P9))</f>
        <v/>
      </c>
    </row>
    <row r="12">
      <c r="B12" s="19" t="n">
        <v>-15.44</v>
      </c>
      <c r="C12" s="57">
        <f>D12/B12</f>
        <v/>
      </c>
      <c r="D12" s="56" t="n">
        <v>-8.78559841</v>
      </c>
    </row>
    <row r="13">
      <c r="F13" t="inlineStr">
        <is>
          <t>Moy</t>
        </is>
      </c>
      <c r="G13" s="56">
        <f>(D14/B14)</f>
        <v/>
      </c>
    </row>
    <row r="14">
      <c r="B14" s="19">
        <f>(SUM(B5:B13))</f>
        <v/>
      </c>
      <c r="D14" s="56">
        <f>(SUM(D5:D13))</f>
        <v/>
      </c>
    </row>
    <row r="15"/>
    <row r="16"/>
    <row r="17"/>
    <row r="18">
      <c r="R18">
        <f>(SUM(R5:R17))</f>
        <v/>
      </c>
      <c r="T18" s="56">
        <f>(SUM(T5:T17))</f>
        <v/>
      </c>
    </row>
    <row r="19"/>
    <row r="20"/>
    <row r="21"/>
    <row r="22"/>
    <row r="23"/>
    <row r="24"/>
    <row r="25">
      <c r="N25" s="19" t="n"/>
    </row>
  </sheetData>
  <conditionalFormatting sqref="C5 C7 C10:C11 G13 O8:O9 S5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3">
    <cfRule type="cellIs" priority="9" operator="greaterThan" dxfId="1">
      <formula>$J$3</formula>
    </cfRule>
    <cfRule type="cellIs" priority="10" operator="lessThan" dxfId="0">
      <formula>$J$3</formula>
    </cfRule>
  </conditionalFormatting>
  <pageMargins left="0.75" right="0.75" top="1" bottom="1" header="0.5" footer="0.5"/>
</worksheet>
</file>

<file path=xl/worksheets/sheet32.xml><?xml version="1.0" encoding="utf-8"?>
<worksheet xmlns="http://schemas.openxmlformats.org/spreadsheetml/2006/main">
  <sheetPr>
    <outlinePr summaryBelow="1" summaryRight="1"/>
    <pageSetUpPr/>
  </sheetPr>
  <dimension ref="B2:W37"/>
  <sheetViews>
    <sheetView workbookViewId="0">
      <selection activeCell="P27" sqref="P27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  <col width="9.28515625" bestFit="1" customWidth="1" style="14" min="18" max="18"/>
    <col width="9.140625" customWidth="1" style="14" min="19" max="19"/>
    <col width="10.28515625" bestFit="1" customWidth="1" style="14" min="20" max="20"/>
    <col width="9.140625" customWidth="1" style="14" min="21" max="23"/>
  </cols>
  <sheetData>
    <row r="2">
      <c r="N2" t="inlineStr">
        <is>
          <t>Qty to Buy</t>
        </is>
      </c>
      <c r="O2" t="inlineStr">
        <is>
          <t>Token Price</t>
        </is>
      </c>
      <c r="P2" t="inlineStr">
        <is>
          <t>Value</t>
        </is>
      </c>
    </row>
    <row r="3">
      <c r="I3" t="inlineStr">
        <is>
          <t>Actual Price :</t>
        </is>
      </c>
      <c r="J3" s="35" t="n">
        <v>0.1264091461563603</v>
      </c>
      <c r="M3" t="inlineStr">
        <is>
          <t>Objectif :</t>
        </is>
      </c>
      <c r="N3" s="29">
        <f>(INDEX(N5:N29,MATCH(MAX(O6:O8),O5:O29,0))/0.9)</f>
        <v/>
      </c>
      <c r="O3" s="37">
        <f>(MAX(O6:O8)*0.85)</f>
        <v/>
      </c>
      <c r="P3" s="56">
        <f>(O3*N3)</f>
        <v/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9" t="n">
        <v>63.429</v>
      </c>
      <c r="C5" s="35">
        <f>(D5/B5)</f>
        <v/>
      </c>
      <c r="D5" s="56" t="n">
        <v>4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(C5)</f>
        <v/>
      </c>
      <c r="T5" s="56">
        <f>(R5*S5)</f>
        <v/>
      </c>
    </row>
    <row r="6">
      <c r="B6" s="19" t="n">
        <v>-12.25728155</v>
      </c>
      <c r="C6" s="35">
        <f>(D6/B6)</f>
        <v/>
      </c>
      <c r="D6" s="56" t="n">
        <v>-0.983378</v>
      </c>
      <c r="M6" t="inlineStr">
        <is>
          <t>Objectif</t>
        </is>
      </c>
      <c r="N6" s="29">
        <f>(-B6)</f>
        <v/>
      </c>
      <c r="O6" s="56">
        <f>(C6)</f>
        <v/>
      </c>
      <c r="P6" s="56">
        <f>(O6*N6)</f>
        <v/>
      </c>
      <c r="Q6" t="inlineStr">
        <is>
          <t>Done</t>
        </is>
      </c>
      <c r="R6" s="29">
        <f>B6</f>
        <v/>
      </c>
      <c r="S6" s="56">
        <f>(C6)</f>
        <v/>
      </c>
      <c r="T6" s="56">
        <f>D6</f>
        <v/>
      </c>
    </row>
    <row r="7">
      <c r="B7" s="19" t="n">
        <v>-12.70325203</v>
      </c>
      <c r="C7" s="35">
        <f>(D7/B7)</f>
        <v/>
      </c>
      <c r="D7" s="56" t="n">
        <v>-1.217268</v>
      </c>
      <c r="N7" s="29">
        <f>-B11</f>
        <v/>
      </c>
      <c r="O7" s="56">
        <f>($C$5*Params!K9)</f>
        <v/>
      </c>
      <c r="P7" s="56">
        <f>-D11</f>
        <v/>
      </c>
      <c r="Q7" t="inlineStr">
        <is>
          <t>Done</t>
        </is>
      </c>
      <c r="R7" s="29">
        <f>B7+B10+B8+B9</f>
        <v/>
      </c>
      <c r="S7" s="56">
        <f>(C7)</f>
        <v/>
      </c>
      <c r="T7" s="56">
        <f>D7+D10+D8+D9</f>
        <v/>
      </c>
    </row>
    <row r="8">
      <c r="B8" s="19" t="n">
        <v>-12.62063846</v>
      </c>
      <c r="C8" s="35">
        <f>(D8/B8)</f>
        <v/>
      </c>
      <c r="D8" s="56" t="n">
        <v>-1.656203</v>
      </c>
      <c r="N8" s="29">
        <f>3*($B$5+$R$7)/5-N7-N6</f>
        <v/>
      </c>
      <c r="O8" s="56">
        <f>($C$5*Params!K10)</f>
        <v/>
      </c>
      <c r="P8" s="56">
        <f>(O8*N8)</f>
        <v/>
      </c>
      <c r="Q8" t="inlineStr">
        <is>
          <t>Done</t>
        </is>
      </c>
      <c r="R8" s="29">
        <f>B11</f>
        <v/>
      </c>
      <c r="S8" s="56">
        <f>T8/R8</f>
        <v/>
      </c>
      <c r="T8" s="56">
        <f>D11</f>
        <v/>
      </c>
    </row>
    <row r="9">
      <c r="B9" s="19" t="n">
        <v>15.03715876</v>
      </c>
      <c r="C9" s="35">
        <f>(D9/B9)</f>
        <v/>
      </c>
      <c r="D9" s="56" t="n">
        <v>1.549163</v>
      </c>
      <c r="N9" s="29">
        <f>4*($R$5+$R$7)/5+B12-N7-N6</f>
        <v/>
      </c>
      <c r="O9" s="56">
        <f>($C$5*Params!K11)</f>
        <v/>
      </c>
      <c r="P9" s="56">
        <f>(O9*N9)</f>
        <v/>
      </c>
      <c r="R9" s="24">
        <f>B12</f>
        <v/>
      </c>
      <c r="S9" s="56">
        <f>T9/R9</f>
        <v/>
      </c>
      <c r="T9" s="56">
        <f>D12</f>
        <v/>
      </c>
    </row>
    <row r="10">
      <c r="B10" s="19" t="n">
        <v>14.46759533</v>
      </c>
      <c r="C10" s="35">
        <f>(D10/B10)</f>
        <v/>
      </c>
      <c r="D10" s="56" t="n">
        <v>1.150414</v>
      </c>
      <c r="N10" s="29" t="n"/>
      <c r="O10" s="56" t="n"/>
      <c r="P10" s="56" t="n"/>
      <c r="R10" s="24" t="n"/>
      <c r="S10" s="56" t="n"/>
      <c r="T10" s="56" t="n"/>
    </row>
    <row r="11">
      <c r="B11" s="19" t="n">
        <v>-12.55901794</v>
      </c>
      <c r="C11" s="35">
        <f>D11/B11</f>
        <v/>
      </c>
      <c r="D11" s="56">
        <f>-1.294159</f>
        <v/>
      </c>
      <c r="N11" s="29" t="n"/>
      <c r="O11" s="56" t="n"/>
      <c r="P11" s="56" t="n"/>
      <c r="R11" s="24" t="n"/>
      <c r="S11" s="56" t="n"/>
      <c r="T11" s="56" t="n"/>
    </row>
    <row r="12">
      <c r="B12" s="19" t="n">
        <v>-15.85623679</v>
      </c>
      <c r="C12" s="35">
        <f>D12/B12</f>
        <v/>
      </c>
      <c r="D12" s="56" t="n">
        <v>-2.201892</v>
      </c>
      <c r="N12" s="29" t="n"/>
      <c r="O12" s="56" t="n"/>
      <c r="P12" s="56" t="n"/>
      <c r="R12" s="24" t="n"/>
      <c r="S12" s="56" t="n"/>
      <c r="T12" s="56" t="n"/>
    </row>
    <row r="13">
      <c r="C13" s="56" t="n"/>
      <c r="D13" s="56" t="n"/>
      <c r="F13" t="inlineStr">
        <is>
          <t>Moy</t>
        </is>
      </c>
      <c r="G13" s="56">
        <f>(D14/B14)</f>
        <v/>
      </c>
      <c r="O13" s="56" t="n"/>
      <c r="P13" s="56">
        <f>(SUM(P6:P9))</f>
        <v/>
      </c>
      <c r="R13" s="24" t="n"/>
      <c r="S13" s="56" t="n"/>
      <c r="T13" s="56" t="n"/>
    </row>
    <row r="14">
      <c r="B14" s="19">
        <f>(SUM(B5:B13))</f>
        <v/>
      </c>
      <c r="C14" s="56" t="n"/>
      <c r="D14" s="56">
        <f>(SUM(D5:D13))</f>
        <v/>
      </c>
      <c r="O14" s="56" t="n"/>
      <c r="R14" s="24" t="n"/>
      <c r="S14" s="56" t="n"/>
      <c r="T14" s="56" t="n"/>
    </row>
    <row r="15">
      <c r="R15" s="24" t="n"/>
      <c r="S15" s="56" t="n"/>
      <c r="T15" s="56" t="n"/>
    </row>
    <row r="16">
      <c r="R16" s="24" t="n"/>
      <c r="S16" s="56" t="n"/>
      <c r="T16" s="56" t="n"/>
    </row>
    <row r="17">
      <c r="R17" s="24" t="n"/>
      <c r="S17" s="56" t="n"/>
      <c r="T17" s="56" t="n"/>
    </row>
    <row r="18">
      <c r="R18" s="24" t="n"/>
      <c r="S18" s="56" t="n"/>
      <c r="T18" s="56" t="n"/>
    </row>
    <row r="19">
      <c r="R19" s="24" t="n"/>
      <c r="S19" s="56" t="n"/>
      <c r="T19" s="56" t="n"/>
    </row>
    <row r="20">
      <c r="R20" s="24" t="n"/>
      <c r="S20" s="56" t="n"/>
      <c r="T20" s="56" t="n"/>
    </row>
    <row r="21">
      <c r="R21" s="24" t="n"/>
      <c r="S21" s="56" t="n"/>
      <c r="T21" s="56" t="n"/>
    </row>
    <row r="22">
      <c r="R22" s="24" t="n"/>
      <c r="S22" s="56" t="n"/>
      <c r="T22" s="56" t="n"/>
    </row>
    <row r="23">
      <c r="R23" s="24" t="n"/>
      <c r="S23" s="56" t="n"/>
      <c r="T23" s="56" t="n"/>
    </row>
    <row r="24">
      <c r="R24" s="24" t="n"/>
      <c r="S24" s="56" t="n"/>
      <c r="T24" s="56" t="n"/>
      <c r="V24" s="57" t="n"/>
    </row>
    <row r="26">
      <c r="S26" s="56" t="n"/>
      <c r="T26" s="56" t="n"/>
    </row>
    <row r="27">
      <c r="L27" s="57" t="n"/>
      <c r="M27" s="57" t="n"/>
      <c r="S27" s="56" t="n"/>
      <c r="T27" s="56" t="n"/>
    </row>
    <row r="28">
      <c r="S28" s="56" t="n"/>
      <c r="T28" s="56" t="n"/>
    </row>
    <row r="29">
      <c r="S29" s="56" t="n"/>
      <c r="T29" s="56" t="n"/>
    </row>
    <row r="30">
      <c r="S30" s="56" t="n"/>
      <c r="T30" s="56" t="n"/>
    </row>
    <row r="31">
      <c r="S31" s="56" t="n"/>
      <c r="T31" s="56" t="n"/>
    </row>
    <row r="32">
      <c r="S32" s="56" t="n"/>
      <c r="T32" s="56" t="n"/>
    </row>
    <row r="33">
      <c r="R33" s="24">
        <f>(SUM(R5:R31))</f>
        <v/>
      </c>
      <c r="S33" s="56" t="n"/>
      <c r="T33" s="56">
        <f>(SUM(T5:T31))</f>
        <v/>
      </c>
      <c r="V33" t="inlineStr">
        <is>
          <t>Moy</t>
        </is>
      </c>
      <c r="W33" s="56">
        <f>(T33/R33)</f>
        <v/>
      </c>
    </row>
    <row r="34">
      <c r="S34" s="56" t="n"/>
      <c r="T34" s="56" t="n"/>
    </row>
    <row r="35">
      <c r="S35" s="56" t="n"/>
      <c r="T35" s="56" t="n"/>
    </row>
    <row r="36">
      <c r="S36" s="56" t="n"/>
      <c r="T36" s="56" t="n"/>
    </row>
    <row r="37">
      <c r="S37" s="56" t="n"/>
      <c r="T37" s="56" t="n"/>
    </row>
  </sheetData>
  <conditionalFormatting sqref="C5 C9:C10 G13 O9 S5">
    <cfRule type="cellIs" priority="23" operator="lessThan" dxfId="1">
      <formula>$J$3</formula>
    </cfRule>
    <cfRule type="cellIs" priority="24" operator="greaterThan" dxfId="0">
      <formula>$J$3</formula>
    </cfRule>
  </conditionalFormatting>
  <conditionalFormatting sqref="O3">
    <cfRule type="cellIs" priority="17" operator="greaterThan" dxfId="1">
      <formula>$J$3</formula>
    </cfRule>
    <cfRule type="cellIs" priority="18" operator="lessThan" dxfId="0">
      <formula>$J$3</formula>
    </cfRule>
  </conditionalFormatting>
  <conditionalFormatting sqref="W33">
    <cfRule type="cellIs" priority="1" operator="lessThan" dxfId="1">
      <formula>$J$3</formula>
    </cfRule>
    <cfRule type="cellIs" priority="2" operator="greaterThan" dxfId="0">
      <formula>$J$3</formula>
    </cfRule>
    <cfRule type="cellIs" priority="3" operator="lessThan" dxfId="1">
      <formula>$J$3</formula>
    </cfRule>
    <cfRule type="cellIs" priority="4" operator="greaterThan" dxfId="0">
      <formula>$J$3</formula>
    </cfRule>
    <cfRule type="cellIs" priority="5" operator="lessThan" dxfId="1">
      <formula>$J$3</formula>
    </cfRule>
    <cfRule type="cellIs" priority="6" operator="greaterThan" dxfId="0">
      <formula>$J$3</formula>
    </cfRule>
    <cfRule type="cellIs" priority="7" operator="lessThan" dxfId="1">
      <formula>$J$3</formula>
    </cfRule>
    <cfRule type="cellIs" priority="8" operator="greaterThan" dxfId="0">
      <formula>$J$3</formula>
    </cfRule>
  </conditionalFormatting>
  <pageMargins left="0.75" right="0.75" top="1" bottom="1" header="0.5" footer="0.5"/>
</worksheet>
</file>

<file path=xl/worksheets/sheet33.xml><?xml version="1.0" encoding="utf-8"?>
<worksheet xmlns="http://schemas.openxmlformats.org/spreadsheetml/2006/main">
  <sheetPr>
    <outlinePr summaryBelow="1" summaryRight="1"/>
    <pageSetUpPr/>
  </sheetPr>
  <dimension ref="B3:P12"/>
  <sheetViews>
    <sheetView workbookViewId="0">
      <selection activeCell="Y41" sqref="Y41"/>
    </sheetView>
  </sheetViews>
  <sheetFormatPr baseColWidth="10" defaultColWidth="9.140625" defaultRowHeight="15"/>
  <cols>
    <col width="8.5703125" customWidth="1" style="14" min="2" max="2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56" t="n">
        <v>0.7124724832963008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s="29" t="n">
        <v>2.924319</v>
      </c>
      <c r="C5" s="56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B6" s="24" t="n"/>
      <c r="C6" s="56" t="n"/>
      <c r="D6" s="56" t="n"/>
      <c r="M6" t="inlineStr">
        <is>
          <t>Objectif</t>
        </is>
      </c>
      <c r="N6" s="24">
        <f>($B$5/5)</f>
        <v/>
      </c>
      <c r="O6" s="56">
        <f>($C$5*Params!K8)</f>
        <v/>
      </c>
      <c r="P6" s="56">
        <f>(O6*N6)</f>
        <v/>
      </c>
    </row>
    <row r="7">
      <c r="B7" s="24" t="n"/>
      <c r="C7" s="56" t="n"/>
      <c r="D7" s="56" t="n"/>
      <c r="N7" s="24">
        <f>($B$5/5)</f>
        <v/>
      </c>
      <c r="O7" s="56">
        <f>($C$5*Params!K9)</f>
        <v/>
      </c>
      <c r="P7" s="56">
        <f>(O7*N7)</f>
        <v/>
      </c>
    </row>
    <row r="8">
      <c r="B8" s="24" t="n"/>
      <c r="C8" s="56" t="n"/>
      <c r="D8" s="56" t="n"/>
      <c r="N8" s="24">
        <f>($B$5/5)</f>
        <v/>
      </c>
      <c r="O8" s="56">
        <f>($C$5*Params!K10)</f>
        <v/>
      </c>
      <c r="P8" s="56">
        <f>(O8*N8)</f>
        <v/>
      </c>
    </row>
    <row r="9">
      <c r="B9" s="24" t="n"/>
      <c r="C9" s="56" t="n"/>
      <c r="D9" s="56" t="n"/>
      <c r="F9" t="inlineStr">
        <is>
          <t>Moy</t>
        </is>
      </c>
      <c r="G9" s="56">
        <f>(D10/B10)</f>
        <v/>
      </c>
      <c r="H9" s="56" t="n"/>
      <c r="N9" s="24">
        <f>($B$5/5)</f>
        <v/>
      </c>
      <c r="O9" s="56">
        <f>($C$5*Params!K11)</f>
        <v/>
      </c>
      <c r="P9" s="56">
        <f>(O9*N9)</f>
        <v/>
      </c>
    </row>
    <row r="10">
      <c r="B10" s="29">
        <f>(SUM(B5:B9))</f>
        <v/>
      </c>
      <c r="C10" s="56" t="n"/>
      <c r="D10" s="56">
        <f>(SUM(D5:D9))</f>
        <v/>
      </c>
      <c r="O10" s="56" t="n"/>
      <c r="P10" s="56" t="n"/>
    </row>
    <row r="11">
      <c r="C11" s="56" t="n"/>
      <c r="D11" s="56" t="n"/>
      <c r="O11" s="56" t="n"/>
      <c r="P11" s="56">
        <f>(SUM(P6:P9))</f>
        <v/>
      </c>
    </row>
    <row r="12">
      <c r="O12" s="56" t="n"/>
      <c r="P12" s="56" t="n"/>
    </row>
  </sheetData>
  <conditionalFormatting sqref="C5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G9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O6:O9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34.xml><?xml version="1.0" encoding="utf-8"?>
<worksheet xmlns="http://schemas.openxmlformats.org/spreadsheetml/2006/main">
  <sheetPr>
    <outlinePr summaryBelow="1" summaryRight="1"/>
    <pageSetUpPr/>
  </sheetPr>
  <dimension ref="B3:P11"/>
  <sheetViews>
    <sheetView workbookViewId="0">
      <selection activeCell="B5" sqref="B5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3">
      <c r="I3" t="inlineStr">
        <is>
          <t>Actual Price :</t>
        </is>
      </c>
      <c r="J3" s="35" t="n">
        <v>0.003842041747289956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(B10*J3)</f>
        <v/>
      </c>
      <c r="K4" s="4">
        <f>(J4/D10-1)</f>
        <v/>
      </c>
    </row>
    <row r="5">
      <c r="B5" t="n">
        <v>599.4</v>
      </c>
      <c r="C5" s="35">
        <f>(D5/B5)</f>
        <v/>
      </c>
      <c r="D5" s="56" t="n">
        <v>3</v>
      </c>
      <c r="E5" t="inlineStr">
        <is>
          <t>Learn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</row>
    <row r="6">
      <c r="C6" s="56" t="n"/>
      <c r="D6" s="56" t="n"/>
      <c r="M6" t="inlineStr">
        <is>
          <t>Objectif</t>
        </is>
      </c>
      <c r="N6">
        <f>($B$5/5)</f>
        <v/>
      </c>
      <c r="O6" s="35">
        <f>($C$5*Params!K8)</f>
        <v/>
      </c>
      <c r="P6" s="56">
        <f>(O6*N6)</f>
        <v/>
      </c>
    </row>
    <row r="7">
      <c r="C7" s="56" t="n"/>
      <c r="D7" s="56" t="n"/>
      <c r="N7">
        <f>($B$5/5)</f>
        <v/>
      </c>
      <c r="O7" s="35">
        <f>($C$5*Params!K9)</f>
        <v/>
      </c>
      <c r="P7" s="56">
        <f>(O7*N7)</f>
        <v/>
      </c>
    </row>
    <row r="8">
      <c r="C8" s="56" t="n"/>
      <c r="D8" s="56" t="n"/>
      <c r="N8">
        <f>($B$5/5)</f>
        <v/>
      </c>
      <c r="O8" s="35">
        <f>($C$5*Params!K10)</f>
        <v/>
      </c>
      <c r="P8" s="56">
        <f>(O8*N8)</f>
        <v/>
      </c>
    </row>
    <row r="9">
      <c r="C9" s="56" t="n"/>
      <c r="D9" s="56" t="n"/>
      <c r="F9" t="inlineStr">
        <is>
          <t>Moy</t>
        </is>
      </c>
      <c r="G9" s="56">
        <f>(D10/B10)</f>
        <v/>
      </c>
      <c r="N9">
        <f>($B$5/5)</f>
        <v/>
      </c>
      <c r="O9" s="35">
        <f>($C$5*Params!K11)</f>
        <v/>
      </c>
      <c r="P9" s="56">
        <f>(O9*N9)</f>
        <v/>
      </c>
    </row>
    <row r="10">
      <c r="B10">
        <f>(SUM(B5:B9))</f>
        <v/>
      </c>
      <c r="C10" s="56" t="n"/>
      <c r="D10" s="56">
        <f>(SUM(D5:D9))</f>
        <v/>
      </c>
      <c r="O10" s="56" t="n"/>
      <c r="P10" s="56" t="n"/>
    </row>
    <row r="11">
      <c r="O11" s="56" t="n"/>
      <c r="P11" s="56">
        <f>(SUM(P6:P9))</f>
        <v/>
      </c>
    </row>
  </sheetData>
  <conditionalFormatting sqref="C5 G9 O6:O9">
    <cfRule type="cellIs" priority="5" operator="lessThan" dxfId="1">
      <formula>$J$3</formula>
    </cfRule>
    <cfRule type="cellIs" priority="6" operator="greaterThan" dxfId="0">
      <formula>$J$3</formula>
    </cfRule>
  </conditionalFormatting>
  <pageMargins left="0.75" right="0.75" top="1" bottom="1" header="0.5" footer="0.5"/>
</worksheet>
</file>

<file path=xl/worksheets/sheet35.xml><?xml version="1.0" encoding="utf-8"?>
<worksheet xmlns="http://schemas.openxmlformats.org/spreadsheetml/2006/main">
  <sheetPr>
    <outlinePr summaryBelow="1" summaryRight="1"/>
    <pageSetUpPr/>
  </sheetPr>
  <dimension ref="F8:P27"/>
  <sheetViews>
    <sheetView workbookViewId="0">
      <selection activeCell="F9" sqref="F9"/>
    </sheetView>
  </sheetViews>
  <sheetFormatPr baseColWidth="10" defaultColWidth="9.140625" defaultRowHeight="15"/>
  <sheetData>
    <row r="8">
      <c r="F8" t="n">
        <v>0.05</v>
      </c>
      <c r="K8" t="n">
        <v>1.3</v>
      </c>
      <c r="L8" t="n">
        <v>0.2</v>
      </c>
      <c r="N8">
        <f>(L8*(K8-1))</f>
        <v/>
      </c>
    </row>
    <row r="9">
      <c r="K9" t="n">
        <v>1.6</v>
      </c>
      <c r="L9" t="n">
        <v>0.2</v>
      </c>
      <c r="N9">
        <f>(L9*(K9-1))</f>
        <v/>
      </c>
    </row>
    <row r="10">
      <c r="K10" t="n">
        <v>2.2</v>
      </c>
      <c r="L10" t="n">
        <v>0.2</v>
      </c>
      <c r="N10">
        <f>(L10*(K10-1))</f>
        <v/>
      </c>
    </row>
    <row r="11">
      <c r="K11" t="n">
        <v>4</v>
      </c>
      <c r="L11" t="n">
        <v>0.2</v>
      </c>
      <c r="N11">
        <f>(L11*(K11-1))</f>
        <v/>
      </c>
    </row>
    <row r="12">
      <c r="K12" t="n">
        <v>8</v>
      </c>
      <c r="L12" t="n">
        <v>0.2</v>
      </c>
      <c r="N12">
        <f>(L12*(K12-1))</f>
        <v/>
      </c>
    </row>
    <row r="13">
      <c r="N13">
        <f>(SUM(N8:N12))</f>
        <v/>
      </c>
      <c r="O13">
        <f>(4/5+N13)</f>
        <v/>
      </c>
      <c r="P13">
        <f>(O13)</f>
        <v/>
      </c>
    </row>
    <row r="15">
      <c r="K15" t="n">
        <v>1.5</v>
      </c>
      <c r="L15" t="n">
        <v>0.2</v>
      </c>
      <c r="N15">
        <f>(L15*(K15-1))</f>
        <v/>
      </c>
    </row>
    <row r="16">
      <c r="K16" t="n">
        <v>2</v>
      </c>
      <c r="L16" t="n">
        <v>0.2</v>
      </c>
      <c r="N16">
        <f>(L16*(K16-1))</f>
        <v/>
      </c>
    </row>
    <row r="17">
      <c r="K17" t="n">
        <v>4</v>
      </c>
      <c r="L17" t="n">
        <v>0.2</v>
      </c>
      <c r="N17">
        <f>(L17*(K17-1))</f>
        <v/>
      </c>
    </row>
    <row r="18">
      <c r="K18" t="n">
        <v>8</v>
      </c>
      <c r="L18" t="n">
        <v>0.2</v>
      </c>
      <c r="N18">
        <f>(L18*(K18-1))</f>
        <v/>
      </c>
    </row>
    <row r="19">
      <c r="K19" t="n">
        <v>16</v>
      </c>
      <c r="L19" t="n">
        <v>0.2</v>
      </c>
      <c r="N19">
        <f>(L19*(K19-1))</f>
        <v/>
      </c>
    </row>
    <row r="20">
      <c r="N20">
        <f>(SUM(N15:N19))</f>
        <v/>
      </c>
      <c r="O20">
        <f>(4/5+N20)</f>
        <v/>
      </c>
      <c r="P20">
        <f>(O20)</f>
        <v/>
      </c>
    </row>
    <row r="22">
      <c r="K22" t="n">
        <v>1.3</v>
      </c>
      <c r="L22" t="n">
        <v>0.1</v>
      </c>
      <c r="N22">
        <f>(L22*(K22-1))</f>
        <v/>
      </c>
    </row>
    <row r="23">
      <c r="K23" t="n">
        <v>1.6</v>
      </c>
      <c r="L23" t="n">
        <v>0.2</v>
      </c>
      <c r="N23">
        <f>(L23*(K23-1))</f>
        <v/>
      </c>
    </row>
    <row r="24">
      <c r="K24" t="n">
        <v>2.2</v>
      </c>
      <c r="L24" t="n">
        <v>0.25</v>
      </c>
      <c r="N24">
        <f>(L24*(K24-1))</f>
        <v/>
      </c>
    </row>
    <row r="25">
      <c r="K25" t="n">
        <v>4</v>
      </c>
      <c r="L25" t="n">
        <v>0.25</v>
      </c>
      <c r="N25">
        <f>(L25*(K25-1))</f>
        <v/>
      </c>
    </row>
    <row r="26">
      <c r="K26" t="n">
        <v>8</v>
      </c>
      <c r="L26" t="n">
        <v>0.2</v>
      </c>
      <c r="N26">
        <f>(L26*(K26-1))</f>
        <v/>
      </c>
    </row>
    <row r="27">
      <c r="N27">
        <f>(SUM(N22:N26))</f>
        <v/>
      </c>
      <c r="O27">
        <f>(4/5+N27)</f>
        <v/>
      </c>
      <c r="P27">
        <f>(O27)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B3:P35"/>
  <sheetViews>
    <sheetView workbookViewId="0">
      <selection activeCell="J4" sqref="J4"/>
    </sheetView>
  </sheetViews>
  <sheetFormatPr baseColWidth="10" defaultColWidth="9.140625" defaultRowHeight="15"/>
  <cols>
    <col width="11" bestFit="1" customWidth="1" style="14" min="4" max="4"/>
    <col width="12.42578125" bestFit="1" customWidth="1" style="14" min="9" max="9"/>
    <col width="11.28515625" bestFit="1" customWidth="1" style="14" min="14" max="15"/>
  </cols>
  <sheetData>
    <row r="3">
      <c r="I3" t="inlineStr">
        <is>
          <t>Actual Price :</t>
        </is>
      </c>
      <c r="J3" s="56" t="n">
        <v>0.3138962569338951</v>
      </c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(B9*J3)</f>
        <v/>
      </c>
      <c r="K4" s="4">
        <f>(J4/D9-1)</f>
        <v/>
      </c>
    </row>
    <row r="5">
      <c r="B5" s="19" t="n">
        <v>1.547</v>
      </c>
      <c r="C5" s="56" t="n">
        <v>10</v>
      </c>
      <c r="D5" s="56">
        <f>(B5*C5)</f>
        <v/>
      </c>
      <c r="N5" t="inlineStr">
        <is>
          <t>Token Price</t>
        </is>
      </c>
      <c r="O5" t="inlineStr">
        <is>
          <t>Qty to Sell</t>
        </is>
      </c>
      <c r="P5" t="inlineStr">
        <is>
          <t>Value</t>
        </is>
      </c>
    </row>
    <row r="6">
      <c r="B6" s="19" t="n">
        <v>2.5368</v>
      </c>
      <c r="C6" s="56" t="n">
        <v>3.941</v>
      </c>
      <c r="D6" s="56">
        <f>(B6*C6)</f>
        <v/>
      </c>
      <c r="M6" t="inlineStr">
        <is>
          <t>Objectif :</t>
        </is>
      </c>
      <c r="N6" s="56">
        <f>(MIN(C5:C8)*2)</f>
        <v/>
      </c>
      <c r="O6">
        <f>(INDEX(B5:B8,MATCH(N6/2,C5:C8,0)))</f>
        <v/>
      </c>
      <c r="P6" s="56">
        <f>(N6*O6/2)</f>
        <v/>
      </c>
    </row>
    <row r="7">
      <c r="B7" s="19" t="n">
        <v>2</v>
      </c>
      <c r="C7" s="56" t="n">
        <v>1.7</v>
      </c>
      <c r="D7" s="56">
        <f>(B7*C7)</f>
        <v/>
      </c>
    </row>
    <row r="8">
      <c r="F8" t="inlineStr">
        <is>
          <t>Moy</t>
        </is>
      </c>
      <c r="G8" s="56">
        <f>(SUM(D5:D8)/SUM(B5:B8))</f>
        <v/>
      </c>
    </row>
    <row r="9">
      <c r="B9" s="19">
        <f>(SUM(B5:B8))</f>
        <v/>
      </c>
      <c r="D9" s="56">
        <f>(SUM(D5:D8))</f>
        <v/>
      </c>
    </row>
    <row r="10">
      <c r="D10" s="56" t="n"/>
      <c r="N10" t="inlineStr">
        <is>
          <t>Qty to Sell</t>
        </is>
      </c>
      <c r="O10" t="inlineStr">
        <is>
          <t>Token Price</t>
        </is>
      </c>
      <c r="P10" t="inlineStr">
        <is>
          <t>Value</t>
        </is>
      </c>
    </row>
    <row r="11">
      <c r="M11" t="inlineStr">
        <is>
          <t>Objectif</t>
        </is>
      </c>
      <c r="N11">
        <f>($B$5/5)</f>
        <v/>
      </c>
      <c r="O11" s="56">
        <f>($C$5*Params!K8)</f>
        <v/>
      </c>
      <c r="P11" s="56">
        <f>(O11*N11)</f>
        <v/>
      </c>
    </row>
    <row r="12">
      <c r="N12">
        <f>($B$5/5)</f>
        <v/>
      </c>
      <c r="O12" s="56">
        <f>($C$5*Params!K9)</f>
        <v/>
      </c>
      <c r="P12" s="56">
        <f>(O12*N12)</f>
        <v/>
      </c>
    </row>
    <row r="13">
      <c r="N13">
        <f>($B$5/5)</f>
        <v/>
      </c>
      <c r="O13" s="56">
        <f>($C$5*Params!K10)</f>
        <v/>
      </c>
      <c r="P13" s="56">
        <f>(O13*N13)</f>
        <v/>
      </c>
    </row>
    <row r="14">
      <c r="N14">
        <f>($B$5/5)</f>
        <v/>
      </c>
      <c r="O14" s="56">
        <f>($C$5*Params!K11)</f>
        <v/>
      </c>
      <c r="P14" s="56">
        <f>(O14*N14)</f>
        <v/>
      </c>
    </row>
    <row r="17">
      <c r="P17" s="56">
        <f>(SUM(P11:P14))</f>
        <v/>
      </c>
    </row>
    <row r="19">
      <c r="N19" t="inlineStr">
        <is>
          <t>Qty to Sell</t>
        </is>
      </c>
      <c r="O19" t="inlineStr">
        <is>
          <t>Token Price</t>
        </is>
      </c>
      <c r="P19" t="inlineStr">
        <is>
          <t>Value</t>
        </is>
      </c>
    </row>
    <row r="20">
      <c r="M20" t="inlineStr">
        <is>
          <t>Objectif</t>
        </is>
      </c>
      <c r="N20">
        <f>($B$6/5)</f>
        <v/>
      </c>
      <c r="O20" s="56">
        <f>($C$6*Params!K8)</f>
        <v/>
      </c>
      <c r="P20" s="56">
        <f>(O20*N20)</f>
        <v/>
      </c>
    </row>
    <row r="21">
      <c r="N21">
        <f>($B$6/5)</f>
        <v/>
      </c>
      <c r="O21" s="56">
        <f>($C$6*Params!K9)</f>
        <v/>
      </c>
      <c r="P21" s="56">
        <f>(O21*N21)</f>
        <v/>
      </c>
    </row>
    <row r="22">
      <c r="N22">
        <f>($B$6/5)</f>
        <v/>
      </c>
      <c r="O22" s="56">
        <f>($C$6*Params!K10)</f>
        <v/>
      </c>
      <c r="P22" s="56">
        <f>(O22*N22)</f>
        <v/>
      </c>
    </row>
    <row r="23">
      <c r="N23">
        <f>($B$6/5)</f>
        <v/>
      </c>
      <c r="O23" s="56">
        <f>($C$6*Params!K11)</f>
        <v/>
      </c>
      <c r="P23" s="56">
        <f>(O23*N23)</f>
        <v/>
      </c>
    </row>
    <row r="26">
      <c r="P26" s="56">
        <f>(SUM(P20:P23))</f>
        <v/>
      </c>
    </row>
    <row r="28">
      <c r="N28" t="inlineStr">
        <is>
          <t>Qty to Sell</t>
        </is>
      </c>
      <c r="O28" t="inlineStr">
        <is>
          <t>Token Price</t>
        </is>
      </c>
      <c r="P28" t="inlineStr">
        <is>
          <t>Value</t>
        </is>
      </c>
    </row>
    <row r="29">
      <c r="M29" t="inlineStr">
        <is>
          <t>Objectif</t>
        </is>
      </c>
      <c r="N29">
        <f>($B$7/5)</f>
        <v/>
      </c>
      <c r="O29" s="56">
        <f>($C$7*Params!K8)</f>
        <v/>
      </c>
      <c r="P29" s="56">
        <f>(O29*N29)</f>
        <v/>
      </c>
    </row>
    <row r="30">
      <c r="N30">
        <f>($B$7/5)</f>
        <v/>
      </c>
      <c r="O30" s="56">
        <f>($C$7*Params!K9)</f>
        <v/>
      </c>
      <c r="P30" s="56">
        <f>(O30*N30)</f>
        <v/>
      </c>
    </row>
    <row r="31">
      <c r="N31">
        <f>($B$7/5)</f>
        <v/>
      </c>
      <c r="O31" s="56">
        <f>($C$7*Params!K10)</f>
        <v/>
      </c>
      <c r="P31" s="56">
        <f>(O31*N31)</f>
        <v/>
      </c>
    </row>
    <row r="32">
      <c r="N32">
        <f>($B$7/5)</f>
        <v/>
      </c>
      <c r="O32" s="56">
        <f>($C$7*Params!K11)</f>
        <v/>
      </c>
      <c r="P32" s="56">
        <f>(O32*N32)</f>
        <v/>
      </c>
    </row>
    <row r="35">
      <c r="P35" s="56">
        <f>(SUM(P29:P32))</f>
        <v/>
      </c>
    </row>
  </sheetData>
  <conditionalFormatting sqref="C5:C7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O11:O14">
    <cfRule type="cellIs" priority="7" operator="lessThan" dxfId="1">
      <formula>$J$3</formula>
    </cfRule>
    <cfRule type="cellIs" priority="8" operator="greaterThan" dxfId="0">
      <formula>$J$3</formula>
    </cfRule>
  </conditionalFormatting>
  <conditionalFormatting sqref="O20:O23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29:O32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N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B2:V75"/>
  <sheetViews>
    <sheetView tabSelected="1" workbookViewId="0">
      <selection activeCell="L45" sqref="L45"/>
    </sheetView>
  </sheetViews>
  <sheetFormatPr baseColWidth="10" defaultColWidth="9.140625" defaultRowHeight="15"/>
  <cols>
    <col width="12.5703125" bestFit="1" customWidth="1" style="14" min="2" max="2"/>
    <col width="9.7109375" bestFit="1" customWidth="1" style="14" min="3" max="3"/>
    <col width="9.7109375" bestFit="1" customWidth="1" style="14" min="5" max="5"/>
    <col width="11" bestFit="1" customWidth="1" style="14" min="6" max="6"/>
    <col width="17.140625" bestFit="1" customWidth="1" style="14" min="7" max="7"/>
    <col width="18.140625" bestFit="1" customWidth="1" style="14" min="9" max="9"/>
    <col width="12.7109375" bestFit="1" customWidth="1" style="14" min="10" max="10"/>
    <col width="12" bestFit="1" customWidth="1" style="14" min="11" max="11"/>
    <col width="9.5703125" bestFit="1" customWidth="1" style="14" min="15" max="15"/>
    <col width="10" bestFit="1" customWidth="1" style="14" min="16" max="16"/>
  </cols>
  <sheetData>
    <row r="2">
      <c r="G2" t="inlineStr">
        <is>
          <t>Day :</t>
        </is>
      </c>
      <c r="H2" t="n">
        <v>705</v>
      </c>
    </row>
    <row r="3">
      <c r="B3" s="5" t="inlineStr">
        <is>
          <t>Investiment</t>
        </is>
      </c>
      <c r="C3" s="6" t="n"/>
      <c r="D3" s="6" t="n"/>
      <c r="E3" s="6" t="n"/>
      <c r="F3" s="7" t="n"/>
      <c r="I3" t="inlineStr">
        <is>
          <t>Atlas Price :</t>
        </is>
      </c>
      <c r="J3" s="28" t="n">
        <v>0.002993207158771372</v>
      </c>
    </row>
    <row r="4">
      <c r="B4" s="8" t="n"/>
      <c r="C4" t="inlineStr">
        <is>
          <t>Price</t>
        </is>
      </c>
      <c r="D4" t="inlineStr">
        <is>
          <t>Fee</t>
        </is>
      </c>
      <c r="E4" t="inlineStr">
        <is>
          <t>Total</t>
        </is>
      </c>
      <c r="F4" s="9" t="inlineStr">
        <is>
          <t>Comment</t>
        </is>
      </c>
      <c r="I4" t="inlineStr">
        <is>
          <t>Food Price :</t>
        </is>
      </c>
      <c r="J4" t="n">
        <v>0.0006144</v>
      </c>
      <c r="K4" t="inlineStr">
        <is>
          <t>Atlas</t>
        </is>
      </c>
      <c r="N4" t="inlineStr">
        <is>
          <t>%</t>
        </is>
      </c>
    </row>
    <row r="5">
      <c r="B5" s="8" t="inlineStr">
        <is>
          <t>Pearce X5</t>
        </is>
      </c>
      <c r="C5" s="58" t="n">
        <v>135</v>
      </c>
      <c r="D5" s="56" t="n">
        <v>3.5</v>
      </c>
      <c r="E5" s="57">
        <f>C5+D5</f>
        <v/>
      </c>
      <c r="F5" s="9" t="inlineStr">
        <is>
          <t>Buy</t>
        </is>
      </c>
      <c r="I5" t="inlineStr">
        <is>
          <t>Ammunition Price :</t>
        </is>
      </c>
      <c r="J5" t="n">
        <v>0.0021504</v>
      </c>
      <c r="K5" t="inlineStr">
        <is>
          <t>Atlas</t>
        </is>
      </c>
      <c r="N5" t="n">
        <v>0.833</v>
      </c>
    </row>
    <row r="6">
      <c r="B6" s="8" t="inlineStr">
        <is>
          <t>Pearce X4</t>
        </is>
      </c>
      <c r="C6" s="58" t="n">
        <v>18</v>
      </c>
      <c r="D6" s="56" t="n">
        <v>3.5</v>
      </c>
      <c r="E6" s="57">
        <f>C6+D6</f>
        <v/>
      </c>
      <c r="F6" s="9" t="inlineStr">
        <is>
          <t>Buy</t>
        </is>
      </c>
      <c r="I6" t="inlineStr">
        <is>
          <t>Fuel Price :</t>
        </is>
      </c>
      <c r="J6" t="n">
        <v>0.0014336</v>
      </c>
      <c r="K6" t="inlineStr">
        <is>
          <t>Atlas</t>
        </is>
      </c>
    </row>
    <row r="7">
      <c r="B7" s="8" t="inlineStr">
        <is>
          <t>Opal Jet</t>
        </is>
      </c>
      <c r="C7" s="56" t="n">
        <v>18</v>
      </c>
      <c r="D7" s="56" t="n">
        <v>3.5</v>
      </c>
      <c r="E7" s="57">
        <f>C7+D7</f>
        <v/>
      </c>
      <c r="F7" s="9" t="inlineStr">
        <is>
          <t>Buy</t>
        </is>
      </c>
      <c r="I7" t="inlineStr">
        <is>
          <t>Toolkit price :</t>
        </is>
      </c>
      <c r="J7" t="n">
        <v>0.0017408</v>
      </c>
      <c r="K7" t="inlineStr">
        <is>
          <t>Atlas</t>
        </is>
      </c>
    </row>
    <row r="8">
      <c r="B8" s="8" t="inlineStr">
        <is>
          <t>Power Plant</t>
        </is>
      </c>
      <c r="C8" s="56" t="n">
        <v>55</v>
      </c>
      <c r="D8" s="56" t="n">
        <v>3.5</v>
      </c>
      <c r="E8" s="57">
        <f>C8+D8</f>
        <v/>
      </c>
      <c r="F8" s="9" t="inlineStr">
        <is>
          <t>Buy</t>
        </is>
      </c>
    </row>
    <row r="9">
      <c r="B9" s="8" t="inlineStr">
        <is>
          <t>Power Plant</t>
        </is>
      </c>
      <c r="C9" s="56" t="n">
        <v>-134.99</v>
      </c>
      <c r="D9" s="56" t="n">
        <v>0.01</v>
      </c>
      <c r="E9" s="57">
        <f>C9+D9</f>
        <v/>
      </c>
      <c r="F9" s="9" t="inlineStr">
        <is>
          <t>Sell</t>
        </is>
      </c>
    </row>
    <row r="10">
      <c r="B10" s="8" t="inlineStr">
        <is>
          <t>Power Plant</t>
        </is>
      </c>
      <c r="C10" s="56" t="n">
        <v>125</v>
      </c>
      <c r="D10" s="56">
        <f>0.002*151</f>
        <v/>
      </c>
      <c r="E10" s="57">
        <f>C10+D10</f>
        <v/>
      </c>
      <c r="F10" s="9" t="inlineStr">
        <is>
          <t>Buy</t>
        </is>
      </c>
    </row>
    <row r="11">
      <c r="B11" s="8" t="inlineStr">
        <is>
          <t>Power Plant</t>
        </is>
      </c>
      <c r="C11" s="56" t="n">
        <v>-144.96</v>
      </c>
      <c r="D11" s="56" t="n">
        <v>0.01</v>
      </c>
      <c r="E11" s="57">
        <f>C11+D11</f>
        <v/>
      </c>
      <c r="F11" s="9" t="inlineStr">
        <is>
          <t>Sell</t>
        </is>
      </c>
    </row>
    <row r="12">
      <c r="B12" s="8" t="inlineStr">
        <is>
          <t>Power Plant</t>
        </is>
      </c>
      <c r="C12" s="56" t="n">
        <v>130</v>
      </c>
      <c r="D12" s="56">
        <f>0.002*151</f>
        <v/>
      </c>
      <c r="E12" s="57">
        <f>C12+D12</f>
        <v/>
      </c>
      <c r="F12" s="9" t="inlineStr">
        <is>
          <t>Buy</t>
        </is>
      </c>
      <c r="I12" t="inlineStr">
        <is>
          <t>Total Investiment</t>
        </is>
      </c>
      <c r="J12" s="56">
        <f>(SUM(D5:E8))</f>
        <v/>
      </c>
    </row>
    <row r="13">
      <c r="B13" s="8" t="inlineStr">
        <is>
          <t>Power Plant</t>
        </is>
      </c>
      <c r="C13" s="56" t="n">
        <v>-144.95</v>
      </c>
      <c r="D13" s="56" t="n">
        <v>0.01</v>
      </c>
      <c r="E13" s="57">
        <f>C13+D13</f>
        <v/>
      </c>
      <c r="F13" s="9" t="inlineStr">
        <is>
          <t>Sell</t>
        </is>
      </c>
      <c r="I13" t="inlineStr">
        <is>
          <t>Total Stack gain</t>
        </is>
      </c>
      <c r="J13" s="56">
        <f>(SUM(K34:K42)-C75*J3+D75)</f>
        <v/>
      </c>
    </row>
    <row r="14">
      <c r="B14" s="8" t="inlineStr">
        <is>
          <t>Power Plant</t>
        </is>
      </c>
      <c r="C14" s="56" t="n">
        <v>130</v>
      </c>
      <c r="D14" s="56">
        <f>0.01</f>
        <v/>
      </c>
      <c r="E14" s="57">
        <f>C14+D14</f>
        <v/>
      </c>
      <c r="F14" s="9" t="inlineStr">
        <is>
          <t>Buy</t>
        </is>
      </c>
      <c r="I14" t="inlineStr">
        <is>
          <t>Trade gain</t>
        </is>
      </c>
      <c r="J14" s="56">
        <f>(-SUM(E9:E30))</f>
        <v/>
      </c>
      <c r="K14" s="57">
        <f>(J14-M37-M38-M39-M41-L42)</f>
        <v/>
      </c>
    </row>
    <row r="15">
      <c r="B15" s="8" t="inlineStr">
        <is>
          <t>Power Plant</t>
        </is>
      </c>
      <c r="C15" s="56" t="n">
        <v>-144.98</v>
      </c>
      <c r="D15" s="56" t="n">
        <v>0.01</v>
      </c>
      <c r="E15" s="57">
        <f>C15+D15</f>
        <v/>
      </c>
      <c r="F15" s="9" t="inlineStr">
        <is>
          <t>Sell</t>
        </is>
      </c>
      <c r="I15" t="inlineStr">
        <is>
          <t>Total</t>
        </is>
      </c>
      <c r="J15" s="56">
        <f>(J13-J12+J14)</f>
        <v/>
      </c>
    </row>
    <row r="16">
      <c r="B16" s="8" t="inlineStr">
        <is>
          <t>Power Plant</t>
        </is>
      </c>
      <c r="C16" s="56" t="n">
        <v>130</v>
      </c>
      <c r="D16" s="56">
        <f>0.01</f>
        <v/>
      </c>
      <c r="E16" s="57">
        <f>C16+D16</f>
        <v/>
      </c>
      <c r="F16" s="9" t="inlineStr">
        <is>
          <t>Buy</t>
        </is>
      </c>
      <c r="I16" t="inlineStr">
        <is>
          <t>Total with NFT</t>
        </is>
      </c>
      <c r="J16" s="56">
        <f>(J15+M46)</f>
        <v/>
      </c>
    </row>
    <row r="17">
      <c r="B17" s="8" t="inlineStr">
        <is>
          <t>Opal Jet</t>
        </is>
      </c>
      <c r="C17" s="56" t="n">
        <v>19.73</v>
      </c>
      <c r="D17" s="56" t="n">
        <v>0.28</v>
      </c>
      <c r="E17" s="57">
        <f>C17+D17</f>
        <v/>
      </c>
      <c r="F17" s="9" t="inlineStr">
        <is>
          <t>Buy</t>
        </is>
      </c>
    </row>
    <row r="18">
      <c r="B18" s="8" t="inlineStr">
        <is>
          <t>Opal Jet</t>
        </is>
      </c>
      <c r="C18" s="56" t="n">
        <v>38</v>
      </c>
      <c r="D18" s="56" t="n">
        <v>0.01</v>
      </c>
      <c r="E18" s="57">
        <f>C18+D18</f>
        <v/>
      </c>
      <c r="F18" s="9" t="inlineStr">
        <is>
          <t>Buy x2</t>
        </is>
      </c>
    </row>
    <row r="19">
      <c r="B19" s="8" t="inlineStr">
        <is>
          <t>Opal Jet</t>
        </is>
      </c>
      <c r="C19" s="56" t="n">
        <v>11.25</v>
      </c>
      <c r="D19" s="56" t="n">
        <v>0.01</v>
      </c>
      <c r="E19" s="57">
        <f>C19+D19</f>
        <v/>
      </c>
      <c r="F19" s="9" t="inlineStr">
        <is>
          <t>Buy</t>
        </is>
      </c>
    </row>
    <row r="20">
      <c r="B20" s="8" t="inlineStr">
        <is>
          <t>Opal Jet</t>
        </is>
      </c>
      <c r="C20" s="56" t="n">
        <v>8.02</v>
      </c>
      <c r="D20" s="56" t="n">
        <v>0.01</v>
      </c>
      <c r="E20" s="57">
        <f>C20+D20</f>
        <v/>
      </c>
      <c r="F20" s="9" t="inlineStr">
        <is>
          <t>Buy</t>
        </is>
      </c>
    </row>
    <row r="21">
      <c r="B21" s="8" t="inlineStr">
        <is>
          <t>Pearce X4</t>
        </is>
      </c>
      <c r="C21" s="56" t="n">
        <v>6.01</v>
      </c>
      <c r="D21" s="56" t="n">
        <v>0</v>
      </c>
      <c r="E21" s="57">
        <f>C21+D21</f>
        <v/>
      </c>
      <c r="F21" s="9" t="inlineStr">
        <is>
          <t>Buy</t>
        </is>
      </c>
    </row>
    <row r="22">
      <c r="B22" s="8" t="inlineStr">
        <is>
          <t>Power Plant</t>
        </is>
      </c>
      <c r="C22" s="56" t="n">
        <v>-30.99</v>
      </c>
      <c r="D22" s="56" t="n">
        <v>0</v>
      </c>
      <c r="E22" s="57">
        <f>C22+D22</f>
        <v/>
      </c>
      <c r="F22" s="9" t="inlineStr">
        <is>
          <t>Sell</t>
        </is>
      </c>
    </row>
    <row r="23">
      <c r="B23" s="8" t="inlineStr">
        <is>
          <t>Power Plant</t>
        </is>
      </c>
      <c r="C23" s="56" t="n">
        <v>27.01</v>
      </c>
      <c r="D23" s="56" t="n">
        <v>0</v>
      </c>
      <c r="E23" s="57">
        <f>C23+D23</f>
        <v/>
      </c>
      <c r="F23" s="9" t="inlineStr">
        <is>
          <t>Buy</t>
        </is>
      </c>
    </row>
    <row r="24">
      <c r="B24" s="8" t="inlineStr">
        <is>
          <t>Power Plant</t>
        </is>
      </c>
      <c r="C24" s="56" t="n">
        <v>-47.22</v>
      </c>
      <c r="D24" s="56" t="n">
        <v>0</v>
      </c>
      <c r="E24" s="57">
        <f>C24+D24</f>
        <v/>
      </c>
      <c r="F24" s="9" t="inlineStr">
        <is>
          <t>Sell</t>
        </is>
      </c>
    </row>
    <row r="25">
      <c r="B25" s="8" t="inlineStr">
        <is>
          <t>Power Plant</t>
        </is>
      </c>
      <c r="C25" s="56" t="n">
        <v>35.02</v>
      </c>
      <c r="D25" s="56" t="n">
        <v>0</v>
      </c>
      <c r="E25" s="57">
        <f>C25+D25</f>
        <v/>
      </c>
      <c r="F25" s="9" t="inlineStr">
        <is>
          <t>Buy</t>
        </is>
      </c>
    </row>
    <row r="26">
      <c r="B26" s="8" t="inlineStr">
        <is>
          <t>Power Plant</t>
        </is>
      </c>
      <c r="C26" s="56" t="n">
        <v>-59.99</v>
      </c>
      <c r="D26" s="56" t="n">
        <v>0</v>
      </c>
      <c r="E26" s="57">
        <f>C26+D26</f>
        <v/>
      </c>
      <c r="F26" s="9" t="inlineStr">
        <is>
          <t>Sell</t>
        </is>
      </c>
    </row>
    <row r="27">
      <c r="B27" s="8" t="inlineStr">
        <is>
          <t>Power Plant</t>
        </is>
      </c>
      <c r="C27" s="58" t="n">
        <v>30.05</v>
      </c>
      <c r="D27" s="56" t="n">
        <v>0</v>
      </c>
      <c r="E27" s="57">
        <f>C27+D27</f>
        <v/>
      </c>
      <c r="F27" s="9" t="inlineStr">
        <is>
          <t>Buy</t>
        </is>
      </c>
    </row>
    <row r="28">
      <c r="B28" s="8" t="inlineStr">
        <is>
          <t>Power Plant</t>
        </is>
      </c>
      <c r="C28" s="58" t="n">
        <v>36.01</v>
      </c>
      <c r="D28" s="56" t="n">
        <v>0</v>
      </c>
      <c r="E28" s="57">
        <f>C28+D28</f>
        <v/>
      </c>
      <c r="F28" s="9" t="inlineStr">
        <is>
          <t>Buy</t>
        </is>
      </c>
    </row>
    <row r="29">
      <c r="B29" s="8" t="inlineStr">
        <is>
          <t>Pearce X4</t>
        </is>
      </c>
      <c r="C29" s="56" t="n">
        <v>-8.050000000000001</v>
      </c>
      <c r="D29" s="56" t="n">
        <v>0</v>
      </c>
      <c r="E29" s="57">
        <f>C29+D29</f>
        <v/>
      </c>
      <c r="F29" s="9" t="inlineStr">
        <is>
          <t>Sell</t>
        </is>
      </c>
    </row>
    <row r="30">
      <c r="B30" s="10" t="inlineStr">
        <is>
          <t>Opal Jet</t>
        </is>
      </c>
      <c r="C30" s="60" t="n">
        <v>4</v>
      </c>
      <c r="D30" s="61" t="n">
        <v>0.01</v>
      </c>
      <c r="E30" s="61">
        <f>(C30+D30)</f>
        <v/>
      </c>
      <c r="F30" s="12" t="inlineStr">
        <is>
          <t>Buy</t>
        </is>
      </c>
    </row>
    <row r="32">
      <c r="B32" s="5" t="inlineStr">
        <is>
          <t>Scoore</t>
        </is>
      </c>
      <c r="C32" s="6" t="n"/>
      <c r="D32" s="6" t="n"/>
      <c r="E32" s="6" t="n"/>
      <c r="F32" s="6" t="n"/>
      <c r="G32" s="6" t="n"/>
      <c r="H32" s="6" t="n"/>
      <c r="I32" s="6" t="n"/>
      <c r="J32" s="6" t="n"/>
      <c r="K32" s="7" t="n"/>
      <c r="L32" t="inlineStr">
        <is>
          <t>Today Price</t>
        </is>
      </c>
      <c r="M32" t="inlineStr">
        <is>
          <t>Total with Qty</t>
        </is>
      </c>
      <c r="N32" t="inlineStr">
        <is>
          <t>Comment</t>
        </is>
      </c>
    </row>
    <row r="33">
      <c r="B33" s="8" t="n"/>
      <c r="C33" t="inlineStr">
        <is>
          <t>Atlas/Day</t>
        </is>
      </c>
      <c r="D33" t="inlineStr">
        <is>
          <t>Days</t>
        </is>
      </c>
      <c r="E33" t="inlineStr">
        <is>
          <t>Total Prévisionelle</t>
        </is>
      </c>
      <c r="F33" t="inlineStr">
        <is>
          <t>Total Reel</t>
        </is>
      </c>
      <c r="G33" t="inlineStr">
        <is>
          <t>Claim fee</t>
        </is>
      </c>
      <c r="H33" s="13" t="inlineStr">
        <is>
          <t>Maintenance</t>
        </is>
      </c>
      <c r="I33" t="inlineStr">
        <is>
          <t>Gain unitaire($)</t>
        </is>
      </c>
      <c r="J33" t="inlineStr">
        <is>
          <t>Qty</t>
        </is>
      </c>
      <c r="K33" s="9" t="inlineStr">
        <is>
          <t>Total Gain</t>
        </is>
      </c>
    </row>
    <row r="34">
      <c r="B34" s="8" t="inlineStr">
        <is>
          <t>Pearce X5</t>
        </is>
      </c>
      <c r="C34" t="n">
        <v>6.254</v>
      </c>
      <c r="D34">
        <f>$H$2</f>
        <v/>
      </c>
      <c r="E34">
        <f>C34*D34</f>
        <v/>
      </c>
      <c r="F34" s="29">
        <f>E34*$N$5</f>
        <v/>
      </c>
      <c r="G34" s="56" t="n">
        <v>3.5</v>
      </c>
      <c r="H34" s="30">
        <f>G50</f>
        <v/>
      </c>
      <c r="I34" s="57">
        <f>((F34-H34*D34)*$J$3-G34)</f>
        <v/>
      </c>
      <c r="J34" t="n">
        <v>1</v>
      </c>
      <c r="K34" s="62">
        <f>I34*J34</f>
        <v/>
      </c>
      <c r="L34" s="31" t="n">
        <v>29</v>
      </c>
      <c r="M34" s="31">
        <f>L34*J34</f>
        <v/>
      </c>
    </row>
    <row r="35">
      <c r="B35" s="8" t="inlineStr">
        <is>
          <t>Pearce X4</t>
        </is>
      </c>
      <c r="C35" t="n">
        <v>0.966</v>
      </c>
      <c r="D35">
        <f>$H$2</f>
        <v/>
      </c>
      <c r="E35">
        <f>C35*D35</f>
        <v/>
      </c>
      <c r="F35" s="29">
        <f>E35*$N$5</f>
        <v/>
      </c>
      <c r="G35" s="56" t="n">
        <v>3.5</v>
      </c>
      <c r="H35" s="30">
        <f>G51</f>
        <v/>
      </c>
      <c r="I35" s="57">
        <f>((F35-H35*D35)*$J$3-G35)</f>
        <v/>
      </c>
      <c r="J35" t="n">
        <v>1</v>
      </c>
      <c r="K35" s="62">
        <f>I35*J35</f>
        <v/>
      </c>
      <c r="L35" s="31" t="n">
        <v>6</v>
      </c>
      <c r="M35" s="31">
        <f>L35*J35</f>
        <v/>
      </c>
    </row>
    <row r="36">
      <c r="B36" s="8" t="inlineStr">
        <is>
          <t>Opal Jet</t>
        </is>
      </c>
      <c r="C36" t="n">
        <v>0.851</v>
      </c>
      <c r="D36">
        <f>$H$2</f>
        <v/>
      </c>
      <c r="E36">
        <f>C36*D36</f>
        <v/>
      </c>
      <c r="F36" s="29">
        <f>E36*$N$5</f>
        <v/>
      </c>
      <c r="G36" s="56" t="n">
        <v>3.5</v>
      </c>
      <c r="H36" s="30">
        <f>G52</f>
        <v/>
      </c>
      <c r="I36" s="57">
        <f>((F36-H36*D36)*$J$3-G36)</f>
        <v/>
      </c>
      <c r="J36" t="n">
        <v>1</v>
      </c>
      <c r="K36" s="62">
        <f>I36*J36</f>
        <v/>
      </c>
      <c r="L36" s="31" t="n">
        <v>5.4</v>
      </c>
      <c r="M36" s="31">
        <f>L36*J36</f>
        <v/>
      </c>
    </row>
    <row r="37">
      <c r="B37" s="8" t="inlineStr">
        <is>
          <t>Opal Jet</t>
        </is>
      </c>
      <c r="C37" t="n">
        <v>0.851</v>
      </c>
      <c r="D37">
        <f>$H$2-34</f>
        <v/>
      </c>
      <c r="E37">
        <f>C37*D37</f>
        <v/>
      </c>
      <c r="F37" s="29">
        <f>E37*$N$5</f>
        <v/>
      </c>
      <c r="G37" s="56" t="n">
        <v>0</v>
      </c>
      <c r="H37" s="30">
        <f>G52</f>
        <v/>
      </c>
      <c r="I37" s="57">
        <f>((F37-H37*D37)*$J$3-G37)</f>
        <v/>
      </c>
      <c r="J37" t="n">
        <v>3</v>
      </c>
      <c r="K37" s="62">
        <f>I37*J37</f>
        <v/>
      </c>
      <c r="L37" s="31">
        <f>L36</f>
        <v/>
      </c>
      <c r="M37" s="31">
        <f>L37*J37</f>
        <v/>
      </c>
    </row>
    <row r="38">
      <c r="B38" s="8" t="inlineStr">
        <is>
          <t>Opal Jet</t>
        </is>
      </c>
      <c r="C38" t="n">
        <v>0.851</v>
      </c>
      <c r="D38">
        <f>$H$2-34-58</f>
        <v/>
      </c>
      <c r="E38">
        <f>C38*D38</f>
        <v/>
      </c>
      <c r="F38" s="29">
        <f>E38*$N$5</f>
        <v/>
      </c>
      <c r="G38" s="56" t="n">
        <v>0</v>
      </c>
      <c r="H38" s="30">
        <f>H37</f>
        <v/>
      </c>
      <c r="I38" s="57">
        <f>((F38-H38*D38)*$J$3-G38)</f>
        <v/>
      </c>
      <c r="J38" t="n">
        <v>1</v>
      </c>
      <c r="K38" s="62">
        <f>I38*J38</f>
        <v/>
      </c>
      <c r="L38" s="31">
        <f>L37</f>
        <v/>
      </c>
      <c r="M38" s="31">
        <f>L38*J38</f>
        <v/>
      </c>
    </row>
    <row r="39">
      <c r="B39" s="8" t="inlineStr">
        <is>
          <t>Opal Jet</t>
        </is>
      </c>
      <c r="C39" t="n">
        <v>0.851</v>
      </c>
      <c r="D39">
        <f>$H$2-140</f>
        <v/>
      </c>
      <c r="E39">
        <f>C39*D39</f>
        <v/>
      </c>
      <c r="F39" s="29">
        <f>E39*$N$5</f>
        <v/>
      </c>
      <c r="G39" s="56" t="n">
        <v>0</v>
      </c>
      <c r="H39" s="30">
        <f>H38</f>
        <v/>
      </c>
      <c r="I39" s="57">
        <f>((F39-H39*D39)*$J$3-G39)</f>
        <v/>
      </c>
      <c r="J39" t="n">
        <v>1</v>
      </c>
      <c r="K39" s="62">
        <f>I39*J39</f>
        <v/>
      </c>
      <c r="L39" s="31">
        <f>L38</f>
        <v/>
      </c>
      <c r="M39" s="31">
        <f>L39*J39</f>
        <v/>
      </c>
    </row>
    <row r="40">
      <c r="B40" s="15" t="inlineStr">
        <is>
          <t>Pearce X4</t>
        </is>
      </c>
      <c r="C40" s="16" t="n">
        <v>0.966</v>
      </c>
      <c r="D40" s="16" t="n">
        <v>70</v>
      </c>
      <c r="E40" s="16">
        <f>C40*D40</f>
        <v/>
      </c>
      <c r="F40" s="17">
        <f>E40*$N$5</f>
        <v/>
      </c>
      <c r="G40" s="63" t="n">
        <v>0</v>
      </c>
      <c r="H40" s="32">
        <f>H35</f>
        <v/>
      </c>
      <c r="I40" s="63">
        <f>((F40-H40*D40)*$J$3-G40)</f>
        <v/>
      </c>
      <c r="J40" s="16" t="n">
        <v>1</v>
      </c>
      <c r="K40" s="64">
        <f>I40*J40</f>
        <v/>
      </c>
      <c r="L40" s="33" t="n">
        <v>0</v>
      </c>
      <c r="M40" s="33">
        <f>L40*J40</f>
        <v/>
      </c>
      <c r="N40" t="inlineStr">
        <is>
          <t>Sold</t>
        </is>
      </c>
    </row>
    <row r="41">
      <c r="B41" s="8" t="inlineStr">
        <is>
          <t>Opal Jet</t>
        </is>
      </c>
      <c r="C41" t="n">
        <v>0.851</v>
      </c>
      <c r="D41">
        <f>($H$2-274)</f>
        <v/>
      </c>
      <c r="E41">
        <f>(C41*D41)</f>
        <v/>
      </c>
      <c r="F41" s="29">
        <f>(E41*$N$5)</f>
        <v/>
      </c>
      <c r="G41" s="56" t="n">
        <v>0</v>
      </c>
      <c r="H41" s="29">
        <f>(H37)</f>
        <v/>
      </c>
      <c r="I41" s="57">
        <f>((F41-H41*D41)*$J$3-G41)</f>
        <v/>
      </c>
      <c r="J41" t="n">
        <v>1</v>
      </c>
      <c r="K41" s="62">
        <f>(I41*J41)</f>
        <v/>
      </c>
      <c r="L41" s="31">
        <f>(L39)</f>
        <v/>
      </c>
      <c r="M41" s="31">
        <f>(L41*J41)</f>
        <v/>
      </c>
    </row>
    <row r="42">
      <c r="B42" s="8" t="inlineStr">
        <is>
          <t>Power Plant</t>
        </is>
      </c>
      <c r="H42" s="21" t="n"/>
      <c r="J42" t="n">
        <v>2</v>
      </c>
      <c r="K42" s="62" t="n"/>
      <c r="L42" s="31" t="n">
        <v>12.8</v>
      </c>
      <c r="M42" s="31">
        <f>L42*J42</f>
        <v/>
      </c>
    </row>
    <row r="43">
      <c r="B43" s="8" t="inlineStr">
        <is>
          <t>RedX-IV</t>
        </is>
      </c>
      <c r="J43" t="n">
        <v>1</v>
      </c>
      <c r="K43" s="9" t="n"/>
      <c r="L43" s="31" t="n">
        <v>0.38</v>
      </c>
      <c r="M43" s="31">
        <f>(L43*J43)</f>
        <v/>
      </c>
    </row>
    <row r="44">
      <c r="B44" s="8" t="inlineStr">
        <is>
          <t>Suntiger</t>
        </is>
      </c>
      <c r="J44" t="n">
        <v>1</v>
      </c>
      <c r="K44" s="9" t="n"/>
      <c r="L44" s="31" t="n">
        <v>0.24</v>
      </c>
      <c r="M44" s="31">
        <f>(L44*J44)</f>
        <v/>
      </c>
    </row>
    <row r="45">
      <c r="B45" s="10" t="inlineStr">
        <is>
          <t>Blue Tigu</t>
        </is>
      </c>
      <c r="C45" s="11" t="n"/>
      <c r="D45" s="11" t="n"/>
      <c r="E45" s="11" t="n"/>
      <c r="F45" s="11" t="n"/>
      <c r="G45" s="11" t="n"/>
      <c r="H45" s="11" t="n"/>
      <c r="I45" s="11" t="n"/>
      <c r="J45" s="11" t="n">
        <v>1</v>
      </c>
      <c r="K45" s="12" t="n"/>
      <c r="L45" s="31" t="n">
        <v>1</v>
      </c>
      <c r="M45" s="31">
        <f>(L45*J45)</f>
        <v/>
      </c>
      <c r="V45" s="57" t="n"/>
    </row>
    <row r="46">
      <c r="L46" t="inlineStr">
        <is>
          <t>Total</t>
        </is>
      </c>
      <c r="M46" s="31">
        <f>(SUM(M33:M45))</f>
        <v/>
      </c>
      <c r="O46" s="31">
        <f>(J13+SUM(G34:G40)-D75)</f>
        <v/>
      </c>
      <c r="P46">
        <f>(O46/J3)</f>
        <v/>
      </c>
    </row>
    <row r="48">
      <c r="B48" s="18" t="inlineStr">
        <is>
          <t>Maintenance</t>
        </is>
      </c>
      <c r="C48" s="6" t="n"/>
      <c r="D48" s="6" t="n"/>
      <c r="E48" s="6" t="n"/>
      <c r="F48" s="6" t="n"/>
      <c r="G48" s="7" t="n"/>
    </row>
    <row r="49">
      <c r="B49" s="8" t="n"/>
      <c r="C49" t="inlineStr">
        <is>
          <t>Food/day</t>
        </is>
      </c>
      <c r="D49" t="inlineStr">
        <is>
          <t>Ammunition/day</t>
        </is>
      </c>
      <c r="E49" t="inlineStr">
        <is>
          <t>Fuel/day</t>
        </is>
      </c>
      <c r="F49" t="inlineStr">
        <is>
          <t>Toolkit/day</t>
        </is>
      </c>
      <c r="G49" s="9" t="inlineStr">
        <is>
          <t>Total in atlas / day</t>
        </is>
      </c>
    </row>
    <row r="50">
      <c r="B50" s="8" t="inlineStr">
        <is>
          <t>Pearce X5</t>
        </is>
      </c>
      <c r="C50">
        <f>0.12*60*24</f>
        <v/>
      </c>
      <c r="D50">
        <f>0.2*60*24</f>
        <v/>
      </c>
      <c r="E50">
        <f>0.15*60*24</f>
        <v/>
      </c>
      <c r="F50">
        <f>0.21*60*24</f>
        <v/>
      </c>
      <c r="G50" s="34">
        <f>(C50*$J$4+D50*$J$5+E50*$J$6+F50*$J$7)</f>
        <v/>
      </c>
    </row>
    <row r="51">
      <c r="B51" s="8" t="inlineStr">
        <is>
          <t>Pearce X4</t>
        </is>
      </c>
      <c r="C51">
        <f>24/(1+1/24)</f>
        <v/>
      </c>
      <c r="D51" s="19">
        <f>126/(3+5/24)</f>
        <v/>
      </c>
      <c r="E51" s="19">
        <f>46/(38/24)</f>
        <v/>
      </c>
      <c r="F51" t="n">
        <v>42</v>
      </c>
      <c r="G51" s="34">
        <f>(C51*$J$4+D51*$J$5+E51*$J$6+F51*$J$7)</f>
        <v/>
      </c>
    </row>
    <row r="52">
      <c r="B52" s="8" t="inlineStr">
        <is>
          <t>Opal Jet</t>
        </is>
      </c>
      <c r="C52">
        <f>21</f>
        <v/>
      </c>
      <c r="D52" s="19">
        <f>87/3.33</f>
        <v/>
      </c>
      <c r="E52">
        <f>74/2</f>
        <v/>
      </c>
      <c r="F52" t="n">
        <v>36</v>
      </c>
      <c r="G52" s="34">
        <f>(C52*$J$4+D52*$J$5+E52*$J$6+F52*$J$7)</f>
        <v/>
      </c>
    </row>
    <row r="53">
      <c r="B53" s="10" t="inlineStr">
        <is>
          <t>Power Plant</t>
        </is>
      </c>
      <c r="C53" s="11" t="n"/>
      <c r="D53" s="11" t="n"/>
      <c r="E53" s="11" t="n"/>
      <c r="F53" s="11" t="n"/>
      <c r="G53" s="12" t="n"/>
    </row>
    <row r="55">
      <c r="B55" s="5" t="inlineStr">
        <is>
          <t>Retrait</t>
        </is>
      </c>
      <c r="C55" s="6" t="inlineStr">
        <is>
          <t>Star Atlas</t>
        </is>
      </c>
      <c r="D55" s="7" t="inlineStr">
        <is>
          <t>USDC</t>
        </is>
      </c>
    </row>
    <row r="56">
      <c r="B56" s="8" t="n"/>
      <c r="C56" s="19" t="n">
        <v>138</v>
      </c>
      <c r="D56" s="9" t="n"/>
    </row>
    <row r="57">
      <c r="B57" s="8" t="n"/>
      <c r="C57" s="19" t="n">
        <v>330</v>
      </c>
      <c r="D57" s="9" t="n"/>
    </row>
    <row r="58">
      <c r="B58" s="8" t="n"/>
      <c r="C58" s="19" t="n">
        <v>327.51919355</v>
      </c>
      <c r="D58" s="9" t="n"/>
    </row>
    <row r="59">
      <c r="B59" s="8" t="n"/>
      <c r="C59" s="19" t="n">
        <v>113.54742468</v>
      </c>
      <c r="D59" s="65" t="n">
        <v>1.14</v>
      </c>
      <c r="E59" s="66">
        <f>D59/C59</f>
        <v/>
      </c>
    </row>
    <row r="60">
      <c r="B60" s="8" t="n"/>
      <c r="C60" s="19" t="n">
        <v>130.53974622</v>
      </c>
      <c r="D60" s="65" t="n">
        <v>1.179312</v>
      </c>
      <c r="E60" s="66">
        <f>D60/C60</f>
        <v/>
      </c>
    </row>
    <row r="61">
      <c r="B61" s="8" t="n"/>
      <c r="C61" s="19" t="n">
        <v>167.40487412</v>
      </c>
      <c r="D61" s="65" t="n">
        <v>1.05481</v>
      </c>
      <c r="E61" s="66">
        <f>D61/C61</f>
        <v/>
      </c>
    </row>
    <row r="62">
      <c r="B62" s="8" t="n"/>
      <c r="C62" s="19" t="n">
        <v>167.96828</v>
      </c>
      <c r="D62" s="65">
        <f>1.0512-0.00017</f>
        <v/>
      </c>
      <c r="E62" s="66">
        <f>D62/C62</f>
        <v/>
      </c>
    </row>
    <row r="63">
      <c r="B63" s="8" t="n"/>
      <c r="C63" s="19" t="n">
        <v>123.66</v>
      </c>
      <c r="D63" s="65" t="n">
        <v>1.049</v>
      </c>
      <c r="E63" s="66">
        <f>D63/C63</f>
        <v/>
      </c>
    </row>
    <row r="64">
      <c r="B64" s="8" t="n"/>
      <c r="C64" s="19" t="n">
        <v>149.5</v>
      </c>
      <c r="D64" s="65" t="n">
        <v>1.17</v>
      </c>
      <c r="E64" s="66">
        <f>D64/C64</f>
        <v/>
      </c>
    </row>
    <row r="65">
      <c r="B65" s="8" t="n"/>
      <c r="C65" s="19" t="n">
        <v>170.62</v>
      </c>
      <c r="D65" s="65" t="n">
        <v>1.158</v>
      </c>
      <c r="E65" s="66">
        <f>D65/C65</f>
        <v/>
      </c>
    </row>
    <row r="66">
      <c r="B66" s="8" t="n"/>
      <c r="C66" s="19" t="n">
        <v>192.66</v>
      </c>
      <c r="D66" s="65" t="n">
        <v>1.09</v>
      </c>
      <c r="E66" s="66">
        <f>D66/C66</f>
        <v/>
      </c>
    </row>
    <row r="67">
      <c r="B67" s="8" t="n"/>
      <c r="C67" s="19" t="n">
        <v>257.34</v>
      </c>
      <c r="D67" s="65" t="n">
        <v>1.13</v>
      </c>
      <c r="E67" s="66">
        <f>(D67/C67)</f>
        <v/>
      </c>
    </row>
    <row r="68">
      <c r="B68" s="8" t="n"/>
      <c r="C68" s="19" t="n">
        <v>312.13</v>
      </c>
      <c r="D68" s="65" t="n">
        <v>0.82</v>
      </c>
      <c r="E68" s="66">
        <f>(D68/C68)</f>
        <v/>
      </c>
    </row>
    <row r="69">
      <c r="B69" s="8" t="n"/>
      <c r="C69" s="19" t="n">
        <v>352.461</v>
      </c>
      <c r="D69" s="65" t="n">
        <v>1.2074</v>
      </c>
      <c r="E69" s="66">
        <f>(D69/C69)</f>
        <v/>
      </c>
    </row>
    <row r="70">
      <c r="B70" s="8" t="n"/>
      <c r="C70" s="19" t="n">
        <v>263.04</v>
      </c>
      <c r="D70" s="65" t="n">
        <v>1.0588</v>
      </c>
      <c r="E70" s="66">
        <f>(D70/C70)</f>
        <v/>
      </c>
    </row>
    <row r="71">
      <c r="B71" s="8" t="n"/>
      <c r="C71" s="19" t="n">
        <v>359.00496</v>
      </c>
      <c r="D71" s="65" t="n">
        <v>1.1195</v>
      </c>
      <c r="E71" s="66">
        <f>(D71/C71)</f>
        <v/>
      </c>
    </row>
    <row r="72">
      <c r="B72" s="8" t="n"/>
      <c r="C72" s="19" t="n">
        <v>327.91</v>
      </c>
      <c r="D72" s="65" t="n">
        <v>1.0785</v>
      </c>
      <c r="E72" s="66">
        <f>(D72/C72)</f>
        <v/>
      </c>
    </row>
    <row r="73">
      <c r="B73" s="8" t="n"/>
      <c r="C73" s="19" t="n">
        <v>925.39</v>
      </c>
      <c r="D73" s="65" t="n">
        <v>3.1734</v>
      </c>
      <c r="E73" s="66">
        <f>(D73/C73)</f>
        <v/>
      </c>
    </row>
    <row r="74">
      <c r="B74" s="10" t="n"/>
      <c r="C74" s="11" t="n"/>
      <c r="D74" s="12" t="n"/>
    </row>
    <row r="75">
      <c r="B75" t="inlineStr">
        <is>
          <t>Total</t>
        </is>
      </c>
      <c r="C75" s="19">
        <f>(SUM(C56:C74))</f>
        <v/>
      </c>
      <c r="D75" s="56">
        <f>(SUM(D56:D74))</f>
        <v/>
      </c>
    </row>
  </sheetData>
  <conditionalFormatting sqref="L34">
    <cfRule type="cellIs" priority="17" operator="lessThan" dxfId="0">
      <formula>$C$5</formula>
    </cfRule>
    <cfRule type="cellIs" priority="18" operator="greaterThan" dxfId="1">
      <formula>$C$5</formula>
    </cfRule>
  </conditionalFormatting>
  <conditionalFormatting sqref="L35">
    <cfRule type="cellIs" priority="15" operator="lessThan" dxfId="0">
      <formula>$C$6</formula>
    </cfRule>
    <cfRule type="cellIs" priority="16" operator="greaterThan" dxfId="1">
      <formula>$C$6</formula>
    </cfRule>
  </conditionalFormatting>
  <conditionalFormatting sqref="L39">
    <cfRule type="cellIs" priority="13" operator="lessThan" dxfId="0">
      <formula>$C$20</formula>
    </cfRule>
    <cfRule type="cellIs" priority="14" operator="greaterThan" dxfId="1">
      <formula>$C$20</formula>
    </cfRule>
  </conditionalFormatting>
  <conditionalFormatting sqref="L38">
    <cfRule type="cellIs" priority="11" operator="lessThan" dxfId="0">
      <formula>$C$19</formula>
    </cfRule>
    <cfRule type="cellIs" priority="12" operator="greaterThan" dxfId="1">
      <formula>$C$19</formula>
    </cfRule>
  </conditionalFormatting>
  <conditionalFormatting sqref="L37">
    <cfRule type="cellIs" priority="9" operator="lessThan" dxfId="0">
      <formula>$C$17</formula>
    </cfRule>
    <cfRule type="cellIs" priority="10" operator="greaterThan" dxfId="1">
      <formula>$C$17</formula>
    </cfRule>
  </conditionalFormatting>
  <conditionalFormatting sqref="L36">
    <cfRule type="cellIs" priority="7" operator="lessThan" dxfId="0">
      <formula>$C$7</formula>
    </cfRule>
    <cfRule type="cellIs" priority="8" operator="greaterThan" dxfId="1">
      <formula>$C$7</formula>
    </cfRule>
  </conditionalFormatting>
  <conditionalFormatting sqref="L41">
    <cfRule type="cellIs" priority="5" operator="lessThan" dxfId="0">
      <formula>$C$30</formula>
    </cfRule>
    <cfRule type="cellIs" priority="6" operator="greaterThan" dxfId="1">
      <formula>$C$30</formula>
    </cfRule>
  </conditionalFormatting>
  <conditionalFormatting sqref="L42">
    <cfRule type="cellIs" priority="3" operator="lessThan" dxfId="0">
      <formula>$C$27</formula>
    </cfRule>
    <cfRule type="cellIs" priority="4" operator="greaterThan" dxfId="1">
      <formula>$C$27</formula>
    </cfRule>
  </conditionalFormatting>
  <conditionalFormatting sqref="L43:L45">
    <cfRule type="cellIs" priority="1" operator="lessThan" dxfId="0">
      <formula>$C$7</formula>
    </cfRule>
    <cfRule type="cellIs" priority="2" operator="greaterThan" dxfId="1">
      <formula>$C$7</formula>
    </cfRule>
  </conditionalFormatting>
  <pageMargins left="0.75" right="0.75" top="1" bottom="1" header="0.5" footer="0.5"/>
  <pageSetup orientation="portrait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B3:D4"/>
  <sheetViews>
    <sheetView workbookViewId="0">
      <selection activeCell="C5" sqref="C5"/>
    </sheetView>
  </sheetViews>
  <sheetFormatPr baseColWidth="10" defaultColWidth="9.140625" defaultRowHeight="15"/>
  <sheetData>
    <row r="3">
      <c r="C3" t="inlineStr">
        <is>
          <t>Price</t>
        </is>
      </c>
      <c r="D3" t="inlineStr">
        <is>
          <t>Fee</t>
        </is>
      </c>
    </row>
    <row r="4">
      <c r="B4" t="inlineStr">
        <is>
          <t>21/12/2021</t>
        </is>
      </c>
      <c r="C4" s="56">
        <f>(-71/3)</f>
        <v/>
      </c>
      <c r="D4" s="56" t="n">
        <v>-1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B3:G9"/>
  <sheetViews>
    <sheetView workbookViewId="0">
      <selection activeCell="S24" sqref="S24"/>
    </sheetView>
  </sheetViews>
  <sheetFormatPr baseColWidth="10" defaultColWidth="9.140625" defaultRowHeight="15"/>
  <sheetData>
    <row r="3">
      <c r="G3" t="n">
        <v>70</v>
      </c>
    </row>
    <row r="4">
      <c r="C4" t="inlineStr">
        <is>
          <t>Assets</t>
        </is>
      </c>
      <c r="D4" t="inlineStr">
        <is>
          <t>Price</t>
        </is>
      </c>
      <c r="E4" t="inlineStr">
        <is>
          <t>Total</t>
        </is>
      </c>
    </row>
    <row r="5">
      <c r="B5" t="inlineStr">
        <is>
          <t>Bomb</t>
        </is>
      </c>
      <c r="C5">
        <f>1.76*G3</f>
        <v/>
      </c>
      <c r="D5" s="23" t="n">
        <v>0.01</v>
      </c>
      <c r="E5" s="23">
        <f>C5*D5</f>
        <v/>
      </c>
    </row>
    <row r="6">
      <c r="B6" t="inlineStr">
        <is>
          <t>Fico</t>
        </is>
      </c>
      <c r="C6">
        <f>48*(G3-2)</f>
        <v/>
      </c>
      <c r="D6" s="23" t="n">
        <v>0.0001424</v>
      </c>
      <c r="E6" s="23">
        <f>C6*D6</f>
        <v/>
      </c>
    </row>
    <row r="9">
      <c r="E9" s="23">
        <f>SUM(E5:E8)</f>
        <v/>
      </c>
    </row>
  </sheetData>
  <pageMargins left="0.75" right="0.75" top="1" bottom="1" header="0.5" footer="0.5"/>
</worksheet>
</file>

<file path=xl/worksheets/sheet8.xml><?xml version="1.0" encoding="utf-8"?>
<worksheet xmlns="http://schemas.openxmlformats.org/spreadsheetml/2006/main">
  <sheetPr>
    <outlinePr summaryBelow="1" summaryRight="1"/>
    <pageSetUpPr/>
  </sheetPr>
  <dimension ref="B1:U13"/>
  <sheetViews>
    <sheetView workbookViewId="0">
      <selection activeCell="N9" sqref="N9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56" t="n">
        <v>0.3605014910618983</v>
      </c>
      <c r="N3" s="1" t="n"/>
      <c r="O3" s="6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(B13*J3)</f>
        <v/>
      </c>
      <c r="K4" s="4">
        <f>(J4/D13-1)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1" t="n">
        <v>1.99170312</v>
      </c>
      <c r="C5" s="56">
        <f>(D5/B5)</f>
        <v/>
      </c>
      <c r="D5" s="56" t="n">
        <v>0.5</v>
      </c>
      <c r="M5" t="inlineStr">
        <is>
          <t>DCA2</t>
        </is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1">
        <f>B5</f>
        <v/>
      </c>
      <c r="S5" s="56">
        <f>(T5/R5)</f>
        <v/>
      </c>
      <c r="T5" s="56">
        <f>D5</f>
        <v/>
      </c>
    </row>
    <row r="6">
      <c r="B6" s="2" t="n">
        <v>0.6832806300000001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1">
        <f>($B$13/5)</f>
        <v/>
      </c>
      <c r="O6" s="56">
        <f>($S$7*Params!K8)</f>
        <v/>
      </c>
      <c r="P6" s="56">
        <f>(O6*N6)</f>
        <v/>
      </c>
      <c r="R6" s="2">
        <f>(B6)</f>
        <v/>
      </c>
      <c r="S6" s="58" t="n">
        <v>0</v>
      </c>
      <c r="T6" s="58">
        <f>(D6)</f>
        <v/>
      </c>
      <c r="U6" s="56">
        <f>(R6*J3)</f>
        <v/>
      </c>
    </row>
    <row r="7">
      <c r="B7" s="1" t="n">
        <v>109.50335533</v>
      </c>
      <c r="C7" s="56">
        <f>(D7/B7)</f>
        <v/>
      </c>
      <c r="D7" s="56" t="n">
        <v>37.1</v>
      </c>
      <c r="E7" t="inlineStr">
        <is>
          <t>DCA2</t>
        </is>
      </c>
      <c r="N7" s="1">
        <f>($B$13/5)</f>
        <v/>
      </c>
      <c r="O7" s="56">
        <f>($S$7*Params!K9)</f>
        <v/>
      </c>
      <c r="P7" s="56">
        <f>(O7*N7)</f>
        <v/>
      </c>
      <c r="R7" s="29">
        <f>B7</f>
        <v/>
      </c>
      <c r="S7" s="56">
        <f>(T7/R7)</f>
        <v/>
      </c>
      <c r="T7" s="56">
        <f>D7</f>
        <v/>
      </c>
      <c r="U7" t="inlineStr">
        <is>
          <t>DCA2</t>
        </is>
      </c>
    </row>
    <row r="8">
      <c r="B8" s="1" t="n">
        <v>-3.1157</v>
      </c>
      <c r="C8" s="56">
        <f>(D8/B8)</f>
        <v/>
      </c>
      <c r="D8" s="56" t="n">
        <v>-1.00996341</v>
      </c>
      <c r="N8" s="1">
        <f>($B$13/5)</f>
        <v/>
      </c>
      <c r="O8" s="56">
        <f>($C$7*Params!K10)</f>
        <v/>
      </c>
      <c r="P8" s="56">
        <f>(O8*N8)</f>
        <v/>
      </c>
      <c r="R8" s="1">
        <f>(B8+B9)</f>
        <v/>
      </c>
      <c r="S8" s="56" t="n">
        <v>0</v>
      </c>
      <c r="T8" s="56">
        <f>D8+D9</f>
        <v/>
      </c>
    </row>
    <row r="9">
      <c r="B9" s="1" t="n">
        <v>3.76338608</v>
      </c>
      <c r="C9" s="56">
        <f>(D9/B9)</f>
        <v/>
      </c>
      <c r="D9" s="56" t="n">
        <v>1</v>
      </c>
      <c r="N9" s="1">
        <f>($B$13/5)</f>
        <v/>
      </c>
      <c r="O9" s="56">
        <f>($C$7*Params!K11)</f>
        <v/>
      </c>
      <c r="P9" s="56">
        <f>(O9*N9)</f>
        <v/>
      </c>
    </row>
    <row r="10">
      <c r="N10" s="1" t="n"/>
      <c r="P10" s="56" t="n"/>
    </row>
    <row r="11">
      <c r="P11" s="56">
        <f>(SUM(P6:P9))</f>
        <v/>
      </c>
    </row>
    <row r="12">
      <c r="F12" t="inlineStr">
        <is>
          <t>Moy</t>
        </is>
      </c>
      <c r="G12" s="35">
        <f>(D13/B13)</f>
        <v/>
      </c>
    </row>
    <row r="13">
      <c r="B13" s="1">
        <f>(SUM(B5:B12))</f>
        <v/>
      </c>
      <c r="D13" s="56">
        <f>(SUM(D5:D12))</f>
        <v/>
      </c>
      <c r="R13" s="1">
        <f>(SUM(R5:R12))</f>
        <v/>
      </c>
      <c r="T13" s="56">
        <f>(SUM(T5:T12))</f>
        <v/>
      </c>
    </row>
  </sheetData>
  <conditionalFormatting sqref="C5 C7 G12 S5 S7">
    <cfRule type="cellIs" priority="15" operator="lessThan" dxfId="1">
      <formula>$J$3</formula>
    </cfRule>
    <cfRule type="cellIs" priority="16" operator="greaterThan" dxfId="0">
      <formula>$J$3</formula>
    </cfRule>
  </conditionalFormatting>
  <conditionalFormatting sqref="O6:O9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xl/worksheets/sheet9.xml><?xml version="1.0" encoding="utf-8"?>
<worksheet xmlns="http://schemas.openxmlformats.org/spreadsheetml/2006/main">
  <sheetPr>
    <outlinePr summaryBelow="1" summaryRight="1"/>
    <pageSetUpPr/>
  </sheetPr>
  <dimension ref="B1:U20"/>
  <sheetViews>
    <sheetView workbookViewId="0">
      <selection activeCell="G41" sqref="G41"/>
    </sheetView>
  </sheetViews>
  <sheetFormatPr baseColWidth="10" defaultColWidth="9.140625" defaultRowHeight="15"/>
  <cols>
    <col width="10.28515625" bestFit="1" customWidth="1" style="14" min="4" max="4"/>
    <col width="12.42578125" bestFit="1" customWidth="1" style="14" min="9" max="9"/>
    <col width="10.140625" bestFit="1" customWidth="1" style="14" min="14" max="14"/>
    <col width="11.28515625" bestFit="1" customWidth="1" style="14" min="15" max="15"/>
  </cols>
  <sheetData>
    <row r="1"/>
    <row r="2"/>
    <row r="3">
      <c r="I3" t="inlineStr">
        <is>
          <t>Actual Price :</t>
        </is>
      </c>
      <c r="J3" s="35" t="n">
        <v>0.1250081218603579</v>
      </c>
      <c r="O3" s="57" t="n"/>
      <c r="P3" s="56" t="n"/>
    </row>
    <row r="4">
      <c r="B4" t="inlineStr">
        <is>
          <t>Qty</t>
        </is>
      </c>
      <c r="C4" t="inlineStr">
        <is>
          <t>Price</t>
        </is>
      </c>
      <c r="D4" t="inlineStr">
        <is>
          <t>Total price</t>
        </is>
      </c>
      <c r="I4" t="inlineStr">
        <is>
          <t>Total :</t>
        </is>
      </c>
      <c r="J4" s="56">
        <f>(B14*J3)</f>
        <v/>
      </c>
      <c r="K4" s="4">
        <f>(J4/D14-1)</f>
        <v/>
      </c>
      <c r="R4" t="inlineStr">
        <is>
          <t>Qty</t>
        </is>
      </c>
      <c r="S4" t="inlineStr">
        <is>
          <t>Price</t>
        </is>
      </c>
      <c r="T4" t="inlineStr">
        <is>
          <t>Total price</t>
        </is>
      </c>
    </row>
    <row r="5">
      <c r="B5" s="29" t="n">
        <v>60.14</v>
      </c>
      <c r="C5" s="56">
        <f>(D5/B5)</f>
        <v/>
      </c>
      <c r="D5" s="56" t="n">
        <v>10.15</v>
      </c>
      <c r="N5" t="inlineStr">
        <is>
          <t>Qty to Sell</t>
        </is>
      </c>
      <c r="O5" t="inlineStr">
        <is>
          <t>Token Price</t>
        </is>
      </c>
      <c r="P5" t="inlineStr">
        <is>
          <t>Value</t>
        </is>
      </c>
      <c r="R5" s="29">
        <f>(B5)</f>
        <v/>
      </c>
      <c r="S5" s="56">
        <f>(T5/R5)</f>
        <v/>
      </c>
      <c r="T5" s="56">
        <f>D5</f>
        <v/>
      </c>
    </row>
    <row r="6">
      <c r="B6" s="2" t="n">
        <v>0.55436586</v>
      </c>
      <c r="C6" s="58" t="n">
        <v>0</v>
      </c>
      <c r="D6" s="58">
        <f>(B6*C6)</f>
        <v/>
      </c>
      <c r="E6" s="56">
        <f>(B6*J3)</f>
        <v/>
      </c>
      <c r="M6" t="inlineStr">
        <is>
          <t>Objectif</t>
        </is>
      </c>
      <c r="N6" s="29">
        <f>($B$14/5)</f>
        <v/>
      </c>
      <c r="O6" s="56">
        <f>($C$5*Params!K8)</f>
        <v/>
      </c>
      <c r="P6" s="56">
        <f>(O6*N6)</f>
        <v/>
      </c>
      <c r="R6" s="36">
        <f>(B6)</f>
        <v/>
      </c>
      <c r="S6" s="58" t="n">
        <v>0</v>
      </c>
      <c r="T6" s="58">
        <f>(D6)</f>
        <v/>
      </c>
      <c r="U6" s="56">
        <f>(E6)</f>
        <v/>
      </c>
    </row>
    <row r="7">
      <c r="B7" s="29" t="n">
        <v>-12.028</v>
      </c>
      <c r="C7" s="56">
        <f>(D7/B7)</f>
        <v/>
      </c>
      <c r="D7" s="56" t="n">
        <v>-2.549936</v>
      </c>
      <c r="N7" s="29">
        <f>($B$14/5)</f>
        <v/>
      </c>
      <c r="O7" s="56">
        <f>($C$5*Params!K9)</f>
        <v/>
      </c>
      <c r="P7" s="56">
        <f>(O7*N7)</f>
        <v/>
      </c>
      <c r="R7" s="29">
        <f>SUM(B7:B10)</f>
        <v/>
      </c>
      <c r="S7" s="56" t="n">
        <v>0</v>
      </c>
      <c r="T7" s="56">
        <f>SUM(D7:D10)</f>
        <v/>
      </c>
      <c r="U7" s="57" t="n"/>
    </row>
    <row r="8">
      <c r="B8" s="29" t="n">
        <v>-12</v>
      </c>
      <c r="C8" s="56">
        <f>(D8/B8)</f>
        <v/>
      </c>
      <c r="D8" s="56" t="n">
        <v>-3.06</v>
      </c>
      <c r="N8" s="29">
        <f>($B$14/5)</f>
        <v/>
      </c>
      <c r="O8" s="56">
        <f>($C$5*Params!K10)</f>
        <v/>
      </c>
      <c r="P8" s="56">
        <f>(O8*N8)</f>
        <v/>
      </c>
      <c r="R8" s="29" t="n"/>
      <c r="S8" s="56" t="n"/>
      <c r="T8" s="56" t="n"/>
    </row>
    <row r="9">
      <c r="B9" s="29" t="n">
        <v>13.39371616</v>
      </c>
      <c r="C9" s="56">
        <f>(D9/B9)</f>
        <v/>
      </c>
      <c r="D9" s="56" t="n">
        <v>2.8758</v>
      </c>
      <c r="N9" s="29">
        <f>($B$14/5)</f>
        <v/>
      </c>
      <c r="O9" s="56">
        <f>($C$5*Params!K11)</f>
        <v/>
      </c>
      <c r="P9" s="56">
        <f>(O9*N9)</f>
        <v/>
      </c>
    </row>
    <row r="10">
      <c r="B10" s="29" t="n">
        <v>13.23709339</v>
      </c>
      <c r="C10" s="56">
        <f>(D10/B10)</f>
        <v/>
      </c>
      <c r="D10" s="56" t="n">
        <v>2.41</v>
      </c>
    </row>
    <row r="11"/>
    <row r="12">
      <c r="P12" s="56">
        <f>(SUM(P6:P9))</f>
        <v/>
      </c>
    </row>
    <row r="13">
      <c r="F13" t="inlineStr">
        <is>
          <t>Moy</t>
        </is>
      </c>
      <c r="G13" s="56">
        <f>(D14/B14)</f>
        <v/>
      </c>
    </row>
    <row r="14">
      <c r="B14" s="29">
        <f>(SUM(B5:B13))</f>
        <v/>
      </c>
      <c r="D14" s="56">
        <f>(SUM(D5:D13))</f>
        <v/>
      </c>
    </row>
    <row r="15"/>
    <row r="16"/>
    <row r="17">
      <c r="N17" s="29" t="n"/>
      <c r="R17" s="29">
        <f>(SUM(R5:R16))</f>
        <v/>
      </c>
      <c r="T17" s="56">
        <f>(SUM(T5:T16))</f>
        <v/>
      </c>
    </row>
    <row r="18"/>
    <row r="19"/>
    <row r="20">
      <c r="K20" s="57" t="n"/>
    </row>
  </sheetData>
  <conditionalFormatting sqref="C5">
    <cfRule type="cellIs" priority="13" operator="lessThan" dxfId="1">
      <formula>$J$3</formula>
    </cfRule>
    <cfRule type="cellIs" priority="14" operator="greaterThan" dxfId="0">
      <formula>$J$3</formula>
    </cfRule>
  </conditionalFormatting>
  <conditionalFormatting sqref="C9:C10">
    <cfRule type="cellIs" priority="11" operator="lessThan" dxfId="1">
      <formula>$J$3</formula>
    </cfRule>
    <cfRule type="cellIs" priority="12" operator="greaterThan" dxfId="0">
      <formula>$J$3</formula>
    </cfRule>
  </conditionalFormatting>
  <conditionalFormatting sqref="O6:O9">
    <cfRule type="cellIs" priority="9" operator="lessThan" dxfId="1">
      <formula>$J$3</formula>
    </cfRule>
    <cfRule type="cellIs" priority="10" operator="greaterThan" dxfId="0">
      <formula>$J$3</formula>
    </cfRule>
  </conditionalFormatting>
  <conditionalFormatting sqref="S5 S7:S8">
    <cfRule type="cellIs" priority="5" operator="lessThan" dxfId="1">
      <formula>$J$3</formula>
    </cfRule>
    <cfRule type="cellIs" priority="6" operator="greaterThan" dxfId="0">
      <formula>$J$3</formula>
    </cfRule>
  </conditionalFormatting>
  <conditionalFormatting sqref="O6">
    <cfRule type="cellIs" priority="3" operator="lessThan" dxfId="1">
      <formula>$J$3</formula>
    </cfRule>
    <cfRule type="cellIs" priority="4" operator="greaterThan" dxfId="0">
      <formula>$J$3</formula>
    </cfRule>
  </conditionalFormatting>
  <conditionalFormatting sqref="G13">
    <cfRule type="cellIs" priority="1" operator="lessThan" dxfId="1">
      <formula>$J$3</formula>
    </cfRule>
    <cfRule type="cellIs" priority="2" operator="greaterThan" dxfId="0">
      <formula>$J$3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2023-04-24T23:20:17Z</dcterms:created>
  <dcterms:modified xsi:type="dcterms:W3CDTF">2023-11-21T23:53:32Z</dcterms:modified>
  <cp:lastModifiedBy>Tiko</cp:lastModifiedBy>
</cp:coreProperties>
</file>