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21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72085888"/>
        <axId val="72087808"/>
      </lineChart>
      <dateAx>
        <axId val="7208588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2087808"/>
        <crosses val="autoZero"/>
        <lblOffset val="100"/>
      </dateAx>
      <valAx>
        <axId val="7208780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208588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workbookViewId="0">
      <selection activeCell="F7" sqref="F7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9.85546875" bestFit="1" customWidth="1" style="14" min="5" max="5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2375.687200881701</v>
      </c>
      <c r="M3" t="inlineStr">
        <is>
          <t>Objectif :</t>
        </is>
      </c>
      <c r="N3" s="24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9" t="n">
        <v>4000</v>
      </c>
      <c r="T5" s="60">
        <f>(R5*S5)</f>
        <v/>
      </c>
    </row>
    <row r="6">
      <c r="B6" s="24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4">
        <f>(B6)</f>
        <v/>
      </c>
      <c r="S6" s="59" t="n">
        <v>3950</v>
      </c>
      <c r="T6" s="60">
        <f>(R6*S6)</f>
        <v/>
      </c>
    </row>
    <row r="7">
      <c r="B7" s="24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4">
        <f>(B7)</f>
        <v/>
      </c>
      <c r="S7" s="59" t="n">
        <v>3428</v>
      </c>
      <c r="T7" s="60">
        <f>(R7*S7)</f>
        <v/>
      </c>
    </row>
    <row r="8">
      <c r="B8" s="24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4">
        <f>(B11+B10+B9+B8)</f>
        <v/>
      </c>
      <c r="S8" s="58" t="n">
        <v>0</v>
      </c>
      <c r="T8" s="60">
        <f>(D11+D10+D9+D8)</f>
        <v/>
      </c>
    </row>
    <row r="9">
      <c r="B9" s="24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4">
        <f>(B12)</f>
        <v/>
      </c>
      <c r="S9" s="58" t="n">
        <v>0</v>
      </c>
      <c r="T9" s="60">
        <f>(R9*S9)</f>
        <v/>
      </c>
    </row>
    <row r="10">
      <c r="B10" s="24" t="n">
        <v>-0.0076</v>
      </c>
      <c r="C10" s="58" t="n">
        <v>3213.16</v>
      </c>
      <c r="D10" s="60">
        <f>B10*C10</f>
        <v/>
      </c>
      <c r="R10" s="24">
        <f>(SUM(B13:B20))</f>
        <v/>
      </c>
      <c r="S10" s="59">
        <f>(T10/R10)</f>
        <v/>
      </c>
      <c r="T10" s="60">
        <f>(SUM(D13:D20))</f>
        <v/>
      </c>
    </row>
    <row r="11">
      <c r="B11" s="24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4">
        <f>(B21)</f>
        <v/>
      </c>
      <c r="S11" s="59" t="n">
        <v>1895</v>
      </c>
      <c r="T11" s="60">
        <f>(R11*S11)</f>
        <v/>
      </c>
    </row>
    <row r="12">
      <c r="B12" s="25" t="n">
        <v>0.00688844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9" t="n">
        <v>1890.15</v>
      </c>
      <c r="T12" s="60">
        <f>(R12*S12)</f>
        <v/>
      </c>
    </row>
    <row r="13">
      <c r="B13" s="24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9">
        <f>(T13/R13)</f>
        <v/>
      </c>
      <c r="T13" s="60">
        <f>(82.1)</f>
        <v/>
      </c>
    </row>
    <row r="14">
      <c r="B14" s="24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4">
        <f>(B24)</f>
        <v/>
      </c>
      <c r="S14" s="59" t="n">
        <v>1709</v>
      </c>
      <c r="T14" s="60">
        <f>(S14*R14)</f>
        <v/>
      </c>
    </row>
    <row r="15">
      <c r="B15" s="24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4">
        <f>(B25)</f>
        <v/>
      </c>
      <c r="S15" s="59" t="n">
        <v>1617.3</v>
      </c>
      <c r="T15" s="60">
        <f>(S15*R15)</f>
        <v/>
      </c>
    </row>
    <row r="16">
      <c r="B16" s="24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4">
        <f>(SUM(B26:B33))</f>
        <v/>
      </c>
      <c r="S16" s="58" t="n">
        <v>0</v>
      </c>
      <c r="T16" s="60">
        <f>(SUM(D26:D33))</f>
        <v/>
      </c>
    </row>
    <row r="17">
      <c r="B17" s="24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4">
        <f>(B34)</f>
        <v/>
      </c>
      <c r="S17" s="58">
        <f>(T17/R17)</f>
        <v/>
      </c>
      <c r="T17" s="60" t="n">
        <v>-12.19326523</v>
      </c>
    </row>
    <row r="18">
      <c r="B18" s="24" t="n">
        <v>0.016</v>
      </c>
      <c r="C18" s="59">
        <f>1/0.00048218</f>
        <v/>
      </c>
      <c r="D18" s="60">
        <f>B18*C18</f>
        <v/>
      </c>
      <c r="R18" s="24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4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4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4" t="n">
        <v>0.03210429</v>
      </c>
      <c r="C20" s="59">
        <f>D20/B20</f>
        <v/>
      </c>
      <c r="D20" s="60" t="n">
        <v>50</v>
      </c>
      <c r="R20" s="24">
        <f>(B37)</f>
        <v/>
      </c>
      <c r="S20" s="59">
        <f>(C37)</f>
        <v/>
      </c>
      <c r="T20" s="60">
        <f>(D37)</f>
        <v/>
      </c>
    </row>
    <row r="21">
      <c r="B21" s="24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4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4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4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4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4">
        <f>B41</f>
        <v/>
      </c>
      <c r="S24" s="59">
        <f>(T24/R24)</f>
        <v/>
      </c>
      <c r="T24" s="60">
        <f>D41</f>
        <v/>
      </c>
    </row>
    <row r="25">
      <c r="B25" s="24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4" t="n">
        <v>-0.01</v>
      </c>
      <c r="C26" s="58" t="n">
        <v>1530</v>
      </c>
      <c r="D26" s="60">
        <f>(C26*B26)</f>
        <v/>
      </c>
    </row>
    <row r="27">
      <c r="B27" s="24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4" t="n">
        <v>-0.01</v>
      </c>
      <c r="C28" s="58">
        <f>(D28/B28)</f>
        <v/>
      </c>
      <c r="D28" s="60" t="n">
        <v>-14.43</v>
      </c>
    </row>
    <row r="29">
      <c r="B29" s="24" t="n">
        <v>0.01</v>
      </c>
      <c r="C29" s="59" t="n">
        <v>1428.89</v>
      </c>
      <c r="D29" s="60">
        <f>(C29*B29)</f>
        <v/>
      </c>
    </row>
    <row r="30">
      <c r="B30" s="24" t="n">
        <v>-0.01</v>
      </c>
      <c r="C30" s="58" t="n">
        <v>1402.5</v>
      </c>
      <c r="D30" s="60">
        <f>(C30*B30)</f>
        <v/>
      </c>
    </row>
    <row r="31">
      <c r="B31" s="24" t="n">
        <v>0.01</v>
      </c>
      <c r="C31" s="59" t="n">
        <v>1372</v>
      </c>
      <c r="D31" s="60">
        <f>(C31*B31)</f>
        <v/>
      </c>
    </row>
    <row r="32">
      <c r="B32" s="24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4" t="n">
        <v>0.01</v>
      </c>
      <c r="C33" s="59" t="n">
        <v>1250</v>
      </c>
      <c r="D33" s="60">
        <f>(C33*B33)</f>
        <v/>
      </c>
    </row>
    <row r="34">
      <c r="B34" s="24" t="n">
        <v>-0.01</v>
      </c>
      <c r="C34" s="58">
        <f>(D34/B34)</f>
        <v/>
      </c>
      <c r="D34" s="60" t="n">
        <v>-12.19326523</v>
      </c>
    </row>
    <row r="35">
      <c r="B35" s="24" t="n">
        <v>0.11906336</v>
      </c>
      <c r="C35" s="59">
        <f>(D35/B35)</f>
        <v/>
      </c>
      <c r="D35" s="60" t="n">
        <v>202.44</v>
      </c>
      <c r="E35" t="inlineStr">
        <is>
          <t>DCA1</t>
        </is>
      </c>
    </row>
    <row r="36">
      <c r="B36" s="24" t="n">
        <v>0.02406671</v>
      </c>
      <c r="C36" s="59">
        <f>(D36/B36)</f>
        <v/>
      </c>
      <c r="D36" s="60" t="n">
        <v>41.7</v>
      </c>
      <c r="E36" t="inlineStr">
        <is>
          <t>DCA2</t>
        </is>
      </c>
    </row>
    <row r="37">
      <c r="B37" s="24" t="n">
        <v>0.00041228</v>
      </c>
      <c r="C37" s="59">
        <f>(D37/B37)</f>
        <v/>
      </c>
      <c r="D37" s="60" t="n">
        <v>0.5</v>
      </c>
    </row>
    <row r="38">
      <c r="B38" s="24">
        <f>(-0.000705)</f>
        <v/>
      </c>
      <c r="C38" s="58" t="n">
        <v>1605</v>
      </c>
      <c r="D38" s="60">
        <f>(C38*B38)</f>
        <v/>
      </c>
    </row>
    <row r="39">
      <c r="B39" s="24">
        <f>(-0.00535-B38)</f>
        <v/>
      </c>
      <c r="C39" s="58" t="n">
        <v>1605</v>
      </c>
      <c r="D39" s="60">
        <f>(C39*B39)</f>
        <v/>
      </c>
    </row>
    <row r="40">
      <c r="B40" s="24" t="n">
        <v>0.05486508</v>
      </c>
      <c r="C40" s="59">
        <f>(D40/B40)</f>
        <v/>
      </c>
      <c r="D40" s="60" t="n">
        <v>102.25</v>
      </c>
      <c r="E40" t="inlineStr">
        <is>
          <t>DCA3</t>
        </is>
      </c>
    </row>
    <row r="41">
      <c r="B41" s="24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4" t="n"/>
      <c r="C42" s="59" t="n"/>
      <c r="D42" s="60" t="n"/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8" sqref="N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0.1631690278959167</v>
      </c>
      <c r="M3" t="inlineStr">
        <is>
          <t>Objectif :</t>
        </is>
      </c>
      <c r="N3" s="24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0.5741808900000001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1.331785205111755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14.40823529</v>
      </c>
      <c r="C5" s="58">
        <f>(D5/B5)</f>
        <v/>
      </c>
      <c r="D5" s="58" t="n">
        <v>41.7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0.59248673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9.243103437259602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0.02782879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30.46232051014297</v>
      </c>
      <c r="M3" t="inlineStr">
        <is>
          <t>Objectif :</t>
        </is>
      </c>
      <c r="N3" s="24">
        <f>(INDEX(N5:N23,MATCH(MAX(O20:O22,O6:O8),O5:O23,0))/0.85)</f>
        <v/>
      </c>
      <c r="O3" s="59">
        <f>(MAX(O20:O22,O6:O8)*0.75)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2.57843643</v>
      </c>
      <c r="C5" s="58">
        <f>(D5/B5)</f>
        <v/>
      </c>
      <c r="D5" s="58" t="n">
        <v>41.7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5" t="n">
        <v>0.01645968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4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4" t="n">
        <v>-0.0717</v>
      </c>
      <c r="C7" s="58">
        <f>(D7/B7)</f>
        <v/>
      </c>
      <c r="D7" s="58" t="n">
        <v>-1.132143</v>
      </c>
      <c r="N7" s="24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4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4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4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4" t="n">
        <v>0.1272787</v>
      </c>
      <c r="C9" s="58">
        <f>(D9/B9)</f>
        <v/>
      </c>
      <c r="D9" s="58" t="n">
        <v>2.22</v>
      </c>
      <c r="N9" s="24">
        <f>4*($B$5+$R$7+R5)/5-N6-N7-N8</f>
        <v/>
      </c>
      <c r="O9" s="58">
        <f>($S$6*[1]Params!K11)</f>
        <v/>
      </c>
      <c r="P9" s="58">
        <f>(O9*N9)</f>
        <v/>
      </c>
      <c r="R9" s="24">
        <f>B12-B12</f>
        <v/>
      </c>
      <c r="S9" s="59" t="n">
        <v>0</v>
      </c>
      <c r="T9" s="59">
        <f>D12-B12*14.31</f>
        <v/>
      </c>
    </row>
    <row r="10">
      <c r="B10" s="24" t="n">
        <v>0.72014182</v>
      </c>
      <c r="C10" s="58">
        <f>(D10/B10)</f>
        <v/>
      </c>
      <c r="D10" s="58" t="n">
        <v>11.07</v>
      </c>
      <c r="E10" t="inlineStr">
        <is>
          <t>DCA4</t>
        </is>
      </c>
      <c r="R10" s="24">
        <f>B13-B13</f>
        <v/>
      </c>
      <c r="S10" s="59" t="n">
        <v>0</v>
      </c>
      <c r="T10" s="59">
        <f>D13-B13*15.13</f>
        <v/>
      </c>
    </row>
    <row r="11">
      <c r="B11" s="24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4">
        <f>B14-B14</f>
        <v/>
      </c>
      <c r="S11" s="59" t="n">
        <v>0</v>
      </c>
      <c r="T11" s="59">
        <f>D14-B14*14.31</f>
        <v/>
      </c>
    </row>
    <row r="12">
      <c r="B12" s="24" t="n">
        <v>-0.1375</v>
      </c>
      <c r="C12" s="58">
        <f>(D12/B12)</f>
        <v/>
      </c>
      <c r="D12" s="58" t="n">
        <v>-2.54918818</v>
      </c>
      <c r="P12" s="58" t="n"/>
      <c r="R12" s="24">
        <f>B15-B15</f>
        <v/>
      </c>
      <c r="S12" s="59" t="n">
        <v>0</v>
      </c>
      <c r="T12" s="59">
        <f>D15-B15*15.13</f>
        <v/>
      </c>
    </row>
    <row r="13">
      <c r="B13" s="24" t="n">
        <v>-0.4967</v>
      </c>
      <c r="C13" s="58">
        <f>(D13/B13)</f>
        <v/>
      </c>
      <c r="D13" s="58" t="n">
        <v>-10.84507767</v>
      </c>
      <c r="P13" s="58" t="n"/>
      <c r="R13" s="24">
        <f>B16-B16</f>
        <v/>
      </c>
      <c r="S13" s="59" t="n">
        <v>0</v>
      </c>
      <c r="T13" s="59">
        <f>D16-B16*14.31</f>
        <v/>
      </c>
    </row>
    <row r="14">
      <c r="B14" s="24" t="n">
        <v>-0.137</v>
      </c>
      <c r="C14" s="58">
        <f>(D14/B14)</f>
        <v/>
      </c>
      <c r="D14" s="58">
        <f>-3.12512811</f>
        <v/>
      </c>
      <c r="P14" s="58" t="n"/>
      <c r="R14" s="24">
        <f>B17-B17</f>
        <v/>
      </c>
      <c r="T14" s="59">
        <f>D17-B17*15.25</f>
        <v/>
      </c>
    </row>
    <row r="15">
      <c r="B15" s="24" t="n">
        <v>-0.4967</v>
      </c>
      <c r="C15" s="58">
        <f>(D15/B15)</f>
        <v/>
      </c>
      <c r="D15" s="58" t="n">
        <v>-12.12691623</v>
      </c>
      <c r="P15" s="58" t="n"/>
    </row>
    <row r="16">
      <c r="B16" s="24" t="n">
        <v>-0.138</v>
      </c>
      <c r="C16" s="58">
        <f>(D16/B16)</f>
        <v/>
      </c>
      <c r="D16" s="58" t="n">
        <v>-4.41956614</v>
      </c>
      <c r="P16" s="58" t="n"/>
    </row>
    <row r="17">
      <c r="B17" s="24" t="n">
        <v>-0.5049</v>
      </c>
      <c r="C17" s="58">
        <f>(D17/B17)</f>
        <v/>
      </c>
      <c r="D17" s="58" t="n">
        <v>-18.26254246</v>
      </c>
      <c r="P17" s="58" t="n"/>
    </row>
    <row r="18">
      <c r="F18" t="inlineStr">
        <is>
          <t>Moy</t>
        </is>
      </c>
      <c r="G18" s="58">
        <f>(D19/B19)</f>
        <v/>
      </c>
    </row>
    <row r="19">
      <c r="B19" s="24">
        <f>(SUM(B5:B18))</f>
        <v/>
      </c>
      <c r="D19" s="58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8">
        <f>(SUM(T5:T18))</f>
        <v/>
      </c>
    </row>
    <row r="20">
      <c r="M20" t="inlineStr">
        <is>
          <t>Objectif</t>
        </is>
      </c>
      <c r="N20" s="24">
        <f>-B12</f>
        <v/>
      </c>
      <c r="O20" s="58">
        <f>18.6</f>
        <v/>
      </c>
      <c r="P20" s="58">
        <f>-D12</f>
        <v/>
      </c>
      <c r="Q20" t="inlineStr">
        <is>
          <t>Done</t>
        </is>
      </c>
    </row>
    <row r="21">
      <c r="N21" s="24">
        <f>-B14</f>
        <v/>
      </c>
      <c r="O21" s="58">
        <f>C14</f>
        <v/>
      </c>
      <c r="P21" s="58">
        <f>-D14</f>
        <v/>
      </c>
      <c r="Q21" t="inlineStr">
        <is>
          <t>Done</t>
        </is>
      </c>
    </row>
    <row r="22">
      <c r="N22" s="24">
        <f>-B16</f>
        <v/>
      </c>
      <c r="O22" s="58">
        <f>C16</f>
        <v/>
      </c>
      <c r="P22" s="58">
        <f>-D16</f>
        <v/>
      </c>
      <c r="Q22" t="inlineStr">
        <is>
          <t>Done</t>
        </is>
      </c>
    </row>
    <row r="23">
      <c r="N23" s="24">
        <f>4*($B$10)/5-N20-N21-N22</f>
        <v/>
      </c>
      <c r="O23" s="58">
        <f>($S$8*[1]Params!K11)</f>
        <v/>
      </c>
      <c r="P23" s="58">
        <f>(O23*N23)</f>
        <v/>
      </c>
    </row>
    <row r="24"/>
    <row r="25">
      <c r="P25" s="58">
        <f>(SUM(P20:P23))</f>
        <v/>
      </c>
    </row>
    <row r="26"/>
    <row r="27"/>
    <row r="28"/>
    <row r="29"/>
    <row r="30"/>
    <row r="31"/>
    <row r="32">
      <c r="R32" s="59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2" t="n">
        <v>0.003893308784136817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2">
        <f>(T5/R5)</f>
        <v/>
      </c>
      <c r="T5" s="59">
        <f>(D5)</f>
        <v/>
      </c>
    </row>
    <row r="6">
      <c r="B6" s="19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9">
        <f>(($B$5+$R$6)/5)</f>
        <v/>
      </c>
      <c r="O6" s="82">
        <f>($C$5*[1]Params!K8)</f>
        <v/>
      </c>
      <c r="P6" s="58">
        <f>(O6*N6)</f>
        <v/>
      </c>
      <c r="R6" s="19">
        <f>(SUM(B6:B11))</f>
        <v/>
      </c>
      <c r="S6" s="82" t="n">
        <v>0</v>
      </c>
      <c r="T6" s="59">
        <f>(SUM(D6:D11))</f>
        <v/>
      </c>
    </row>
    <row r="7">
      <c r="B7" s="19" t="n">
        <v>-175.57251908</v>
      </c>
      <c r="C7" s="82">
        <f>(D7/B7)</f>
        <v/>
      </c>
      <c r="D7" s="58" t="n">
        <v>-0.893567</v>
      </c>
      <c r="N7" s="19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9" t="n">
        <v>-167.7852349</v>
      </c>
      <c r="C8" s="82">
        <f>(D8/B8)</f>
        <v/>
      </c>
      <c r="D8" s="58" t="n">
        <v>-1.213721</v>
      </c>
      <c r="N8" s="19">
        <f>(($B$5+$R$6)/5)</f>
        <v/>
      </c>
      <c r="O8" s="82">
        <f>($C$5*[1]Params!K10)</f>
        <v/>
      </c>
      <c r="P8" s="58">
        <f>(O8*N8)</f>
        <v/>
      </c>
    </row>
    <row r="9">
      <c r="B9" s="19" t="n">
        <v>196.03891277</v>
      </c>
      <c r="C9" s="82">
        <f>(D9/B9)</f>
        <v/>
      </c>
      <c r="D9" s="58" t="n">
        <v>1.130011</v>
      </c>
      <c r="N9" s="19">
        <f>(($B$5+$R$6)/5)</f>
        <v/>
      </c>
      <c r="O9" s="82">
        <f>($C$5*[1]Params!K11)</f>
        <v/>
      </c>
      <c r="P9" s="58">
        <f>(O9*N9)</f>
        <v/>
      </c>
    </row>
    <row r="10">
      <c r="B10" s="19" t="n">
        <v>197.79050008</v>
      </c>
      <c r="C10" s="82">
        <f>(D10/B10)</f>
        <v/>
      </c>
      <c r="D10" s="58" t="n">
        <v>0.85006</v>
      </c>
    </row>
    <row r="11">
      <c r="B11" s="19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8" t="n">
        <v>310.1289096322626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4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4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4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0.00253114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0.56964769</v>
      </c>
      <c r="C11" s="58">
        <f>(D11/B11)</f>
        <v/>
      </c>
      <c r="D11" s="58" t="n">
        <v>161.97</v>
      </c>
      <c r="E11" t="inlineStr">
        <is>
          <t>DCA1</t>
        </is>
      </c>
      <c r="P11" s="58">
        <f>(SUM(P6:P9))</f>
        <v/>
      </c>
    </row>
    <row r="12">
      <c r="B12" s="83" t="n">
        <v>0.14603836</v>
      </c>
      <c r="C12" s="58">
        <f>(D12/B12)</f>
        <v/>
      </c>
      <c r="D12" s="58" t="n">
        <v>41.7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4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4">
        <f>($R$9/5)</f>
        <v/>
      </c>
      <c r="O15" s="58">
        <f>($S$9*[1]Params!K9)</f>
        <v/>
      </c>
      <c r="P15" s="58">
        <f>(O15*N15)</f>
        <v/>
      </c>
    </row>
    <row r="16">
      <c r="N16" s="24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4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4" t="n"/>
      <c r="O22" s="58" t="n"/>
      <c r="P22" s="58" t="n"/>
    </row>
    <row r="23">
      <c r="N23" s="24" t="n"/>
      <c r="O23" s="58" t="n"/>
      <c r="P23" s="58" t="n"/>
    </row>
    <row r="24">
      <c r="N24" s="24" t="n"/>
      <c r="O24" s="58" t="n"/>
      <c r="P24" s="58" t="n"/>
    </row>
    <row r="25">
      <c r="N25" s="24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5" t="n">
        <v>0.08366876054565027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0.28437821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6.519818524646212</v>
      </c>
      <c r="M3" t="inlineStr">
        <is>
          <t>Objectif :</t>
        </is>
      </c>
      <c r="N3" s="24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7.35389311</v>
      </c>
      <c r="C5" s="58">
        <f>(D5/B5)</f>
        <v/>
      </c>
      <c r="D5" s="58" t="n">
        <v>41.7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5" t="n">
        <v>0.07614224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4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4" t="n">
        <v>0.11156135</v>
      </c>
      <c r="C7" s="58">
        <f>(D7/B7)</f>
        <v/>
      </c>
      <c r="D7" s="58" t="n">
        <v>0.5</v>
      </c>
      <c r="N7" s="24">
        <f>2*($B$15+$N$6)/5-$N$6</f>
        <v/>
      </c>
      <c r="O7" s="58">
        <f>($C$5*[1]Params!K9)</f>
        <v/>
      </c>
      <c r="P7" s="58">
        <f>(O7*N7)</f>
        <v/>
      </c>
      <c r="R7" s="24">
        <f>B7</f>
        <v/>
      </c>
      <c r="S7" s="58">
        <f>(T7/R7)</f>
        <v/>
      </c>
      <c r="T7" s="59">
        <f>D7</f>
        <v/>
      </c>
    </row>
    <row r="8">
      <c r="B8" s="24">
        <f>(-0.2134+N16)</f>
        <v/>
      </c>
      <c r="C8" s="58">
        <f>(D8/B8)</f>
        <v/>
      </c>
      <c r="D8" s="58">
        <f>(-1.27565659-D9)</f>
        <v/>
      </c>
      <c r="N8" s="24">
        <f>2*($B$15+$N$6)/5-$N$6</f>
        <v/>
      </c>
      <c r="O8" s="58">
        <f>($C$5*[1]Params!K10)</f>
        <v/>
      </c>
      <c r="P8" s="58">
        <f>(O8*N8)</f>
        <v/>
      </c>
      <c r="R8" s="24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4">
        <f>2*($B$15+$N$6)/5-$N$6</f>
        <v/>
      </c>
      <c r="O9" s="58">
        <f>($C$5*[1]Params!K11)</f>
        <v/>
      </c>
      <c r="P9" s="58">
        <f>(O9*N9)</f>
        <v/>
      </c>
      <c r="R9" s="24">
        <f>B11-B11</f>
        <v/>
      </c>
      <c r="S9" s="58" t="n">
        <v>0</v>
      </c>
      <c r="T9" s="59">
        <f>D11-B11*5.54</f>
        <v/>
      </c>
    </row>
    <row r="10">
      <c r="B10" s="24" t="n">
        <v>0.21193237</v>
      </c>
      <c r="C10" s="58">
        <f>D10/B10</f>
        <v/>
      </c>
      <c r="D10" s="58" t="n">
        <v>1.07</v>
      </c>
      <c r="N10" s="24" t="n"/>
      <c r="P10" s="58" t="n"/>
      <c r="R10" s="24" t="n"/>
      <c r="S10" s="58" t="n"/>
      <c r="T10" s="59" t="n"/>
    </row>
    <row r="11">
      <c r="B11" s="24" t="n">
        <v>-1.3731</v>
      </c>
      <c r="C11" s="58">
        <f>(D11/B11)</f>
        <v/>
      </c>
      <c r="D11" s="58">
        <f>-9.89434222</f>
        <v/>
      </c>
      <c r="N11" s="24" t="n"/>
      <c r="P11" s="58" t="n"/>
    </row>
    <row r="12">
      <c r="B12" s="24" t="n">
        <v>-1.53</v>
      </c>
      <c r="C12" s="58">
        <f>(D12/B12)</f>
        <v/>
      </c>
      <c r="D12" s="58" t="n">
        <v>-13.78562829</v>
      </c>
      <c r="N12" s="24" t="n"/>
      <c r="P12" s="58">
        <f>(SUM(P6:P9))</f>
        <v/>
      </c>
    </row>
    <row r="13">
      <c r="B13" s="24" t="n">
        <v>1.7</v>
      </c>
      <c r="C13" s="58">
        <f>(D13/B13)</f>
        <v/>
      </c>
      <c r="D13" s="58" t="n">
        <v>12.6519626</v>
      </c>
      <c r="N13" s="24" t="n"/>
      <c r="P13" s="58" t="n"/>
    </row>
    <row r="14">
      <c r="F14" t="inlineStr">
        <is>
          <t>Moy</t>
        </is>
      </c>
      <c r="G14" s="58">
        <f>(D15/B15)</f>
        <v/>
      </c>
      <c r="N14" s="24" t="n"/>
      <c r="P14" s="58" t="n"/>
      <c r="R14" s="24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4" t="n"/>
      <c r="O16" s="58" t="n"/>
      <c r="P16" s="58" t="n"/>
    </row>
    <row r="17">
      <c r="N17" s="24" t="n"/>
      <c r="O17" s="58" t="n"/>
      <c r="P17" s="58" t="n"/>
    </row>
    <row r="18">
      <c r="N18" s="24" t="n"/>
      <c r="O18" s="58" t="n"/>
      <c r="P18" s="58" t="n"/>
    </row>
    <row r="19">
      <c r="N19" s="24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50.15474493524011</v>
      </c>
      <c r="M3" t="inlineStr">
        <is>
          <t>Objectif :</t>
        </is>
      </c>
      <c r="N3" s="24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5" t="n">
        <v>0.00296977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4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4">
        <f>-0.0247</f>
        <v/>
      </c>
      <c r="C8" s="58">
        <f>D8/B8</f>
        <v/>
      </c>
      <c r="D8" s="58" t="n">
        <v>-1.70058209</v>
      </c>
      <c r="N8" s="24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4">
        <f>0.02974335</f>
        <v/>
      </c>
      <c r="C9" s="58">
        <f>D9/B9</f>
        <v/>
      </c>
      <c r="D9" s="58" t="n">
        <v>1.706456</v>
      </c>
      <c r="N9" s="24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0.151006135956926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9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9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9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9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4">
        <f>B12</f>
        <v/>
      </c>
      <c r="S9" s="58">
        <f>T9/R9</f>
        <v/>
      </c>
      <c r="T9" s="58">
        <f>D12</f>
        <v/>
      </c>
    </row>
    <row r="10">
      <c r="B10" s="19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4" t="n"/>
      <c r="S10" s="58" t="n"/>
      <c r="T10" s="58" t="n"/>
    </row>
    <row r="11">
      <c r="B11" s="19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 t="n"/>
      <c r="R11" s="24" t="n"/>
      <c r="S11" s="58" t="n"/>
      <c r="T11" s="58" t="n"/>
    </row>
    <row r="12">
      <c r="B12" s="19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4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P13" s="58">
        <f>(SUM(P6:P9))</f>
        <v/>
      </c>
      <c r="R13" s="24" t="n"/>
      <c r="S13" s="58" t="n"/>
      <c r="T13" s="58" t="n"/>
    </row>
    <row r="14">
      <c r="B14" s="19">
        <f>(SUM(B5:B13))</f>
        <v/>
      </c>
      <c r="C14" s="58" t="n"/>
      <c r="D14" s="58">
        <f>(SUM(D5:D13))</f>
        <v/>
      </c>
      <c r="O14" s="58" t="n"/>
      <c r="R14" s="24" t="n"/>
      <c r="S14" s="58" t="n"/>
      <c r="T14" s="58" t="n"/>
    </row>
    <row r="15">
      <c r="R15" s="24" t="n"/>
      <c r="S15" s="58" t="n"/>
      <c r="T15" s="58" t="n"/>
    </row>
    <row r="16">
      <c r="R16" s="24" t="n"/>
      <c r="S16" s="58" t="n"/>
      <c r="T16" s="58" t="n"/>
    </row>
    <row r="17">
      <c r="R17" s="24" t="n"/>
      <c r="S17" s="58" t="n"/>
      <c r="T17" s="58" t="n"/>
    </row>
    <row r="18">
      <c r="R18" s="24" t="n"/>
      <c r="S18" s="58" t="n"/>
      <c r="T18" s="58" t="n"/>
    </row>
    <row r="19">
      <c r="R19" s="24" t="n"/>
      <c r="S19" s="58" t="n"/>
      <c r="T19" s="58" t="n"/>
    </row>
    <row r="20">
      <c r="R20" s="24" t="n"/>
      <c r="S20" s="58" t="n"/>
      <c r="T20" s="58" t="n"/>
    </row>
    <row r="21">
      <c r="R21" s="24" t="n"/>
      <c r="S21" s="58" t="n"/>
      <c r="T21" s="58" t="n"/>
    </row>
    <row r="22">
      <c r="R22" s="24" t="n"/>
      <c r="S22" s="58" t="n"/>
      <c r="T22" s="58" t="n"/>
    </row>
    <row r="23">
      <c r="R23" s="24" t="n"/>
      <c r="S23" s="58" t="n"/>
      <c r="T23" s="58" t="n"/>
    </row>
    <row r="24">
      <c r="R24" s="24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4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J3" sqref="J3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40670.01982341184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8" t="n">
        <v>41500</v>
      </c>
      <c r="D5" s="58">
        <f>(B5*C5)</f>
        <v/>
      </c>
      <c r="S5" s="24">
        <f>(B5)</f>
        <v/>
      </c>
      <c r="T5" s="58" t="n">
        <v>41500</v>
      </c>
      <c r="U5" s="58">
        <f>(S5*T5)</f>
        <v/>
      </c>
    </row>
    <row r="6">
      <c r="B6" s="25" t="n">
        <v>0.00035312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8" t="n">
        <v>0</v>
      </c>
      <c r="U6" s="58">
        <f>(S6*T6)</f>
        <v/>
      </c>
    </row>
    <row r="7">
      <c r="B7" s="24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8">
        <f>(U7/S7)</f>
        <v/>
      </c>
      <c r="U7" s="58" t="inlineStr">
        <is>
          <t>15.6</t>
        </is>
      </c>
    </row>
    <row r="8">
      <c r="B8" s="24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4">
        <f>(B8)</f>
        <v/>
      </c>
      <c r="T8" s="58">
        <f>(U8/S8)</f>
        <v/>
      </c>
      <c r="U8" s="58" t="inlineStr">
        <is>
          <t>105</t>
        </is>
      </c>
    </row>
    <row r="9">
      <c r="B9" s="24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4">
        <f>(B9)</f>
        <v/>
      </c>
      <c r="T9" s="58">
        <f>(U9/S9)</f>
        <v/>
      </c>
      <c r="U9" s="58" t="inlineStr">
        <is>
          <t>43.5</t>
        </is>
      </c>
    </row>
    <row r="10">
      <c r="B10" s="24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4">
        <f>(B10)</f>
        <v/>
      </c>
      <c r="T10" s="58" t="n">
        <v>20458</v>
      </c>
      <c r="U10" s="58">
        <f>(T10*S10)</f>
        <v/>
      </c>
    </row>
    <row r="11">
      <c r="B11" s="24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4">
        <f>(B12)</f>
        <v/>
      </c>
      <c r="T11" s="58" t="n">
        <v>19169.31</v>
      </c>
      <c r="U11" s="58">
        <f>(T11*S11)</f>
        <v/>
      </c>
    </row>
    <row r="12">
      <c r="B12" s="24" t="n">
        <v>0.0006400000000000001</v>
      </c>
      <c r="C12" s="58" t="n">
        <v>19169.31</v>
      </c>
      <c r="D12" s="58">
        <f>(C12*B12)</f>
        <v/>
      </c>
      <c r="S12" s="24">
        <f>(B13+B11+B14)</f>
        <v/>
      </c>
      <c r="T12" s="58">
        <f>(U12/S12)</f>
        <v/>
      </c>
      <c r="U12" s="58">
        <f>(D13+D11+D14)</f>
        <v/>
      </c>
    </row>
    <row r="13">
      <c r="B13" s="24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4">
        <f>(B15)</f>
        <v/>
      </c>
      <c r="T13" s="58" t="n">
        <v>18969</v>
      </c>
      <c r="U13" s="58">
        <f>(T13*S13)</f>
        <v/>
      </c>
    </row>
    <row r="14">
      <c r="B14" s="24" t="n">
        <v>0.00054</v>
      </c>
      <c r="C14" s="58" t="n">
        <v>19000</v>
      </c>
      <c r="D14" s="58">
        <f>(C14*B14)</f>
        <v/>
      </c>
      <c r="S14" s="24">
        <f>(B16+B26)</f>
        <v/>
      </c>
      <c r="T14" s="58">
        <f>(U14/S14)</f>
        <v/>
      </c>
      <c r="U14" s="58">
        <f>(D16+D26)</f>
        <v/>
      </c>
    </row>
    <row r="15">
      <c r="B15" s="24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8">
        <f>(U15/S15)</f>
        <v/>
      </c>
      <c r="U15" s="58">
        <f>(D17+D18+D21+D33)</f>
        <v/>
      </c>
    </row>
    <row r="16">
      <c r="B16" s="24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4">
        <f>(B19+B27)</f>
        <v/>
      </c>
      <c r="T16" s="58">
        <f>(U16/S16)</f>
        <v/>
      </c>
      <c r="U16" s="58">
        <f>(D19+D27)</f>
        <v/>
      </c>
    </row>
    <row r="17">
      <c r="B17" s="24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4">
        <f>(B20+B28)</f>
        <v/>
      </c>
      <c r="T17" s="58">
        <f>(U17/S17)</f>
        <v/>
      </c>
      <c r="U17" s="58">
        <f>(D20+D28)</f>
        <v/>
      </c>
    </row>
    <row r="18">
      <c r="B18" s="24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4">
        <f>(B22+B27)</f>
        <v/>
      </c>
      <c r="T18" s="58">
        <f>(U18/S18)</f>
        <v/>
      </c>
      <c r="U18" s="58">
        <f>(D22+D29)</f>
        <v/>
      </c>
    </row>
    <row r="19">
      <c r="B19" s="24" t="n">
        <v>0.000599999999999999</v>
      </c>
      <c r="C19" s="58">
        <f>(D19/B19)</f>
        <v/>
      </c>
      <c r="D19" s="58" t="n">
        <v>10.02</v>
      </c>
      <c r="F19" s="24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4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4" t="n">
        <v>0.0009133</v>
      </c>
      <c r="C20" s="58">
        <f>(D20/B20)</f>
        <v/>
      </c>
      <c r="D20" s="58" t="n">
        <v>15.6</v>
      </c>
      <c r="S20" s="24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4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4">
        <f>(B25+B30)</f>
        <v/>
      </c>
      <c r="T21" s="58">
        <f>(U21/S21)</f>
        <v/>
      </c>
      <c r="U21" s="58">
        <f>(D25+D30)</f>
        <v/>
      </c>
    </row>
    <row r="22">
      <c r="B22" s="24" t="n">
        <v>0.00058</v>
      </c>
      <c r="C22" s="58">
        <f>(D22/B22)</f>
        <v/>
      </c>
      <c r="D22" s="58" t="n">
        <v>9.880000000000001</v>
      </c>
      <c r="S22" s="24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4" t="n">
        <v>0.00716439</v>
      </c>
      <c r="C23" s="58">
        <f>(D23/B23)</f>
        <v/>
      </c>
      <c r="D23" s="58" t="n">
        <v>178.65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4" t="n">
        <v>0.00159272</v>
      </c>
      <c r="C24" s="58">
        <f>(D24/B24)</f>
        <v/>
      </c>
      <c r="D24" s="58" t="n">
        <v>41.7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4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4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4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4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4" t="n">
        <v>-0.00018</v>
      </c>
      <c r="C28" s="58" t="n">
        <v>21355</v>
      </c>
      <c r="D28" s="58">
        <f>(B28*C28)</f>
        <v/>
      </c>
    </row>
    <row r="29">
      <c r="B29" s="24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4">
        <f>(-N64)</f>
        <v/>
      </c>
      <c r="C30" s="58" t="n">
        <v>21560</v>
      </c>
      <c r="D30" s="58">
        <f>(C30*B30)</f>
        <v/>
      </c>
    </row>
    <row r="31">
      <c r="B31" s="24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4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4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4" t="n">
        <v>0.00190045</v>
      </c>
      <c r="C34" s="58">
        <f>(D34/B34)</f>
        <v/>
      </c>
      <c r="D34" s="58" t="n">
        <v>53.75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4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4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F37" t="inlineStr">
        <is>
          <t>Moy</t>
        </is>
      </c>
      <c r="G37" s="59">
        <f>(D38/B38)</f>
        <v/>
      </c>
      <c r="P37" s="64">
        <f>(SUM(P32:P35))</f>
        <v/>
      </c>
      <c r="S37">
        <f>(SUM(S5:S25))</f>
        <v/>
      </c>
      <c r="U37" s="58">
        <f>(SUM(U5:U25))</f>
        <v/>
      </c>
    </row>
    <row r="38">
      <c r="B38" s="24">
        <f>(SUM(B5:B37))</f>
        <v/>
      </c>
      <c r="D38" s="58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10.6922788028393</v>
      </c>
      <c r="M3" t="inlineStr">
        <is>
          <t>Objectif :</t>
        </is>
      </c>
      <c r="N3" s="24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2.42872991</v>
      </c>
      <c r="C5" s="58">
        <f>(D5/B5)</f>
        <v/>
      </c>
      <c r="D5" s="58" t="n">
        <v>11.88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0.00232065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4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4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4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P12" s="58">
        <f>(SUM(P6:P9))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0.6852889705321265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8" t="n"/>
      <c r="D6" s="58" t="n"/>
      <c r="M6" t="inlineStr">
        <is>
          <t>Objectif</t>
        </is>
      </c>
      <c r="N6" s="24">
        <f>($B$5/5)</f>
        <v/>
      </c>
      <c r="O6" s="58">
        <f>($C$5*[1]Params!K8)</f>
        <v/>
      </c>
      <c r="P6" s="58">
        <f>(O6*N6)</f>
        <v/>
      </c>
    </row>
    <row r="7">
      <c r="B7" s="24" t="n"/>
      <c r="C7" s="58" t="n"/>
      <c r="D7" s="58" t="n"/>
      <c r="N7" s="24">
        <f>($B$5/5)</f>
        <v/>
      </c>
      <c r="O7" s="58">
        <f>($C$5*[1]Params!K9)</f>
        <v/>
      </c>
      <c r="P7" s="58">
        <f>(O7*N7)</f>
        <v/>
      </c>
    </row>
    <row r="8">
      <c r="B8" s="24" t="n"/>
      <c r="C8" s="58" t="n"/>
      <c r="D8" s="58" t="n"/>
      <c r="N8" s="24">
        <f>($B$5/5)</f>
        <v/>
      </c>
      <c r="O8" s="58">
        <f>($C$5*[1]Params!K10)</f>
        <v/>
      </c>
      <c r="P8" s="58">
        <f>(O8*N8)</f>
        <v/>
      </c>
    </row>
    <row r="9">
      <c r="B9" s="24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4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3"/>
  <sheetViews>
    <sheetView tabSelected="1" workbookViewId="0">
      <selection activeCell="T5" sqref="T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2.728717457404058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6.19122777</v>
      </c>
      <c r="C5" s="58">
        <f>(D5/B5)</f>
        <v/>
      </c>
      <c r="D5" s="58" t="n">
        <v>13.77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0.01903359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 s="14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10" sqref="O1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15.02030989160521</v>
      </c>
      <c r="M3" t="inlineStr">
        <is>
          <t>Objectif :</t>
        </is>
      </c>
      <c r="N3" s="24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1.40724813</v>
      </c>
      <c r="C5" s="58">
        <f>(D5/B5)</f>
        <v/>
      </c>
      <c r="D5" s="58" t="n">
        <v>10.53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0.00242279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4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4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4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68.28624952995085</v>
      </c>
      <c r="N3" s="24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0.00125236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0.5968606789883568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0.05718197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1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E36" sqref="E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9.78038030204767e-05</v>
      </c>
      <c r="M3" t="inlineStr">
        <is>
          <t>Objectif :</t>
        </is>
      </c>
      <c r="N3" s="70">
        <f>400000*1.01-B39</f>
        <v/>
      </c>
      <c r="O3" s="67">
        <f>C37/2.8</f>
        <v/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(INDEX(B5:B17,MATCH(O6/2,C5:C17,0)))</f>
        <v/>
      </c>
      <c r="O6" s="67">
        <f>(MIN(C5:C8,C14:C16)*2)</f>
        <v/>
      </c>
      <c r="P6" s="58">
        <f>(N6*O6)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M9" t="inlineStr">
        <is>
          <t>Objectif :</t>
        </is>
      </c>
      <c r="N9" s="21">
        <f>B39/4</f>
        <v/>
      </c>
      <c r="O9" s="67" t="n">
        <v>0.0005</v>
      </c>
      <c r="P9" s="58">
        <f>(N9*O9)</f>
        <v/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69">
        <f>(B18)</f>
        <v/>
      </c>
      <c r="S15" s="67" t="n">
        <v>0</v>
      </c>
      <c r="T15" s="58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4910.75399769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B36</f>
        <v/>
      </c>
      <c r="S26" s="67">
        <f>T26/R26</f>
        <v/>
      </c>
      <c r="T26" s="59">
        <f>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>
        <f>B37</f>
        <v/>
      </c>
      <c r="S27" s="67">
        <f>T27/R27</f>
        <v/>
      </c>
      <c r="T27" s="59">
        <f>D37</f>
        <v/>
      </c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>
        <f>B36*J3</f>
        <v/>
      </c>
    </row>
    <row r="37">
      <c r="B37" s="69" t="n">
        <v>-150000</v>
      </c>
      <c r="C37" s="67">
        <f>(D37/B37)</f>
        <v/>
      </c>
      <c r="D37" s="58" t="n">
        <v>-38.50217554</v>
      </c>
      <c r="E37" s="58">
        <f>B37*J3</f>
        <v/>
      </c>
    </row>
    <row r="38"/>
    <row r="39">
      <c r="B39">
        <f>(SUM(B5:B38))</f>
        <v/>
      </c>
      <c r="D39" s="58">
        <f>(SUM(D5:D38))</f>
        <v/>
      </c>
      <c r="F39" t="inlineStr">
        <is>
          <t>Moy</t>
        </is>
      </c>
      <c r="G39" s="67">
        <f>(D39/B39)</f>
        <v/>
      </c>
      <c r="R39">
        <f>(SUM(R5:R38))</f>
        <v/>
      </c>
      <c r="T39" s="58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0.7552727122434419</v>
      </c>
      <c r="N3" s="19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0" t="n">
        <v>0.32468976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9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9" t="n">
        <v>45.48568475</v>
      </c>
      <c r="C7" s="58">
        <f>(D7/B7)</f>
        <v/>
      </c>
      <c r="D7" s="58" t="n">
        <v>41.7</v>
      </c>
      <c r="E7" t="inlineStr">
        <is>
          <t>DCA2</t>
        </is>
      </c>
      <c r="N7" s="19">
        <f>($B$7+$R$9+$R$6)/5</f>
        <v/>
      </c>
      <c r="O7" s="58">
        <f>($S$7*[1]Params!K9)</f>
        <v/>
      </c>
      <c r="P7" s="58">
        <f>(O7*N7)</f>
        <v/>
      </c>
      <c r="R7" s="19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9" t="n">
        <v>0.63003905</v>
      </c>
      <c r="C8" s="58">
        <f>(D8/B8)</f>
        <v/>
      </c>
      <c r="D8" s="58" t="n">
        <v>0.5</v>
      </c>
      <c r="N8" s="19">
        <f>($B$7+$R$9+$R$6)/5</f>
        <v/>
      </c>
      <c r="O8" s="58">
        <f>($S$7*[1]Params!K10)</f>
        <v/>
      </c>
      <c r="P8" s="58">
        <f>(O8*N8)</f>
        <v/>
      </c>
      <c r="R8" s="19">
        <f>B8</f>
        <v/>
      </c>
      <c r="S8" s="58">
        <f>C8</f>
        <v/>
      </c>
      <c r="T8" s="59">
        <f>D8</f>
        <v/>
      </c>
    </row>
    <row r="9">
      <c r="B9" s="19" t="n">
        <v>-1.08</v>
      </c>
      <c r="C9" s="58">
        <f>(D9/B9)</f>
        <v/>
      </c>
      <c r="D9" s="58" t="n">
        <v>-1.134</v>
      </c>
      <c r="N9" s="19">
        <f>($B$7+$R$9+$R$6)/5</f>
        <v/>
      </c>
      <c r="O9" s="58">
        <f>($C$7*[1]Params!K11)</f>
        <v/>
      </c>
      <c r="P9" s="58">
        <f>(O9*N9)</f>
        <v/>
      </c>
      <c r="R9" s="19">
        <f>SUM(B9,B12,B13,B16)</f>
        <v/>
      </c>
      <c r="S9" s="58" t="n">
        <v>0</v>
      </c>
      <c r="T9" s="58">
        <f>SUM(D9,D12,D13,D16)</f>
        <v/>
      </c>
    </row>
    <row r="10">
      <c r="B10" s="19" t="n">
        <v>-2.44</v>
      </c>
      <c r="C10" s="58">
        <f>(D10/B10)</f>
        <v/>
      </c>
      <c r="D10" s="58" t="n">
        <v>-2.64426302</v>
      </c>
      <c r="O10" s="58" t="n"/>
      <c r="P10" s="58" t="n"/>
      <c r="R10" s="19">
        <f>SUM(B10,B11,B14,B15,)</f>
        <v/>
      </c>
      <c r="S10" s="58" t="n">
        <v>0</v>
      </c>
      <c r="T10" s="58">
        <f>SUM(D10,D11,D14,D15)</f>
        <v/>
      </c>
    </row>
    <row r="11">
      <c r="B11" s="19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9" t="n"/>
      <c r="S11" s="58" t="n"/>
      <c r="T11" s="58" t="n"/>
    </row>
    <row r="12">
      <c r="B12" s="19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9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9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9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9">
        <f>2.44/0.9</f>
        <v/>
      </c>
      <c r="C15" s="58" t="n">
        <v>0.847152</v>
      </c>
      <c r="D15" s="58">
        <f>B15*C15</f>
        <v/>
      </c>
      <c r="N15" s="19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9">
        <f>4.11968757-B15</f>
        <v/>
      </c>
      <c r="C16" s="58" t="n">
        <v>0.847152</v>
      </c>
      <c r="D16" s="58">
        <f>B16*C16</f>
        <v/>
      </c>
      <c r="N16" s="19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9" t="n"/>
      <c r="F17" t="inlineStr">
        <is>
          <t>Moy</t>
        </is>
      </c>
      <c r="G17" s="58">
        <f>(D18/B18)</f>
        <v/>
      </c>
      <c r="N17" s="19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9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00"/>
    <col width="9.140625" customWidth="1" style="14" min="301" max="16384"/>
  </cols>
  <sheetData>
    <row r="1"/>
    <row r="2"/>
    <row r="3">
      <c r="I3" t="inlineStr">
        <is>
          <t>Actual Price :</t>
        </is>
      </c>
      <c r="J3" s="79" t="n">
        <v>0.02344283285720405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0.06328114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1.052021078031559</v>
      </c>
      <c r="M3" t="inlineStr">
        <is>
          <t>Objectif :</t>
        </is>
      </c>
      <c r="N3" s="24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0.34345258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4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D236" sqref="D236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6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6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6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6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6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6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6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6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6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6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6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6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6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6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6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6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6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6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6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6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6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6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6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6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6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6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6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6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6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6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6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6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6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6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6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6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6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6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6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6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6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6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6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6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6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6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6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6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6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6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6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6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6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6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6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6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6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6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6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6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6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6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6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6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6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6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6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6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6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6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6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6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6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6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6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6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6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6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6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6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6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6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6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6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6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6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6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6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6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6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6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6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6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6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6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6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6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6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6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6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6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6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6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6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6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6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6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6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6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6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6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6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6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6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6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6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6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6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6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6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6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6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6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6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6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6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6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6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6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6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6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6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6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6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6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6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6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6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6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6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6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6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6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6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6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6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6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6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6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6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6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6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6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6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6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6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6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6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6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6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6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6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6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6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6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6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6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6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6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6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6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6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6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6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6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6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6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6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6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6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6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6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6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6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6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6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6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6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6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6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6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6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6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6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6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6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6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6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6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6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6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6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  <row r="235">
      <c r="B235" s="66" t="n">
        <v>45312</v>
      </c>
      <c r="C235" s="19" t="n">
        <v>43.31</v>
      </c>
      <c r="D235" s="19">
        <f>(0.1357*$M$3)</f>
        <v/>
      </c>
      <c r="E235" s="19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2.692784592117803</v>
      </c>
      <c r="M3" t="inlineStr">
        <is>
          <t>Objectif :</t>
        </is>
      </c>
      <c r="N3" s="24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23.06613725</v>
      </c>
      <c r="C6" s="58">
        <f>(D6/B6)</f>
        <v/>
      </c>
      <c r="D6" s="58" t="n">
        <v>41.7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0.10142933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 s="14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21"/>
    <col width="9.140625" customWidth="1" style="14" min="32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0.5935379314263912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0.0757413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0.28515625" bestFit="1" customWidth="1" style="14" min="4" max="4"/>
    <col width="13" bestFit="1" customWidth="1" style="14" min="7" max="7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8" t="n">
        <v>9.069029484220947e-06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2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262.56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2">
        <f>($B$13/5)</f>
        <v/>
      </c>
      <c r="O6" s="88">
        <f>($C$5*[1]Params!K8)</f>
        <v/>
      </c>
      <c r="P6" s="58">
        <f>(O6*N6)</f>
        <v/>
      </c>
    </row>
    <row r="7">
      <c r="B7" s="22" t="n">
        <v>636924.74</v>
      </c>
      <c r="C7" s="88">
        <f>(D7/B7)</f>
        <v/>
      </c>
      <c r="D7" s="58" t="n">
        <v>6.0138</v>
      </c>
      <c r="E7" s="58" t="inlineStr">
        <is>
          <t>DCA5</t>
        </is>
      </c>
      <c r="F7" s="58" t="n"/>
      <c r="G7" s="58" t="n"/>
      <c r="N7" s="22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2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2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2" t="n">
        <v>0.003894088180122363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D41" sqref="D4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86.65292147161232</v>
      </c>
      <c r="M3" t="inlineStr">
        <is>
          <t>Objectif :</t>
        </is>
      </c>
      <c r="N3" s="24">
        <f>(INDEX(N5:N26,MATCH(MAX(O6:O9,O23:O25,O14:O17),O5:O26,0))/0.85)</f>
        <v/>
      </c>
      <c r="O3" s="59">
        <f>(MAX(O14:O17,O23:O25,O6:O9)*0.75)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(B46*J3)</f>
        <v/>
      </c>
      <c r="K4" s="4">
        <f>(J4/D46-1)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8">
        <f>(C5)</f>
        <v/>
      </c>
      <c r="T5" s="58">
        <f>(R5*S5)</f>
        <v/>
      </c>
    </row>
    <row r="6">
      <c r="B6" s="24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4">
        <f>($B$16/5)</f>
        <v/>
      </c>
      <c r="O6" s="58">
        <f>(C23)</f>
        <v/>
      </c>
      <c r="P6" s="58">
        <f>(O6*N6)</f>
        <v/>
      </c>
      <c r="Q6" t="inlineStr">
        <is>
          <t>Done</t>
        </is>
      </c>
      <c r="R6" s="24">
        <f>(B6+B7+B8+B9)</f>
        <v/>
      </c>
      <c r="S6" s="58" t="n">
        <v>0</v>
      </c>
      <c r="T6" s="58">
        <f>(D6+D7+D8+D9)</f>
        <v/>
      </c>
    </row>
    <row r="7">
      <c r="B7" s="24" t="n">
        <v>-0.007325</v>
      </c>
      <c r="C7" s="58">
        <f>(D7/B7)</f>
        <v/>
      </c>
      <c r="D7" s="58" t="n">
        <v>-0.3</v>
      </c>
      <c r="E7" s="58" t="n"/>
      <c r="N7" s="24">
        <f>-B36</f>
        <v/>
      </c>
      <c r="O7" s="58">
        <f>P7/N7</f>
        <v/>
      </c>
      <c r="P7" s="58">
        <f>-D36</f>
        <v/>
      </c>
      <c r="Q7" t="inlineStr">
        <is>
          <t>Done</t>
        </is>
      </c>
      <c r="R7" s="24">
        <f>(B10+B11)</f>
        <v/>
      </c>
      <c r="S7" s="58" t="n">
        <v>0</v>
      </c>
      <c r="T7" s="58">
        <f>(D10+D11)</f>
        <v/>
      </c>
    </row>
    <row r="8">
      <c r="B8" s="24">
        <f>(0.00803628-0.0000683)</f>
        <v/>
      </c>
      <c r="C8" s="58">
        <f>(D8/B8)</f>
        <v/>
      </c>
      <c r="D8" s="58" t="n">
        <v>0.29</v>
      </c>
      <c r="E8" s="58" t="n"/>
      <c r="N8" s="24">
        <f>(($B$16+$R$20+$R$9)/5)</f>
        <v/>
      </c>
      <c r="O8" s="58">
        <f>C38</f>
        <v/>
      </c>
      <c r="P8" s="58">
        <f>-D38</f>
        <v/>
      </c>
      <c r="Q8" t="inlineStr">
        <is>
          <t>Done</t>
        </is>
      </c>
      <c r="R8" s="24">
        <f>(B12)</f>
        <v/>
      </c>
      <c r="S8" s="58" t="n">
        <v>0</v>
      </c>
      <c r="T8" s="58">
        <f>(R8*S8)</f>
        <v/>
      </c>
    </row>
    <row r="9">
      <c r="B9" s="24">
        <f>(0.00884882-0.00007521)</f>
        <v/>
      </c>
      <c r="C9" s="58">
        <f>(D9/B9)</f>
        <v/>
      </c>
      <c r="D9" s="58" t="n">
        <v>0.28</v>
      </c>
      <c r="E9" s="58" t="n"/>
      <c r="N9" s="24">
        <f>(($B$16+$R$20+$R$9)/5)</f>
        <v/>
      </c>
      <c r="O9" s="58">
        <f>($C$16*[1]Params!K11)</f>
        <v/>
      </c>
      <c r="P9" s="58">
        <f>(O9*N9)</f>
        <v/>
      </c>
      <c r="Q9" t="inlineStr">
        <is>
          <t>Done</t>
        </is>
      </c>
      <c r="R9" s="24">
        <f>(B13)</f>
        <v/>
      </c>
      <c r="S9" s="58">
        <f>(T9/R9)</f>
        <v/>
      </c>
      <c r="T9" s="58" t="n">
        <v>0</v>
      </c>
      <c r="U9">
        <f>E13</f>
        <v/>
      </c>
    </row>
    <row r="10">
      <c r="B10" s="24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(B14)</f>
        <v/>
      </c>
      <c r="S10" s="58">
        <f>(C14)</f>
        <v/>
      </c>
      <c r="T10" s="58">
        <f>(D14)</f>
        <v/>
      </c>
    </row>
    <row r="11">
      <c r="B11" s="24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4">
        <f>(B15)</f>
        <v/>
      </c>
      <c r="S11" s="58">
        <f>(C15)</f>
        <v/>
      </c>
      <c r="T11" s="58">
        <f>(D15)</f>
        <v/>
      </c>
    </row>
    <row r="12">
      <c r="B12" s="24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4">
        <f>(B16+B23)</f>
        <v/>
      </c>
      <c r="S12" s="58">
        <f>(T12/R12)</f>
        <v/>
      </c>
      <c r="T12" s="58">
        <f>(D16+D23)</f>
        <v/>
      </c>
    </row>
    <row r="13">
      <c r="B13" s="24">
        <f>(0.002039*7)</f>
        <v/>
      </c>
      <c r="C13" s="58" t="n">
        <v>0</v>
      </c>
      <c r="D13" s="58">
        <f>(C13*B13)</f>
        <v/>
      </c>
      <c r="E13" t="inlineStr">
        <is>
          <t>NFT Burn</t>
        </is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8">
        <f>(T13/R13)</f>
        <v/>
      </c>
      <c r="T13" s="58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8" t="n">
        <v>0</v>
      </c>
      <c r="D14" s="58" t="n">
        <v>0</v>
      </c>
      <c r="E14" s="58">
        <f>(B14*$J$3)</f>
        <v/>
      </c>
      <c r="I14" s="24" t="n"/>
      <c r="M14" t="inlineStr">
        <is>
          <t>Objectif</t>
        </is>
      </c>
      <c r="N14" s="24">
        <f>(-B21)</f>
        <v/>
      </c>
      <c r="O14" s="58">
        <f>(C21)</f>
        <v/>
      </c>
      <c r="P14" s="58">
        <f>(O14*N14)</f>
        <v/>
      </c>
      <c r="Q14" t="inlineStr">
        <is>
          <t>Done</t>
        </is>
      </c>
      <c r="R14" s="25">
        <f>(B18)</f>
        <v/>
      </c>
      <c r="S14" s="61">
        <f>(C18)</f>
        <v/>
      </c>
      <c r="T14" s="62">
        <f>(D18)</f>
        <v/>
      </c>
    </row>
    <row r="15">
      <c r="B15" s="24">
        <f>(0.10209-0.101562222)</f>
        <v/>
      </c>
      <c r="C15" s="58" t="n">
        <v>0</v>
      </c>
      <c r="D15" s="58" t="n">
        <v>0</v>
      </c>
      <c r="E15" s="58">
        <f>(B15*$J$3)</f>
        <v/>
      </c>
      <c r="N15" s="24">
        <f>-B37</f>
        <v/>
      </c>
      <c r="O15" s="58">
        <f>C37</f>
        <v/>
      </c>
      <c r="P15" s="58">
        <f>(O15*N15)</f>
        <v/>
      </c>
      <c r="Q15" t="inlineStr">
        <is>
          <t>Done</t>
        </is>
      </c>
      <c r="R15" s="24">
        <f>B19+B22+B39-N25</f>
        <v/>
      </c>
      <c r="S15" s="58">
        <f>(T15/R15)</f>
        <v/>
      </c>
      <c r="T15" s="58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8">
        <f>(D16/B16)</f>
        <v/>
      </c>
      <c r="D16" s="58" t="n">
        <v>6.3</v>
      </c>
      <c r="E16" s="58" t="n"/>
      <c r="N16" s="24">
        <f>-B40-N25</f>
        <v/>
      </c>
      <c r="O16" s="58">
        <f>C40</f>
        <v/>
      </c>
      <c r="P16" s="58">
        <f>(O16*N16)</f>
        <v/>
      </c>
      <c r="Q16" t="inlineStr">
        <is>
          <t>Done</t>
        </is>
      </c>
      <c r="R16" s="24">
        <f>(B20)</f>
        <v/>
      </c>
      <c r="S16" s="58">
        <f>(T16/R16)</f>
        <v/>
      </c>
      <c r="T16" s="58">
        <f>(D20)</f>
        <v/>
      </c>
    </row>
    <row r="17">
      <c r="B17" s="24" t="n">
        <v>6.07236146</v>
      </c>
      <c r="C17" s="58">
        <f>(D17/B17)</f>
        <v/>
      </c>
      <c r="D17" s="58" t="n">
        <v>125.34</v>
      </c>
      <c r="E17" t="inlineStr">
        <is>
          <t>DCA1</t>
        </is>
      </c>
      <c r="N17" s="24">
        <f>-B42</f>
        <v/>
      </c>
      <c r="O17" s="58">
        <f>P17/N17</f>
        <v/>
      </c>
      <c r="P17" s="58">
        <f>-D42</f>
        <v/>
      </c>
      <c r="Q17" t="inlineStr">
        <is>
          <t>Done</t>
        </is>
      </c>
      <c r="R17" s="24">
        <f>(B21-B21)</f>
        <v/>
      </c>
      <c r="S17" s="58" t="n">
        <v>0</v>
      </c>
      <c r="T17" s="58">
        <f>(14.952/1.25*-B21+D21)</f>
        <v/>
      </c>
      <c r="U17" t="inlineStr">
        <is>
          <t>DCA1 1/5</t>
        </is>
      </c>
    </row>
    <row r="18">
      <c r="B18" s="25" t="n">
        <v>0.06390397</v>
      </c>
      <c r="C18" s="61" t="n">
        <v>0</v>
      </c>
      <c r="D18" s="62" t="n">
        <v>0</v>
      </c>
      <c r="E18" s="59">
        <f>B18*J3</f>
        <v/>
      </c>
      <c r="N18" s="24" t="n"/>
      <c r="O18" s="58" t="n"/>
      <c r="P18" s="58" t="n"/>
      <c r="R18" s="24">
        <f>(B22-B22)</f>
        <v/>
      </c>
      <c r="S18" s="58" t="n">
        <v>0</v>
      </c>
      <c r="T18" s="58">
        <f>(12.6*-B22+D22)</f>
        <v/>
      </c>
      <c r="U18" t="inlineStr">
        <is>
          <t>DCA2 1/5</t>
        </is>
      </c>
    </row>
    <row r="19">
      <c r="B19" s="24" t="n">
        <v>1.89014095</v>
      </c>
      <c r="C19" s="58">
        <f>(D19/B19)</f>
        <v/>
      </c>
      <c r="D19" s="58" t="n">
        <v>41.7</v>
      </c>
      <c r="E19" t="inlineStr">
        <is>
          <t>DCA2</t>
        </is>
      </c>
      <c r="O19" s="58" t="n"/>
      <c r="P19" s="58">
        <f>(SUM(P14:P17))</f>
        <v/>
      </c>
      <c r="R19" s="24">
        <f>(B26+B27)+B43+B44</f>
        <v/>
      </c>
      <c r="S19" s="58" t="n">
        <v>0</v>
      </c>
      <c r="T19" s="58">
        <f>(D26+D27)+D43+D44</f>
        <v/>
      </c>
      <c r="U19" t="inlineStr">
        <is>
          <t>DCA2*</t>
        </is>
      </c>
      <c r="V19" s="59">
        <f>-T19+R19*$J$3</f>
        <v/>
      </c>
    </row>
    <row r="20">
      <c r="B20" s="24" t="n">
        <v>0.0414744</v>
      </c>
      <c r="C20" s="58">
        <f>(D20/B20)</f>
        <v/>
      </c>
      <c r="D20" s="58" t="n">
        <v>0.5</v>
      </c>
      <c r="E20" s="58" t="n"/>
      <c r="N20" s="24" t="n"/>
      <c r="O20" s="58" t="n"/>
      <c r="P20" s="58" t="n"/>
      <c r="R20" s="24">
        <f>(B28+B25+B33+B34+B29+B35)</f>
        <v/>
      </c>
      <c r="S20" s="58" t="n">
        <v>0</v>
      </c>
      <c r="T20" s="58">
        <f>(D28+D25+D33+D34+D29+D35)</f>
        <v/>
      </c>
      <c r="U20" t="inlineStr">
        <is>
          <t>Ph*</t>
        </is>
      </c>
      <c r="V20" s="59">
        <f>-T20+R20*$J$3</f>
        <v/>
      </c>
    </row>
    <row r="21">
      <c r="B21" s="24" t="n">
        <v>-0.2809</v>
      </c>
      <c r="C21" s="58">
        <f>(D21/B21)</f>
        <v/>
      </c>
      <c r="D21" s="58" t="n">
        <v>-4.2022</v>
      </c>
      <c r="E21" s="58" t="n"/>
      <c r="O21" s="58" t="n"/>
      <c r="P21" s="58" t="n"/>
      <c r="R21" s="24">
        <f>B31+B24+B30+B32</f>
        <v/>
      </c>
      <c r="S21" s="58" t="n">
        <v>0</v>
      </c>
      <c r="T21" s="58">
        <f>D31+D24+D30+D32</f>
        <v/>
      </c>
      <c r="U21" t="inlineStr">
        <is>
          <t>DCA1*</t>
        </is>
      </c>
      <c r="V21" s="59">
        <f>-T21+R21*$J$3</f>
        <v/>
      </c>
    </row>
    <row r="22">
      <c r="B22" s="24" t="n">
        <v>-0.07144</v>
      </c>
      <c r="C22" s="58">
        <f>(D22/B22)</f>
        <v/>
      </c>
      <c r="D22" s="58" t="n">
        <v>-1.16310352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9">
        <f>T22/R22</f>
        <v/>
      </c>
      <c r="T22" s="59">
        <f>D36</f>
        <v/>
      </c>
      <c r="U22" t="inlineStr">
        <is>
          <t>Ph 2/5</t>
        </is>
      </c>
    </row>
    <row r="23">
      <c r="B23" s="24" t="n">
        <v>-0.09811</v>
      </c>
      <c r="C23" s="58">
        <f>(D23/B23)</f>
        <v/>
      </c>
      <c r="D23" s="58" t="n">
        <v>-1.59267</v>
      </c>
      <c r="E23" s="58" t="n"/>
      <c r="M23" t="inlineStr">
        <is>
          <t>Objectif</t>
        </is>
      </c>
      <c r="N23" s="24">
        <f>(-B22)</f>
        <v/>
      </c>
      <c r="O23" s="58">
        <f>(C22)</f>
        <v/>
      </c>
      <c r="P23" s="58">
        <f>(O23*N23)</f>
        <v/>
      </c>
      <c r="Q23" t="inlineStr">
        <is>
          <t>Done</t>
        </is>
      </c>
      <c r="R23" s="24">
        <f>B37-B37</f>
        <v/>
      </c>
      <c r="S23" s="59" t="n">
        <v>0</v>
      </c>
      <c r="T23" s="58">
        <f>D37-B37*19.42078</f>
        <v/>
      </c>
      <c r="U23" t="inlineStr">
        <is>
          <t>DCA1 2/5</t>
        </is>
      </c>
    </row>
    <row r="24">
      <c r="B24" s="24" t="n">
        <v>-0.31</v>
      </c>
      <c r="C24" s="58">
        <f>(D24/B24)</f>
        <v/>
      </c>
      <c r="D24" s="58" t="n">
        <v>-5.704</v>
      </c>
      <c r="E24" s="58" t="n"/>
      <c r="N24" s="24">
        <f>-B39</f>
        <v/>
      </c>
      <c r="O24" s="58">
        <f>($S$15*[1]Params!K9)</f>
        <v/>
      </c>
      <c r="P24" s="58">
        <f>(O24*N24)</f>
        <v/>
      </c>
      <c r="Q24" t="inlineStr">
        <is>
          <t>Done</t>
        </is>
      </c>
      <c r="R24" s="24">
        <f>B38</f>
        <v/>
      </c>
      <c r="S24" s="58">
        <f>T24/R24</f>
        <v/>
      </c>
      <c r="T24" s="58">
        <f>D38</f>
        <v/>
      </c>
      <c r="U24" t="inlineStr">
        <is>
          <t>Ph 3/5</t>
        </is>
      </c>
    </row>
    <row r="25">
      <c r="B25" s="24" t="n">
        <v>-0.098095</v>
      </c>
      <c r="C25" s="58">
        <f>(D25/B25)</f>
        <v/>
      </c>
      <c r="D25" s="58" t="n">
        <v>-2.16</v>
      </c>
      <c r="E25" s="58" t="n"/>
      <c r="N25" s="24">
        <f>0.382</f>
        <v/>
      </c>
      <c r="O25" s="58">
        <f>C40</f>
        <v/>
      </c>
      <c r="P25" s="58">
        <f>(O25*N25)</f>
        <v/>
      </c>
      <c r="Q25" t="inlineStr">
        <is>
          <t>Done</t>
        </is>
      </c>
      <c r="R25" s="24">
        <f>B39-B39</f>
        <v/>
      </c>
      <c r="S25" s="58" t="n">
        <v>0</v>
      </c>
      <c r="T25" s="58">
        <f>D39-B39*20.2393</f>
        <v/>
      </c>
      <c r="U25" t="inlineStr">
        <is>
          <t>DCA2 2/5</t>
        </is>
      </c>
    </row>
    <row r="26">
      <c r="B26" s="24">
        <f>(-0.05715)</f>
        <v/>
      </c>
      <c r="C26" s="58">
        <f>(D26/B26)</f>
        <v/>
      </c>
      <c r="D26" s="58" t="n">
        <v>-1.25988073</v>
      </c>
      <c r="E26" s="58" t="n"/>
      <c r="N26" s="24">
        <f>4*($B$19+$R$19)/5-$N$25-$N$24-$N$23</f>
        <v/>
      </c>
      <c r="O26" s="58">
        <f>($S$15*[1]Params!K11)</f>
        <v/>
      </c>
      <c r="P26" s="58">
        <f>O26*N26</f>
        <v/>
      </c>
      <c r="R26" s="24">
        <f>N16-N16</f>
        <v/>
      </c>
      <c r="S26" s="58" t="n">
        <v>0</v>
      </c>
      <c r="T26" s="58">
        <f>-57.77+(N16)*19.42078</f>
        <v/>
      </c>
      <c r="U26" t="inlineStr">
        <is>
          <t>DCA1 3/5</t>
        </is>
      </c>
    </row>
    <row r="27">
      <c r="B27" s="24" t="n">
        <v>0.06353443</v>
      </c>
      <c r="C27" s="58">
        <f>(D27/B27)</f>
        <v/>
      </c>
      <c r="D27" s="58" t="n">
        <v>1.19</v>
      </c>
      <c r="E27" s="58" t="n"/>
      <c r="O27" s="58" t="n"/>
      <c r="P27" s="58" t="n"/>
      <c r="R27" s="24">
        <f>N25-N25</f>
        <v/>
      </c>
      <c r="S27" s="59" t="n">
        <v>0</v>
      </c>
      <c r="T27" s="59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8">
        <f>(D28/B28)</f>
        <v/>
      </c>
      <c r="D28" s="58" t="n">
        <v>2.04</v>
      </c>
      <c r="E28" s="58" t="n"/>
      <c r="O28" s="58" t="n"/>
      <c r="P28" s="58">
        <f>(SUM(P23:P26))</f>
        <v/>
      </c>
      <c r="R28" s="24">
        <f>B41</f>
        <v/>
      </c>
      <c r="S28" s="58">
        <f>C41</f>
        <v/>
      </c>
      <c r="T28" s="58">
        <f>D41</f>
        <v/>
      </c>
      <c r="U28" t="inlineStr">
        <is>
          <t>Ph 4/5</t>
        </is>
      </c>
    </row>
    <row r="29">
      <c r="B29" s="24" t="n">
        <v>-0.102</v>
      </c>
      <c r="C29" s="58">
        <f>(D29/B29)</f>
        <v/>
      </c>
      <c r="D29" s="58">
        <f>(-2.275+0.019338)</f>
        <v/>
      </c>
      <c r="E29" s="58" t="n"/>
      <c r="N29" s="24" t="n"/>
      <c r="R29" s="24">
        <f>B42-B42</f>
        <v/>
      </c>
      <c r="S29" s="58" t="n">
        <v>0</v>
      </c>
      <c r="T29" s="58">
        <f>-P17+N17*20.2879</f>
        <v/>
      </c>
      <c r="U29" t="inlineStr">
        <is>
          <t>DCA1 4/5</t>
        </is>
      </c>
    </row>
    <row r="30">
      <c r="B30" s="24" t="n">
        <v>0.11322</v>
      </c>
      <c r="C30" s="58">
        <f>(D30/B30)</f>
        <v/>
      </c>
      <c r="D30" s="58" t="n">
        <v>2.13</v>
      </c>
      <c r="E30" s="58" t="n"/>
      <c r="N30" s="24" t="n"/>
      <c r="P30" s="24" t="n"/>
      <c r="R30" s="24" t="n"/>
      <c r="S30" s="58" t="n"/>
      <c r="T30" s="58" t="n"/>
    </row>
    <row r="31">
      <c r="B31" s="24" t="n">
        <v>0.34735262</v>
      </c>
      <c r="C31" s="58">
        <f>(D31/B31)</f>
        <v/>
      </c>
      <c r="D31" s="58" t="n">
        <v>5.38</v>
      </c>
      <c r="E31" s="58" t="n"/>
      <c r="S31" s="58" t="n"/>
      <c r="T31" s="58" t="n"/>
    </row>
    <row r="32">
      <c r="B32" s="24" t="n">
        <v>-0.1055</v>
      </c>
      <c r="C32" s="58">
        <f>(D32/B32)</f>
        <v/>
      </c>
      <c r="D32" s="58" t="n">
        <v>-2.26115192</v>
      </c>
      <c r="E32" s="58" t="n"/>
      <c r="S32" s="58" t="n"/>
      <c r="T32" s="58" t="n"/>
    </row>
    <row r="33">
      <c r="B33" s="24" t="n">
        <v>-0.1</v>
      </c>
      <c r="C33" s="58">
        <f>D33/B33</f>
        <v/>
      </c>
      <c r="D33" s="58">
        <f>-2.8715+0.024408</f>
        <v/>
      </c>
      <c r="E33" s="58" t="n"/>
      <c r="S33" s="58" t="n"/>
      <c r="T33" s="58" t="n"/>
      <c r="U33" s="59" t="n"/>
    </row>
    <row r="34">
      <c r="B34" s="24">
        <f>0.11560694-0.00098265-0.0000162</f>
        <v/>
      </c>
      <c r="C34" s="58">
        <f>D34/B34</f>
        <v/>
      </c>
      <c r="D34" s="58" t="n">
        <v>2.68</v>
      </c>
      <c r="E34" s="58" t="n"/>
      <c r="S34" s="58" t="n"/>
      <c r="T34" s="58" t="n"/>
    </row>
    <row r="35">
      <c r="B35" s="24" t="n">
        <v>0.11518</v>
      </c>
      <c r="C35" s="58">
        <f>D35/B35</f>
        <v/>
      </c>
      <c r="D35" s="58" t="n">
        <v>2.13</v>
      </c>
      <c r="E35" s="58" t="n"/>
      <c r="F35" s="24" t="n"/>
      <c r="H35" s="59" t="n"/>
      <c r="J35" s="59" t="n"/>
      <c r="S35" s="58" t="n"/>
      <c r="T35" s="58" t="n"/>
    </row>
    <row r="36">
      <c r="B36" s="24" t="n">
        <v>-0.10885</v>
      </c>
      <c r="C36" s="58">
        <f>D36/B36</f>
        <v/>
      </c>
      <c r="D36" s="58" t="n">
        <v>-2.606</v>
      </c>
      <c r="E36" s="58" t="n"/>
      <c r="S36" s="58" t="n"/>
      <c r="T36" s="58" t="n"/>
    </row>
    <row r="37">
      <c r="B37" s="24" t="n">
        <v>-2.08</v>
      </c>
      <c r="C37" s="58">
        <f>D37/B37</f>
        <v/>
      </c>
      <c r="D37" s="58" t="n">
        <v>-65.30216475</v>
      </c>
      <c r="E37" s="58" t="n"/>
      <c r="S37" s="58" t="n"/>
      <c r="T37" s="58" t="n"/>
    </row>
    <row r="38">
      <c r="B38" s="24" t="n">
        <v>-0.1</v>
      </c>
      <c r="C38" s="58">
        <f>D38/B38</f>
        <v/>
      </c>
      <c r="D38" s="58">
        <f>-3.1462+0.026743</f>
        <v/>
      </c>
      <c r="E38" s="58" t="n"/>
      <c r="N38" s="24" t="n"/>
      <c r="P38" s="59" t="n"/>
      <c r="S38" s="58" t="n"/>
      <c r="T38" s="58" t="n"/>
    </row>
    <row r="39">
      <c r="B39" s="24" t="n">
        <v>-0.65</v>
      </c>
      <c r="C39" s="58">
        <f>D39/B39</f>
        <v/>
      </c>
      <c r="D39" s="58">
        <f>-21.40712492</f>
        <v/>
      </c>
      <c r="E39" s="58" t="n"/>
      <c r="N39" s="24">
        <f>N16+N25</f>
        <v/>
      </c>
      <c r="S39" s="58" t="n"/>
      <c r="T39" s="58" t="n"/>
    </row>
    <row r="40">
      <c r="B40" s="24" t="n">
        <v>-1.6148</v>
      </c>
      <c r="C40" s="58">
        <f>D40/B40</f>
        <v/>
      </c>
      <c r="D40" s="58" t="n">
        <v>-75.67129853</v>
      </c>
      <c r="E40" s="58" t="n"/>
      <c r="S40" s="58" t="n"/>
      <c r="T40" s="58" t="n"/>
    </row>
    <row r="41">
      <c r="B41" s="24" t="n">
        <v>-0.1088</v>
      </c>
      <c r="C41" s="58">
        <f>D41/B41</f>
        <v/>
      </c>
      <c r="D41" s="58">
        <f>-6.4064+0.054455</f>
        <v/>
      </c>
      <c r="E41" s="58" t="n"/>
      <c r="S41" s="58" t="n"/>
      <c r="T41" s="58" t="n"/>
    </row>
    <row r="42">
      <c r="B42" s="24" t="n">
        <v>-1.23</v>
      </c>
      <c r="C42" s="58">
        <f>D42/B42</f>
        <v/>
      </c>
      <c r="D42" s="58" t="n">
        <v>-136.74053841</v>
      </c>
      <c r="E42" s="58" t="n"/>
      <c r="S42" s="58" t="n"/>
      <c r="T42" s="58" t="n"/>
    </row>
    <row r="43">
      <c r="B43" s="24" t="n">
        <v>-0.375</v>
      </c>
      <c r="C43" s="58">
        <f>D43/B43</f>
        <v/>
      </c>
      <c r="D43" s="58" t="n">
        <v>-46.12956124</v>
      </c>
      <c r="E43" s="58" t="n"/>
      <c r="S43" s="58" t="n"/>
      <c r="T43" s="58" t="n"/>
    </row>
    <row r="44">
      <c r="B44" s="24" t="n">
        <v>0.42808296</v>
      </c>
      <c r="C44" s="58">
        <f>D44/B44</f>
        <v/>
      </c>
      <c r="D44" s="58" t="n">
        <v>43.5</v>
      </c>
      <c r="E44" s="58" t="n"/>
      <c r="S44" s="58" t="n"/>
      <c r="T44" s="58" t="n"/>
    </row>
    <row r="45">
      <c r="C45" s="58" t="n"/>
      <c r="D45" s="58" t="n"/>
      <c r="E45" s="58" t="n"/>
      <c r="S45" s="58" t="n"/>
      <c r="T45" s="58" t="n"/>
    </row>
    <row r="46">
      <c r="B46" s="24">
        <f>(SUM(B5:B45))</f>
        <v/>
      </c>
      <c r="C46" s="58" t="n"/>
      <c r="D46" s="58">
        <f>(SUM(D5:D45))</f>
        <v/>
      </c>
      <c r="E46" s="58" t="n"/>
      <c r="F46" t="inlineStr">
        <is>
          <t>Moy</t>
        </is>
      </c>
      <c r="G46" s="58">
        <f>(D46/B46)</f>
        <v/>
      </c>
      <c r="R46" s="24">
        <f>(SUM(R5:R36))</f>
        <v/>
      </c>
      <c r="S46" s="58" t="n"/>
      <c r="T46" s="58">
        <f>(SUM(T5:T36))</f>
        <v/>
      </c>
      <c r="V46" t="inlineStr">
        <is>
          <t>Moy</t>
        </is>
      </c>
      <c r="W46" s="58">
        <f>(T46/R46)</f>
        <v/>
      </c>
    </row>
    <row r="47">
      <c r="M47" s="24" t="n"/>
      <c r="S47" s="58" t="n"/>
      <c r="T47" s="58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9" t="n">
        <v>0.109207744164825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9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0.25532311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9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9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9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9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6.098044092696068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2.26391526</v>
      </c>
      <c r="C5" s="58">
        <f>(D5/B5)</f>
        <v/>
      </c>
      <c r="D5" s="58" t="n">
        <v>12.75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8">
        <f>(T5/R5)</f>
        <v/>
      </c>
      <c r="T5" s="58">
        <f>D5-5.49217*N6</f>
        <v/>
      </c>
    </row>
    <row r="6">
      <c r="B6" s="2" t="n">
        <v>0.00265794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-B7</f>
        <v/>
      </c>
      <c r="O6" s="79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2*($B$5+$B$6)/5-$N$6</f>
        <v/>
      </c>
      <c r="O7" s="79">
        <f>($C$5*[1]Params!K9)</f>
        <v/>
      </c>
      <c r="P7" s="58">
        <f>(O7*N7)</f>
        <v/>
      </c>
      <c r="R7" s="24">
        <f>B7-B7</f>
        <v/>
      </c>
      <c r="S7" s="58" t="n">
        <v>0</v>
      </c>
      <c r="T7" s="58">
        <f>D7-B7*5.49217</f>
        <v/>
      </c>
      <c r="U7" t="inlineStr">
        <is>
          <t>DCA4 1/5</t>
        </is>
      </c>
    </row>
    <row r="8">
      <c r="C8" s="58" t="n"/>
      <c r="D8" s="58" t="n"/>
      <c r="E8" s="58" t="n"/>
      <c r="G8" s="58" t="n"/>
      <c r="H8" s="58" t="n"/>
      <c r="J8" s="58" t="n"/>
      <c r="N8" s="1">
        <f>($B$5/5)</f>
        <v/>
      </c>
      <c r="O8" s="79">
        <f>($C$5*[1]Params!K10)</f>
        <v/>
      </c>
      <c r="P8" s="58">
        <f>(O8*N8)</f>
        <v/>
      </c>
      <c r="R8" s="19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($B$5/5)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0.5268933578736908</v>
      </c>
      <c r="M3" t="inlineStr">
        <is>
          <t>Objectif :</t>
        </is>
      </c>
      <c r="N3" s="19">
        <f>(INDEX(N5:N14,MATCH(MAX(O6:O7),O5:O14,0))/0.9)</f>
        <v/>
      </c>
      <c r="O3" s="86">
        <f>(MAX(O6:O7)*0.85)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8">
        <f>(T5/R5)</f>
        <v/>
      </c>
      <c r="T5" s="58">
        <f>(SUM(D5:D7))</f>
        <v/>
      </c>
    </row>
    <row r="6">
      <c r="B6" s="20" t="n">
        <v>0.8360297799999999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9" t="n">
        <v>1.46219147</v>
      </c>
      <c r="C7" s="58">
        <f>(D7/B7)</f>
        <v/>
      </c>
      <c r="D7" s="58" t="n">
        <v>0.5</v>
      </c>
      <c r="N7" s="19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9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9">
        <f>(B$14/3)</f>
        <v/>
      </c>
      <c r="O8" s="58">
        <f>($C$5*[1]Params!K10)</f>
        <v/>
      </c>
      <c r="P8" s="58">
        <f>(O8*N8)</f>
        <v/>
      </c>
      <c r="R8" s="19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9">
        <f>(B$14/3)</f>
        <v/>
      </c>
      <c r="O9" s="58">
        <f>($C$5*[1]Params!K11)</f>
        <v/>
      </c>
      <c r="P9" s="58">
        <f>(O9*N9)</f>
        <v/>
      </c>
    </row>
    <row r="10">
      <c r="B10" s="19" t="n">
        <v>12.15260941</v>
      </c>
      <c r="C10" s="58">
        <f>D10/B10</f>
        <v/>
      </c>
      <c r="D10" s="58" t="n">
        <v>8.029999999999999</v>
      </c>
    </row>
    <row r="11">
      <c r="B11" s="19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9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84"/>
    <col width="9.140625" customWidth="1" style="14" min="28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15.77330777062384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0.00174878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84"/>
    <col width="9.140625" customWidth="1" style="14" min="285" max="16384"/>
  </cols>
  <sheetData>
    <row r="1"/>
    <row r="2"/>
    <row r="3">
      <c r="I3" t="inlineStr">
        <is>
          <t>Actual Price :</t>
        </is>
      </c>
      <c r="J3" s="79" t="n">
        <v>2.729826951884387</v>
      </c>
      <c r="N3" s="19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" t="n">
        <v>0.00039989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9">
        <f>(B$14/5)</f>
        <v/>
      </c>
      <c r="O6" s="58">
        <f>($C$5*[1]Params!K8)</f>
        <v/>
      </c>
      <c r="P6" s="58">
        <f>(O6*N6)</f>
        <v/>
      </c>
      <c r="R6" s="19">
        <f>(B6)</f>
        <v/>
      </c>
      <c r="S6" s="58">
        <f>(C6)</f>
        <v/>
      </c>
      <c r="T6" s="58">
        <f>(D6)</f>
        <v/>
      </c>
    </row>
    <row r="7">
      <c r="B7" s="19" t="n"/>
      <c r="C7" s="58" t="n"/>
      <c r="D7" s="58" t="n"/>
      <c r="N7" s="19">
        <f>(B$14/5)</f>
        <v/>
      </c>
      <c r="O7" s="58">
        <f>($C$5*[1]Params!K9)</f>
        <v/>
      </c>
      <c r="P7" s="58">
        <f>(O7*N7)</f>
        <v/>
      </c>
      <c r="R7" s="19" t="n"/>
      <c r="S7" s="58" t="n"/>
      <c r="T7" s="59" t="n"/>
      <c r="U7" s="59" t="n"/>
    </row>
    <row r="8">
      <c r="C8" s="58" t="n"/>
      <c r="D8" s="58" t="n"/>
      <c r="N8" s="19">
        <f>(B$14/5)</f>
        <v/>
      </c>
      <c r="O8" s="58">
        <f>($C$5*[1]Params!K10)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9">
        <f>(B$14/5)</f>
        <v/>
      </c>
      <c r="O9" s="58">
        <f>($C$5*[1]Params!K11)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8" t="n">
        <v>0.3190776097949178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9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9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9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J4" sqref="J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766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0.004274395107531338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38.5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11.75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9.19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6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6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1" t="n"/>
      <c r="L43" s="72" t="n">
        <v>19.4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8" t="n">
        <v>1.14</v>
      </c>
      <c r="E60" s="65">
        <f>D60/C60</f>
        <v/>
      </c>
    </row>
    <row r="61">
      <c r="B61" s="8" t="n"/>
      <c r="C61" s="19" t="n">
        <v>130.53974622</v>
      </c>
      <c r="D61" s="78" t="n">
        <v>1.179312</v>
      </c>
      <c r="E61" s="65">
        <f>D61/C61</f>
        <v/>
      </c>
    </row>
    <row r="62">
      <c r="B62" s="8" t="n"/>
      <c r="C62" s="19" t="n">
        <v>167.40487412</v>
      </c>
      <c r="D62" s="78" t="n">
        <v>1.05481</v>
      </c>
      <c r="E62" s="65">
        <f>D62/C62</f>
        <v/>
      </c>
    </row>
    <row r="63">
      <c r="B63" s="8" t="n"/>
      <c r="C63" s="19" t="n">
        <v>167.96828</v>
      </c>
      <c r="D63" s="78">
        <f>1.0512-0.00017</f>
        <v/>
      </c>
      <c r="E63" s="65">
        <f>D63/C63</f>
        <v/>
      </c>
    </row>
    <row r="64">
      <c r="B64" s="8" t="n"/>
      <c r="C64" s="19" t="n">
        <v>123.66</v>
      </c>
      <c r="D64" s="78" t="n">
        <v>1.049</v>
      </c>
      <c r="E64" s="65">
        <f>D64/C64</f>
        <v/>
      </c>
    </row>
    <row r="65">
      <c r="B65" s="8" t="n"/>
      <c r="C65" s="19" t="n">
        <v>149.5</v>
      </c>
      <c r="D65" s="78" t="n">
        <v>1.17</v>
      </c>
      <c r="E65" s="65">
        <f>D65/C65</f>
        <v/>
      </c>
    </row>
    <row r="66">
      <c r="B66" s="8" t="n"/>
      <c r="C66" s="19" t="n">
        <v>170.62</v>
      </c>
      <c r="D66" s="78" t="n">
        <v>1.158</v>
      </c>
      <c r="E66" s="65">
        <f>D66/C66</f>
        <v/>
      </c>
    </row>
    <row r="67">
      <c r="B67" s="8" t="n"/>
      <c r="C67" s="19" t="n">
        <v>192.66</v>
      </c>
      <c r="D67" s="78" t="n">
        <v>1.09</v>
      </c>
      <c r="E67" s="65">
        <f>D67/C67</f>
        <v/>
      </c>
    </row>
    <row r="68">
      <c r="B68" s="8" t="n"/>
      <c r="C68" s="19" t="n">
        <v>257.34</v>
      </c>
      <c r="D68" s="78" t="n">
        <v>1.13</v>
      </c>
      <c r="E68" s="65">
        <f>(D68/C68)</f>
        <v/>
      </c>
    </row>
    <row r="69">
      <c r="B69" s="8" t="n"/>
      <c r="C69" s="19" t="n">
        <v>312.13</v>
      </c>
      <c r="D69" s="78" t="n">
        <v>0.82</v>
      </c>
      <c r="E69" s="65">
        <f>(D69/C69)</f>
        <v/>
      </c>
    </row>
    <row r="70">
      <c r="B70" s="8" t="n"/>
      <c r="C70" s="19" t="n">
        <v>352.461</v>
      </c>
      <c r="D70" s="78" t="n">
        <v>1.2074</v>
      </c>
      <c r="E70" s="65">
        <f>(D70/C70)</f>
        <v/>
      </c>
    </row>
    <row r="71">
      <c r="B71" s="8" t="n"/>
      <c r="C71" s="19" t="n">
        <v>263.04</v>
      </c>
      <c r="D71" s="78" t="n">
        <v>1.0588</v>
      </c>
      <c r="E71" s="65">
        <f>(D71/C71)</f>
        <v/>
      </c>
    </row>
    <row r="72">
      <c r="B72" s="8" t="n"/>
      <c r="C72" s="19" t="n">
        <v>359.00496</v>
      </c>
      <c r="D72" s="78" t="n">
        <v>1.1195</v>
      </c>
      <c r="E72" s="65">
        <f>(D72/C72)</f>
        <v/>
      </c>
    </row>
    <row r="73">
      <c r="B73" s="8" t="n"/>
      <c r="C73" s="19" t="n">
        <v>327.91</v>
      </c>
      <c r="D73" s="78" t="n">
        <v>1.0785</v>
      </c>
      <c r="E73" s="65">
        <f>(D73/C73)</f>
        <v/>
      </c>
    </row>
    <row r="74">
      <c r="B74" s="8" t="n"/>
      <c r="C74" s="19" t="n">
        <v>925.39</v>
      </c>
      <c r="D74" s="78" t="n">
        <v>3.1734</v>
      </c>
      <c r="E74" s="65">
        <f>(D74/C74)</f>
        <v/>
      </c>
    </row>
    <row r="75">
      <c r="B75" s="8" t="n"/>
      <c r="C75" s="19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(-235/3)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60" t="n">
        <v>0.01</v>
      </c>
      <c r="E5" s="60">
        <f>C5*D5</f>
        <v/>
      </c>
    </row>
    <row r="6">
      <c r="B6" t="inlineStr">
        <is>
          <t>Fico</t>
        </is>
      </c>
      <c r="C6">
        <f>48*(G3-2)</f>
        <v/>
      </c>
      <c r="D6" s="60" t="n">
        <v>0.0001424</v>
      </c>
      <c r="E6" s="60">
        <f>C6*D6</f>
        <v/>
      </c>
    </row>
    <row r="9">
      <c r="E9" s="60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91"/>
    <col width="9.140625" customWidth="1" style="14" min="29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7.885101349662268</v>
      </c>
      <c r="M3" t="inlineStr">
        <is>
          <t>Objectif :</t>
        </is>
      </c>
      <c r="N3" s="24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1.743e-05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0.4914690181482063</v>
      </c>
      <c r="M3" t="inlineStr">
        <is>
          <t>Objectif :</t>
        </is>
      </c>
      <c r="N3" s="24">
        <f>(INDEX(N5:N21,MATCH(MAX(O6:O7),O5:O21,0))/0.85)</f>
        <v/>
      </c>
      <c r="O3" s="59">
        <f>(MAX(O6:O7)*0.75)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0.75483821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117.68697785</v>
      </c>
      <c r="C7" s="58">
        <f>(D7/B7)</f>
        <v/>
      </c>
      <c r="D7" s="58" t="n">
        <v>41.7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2024-01-22T15:55:26Z</dcterms:modified>
  <cp:lastModifiedBy>Tiko</cp:lastModifiedBy>
</cp:coreProperties>
</file>