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4" i="32"/>
  <c r="C12"/>
  <c r="D11"/>
  <c r="D14" s="1"/>
  <c r="G13" s="1"/>
  <c r="C11"/>
  <c r="C10"/>
  <c r="T9"/>
  <c r="S9" s="1"/>
  <c r="R9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41" i="28"/>
  <c r="C41" s="1"/>
  <c r="S28" s="1"/>
  <c r="C40"/>
  <c r="D39"/>
  <c r="C39" s="1"/>
  <c r="D38"/>
  <c r="C38" s="1"/>
  <c r="O8" s="1"/>
  <c r="C37"/>
  <c r="C36"/>
  <c r="C35"/>
  <c r="B34"/>
  <c r="C34" s="1"/>
  <c r="D33"/>
  <c r="C33"/>
  <c r="C32"/>
  <c r="C31"/>
  <c r="C30"/>
  <c r="D29"/>
  <c r="C29" s="1"/>
  <c r="T28"/>
  <c r="R28"/>
  <c r="C28"/>
  <c r="B28"/>
  <c r="C27"/>
  <c r="C26"/>
  <c r="B26"/>
  <c r="T25"/>
  <c r="R25"/>
  <c r="O25"/>
  <c r="N25"/>
  <c r="P25" s="1"/>
  <c r="T27" s="1"/>
  <c r="C25"/>
  <c r="T24"/>
  <c r="S24" s="1"/>
  <c r="R24"/>
  <c r="N24"/>
  <c r="C24"/>
  <c r="T23"/>
  <c r="R23"/>
  <c r="N23"/>
  <c r="C23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O16"/>
  <c r="N16"/>
  <c r="R26" s="1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P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3" i="27"/>
  <c r="B13"/>
  <c r="G12"/>
  <c r="N9"/>
  <c r="N8"/>
  <c r="N7"/>
  <c r="N6"/>
  <c r="E6"/>
  <c r="D6"/>
  <c r="C5"/>
  <c r="O8" s="1"/>
  <c r="P8" s="1"/>
  <c r="J4"/>
  <c r="K4" s="1"/>
  <c r="B21" i="26"/>
  <c r="C19"/>
  <c r="E18"/>
  <c r="C18"/>
  <c r="C17"/>
  <c r="C16"/>
  <c r="C15"/>
  <c r="P14"/>
  <c r="N14"/>
  <c r="C14"/>
  <c r="C13"/>
  <c r="C12"/>
  <c r="T11"/>
  <c r="R11"/>
  <c r="C11"/>
  <c r="T10"/>
  <c r="S10" s="1"/>
  <c r="R10"/>
  <c r="C10"/>
  <c r="R9"/>
  <c r="N9" s="1"/>
  <c r="D9"/>
  <c r="D21" s="1"/>
  <c r="G20" s="1"/>
  <c r="T8"/>
  <c r="R8"/>
  <c r="N17" s="1"/>
  <c r="C8"/>
  <c r="T7"/>
  <c r="R7"/>
  <c r="E7"/>
  <c r="U6"/>
  <c r="T6"/>
  <c r="S6" s="1"/>
  <c r="O15" s="1"/>
  <c r="R6"/>
  <c r="R24" s="1"/>
  <c r="P6"/>
  <c r="O6"/>
  <c r="N6"/>
  <c r="C6"/>
  <c r="O17" s="1"/>
  <c r="P17" s="1"/>
  <c r="T5"/>
  <c r="S5"/>
  <c r="R5"/>
  <c r="C5"/>
  <c r="O9" s="1"/>
  <c r="P9" s="1"/>
  <c r="J4"/>
  <c r="K4" s="1"/>
  <c r="B10" i="25"/>
  <c r="N9" s="1"/>
  <c r="N7"/>
  <c r="E7"/>
  <c r="D7"/>
  <c r="E6"/>
  <c r="D6"/>
  <c r="D10" s="1"/>
  <c r="G9" s="1"/>
  <c r="C5"/>
  <c r="O9" s="1"/>
  <c r="P9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E37" i="23"/>
  <c r="C37"/>
  <c r="E36"/>
  <c r="C36"/>
  <c r="C35"/>
  <c r="B35"/>
  <c r="C34"/>
  <c r="C33"/>
  <c r="B32"/>
  <c r="E32" s="1"/>
  <c r="C31"/>
  <c r="C30"/>
  <c r="C29"/>
  <c r="C28"/>
  <c r="T27"/>
  <c r="S27"/>
  <c r="R27"/>
  <c r="C27"/>
  <c r="T26"/>
  <c r="S26"/>
  <c r="R26"/>
  <c r="D26"/>
  <c r="B26"/>
  <c r="T25"/>
  <c r="R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N12"/>
  <c r="C12"/>
  <c r="R11"/>
  <c r="S11" s="1"/>
  <c r="C11"/>
  <c r="S10"/>
  <c r="R10"/>
  <c r="C10"/>
  <c r="B9"/>
  <c r="R9" s="1"/>
  <c r="S9" s="1"/>
  <c r="R8"/>
  <c r="S8" s="1"/>
  <c r="C8"/>
  <c r="T7"/>
  <c r="R7"/>
  <c r="D7"/>
  <c r="R6"/>
  <c r="T6" s="1"/>
  <c r="D6"/>
  <c r="D39" s="1"/>
  <c r="R5"/>
  <c r="D5"/>
  <c r="D19" i="22"/>
  <c r="D18"/>
  <c r="D17"/>
  <c r="D16"/>
  <c r="D15"/>
  <c r="D14"/>
  <c r="D13"/>
  <c r="D12"/>
  <c r="D11"/>
  <c r="D10"/>
  <c r="D9"/>
  <c r="D8"/>
  <c r="B7"/>
  <c r="B21" s="1"/>
  <c r="J4" s="1"/>
  <c r="E6"/>
  <c r="D6"/>
  <c r="D5"/>
  <c r="D21" s="1"/>
  <c r="B15" i="21"/>
  <c r="C13"/>
  <c r="C12"/>
  <c r="C11"/>
  <c r="C10"/>
  <c r="C9"/>
  <c r="T8"/>
  <c r="R8"/>
  <c r="U8" s="1"/>
  <c r="C8"/>
  <c r="T7"/>
  <c r="S7" s="1"/>
  <c r="R7"/>
  <c r="R21" s="1"/>
  <c r="C7"/>
  <c r="O9" s="1"/>
  <c r="R6"/>
  <c r="N6"/>
  <c r="E6"/>
  <c r="D6"/>
  <c r="D15" s="1"/>
  <c r="G14" s="1"/>
  <c r="T5"/>
  <c r="S5"/>
  <c r="R5"/>
  <c r="N9" s="1"/>
  <c r="C5"/>
  <c r="J4"/>
  <c r="K4" s="1"/>
  <c r="B11" i="20"/>
  <c r="R9"/>
  <c r="R22" s="1"/>
  <c r="D9"/>
  <c r="T9" s="1"/>
  <c r="T8"/>
  <c r="R8"/>
  <c r="N8"/>
  <c r="C8"/>
  <c r="T7"/>
  <c r="R7"/>
  <c r="O7"/>
  <c r="D7"/>
  <c r="C7"/>
  <c r="R6"/>
  <c r="P6"/>
  <c r="O6"/>
  <c r="N6"/>
  <c r="N7" s="1"/>
  <c r="E6"/>
  <c r="D6"/>
  <c r="D11" s="1"/>
  <c r="G10" s="1"/>
  <c r="T5"/>
  <c r="S5"/>
  <c r="R5"/>
  <c r="C5"/>
  <c r="O9" s="1"/>
  <c r="J4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D7"/>
  <c r="C7" s="1"/>
  <c r="N6"/>
  <c r="E6"/>
  <c r="D6"/>
  <c r="D13" s="1"/>
  <c r="G12" s="1"/>
  <c r="J4"/>
  <c r="D11" i="16"/>
  <c r="C10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O6"/>
  <c r="O3" s="1"/>
  <c r="P3" s="1"/>
  <c r="N6"/>
  <c r="E6"/>
  <c r="D6"/>
  <c r="T5"/>
  <c r="R5"/>
  <c r="R13" s="1"/>
  <c r="C5"/>
  <c r="N3"/>
  <c r="B13" i="15"/>
  <c r="O9"/>
  <c r="P8"/>
  <c r="N8"/>
  <c r="O7"/>
  <c r="N6"/>
  <c r="E6"/>
  <c r="D6"/>
  <c r="D13" s="1"/>
  <c r="G12" s="1"/>
  <c r="C5"/>
  <c r="O8" s="1"/>
  <c r="N24" i="14"/>
  <c r="N22"/>
  <c r="N17"/>
  <c r="B17"/>
  <c r="N16"/>
  <c r="C15"/>
  <c r="D14"/>
  <c r="C14" s="1"/>
  <c r="C13"/>
  <c r="C12"/>
  <c r="C11"/>
  <c r="S8" s="1"/>
  <c r="O6" s="1"/>
  <c r="P6" s="1"/>
  <c r="R10"/>
  <c r="E10"/>
  <c r="S9"/>
  <c r="R9"/>
  <c r="N15" s="1"/>
  <c r="D9"/>
  <c r="R8"/>
  <c r="N9" s="1"/>
  <c r="N8"/>
  <c r="J8"/>
  <c r="J9" s="1"/>
  <c r="E8"/>
  <c r="S7"/>
  <c r="R7"/>
  <c r="T7" s="1"/>
  <c r="N7"/>
  <c r="E7"/>
  <c r="S6"/>
  <c r="R6"/>
  <c r="T6" s="1"/>
  <c r="N6"/>
  <c r="D6"/>
  <c r="R5"/>
  <c r="D5"/>
  <c r="J4"/>
  <c r="R15" i="13"/>
  <c r="D13"/>
  <c r="B13"/>
  <c r="G12" s="1"/>
  <c r="C11"/>
  <c r="C10"/>
  <c r="O9"/>
  <c r="C9"/>
  <c r="O8"/>
  <c r="C8"/>
  <c r="O7"/>
  <c r="C7"/>
  <c r="T6"/>
  <c r="R6"/>
  <c r="O6"/>
  <c r="C6"/>
  <c r="T5"/>
  <c r="T15" s="1"/>
  <c r="S5"/>
  <c r="R5"/>
  <c r="C5"/>
  <c r="J4"/>
  <c r="K4" s="1"/>
  <c r="N23" i="12"/>
  <c r="P22"/>
  <c r="N22"/>
  <c r="N2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R11"/>
  <c r="C11"/>
  <c r="T10"/>
  <c r="R10"/>
  <c r="C10"/>
  <c r="T9"/>
  <c r="R9"/>
  <c r="C9"/>
  <c r="U8"/>
  <c r="T8"/>
  <c r="R8"/>
  <c r="P8"/>
  <c r="O8"/>
  <c r="N8"/>
  <c r="C8"/>
  <c r="T7"/>
  <c r="V7" s="1"/>
  <c r="R7"/>
  <c r="P7"/>
  <c r="N7"/>
  <c r="C7"/>
  <c r="T6"/>
  <c r="S6" s="1"/>
  <c r="O9" s="1"/>
  <c r="R6"/>
  <c r="O6"/>
  <c r="P6" s="1"/>
  <c r="N6"/>
  <c r="E6"/>
  <c r="D6"/>
  <c r="T5"/>
  <c r="R5"/>
  <c r="R19" s="1"/>
  <c r="C5"/>
  <c r="J4"/>
  <c r="B14" i="11"/>
  <c r="J4" s="1"/>
  <c r="K4" s="1"/>
  <c r="O9"/>
  <c r="P9" s="1"/>
  <c r="N9"/>
  <c r="N8"/>
  <c r="O7"/>
  <c r="P7" s="1"/>
  <c r="N7"/>
  <c r="E7"/>
  <c r="D7"/>
  <c r="N6"/>
  <c r="E6"/>
  <c r="D6"/>
  <c r="D14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E6"/>
  <c r="D6"/>
  <c r="D14" s="1"/>
  <c r="G13" s="1"/>
  <c r="T5"/>
  <c r="T14" s="1"/>
  <c r="R5"/>
  <c r="C5"/>
  <c r="J4"/>
  <c r="B14" i="9"/>
  <c r="C10"/>
  <c r="N9"/>
  <c r="C9"/>
  <c r="N8"/>
  <c r="C8"/>
  <c r="T7"/>
  <c r="R7"/>
  <c r="N7"/>
  <c r="C7"/>
  <c r="R6"/>
  <c r="R17" s="1"/>
  <c r="O6"/>
  <c r="E6"/>
  <c r="U6" s="1"/>
  <c r="D6"/>
  <c r="D14" s="1"/>
  <c r="G13" s="1"/>
  <c r="T5"/>
  <c r="R5"/>
  <c r="C5"/>
  <c r="O9" s="1"/>
  <c r="P9" s="1"/>
  <c r="B13" i="8"/>
  <c r="C11"/>
  <c r="C10"/>
  <c r="T9"/>
  <c r="R9"/>
  <c r="P9"/>
  <c r="N9"/>
  <c r="C9"/>
  <c r="T8"/>
  <c r="R8"/>
  <c r="O8"/>
  <c r="C8"/>
  <c r="T7"/>
  <c r="S7"/>
  <c r="O7" s="1"/>
  <c r="N3" s="1"/>
  <c r="R7"/>
  <c r="P7"/>
  <c r="N7"/>
  <c r="N8" s="1"/>
  <c r="C7"/>
  <c r="O9" s="1"/>
  <c r="R6"/>
  <c r="U6" s="1"/>
  <c r="P6"/>
  <c r="O6"/>
  <c r="O3" s="1"/>
  <c r="N6"/>
  <c r="E6"/>
  <c r="D6"/>
  <c r="D13" s="1"/>
  <c r="T5"/>
  <c r="S5" s="1"/>
  <c r="R5"/>
  <c r="R13" s="1"/>
  <c r="C5"/>
  <c r="J4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P35" s="1"/>
  <c r="N29"/>
  <c r="O23"/>
  <c r="P23" s="1"/>
  <c r="N23"/>
  <c r="O22"/>
  <c r="N22"/>
  <c r="P22" s="1"/>
  <c r="O21"/>
  <c r="P21" s="1"/>
  <c r="N21"/>
  <c r="O20"/>
  <c r="N20"/>
  <c r="P20" s="1"/>
  <c r="O14"/>
  <c r="N14"/>
  <c r="P14" s="1"/>
  <c r="O13"/>
  <c r="P13" s="1"/>
  <c r="N13"/>
  <c r="O12"/>
  <c r="N12"/>
  <c r="P12" s="1"/>
  <c r="O11"/>
  <c r="P11" s="1"/>
  <c r="P17" s="1"/>
  <c r="N11"/>
  <c r="B9"/>
  <c r="D7"/>
  <c r="N6"/>
  <c r="O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4" s="1"/>
  <c r="Y2"/>
  <c r="M75" i="2"/>
  <c r="M73"/>
  <c r="M68"/>
  <c r="M67"/>
  <c r="M66"/>
  <c r="N65"/>
  <c r="O65" s="1"/>
  <c r="M65"/>
  <c r="M60"/>
  <c r="M59"/>
  <c r="N57"/>
  <c r="M52"/>
  <c r="M51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 s="1"/>
  <c r="N52" s="1"/>
  <c r="O52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T8" i="14" l="1"/>
  <c r="O9" i="2"/>
  <c r="O14" s="1"/>
  <c r="N4"/>
  <c r="L40" i="5"/>
  <c r="M40" s="1"/>
  <c r="M39"/>
  <c r="G12" i="8"/>
  <c r="K4"/>
  <c r="M47" i="5"/>
  <c r="O36" i="1"/>
  <c r="O37"/>
  <c r="P37" s="1"/>
  <c r="O35"/>
  <c r="O34"/>
  <c r="O29"/>
  <c r="P29" s="1"/>
  <c r="O28"/>
  <c r="O27"/>
  <c r="O26"/>
  <c r="H37" i="5"/>
  <c r="I37" s="1"/>
  <c r="K37" s="1"/>
  <c r="H38"/>
  <c r="T10" i="1"/>
  <c r="S10" s="1"/>
  <c r="O22" i="2"/>
  <c r="O46"/>
  <c r="K4" i="4"/>
  <c r="P26"/>
  <c r="J14" i="5"/>
  <c r="K14" s="1"/>
  <c r="I35"/>
  <c r="K35" s="1"/>
  <c r="I38"/>
  <c r="K38" s="1"/>
  <c r="I41"/>
  <c r="K41" s="1"/>
  <c r="P3" i="8"/>
  <c r="P8"/>
  <c r="S5" i="9"/>
  <c r="O9" i="10"/>
  <c r="P9" s="1"/>
  <c r="O8"/>
  <c r="O6"/>
  <c r="G17" i="14"/>
  <c r="T5"/>
  <c r="O17"/>
  <c r="P17" s="1"/>
  <c r="O16"/>
  <c r="P16" s="1"/>
  <c r="C11" i="16"/>
  <c r="P6"/>
  <c r="N9" i="18"/>
  <c r="N8"/>
  <c r="N6"/>
  <c r="P7" i="20"/>
  <c r="N3"/>
  <c r="O7" i="24"/>
  <c r="O8"/>
  <c r="P8" s="1"/>
  <c r="O6"/>
  <c r="P6" s="1"/>
  <c r="T5" i="28"/>
  <c r="B39" i="1"/>
  <c r="B42" s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U7" i="10"/>
  <c r="N8"/>
  <c r="U5" i="12"/>
  <c r="N9"/>
  <c r="P9" s="1"/>
  <c r="P11" s="1"/>
  <c r="D19"/>
  <c r="P21"/>
  <c r="P25" s="1"/>
  <c r="U5" i="16"/>
  <c r="P6" i="18"/>
  <c r="N9" i="20"/>
  <c r="P9" s="1"/>
  <c r="K4" i="24"/>
  <c r="N6" i="9"/>
  <c r="J4"/>
  <c r="K4" s="1"/>
  <c r="N9" i="13"/>
  <c r="P9" s="1"/>
  <c r="N8"/>
  <c r="P8" s="1"/>
  <c r="N7"/>
  <c r="P7" s="1"/>
  <c r="N6"/>
  <c r="P6" s="1"/>
  <c r="P12" s="1"/>
  <c r="O9" i="14"/>
  <c r="P9" s="1"/>
  <c r="O8"/>
  <c r="P8" s="1"/>
  <c r="O7"/>
  <c r="P7" s="1"/>
  <c r="P11" s="1"/>
  <c r="N9" i="15"/>
  <c r="N7"/>
  <c r="P7" s="1"/>
  <c r="J4"/>
  <c r="K4" s="1"/>
  <c r="N9" i="16"/>
  <c r="P9" s="1"/>
  <c r="N8"/>
  <c r="J4"/>
  <c r="N9" i="17"/>
  <c r="N7"/>
  <c r="O26" i="28"/>
  <c r="P26" s="1"/>
  <c r="O24"/>
  <c r="P24" s="1"/>
  <c r="O3"/>
  <c r="P23"/>
  <c r="K4" i="29"/>
  <c r="G12"/>
  <c r="Q9"/>
  <c r="Q8"/>
  <c r="Q7"/>
  <c r="N26" i="1"/>
  <c r="N27"/>
  <c r="N28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P11" i="8"/>
  <c r="T6"/>
  <c r="T13" s="1"/>
  <c r="P6" i="9"/>
  <c r="K4" i="10"/>
  <c r="R14"/>
  <c r="N6"/>
  <c r="O7"/>
  <c r="G13" i="11"/>
  <c r="O7" i="12"/>
  <c r="N3" s="1"/>
  <c r="S8"/>
  <c r="O23" s="1"/>
  <c r="P23" s="1"/>
  <c r="T11"/>
  <c r="T19" s="1"/>
  <c r="O3"/>
  <c r="R37" i="14"/>
  <c r="T10"/>
  <c r="O14"/>
  <c r="O15"/>
  <c r="P15" s="1"/>
  <c r="D17"/>
  <c r="K4" s="1"/>
  <c r="P9" i="15"/>
  <c r="P8" i="16"/>
  <c r="T8"/>
  <c r="S8" s="1"/>
  <c r="D14"/>
  <c r="G13" s="1"/>
  <c r="K4" i="17"/>
  <c r="P6"/>
  <c r="P7"/>
  <c r="P9"/>
  <c r="N7" i="18"/>
  <c r="P7" s="1"/>
  <c r="O8"/>
  <c r="P8" s="1"/>
  <c r="O9"/>
  <c r="P9" s="1"/>
  <c r="K4" i="19"/>
  <c r="K4" i="20"/>
  <c r="P9" i="21"/>
  <c r="T6" i="20"/>
  <c r="S6" s="1"/>
  <c r="O8"/>
  <c r="C9"/>
  <c r="O6" i="21"/>
  <c r="P6" s="1"/>
  <c r="T6"/>
  <c r="S6" s="1"/>
  <c r="N7"/>
  <c r="O8"/>
  <c r="C7" i="22"/>
  <c r="T5" i="23"/>
  <c r="T39" s="1"/>
  <c r="C9"/>
  <c r="O6" s="1"/>
  <c r="P6" s="1"/>
  <c r="R24"/>
  <c r="R39" s="1"/>
  <c r="C32"/>
  <c r="B39"/>
  <c r="N7" i="24"/>
  <c r="O14"/>
  <c r="P14" s="1"/>
  <c r="O16"/>
  <c r="P16" s="1"/>
  <c r="O17"/>
  <c r="P17" s="1"/>
  <c r="N6" i="25"/>
  <c r="O7"/>
  <c r="P7" s="1"/>
  <c r="N8"/>
  <c r="N7" i="26"/>
  <c r="N8"/>
  <c r="C9"/>
  <c r="T9"/>
  <c r="V9" s="1"/>
  <c r="O14"/>
  <c r="O3" s="1"/>
  <c r="O16"/>
  <c r="O7" i="27"/>
  <c r="P7" s="1"/>
  <c r="O9"/>
  <c r="P9" s="1"/>
  <c r="D5" i="28"/>
  <c r="D43" s="1"/>
  <c r="N9"/>
  <c r="P9" s="1"/>
  <c r="P11" s="1"/>
  <c r="T26"/>
  <c r="R27"/>
  <c r="R43" s="1"/>
  <c r="N39"/>
  <c r="B43"/>
  <c r="J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3" s="1"/>
  <c r="W33" s="1"/>
  <c r="O6"/>
  <c r="O8"/>
  <c r="P8" s="1"/>
  <c r="N9"/>
  <c r="P9" s="1"/>
  <c r="R33"/>
  <c r="O7" i="33"/>
  <c r="P7" s="1"/>
  <c r="O6" i="34"/>
  <c r="P6" s="1"/>
  <c r="O8"/>
  <c r="P8" s="1"/>
  <c r="O9"/>
  <c r="P9" s="1"/>
  <c r="T6" i="9"/>
  <c r="T17" s="1"/>
  <c r="O7"/>
  <c r="P7" s="1"/>
  <c r="O8"/>
  <c r="P8" s="1"/>
  <c r="U5" i="10"/>
  <c r="N7"/>
  <c r="O6" i="11"/>
  <c r="P6" s="1"/>
  <c r="P12" s="1"/>
  <c r="T9" i="14"/>
  <c r="N14"/>
  <c r="N23"/>
  <c r="N25"/>
  <c r="O6" i="15"/>
  <c r="P6" s="1"/>
  <c r="O6" i="19"/>
  <c r="P6" s="1"/>
  <c r="P11" s="1"/>
  <c r="O8"/>
  <c r="P8" s="1"/>
  <c r="O7" i="21"/>
  <c r="P7" s="1"/>
  <c r="N8"/>
  <c r="T6" i="24"/>
  <c r="T17" s="1"/>
  <c r="O6" i="25"/>
  <c r="P6" s="1"/>
  <c r="O8"/>
  <c r="P8" s="1"/>
  <c r="O7" i="26"/>
  <c r="P7" s="1"/>
  <c r="O8"/>
  <c r="P8" s="1"/>
  <c r="V8"/>
  <c r="N15"/>
  <c r="P15" s="1"/>
  <c r="N16"/>
  <c r="O6" i="27"/>
  <c r="P6" s="1"/>
  <c r="P11" s="1"/>
  <c r="P16" i="28"/>
  <c r="P19" s="1"/>
  <c r="O6" i="30"/>
  <c r="P6" s="1"/>
  <c r="P11" s="1"/>
  <c r="O8"/>
  <c r="P8" s="1"/>
  <c r="O7" i="31"/>
  <c r="P7" s="1"/>
  <c r="P11" s="1"/>
  <c r="O7" i="32"/>
  <c r="O6" i="33"/>
  <c r="P6" s="1"/>
  <c r="P11" s="1"/>
  <c r="O8"/>
  <c r="P8" s="1"/>
  <c r="K4" i="28" l="1"/>
  <c r="J12" i="1"/>
  <c r="J13" s="1"/>
  <c r="J4"/>
  <c r="O3" i="31"/>
  <c r="N3"/>
  <c r="O9" i="23"/>
  <c r="P9" s="1"/>
  <c r="J4"/>
  <c r="O6" i="17"/>
  <c r="P11"/>
  <c r="O21" i="1"/>
  <c r="P21" s="1"/>
  <c r="O19"/>
  <c r="P19" s="1"/>
  <c r="P23" s="1"/>
  <c r="O20"/>
  <c r="P20" s="1"/>
  <c r="O6"/>
  <c r="T37" i="14"/>
  <c r="S5"/>
  <c r="P11" i="34"/>
  <c r="N3" i="28"/>
  <c r="P3" s="1"/>
  <c r="P20" i="24"/>
  <c r="P8" i="21"/>
  <c r="G39" i="23"/>
  <c r="T22" i="20"/>
  <c r="P14" i="14"/>
  <c r="P19" s="1"/>
  <c r="P3" i="12"/>
  <c r="P7" i="10"/>
  <c r="P12" i="9"/>
  <c r="N3" i="26"/>
  <c r="P3" s="1"/>
  <c r="T21" i="21"/>
  <c r="P11" i="18"/>
  <c r="T43" i="28"/>
  <c r="W43" s="1"/>
  <c r="P11" i="24"/>
  <c r="P7"/>
  <c r="P12" i="16"/>
  <c r="P6" i="10"/>
  <c r="P27" i="1"/>
  <c r="P35"/>
  <c r="P36"/>
  <c r="P6" i="32"/>
  <c r="P13" s="1"/>
  <c r="N3"/>
  <c r="O3"/>
  <c r="P3" s="1"/>
  <c r="S5" i="31"/>
  <c r="T18"/>
  <c r="P8" i="20"/>
  <c r="P11" s="1"/>
  <c r="O3"/>
  <c r="P3" s="1"/>
  <c r="R22" i="2"/>
  <c r="M57"/>
  <c r="O57" s="1"/>
  <c r="D31"/>
  <c r="T22"/>
  <c r="T20"/>
  <c r="R20"/>
  <c r="G18" i="12"/>
  <c r="K4"/>
  <c r="D39" i="1"/>
  <c r="D42" s="1"/>
  <c r="T22"/>
  <c r="T18"/>
  <c r="T32" s="1"/>
  <c r="R18"/>
  <c r="N10"/>
  <c r="P10" s="1"/>
  <c r="R22"/>
  <c r="H42" i="5"/>
  <c r="I42" s="1"/>
  <c r="K42" s="1"/>
  <c r="H39"/>
  <c r="M4" i="2"/>
  <c r="O4" s="1"/>
  <c r="P11" i="26"/>
  <c r="P11" i="25"/>
  <c r="P11" i="15"/>
  <c r="P11" i="29"/>
  <c r="G43" i="28"/>
  <c r="P16" i="26"/>
  <c r="P19" s="1"/>
  <c r="P11" i="21"/>
  <c r="T24" i="26"/>
  <c r="P28" i="28"/>
  <c r="K4" i="16"/>
  <c r="T13"/>
  <c r="O74" i="2"/>
  <c r="O78" s="1"/>
  <c r="P8" i="10"/>
  <c r="P26" i="1"/>
  <c r="P31" s="1"/>
  <c r="P28"/>
  <c r="P34"/>
  <c r="P39" s="1"/>
  <c r="B37" i="2"/>
  <c r="D37"/>
  <c r="G36" l="1"/>
  <c r="H40" i="5"/>
  <c r="I40" s="1"/>
  <c r="K40" s="1"/>
  <c r="I39"/>
  <c r="K39" s="1"/>
  <c r="J13" s="1"/>
  <c r="N11" i="1"/>
  <c r="R32"/>
  <c r="M58" i="2"/>
  <c r="R36"/>
  <c r="O24" i="14"/>
  <c r="P24" s="1"/>
  <c r="O22"/>
  <c r="P22" s="1"/>
  <c r="O25"/>
  <c r="P25" s="1"/>
  <c r="O23"/>
  <c r="P23" s="1"/>
  <c r="N3" i="17"/>
  <c r="O3"/>
  <c r="P3" s="1"/>
  <c r="N3" i="1"/>
  <c r="P3" s="1"/>
  <c r="P3" i="31"/>
  <c r="K4" i="1"/>
  <c r="J4" i="2"/>
  <c r="J7"/>
  <c r="J8" s="1"/>
  <c r="G7" i="1"/>
  <c r="G41"/>
  <c r="S18"/>
  <c r="S20" i="2"/>
  <c r="T36"/>
  <c r="P11" i="10"/>
  <c r="P6" i="1"/>
  <c r="K4" i="2" l="1"/>
  <c r="O12" i="1"/>
  <c r="P12" s="1"/>
  <c r="O11"/>
  <c r="P11" s="1"/>
  <c r="O13"/>
  <c r="P13" s="1"/>
  <c r="N59" i="2"/>
  <c r="O59" s="1"/>
  <c r="N60"/>
  <c r="O60" s="1"/>
  <c r="N58"/>
  <c r="O58" s="1"/>
  <c r="O62" s="1"/>
  <c r="O47" i="5"/>
  <c r="P47" s="1"/>
  <c r="J15"/>
  <c r="J16" s="1"/>
  <c r="P27" i="14"/>
  <c r="P15" i="1" l="1"/>
</calcChain>
</file>

<file path=xl/sharedStrings.xml><?xml version="1.0" encoding="utf-8"?>
<sst xmlns="http://schemas.openxmlformats.org/spreadsheetml/2006/main" count="761" uniqueCount="96">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</sst>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3664000"/>
        <c:axId val="73665920"/>
      </c:lineChart>
      <c:dateAx>
        <c:axId val="73664000"/>
        <c:scaling>
          <c:orientation val="minMax"/>
        </c:scaling>
        <c:axPos val="b"/>
        <c:numFmt formatCode="dd/mm/yy;@" sourceLinked="1"/>
        <c:majorTickMark val="none"/>
        <c:tickLblPos val="nextTo"/>
        <c:crossAx val="73665920"/>
        <c:crosses val="autoZero"/>
        <c:lblOffset val="100"/>
      </c:dateAx>
      <c:valAx>
        <c:axId val="7366592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6640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7" workbookViewId="0">
      <selection activeCell="G47" sqref="G47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2248.83742924939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1207.9464736778302</v>
      </c>
      <c r="K4" s="4">
        <f>(J4/D42-1)</f>
        <v>-0.17396271644289518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2722.4405895644118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6.4015399999999998E-3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3.9319015999999998E-2</v>
      </c>
      <c r="O11" s="39">
        <f>($S$18*Params!K16)</f>
        <v>3327.1693318123475</v>
      </c>
      <c r="P11" s="23">
        <f>(O11*N11)</f>
        <v>130.82102419223901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6.4015399999999998E-3</v>
      </c>
      <c r="C12" s="40">
        <v>0</v>
      </c>
      <c r="D12" s="26">
        <f t="shared" si="0"/>
        <v>0</v>
      </c>
      <c r="E12" s="38">
        <f>(B12*J3)</f>
        <v>14.396022756837139</v>
      </c>
      <c r="I12" t="s">
        <v>13</v>
      </c>
      <c r="J12">
        <f>(J11-B42)</f>
        <v>6.2857360000000084E-2</v>
      </c>
      <c r="N12">
        <f>($B$35/5)</f>
        <v>2.1982008000000001E-2</v>
      </c>
      <c r="O12" s="39">
        <f>($S$18*Params!K17)</f>
        <v>6654.3386636246951</v>
      </c>
      <c r="P12" s="23">
        <f>(O12*N12)</f>
        <v>146.27572573850736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141.35598387180363</v>
      </c>
      <c r="N13">
        <f>($B$35/5)</f>
        <v>2.1982008000000001E-2</v>
      </c>
      <c r="O13" s="39">
        <f>($S$18*Params!K18)</f>
        <v>13308.67732724939</v>
      </c>
      <c r="P13" s="23">
        <f>(O13*N13)</f>
        <v>292.55145147701472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577.10342640776116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0.10526504</v>
      </c>
      <c r="S18" s="39">
        <f>(T18/R18)</f>
        <v>1663.5846659061738</v>
      </c>
      <c r="T18" s="23">
        <f>(D35+1283.68*B39)</f>
        <v>175.11730640000002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8.2713319999999993E-3</v>
      </c>
      <c r="O19" s="39">
        <f>($S$19*Params!K16)</f>
        <v>3404.9609561723664</v>
      </c>
      <c r="P19" s="23">
        <f>(O19*N19)</f>
        <v>28.163562515539091</v>
      </c>
      <c r="R19" s="24">
        <f>(B36+B38)</f>
        <v>2.1735829999999998E-2</v>
      </c>
      <c r="S19" s="39">
        <f>(T19/R19)</f>
        <v>1702.4804780861832</v>
      </c>
      <c r="T19" s="23">
        <f>(D36+1269.75*B38)</f>
        <v>37.004826250000001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4.488166E-3</v>
      </c>
      <c r="O20" s="39">
        <f>($S$19*Params!K17)</f>
        <v>6809.9219123447328</v>
      </c>
      <c r="P20" s="23">
        <f>(O20*N20)</f>
        <v>30.564059989640612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4.488166E-3</v>
      </c>
      <c r="O21" s="39">
        <f>($S$19*Params!K18)</f>
        <v>13619.843824689466</v>
      </c>
      <c r="P21" s="23">
        <f>(O21*N21)</f>
        <v>61.128119979281223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120.98726748446093</v>
      </c>
      <c r="R23" s="24">
        <f>(B40)</f>
        <v>5.0973659999999997E-2</v>
      </c>
      <c r="S23" s="39">
        <f>(T23/R23)</f>
        <v>1827.4143940223246</v>
      </c>
      <c r="T23" s="23">
        <f>(D40)</f>
        <v>93.15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0.53714264</v>
      </c>
      <c r="T32" s="23">
        <f>(SUM(T5:T31))</f>
        <v>1462.3389255217842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1.0194732E-2</v>
      </c>
      <c r="O34" s="39">
        <f>($S$23*Params!K15)</f>
        <v>2741.1215910334868</v>
      </c>
      <c r="P34" s="23">
        <f>(O34*N34)</f>
        <v>27.945</v>
      </c>
    </row>
    <row r="35" spans="2:16">
      <c r="B35" s="24">
        <v>0.10991004</v>
      </c>
      <c r="C35" s="39">
        <f>(D35/B35)</f>
        <v>1647.529197514622</v>
      </c>
      <c r="D35" s="23">
        <v>181.08</v>
      </c>
      <c r="E35" t="s">
        <v>10</v>
      </c>
      <c r="N35">
        <f>($R$23/5)</f>
        <v>1.0194732E-2</v>
      </c>
      <c r="O35" s="39">
        <f>($S$23*Params!K16)</f>
        <v>3654.8287880446492</v>
      </c>
      <c r="P35" s="23">
        <f>(O35*N35)</f>
        <v>37.26</v>
      </c>
    </row>
    <row r="36" spans="2:16">
      <c r="B36" s="24">
        <v>2.2440829999999998E-2</v>
      </c>
      <c r="C36" s="39">
        <f>(D36/B36)</f>
        <v>1688.8858388927683</v>
      </c>
      <c r="D36" s="23">
        <v>37.9</v>
      </c>
      <c r="E36" t="s">
        <v>15</v>
      </c>
      <c r="N36">
        <f>($R$23/5)</f>
        <v>1.0194732E-2</v>
      </c>
      <c r="O36" s="39">
        <f>($S$23*Params!K17)</f>
        <v>7309.6575760892983</v>
      </c>
      <c r="P36" s="23">
        <f>(O36*N36)</f>
        <v>74.52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1.0194732E-2</v>
      </c>
      <c r="O37" s="39">
        <f>($S$23*Params!K18)</f>
        <v>14619.315152178597</v>
      </c>
      <c r="P37" s="23">
        <f>(O37*N37)</f>
        <v>149.04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288.76499999999999</v>
      </c>
    </row>
    <row r="40" spans="2:16">
      <c r="B40" s="24">
        <v>5.0973659999999997E-2</v>
      </c>
      <c r="C40" s="39">
        <f>(D40/B40)</f>
        <v>1827.4143940223246</v>
      </c>
      <c r="D40" s="23">
        <v>93.15</v>
      </c>
      <c r="E40" t="s">
        <v>18</v>
      </c>
    </row>
    <row r="41" spans="2:16">
      <c r="F41" t="s">
        <v>9</v>
      </c>
      <c r="G41" s="39">
        <f>D42/B42</f>
        <v>2722.4405895644118</v>
      </c>
    </row>
    <row r="42" spans="2:16">
      <c r="B42">
        <f>(SUM(B5:B41))</f>
        <v>0.53714263999999989</v>
      </c>
      <c r="D42" s="23">
        <f>(SUM(D5:D41))</f>
        <v>1462.3389255217844</v>
      </c>
    </row>
  </sheetData>
  <conditionalFormatting sqref="C5:C7 C11 C18:C25 C27 C29 C31 C33 C35:C37 C40 N6 O11:O13 O19:O21 O26:O29 O34:O37 S5:S7 S10:S15 S18:S20 S23">
    <cfRule type="cellIs" dxfId="257" priority="37" operator="lessThan">
      <formula>$J$3</formula>
    </cfRule>
    <cfRule type="cellIs" dxfId="256" priority="38" operator="greaterThan">
      <formula>$J$3</formula>
    </cfRule>
  </conditionalFormatting>
  <conditionalFormatting sqref="G41">
    <cfRule type="cellIs" dxfId="255" priority="21" operator="lessThan">
      <formula>$J$3</formula>
    </cfRule>
    <cfRule type="cellIs" dxfId="254" priority="22" operator="greaterThan">
      <formula>$J$3</formula>
    </cfRule>
  </conditionalFormatting>
  <conditionalFormatting sqref="O3">
    <cfRule type="cellIs" dxfId="253" priority="9" operator="greaterThan">
      <formula>$J$3</formula>
    </cfRule>
    <cfRule type="cellIs" dxfId="25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1.6703209108565431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21.165162178705256</v>
      </c>
      <c r="K4" s="4">
        <f>(J4/D14-1)</f>
        <v>-0.43874496568585664</v>
      </c>
      <c r="R4" t="s">
        <v>5</v>
      </c>
      <c r="S4" t="s">
        <v>6</v>
      </c>
      <c r="T4" t="s">
        <v>7</v>
      </c>
    </row>
    <row r="5" spans="2:21">
      <c r="B5" s="29">
        <v>12.030312650000001</v>
      </c>
      <c r="C5" s="38">
        <f>(D5/B5)</f>
        <v>3.1503753146432145</v>
      </c>
      <c r="D5" s="38">
        <v>37.9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0.57506047000000005</v>
      </c>
      <c r="S5" s="40">
        <v>0</v>
      </c>
      <c r="T5" s="26">
        <f>(D6)</f>
        <v>0</v>
      </c>
      <c r="U5" s="38">
        <f>(R5*J3)</f>
        <v>0.9605355280479918</v>
      </c>
    </row>
    <row r="6" spans="2:21">
      <c r="B6" s="36">
        <v>0.57506047000000005</v>
      </c>
      <c r="C6" s="40">
        <v>0</v>
      </c>
      <c r="D6" s="26">
        <f>(B6*C6)</f>
        <v>0</v>
      </c>
      <c r="E6" s="38">
        <f>(B6*J3)</f>
        <v>0.9605355280479918</v>
      </c>
      <c r="M6" t="s">
        <v>11</v>
      </c>
      <c r="N6" s="29">
        <f>(SUM(R5:R7)/5)</f>
        <v>2.5342629720000001</v>
      </c>
      <c r="O6" s="38">
        <f>($C$5*Params!K8)</f>
        <v>4.0954879090361791</v>
      </c>
      <c r="P6" s="38">
        <f>(O6*N6)</f>
        <v>10.379043360144093</v>
      </c>
      <c r="R6" s="29">
        <f>(B5)</f>
        <v>12.030312650000001</v>
      </c>
      <c r="S6" s="38">
        <f>(T6/R6)</f>
        <v>3.1503753146432145</v>
      </c>
      <c r="T6" s="38">
        <f>(D5)</f>
        <v>37.9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2.5342629720000001</v>
      </c>
      <c r="O7" s="38">
        <f>($C$5*Params!K9)</f>
        <v>5.0406005034291432</v>
      </c>
      <c r="P7" s="38">
        <f>(O7*N7)</f>
        <v>12.774207212485036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0.29972545722026528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2.5342629720000001</v>
      </c>
      <c r="O8" s="38">
        <f>($C$5*Params!K10)</f>
        <v>6.9308256922150724</v>
      </c>
      <c r="P8" s="38">
        <f>(O8*N8)</f>
        <v>17.564534917166927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2.5342629720000001</v>
      </c>
      <c r="O9" s="38">
        <f>($C$5*Params!K11)</f>
        <v>12.601501258572858</v>
      </c>
      <c r="P9" s="38">
        <f>(O9*N9)</f>
        <v>31.935518031212592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72.653303521008652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2.9760461977818768</v>
      </c>
    </row>
    <row r="14" spans="2:21">
      <c r="B14" s="29">
        <f>(SUM(B5:B13))</f>
        <v>12.671314860000003</v>
      </c>
      <c r="D14" s="38">
        <f>(SUM(D5:D13))</f>
        <v>37.710418410000003</v>
      </c>
      <c r="R14" s="29">
        <f>(SUM(R5:R13))</f>
        <v>12.671314860000001</v>
      </c>
      <c r="T14" s="38">
        <f>(SUM(T5:T13))</f>
        <v>37.710418409999996</v>
      </c>
    </row>
    <row r="22" spans="4:4">
      <c r="D22" s="29"/>
    </row>
  </sheetData>
  <conditionalFormatting sqref="C5 C7:C12">
    <cfRule type="cellIs" dxfId="189" priority="7" operator="lessThan">
      <formula>$J$3</formula>
    </cfRule>
    <cfRule type="cellIs" dxfId="188" priority="8" operator="greaterThan">
      <formula>$J$3</formula>
    </cfRule>
  </conditionalFormatting>
  <conditionalFormatting sqref="O6:O9">
    <cfRule type="cellIs" dxfId="187" priority="5" operator="lessThan">
      <formula>$J$3</formula>
    </cfRule>
    <cfRule type="cellIs" dxfId="186" priority="6" operator="greaterThan">
      <formula>$J$3</formula>
    </cfRule>
  </conditionalFormatting>
  <conditionalFormatting sqref="S6:S7">
    <cfRule type="cellIs" dxfId="185" priority="3" operator="lessThan">
      <formula>$J$3</formula>
    </cfRule>
    <cfRule type="cellIs" dxfId="184" priority="4" operator="greaterThan">
      <formula>$J$3</formula>
    </cfRule>
  </conditionalFormatting>
  <conditionalFormatting sqref="G13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O6" sqref="O5: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10.02460356377374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12.264642631711702</v>
      </c>
      <c r="K4" s="4">
        <f>(J4/D14-1)</f>
        <v>0.1221082005225711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0.88152424070625712</v>
      </c>
      <c r="M6" t="s">
        <v>11</v>
      </c>
      <c r="N6" s="1">
        <f>(SUM($B$5:$B$7)/5)</f>
        <v>0.24469082600000003</v>
      </c>
      <c r="O6" s="38">
        <f>($C$5*Params!K8)</f>
        <v>12.800900900900901</v>
      </c>
      <c r="P6" s="38">
        <f>(O6*N6)</f>
        <v>3.1322630149855861</v>
      </c>
    </row>
    <row r="7" spans="2:16">
      <c r="B7" s="36">
        <v>2.5518059999999999E-2</v>
      </c>
      <c r="C7" s="40">
        <v>0</v>
      </c>
      <c r="D7" s="26">
        <f>(C7*B7)</f>
        <v>0</v>
      </c>
      <c r="E7" s="38">
        <f>(B7*J4)</f>
        <v>0.31296988655457708</v>
      </c>
      <c r="N7" s="1">
        <f>(SUM($B$5:$B$7)/5)</f>
        <v>0.24469082600000003</v>
      </c>
      <c r="O7" s="38">
        <f>($C$5*Params!K9)</f>
        <v>15.754954954954954</v>
      </c>
      <c r="P7" s="38">
        <f>(O7*N7)</f>
        <v>3.8550929415207209</v>
      </c>
    </row>
    <row r="8" spans="2:16">
      <c r="N8" s="1">
        <f>(SUM($B$5:$B$7)/5)</f>
        <v>0.24469082600000003</v>
      </c>
      <c r="O8" s="38">
        <f>($C$5*Params!K10)</f>
        <v>21.663063063063063</v>
      </c>
      <c r="P8" s="38">
        <f>(O8*N8)</f>
        <v>5.3007527945909914</v>
      </c>
    </row>
    <row r="9" spans="2:16">
      <c r="N9" s="1">
        <f>(SUM($B$5:$B$7)/5)</f>
        <v>0.24469082600000003</v>
      </c>
      <c r="O9" s="38">
        <f>($C$5*Params!K11)</f>
        <v>39.387387387387385</v>
      </c>
      <c r="P9" s="38">
        <f>(O9*N9)</f>
        <v>9.6377323538018018</v>
      </c>
    </row>
    <row r="12" spans="2:16">
      <c r="P12" s="38">
        <f>(SUM(P6:P9))</f>
        <v>21.925841104899099</v>
      </c>
    </row>
    <row r="13" spans="2:16">
      <c r="F13" t="s">
        <v>9</v>
      </c>
      <c r="G13" s="38">
        <f>(D14/B14)</f>
        <v>8.9337227542809465</v>
      </c>
    </row>
    <row r="14" spans="2:16">
      <c r="B14" s="19">
        <f>(SUM(B5:B13))</f>
        <v>1.2234541300000001</v>
      </c>
      <c r="D14" s="38">
        <f>(SUM(D5:D13))</f>
        <v>10.93</v>
      </c>
    </row>
  </sheetData>
  <conditionalFormatting sqref="C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O6:O9">
    <cfRule type="cellIs" dxfId="179" priority="3" operator="lessThan">
      <formula>$J$3</formula>
    </cfRule>
    <cfRule type="cellIs" dxfId="178" priority="4" operator="greaterThan">
      <formula>$J$3</formula>
    </cfRule>
  </conditionalFormatting>
  <conditionalFormatting sqref="G13">
    <cfRule type="cellIs" dxfId="177" priority="1" operator="lessThan">
      <formula>$J$3</formula>
    </cfRule>
    <cfRule type="cellIs" dxfId="17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D5" sqref="D5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35.901860339995501</v>
      </c>
      <c r="M3" t="s">
        <v>4</v>
      </c>
      <c r="N3" s="24">
        <f>(INDEX(N5:N23,MATCH(MAX(O20:O22,O6:O7),O5:O23,0))/0.9)</f>
        <v>0.15333333333333335</v>
      </c>
      <c r="O3" s="39">
        <f>(MAX(O20:O22,O6:O8)*0.85)</f>
        <v>30.745020976430972</v>
      </c>
      <c r="P3" s="3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46.767620482113514</v>
      </c>
      <c r="K4" s="4">
        <f>(J4/D19-1)</f>
        <v>-13.332993614753155</v>
      </c>
      <c r="R4" t="s">
        <v>5</v>
      </c>
      <c r="S4" t="s">
        <v>6</v>
      </c>
      <c r="T4" t="s">
        <v>7</v>
      </c>
    </row>
    <row r="5" spans="2:22">
      <c r="B5" s="24">
        <v>2.47802832</v>
      </c>
      <c r="C5" s="38">
        <f>(D5/B5)</f>
        <v>15.294417619892254</v>
      </c>
      <c r="D5" s="38">
        <v>37.9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1.5564069999999999E-2</v>
      </c>
      <c r="S5" s="40">
        <v>0</v>
      </c>
      <c r="T5" s="26">
        <f>(D6)</f>
        <v>0</v>
      </c>
      <c r="U5" s="38">
        <f>(R5*J3)</f>
        <v>0.55877906746191375</v>
      </c>
    </row>
    <row r="6" spans="2:22">
      <c r="B6" s="25">
        <v>1.5564069999999999E-2</v>
      </c>
      <c r="C6" s="40">
        <v>0</v>
      </c>
      <c r="D6" s="26">
        <f>(B6*C6)</f>
        <v>0</v>
      </c>
      <c r="E6" s="38">
        <f>(B6*J3)</f>
        <v>0.55877906746191375</v>
      </c>
      <c r="M6" t="s">
        <v>11</v>
      </c>
      <c r="N6" s="24">
        <f>($B$5+$R$7)/5</f>
        <v>0.50206508000000005</v>
      </c>
      <c r="O6" s="38">
        <f>($C$5*Params!K8)</f>
        <v>19.882742905859931</v>
      </c>
      <c r="P6" s="38">
        <f>(O6*N6)</f>
        <v>9.9824309076500004</v>
      </c>
      <c r="Q6" t="s">
        <v>12</v>
      </c>
      <c r="R6" s="24">
        <f>B5+B13+B15+B17</f>
        <v>0.9797283200000001</v>
      </c>
      <c r="S6" s="38">
        <f>(T6/R6)</f>
        <v>15.484020100592783</v>
      </c>
      <c r="T6" s="38">
        <f>D5-(-B13-B15)*15.13+B17*15.25</f>
        <v>15.170133</v>
      </c>
      <c r="U6" t="s">
        <v>15</v>
      </c>
    </row>
    <row r="7" spans="2:22">
      <c r="B7" s="24">
        <v>-7.17E-2</v>
      </c>
      <c r="C7" s="38">
        <f t="shared" ref="C7:C17" si="0">(D7/B7)</f>
        <v>15.79</v>
      </c>
      <c r="D7" s="38">
        <v>-1.1321429999999999</v>
      </c>
      <c r="N7" s="24">
        <f>-B15</f>
        <v>0.49669999999999997</v>
      </c>
      <c r="O7" s="38">
        <f>P7/N7</f>
        <v>24.414971270384541</v>
      </c>
      <c r="P7" s="38">
        <f>-D15</f>
        <v>12.126916230000001</v>
      </c>
      <c r="Q7" t="s">
        <v>12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1.3631801455496613</v>
      </c>
    </row>
    <row r="8" spans="2:22">
      <c r="B8">
        <v>-0.114356</v>
      </c>
      <c r="C8" s="38">
        <f t="shared" si="0"/>
        <v>20.563082741613908</v>
      </c>
      <c r="D8" s="38">
        <v>-2.3515118899999998</v>
      </c>
      <c r="N8" s="24">
        <f>-B17</f>
        <v>0.50490000000000002</v>
      </c>
      <c r="O8" s="38">
        <f>P8/N8</f>
        <v>36.170612913448203</v>
      </c>
      <c r="P8" s="38">
        <f>-D17</f>
        <v>18.262542459999999</v>
      </c>
      <c r="Q8" t="s">
        <v>12</v>
      </c>
      <c r="R8" s="24">
        <f>(B10)+B12+B14+B16</f>
        <v>0.27506226</v>
      </c>
      <c r="S8" s="38">
        <f>(T8/R8)</f>
        <v>14.313577587852288</v>
      </c>
      <c r="T8" s="38">
        <f>(D10)-(-B12-B14-B16)*14.31</f>
        <v>3.9371249999999991</v>
      </c>
      <c r="U8" t="str">
        <f>E10</f>
        <v>DCA4</v>
      </c>
    </row>
    <row r="9" spans="2:22">
      <c r="B9" s="24">
        <v>0.12727869999999999</v>
      </c>
      <c r="C9" s="38">
        <f t="shared" si="0"/>
        <v>17.442038612902241</v>
      </c>
      <c r="D9" s="38">
        <v>2.2200000000000002</v>
      </c>
      <c r="N9" s="24">
        <f>4*($B$5+$R$7+R5)/5-N6-N7-N8</f>
        <v>0.51704649600000019</v>
      </c>
      <c r="O9" s="38">
        <f>($S$6*Params!K11)</f>
        <v>61.936080402371132</v>
      </c>
      <c r="P9" s="38">
        <f>(O9*N9)</f>
        <v>32.023833348020275</v>
      </c>
      <c r="R9" s="24">
        <f t="shared" ref="R9:R14" si="1">B12-B12</f>
        <v>0</v>
      </c>
      <c r="S9" s="39">
        <v>0</v>
      </c>
      <c r="T9" s="39">
        <f>D12-B12*14.31</f>
        <v>-0.58156317999999962</v>
      </c>
    </row>
    <row r="10" spans="2:22">
      <c r="B10" s="24">
        <v>0.68756225999999998</v>
      </c>
      <c r="C10" s="38">
        <f t="shared" si="0"/>
        <v>14.311431229515128</v>
      </c>
      <c r="D10" s="38">
        <v>9.84</v>
      </c>
      <c r="E10" t="s">
        <v>81</v>
      </c>
      <c r="R10" s="24">
        <f t="shared" si="1"/>
        <v>0</v>
      </c>
      <c r="S10" s="39">
        <v>0</v>
      </c>
      <c r="T10" s="39">
        <f>D13-B13*15.13</f>
        <v>-3.3300066700000004</v>
      </c>
    </row>
    <row r="11" spans="2:22">
      <c r="B11" s="24">
        <v>9.1074379999999996E-2</v>
      </c>
      <c r="C11" s="38">
        <f t="shared" si="0"/>
        <v>11.638838496622212</v>
      </c>
      <c r="D11" s="38">
        <v>1.06</v>
      </c>
      <c r="P11" s="38">
        <f>(SUM(P6:P9))</f>
        <v>72.395722945670272</v>
      </c>
      <c r="R11" s="24">
        <f t="shared" si="1"/>
        <v>0</v>
      </c>
      <c r="S11" s="39">
        <v>0</v>
      </c>
      <c r="T11" s="39">
        <f>D14-B14*14.31</f>
        <v>-1.1646581099999997</v>
      </c>
    </row>
    <row r="12" spans="2:22">
      <c r="B12" s="24">
        <v>-0.13750000000000001</v>
      </c>
      <c r="C12" s="38">
        <f t="shared" si="0"/>
        <v>18.539550399999996</v>
      </c>
      <c r="D12" s="38">
        <v>-2.5491881799999998</v>
      </c>
      <c r="P12" s="38"/>
      <c r="R12" s="24">
        <f t="shared" si="1"/>
        <v>0</v>
      </c>
      <c r="S12" s="39">
        <v>0</v>
      </c>
      <c r="T12" s="39">
        <f>D15-B15*15.13</f>
        <v>-4.611845230000001</v>
      </c>
    </row>
    <row r="13" spans="2:22">
      <c r="B13" s="24">
        <v>-0.49669999999999997</v>
      </c>
      <c r="C13" s="38">
        <f t="shared" si="0"/>
        <v>21.834261465673446</v>
      </c>
      <c r="D13" s="38">
        <v>-10.84507767</v>
      </c>
      <c r="P13" s="38"/>
      <c r="R13" s="24">
        <f t="shared" si="1"/>
        <v>0</v>
      </c>
      <c r="S13" s="39">
        <v>0</v>
      </c>
      <c r="T13" s="39">
        <f>D16-B16*14.31</f>
        <v>-2.4447861399999997</v>
      </c>
    </row>
    <row r="14" spans="2:22">
      <c r="B14" s="24">
        <v>-0.13700000000000001</v>
      </c>
      <c r="C14" s="38">
        <f t="shared" si="0"/>
        <v>22.811154087591238</v>
      </c>
      <c r="D14" s="38">
        <f>-3.12512811</f>
        <v>-3.1251281099999999</v>
      </c>
      <c r="P14" s="38"/>
      <c r="R14" s="24">
        <f t="shared" si="1"/>
        <v>0</v>
      </c>
      <c r="T14" s="39">
        <f>D17-B17*15.25</f>
        <v>-10.562817459999998</v>
      </c>
    </row>
    <row r="15" spans="2:22">
      <c r="B15" s="24">
        <v>-0.49669999999999997</v>
      </c>
      <c r="C15" s="38">
        <f t="shared" si="0"/>
        <v>24.414971270384541</v>
      </c>
      <c r="D15" s="38">
        <v>-12.126916230000001</v>
      </c>
      <c r="P15" s="38"/>
    </row>
    <row r="16" spans="2:22">
      <c r="B16" s="24">
        <v>-0.13800000000000001</v>
      </c>
      <c r="C16" s="38">
        <f t="shared" si="0"/>
        <v>32.025841594202895</v>
      </c>
      <c r="D16" s="38">
        <v>-4.4195661399999997</v>
      </c>
      <c r="P16" s="38"/>
    </row>
    <row r="17" spans="2:20">
      <c r="B17" s="24">
        <v>-0.50490000000000002</v>
      </c>
      <c r="C17" s="38">
        <f t="shared" si="0"/>
        <v>36.170612913448203</v>
      </c>
      <c r="D17" s="38">
        <v>-18.262542459999999</v>
      </c>
      <c r="P17" s="38"/>
    </row>
    <row r="18" spans="2:20">
      <c r="F18" t="s">
        <v>9</v>
      </c>
      <c r="G18" s="38">
        <f>(D19/B19)</f>
        <v>-2.9110418331076127</v>
      </c>
    </row>
    <row r="19" spans="2:20">
      <c r="B19" s="24">
        <f>(SUM(B5:B18))</f>
        <v>1.3026517299999996</v>
      </c>
      <c r="D19" s="38">
        <f>(SUM(D5:D18))</f>
        <v>-3.7920736800000014</v>
      </c>
      <c r="M19" t="s">
        <v>81</v>
      </c>
      <c r="N19" t="s">
        <v>29</v>
      </c>
      <c r="O19" t="s">
        <v>1</v>
      </c>
      <c r="P19" t="s">
        <v>2</v>
      </c>
      <c r="R19" s="24">
        <f>(SUM(R5:R18))</f>
        <v>1.30265173</v>
      </c>
      <c r="T19" s="38">
        <f>(SUM(T5:T18))</f>
        <v>-3.7920736799999997</v>
      </c>
    </row>
    <row r="20" spans="2:20">
      <c r="M20" t="s">
        <v>11</v>
      </c>
      <c r="N20" s="24">
        <f>-B12</f>
        <v>0.13750000000000001</v>
      </c>
      <c r="O20" s="38">
        <f>18.6</f>
        <v>18.600000000000001</v>
      </c>
      <c r="P20" s="38">
        <f>-D12</f>
        <v>2.5491881799999998</v>
      </c>
      <c r="Q20" t="s">
        <v>12</v>
      </c>
    </row>
    <row r="21" spans="2:20">
      <c r="N21" s="24">
        <f>-B14</f>
        <v>0.13700000000000001</v>
      </c>
      <c r="O21" s="38">
        <f>C14</f>
        <v>22.811154087591238</v>
      </c>
      <c r="P21" s="38">
        <f>-D14</f>
        <v>3.1251281099999999</v>
      </c>
      <c r="Q21" t="s">
        <v>12</v>
      </c>
    </row>
    <row r="22" spans="2:20">
      <c r="N22" s="24">
        <f>-B16</f>
        <v>0.13800000000000001</v>
      </c>
      <c r="O22" s="38">
        <f>C16</f>
        <v>32.025841594202895</v>
      </c>
      <c r="P22" s="38">
        <f>-D16</f>
        <v>4.4195661399999997</v>
      </c>
      <c r="Q22" t="s">
        <v>12</v>
      </c>
    </row>
    <row r="23" spans="2:20">
      <c r="N23" s="24">
        <f>4*($B$10)/5-N20-N21-N22</f>
        <v>0.137549808</v>
      </c>
      <c r="O23" s="38">
        <f>($S$8*Params!K11)</f>
        <v>57.254310351409153</v>
      </c>
      <c r="P23" s="38">
        <f>(O23*N23)</f>
        <v>7.8753193960087415</v>
      </c>
    </row>
    <row r="25" spans="2:20">
      <c r="P25" s="38">
        <f>(SUM(P20:P23))</f>
        <v>17.969201826008742</v>
      </c>
    </row>
  </sheetData>
  <conditionalFormatting sqref="C5 C9:C11 G18 O9 O23 S6">
    <cfRule type="cellIs" dxfId="175" priority="19" operator="lessThan">
      <formula>$J$3</formula>
    </cfRule>
    <cfRule type="cellIs" dxfId="174" priority="20" operator="greaterThan">
      <formula>$J$3</formula>
    </cfRule>
  </conditionalFormatting>
  <conditionalFormatting sqref="S8">
    <cfRule type="cellIs" dxfId="173" priority="13" operator="lessThan">
      <formula>$J$3</formula>
    </cfRule>
    <cfRule type="cellIs" dxfId="172" priority="14" operator="greaterThan">
      <formula>$J$3</formula>
    </cfRule>
  </conditionalFormatting>
  <conditionalFormatting sqref="O3">
    <cfRule type="cellIs" dxfId="171" priority="1" operator="greaterThan">
      <formula>$J$3</formula>
    </cfRule>
    <cfRule type="cellIs" dxfId="17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K15" sqref="K15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3.8891902861158201E-3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3.7152899600121585</v>
      </c>
      <c r="K4" s="4">
        <f>(J4/D13-1)</f>
        <v>0.31182159489243655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39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48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48">
        <v>0</v>
      </c>
      <c r="T6" s="39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38">
        <v>-0.893567</v>
      </c>
      <c r="N7" s="19">
        <f>(($B$5+$R$6)/5)</f>
        <v>191.05724773999998</v>
      </c>
      <c r="O7" s="48">
        <f>($C$5*Params!K9)</f>
        <v>5.4320149380410803E-3</v>
      </c>
      <c r="P7" s="38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38">
        <v>-1.213721</v>
      </c>
      <c r="N8" s="19">
        <f>(($B$5+$R$6)/5)</f>
        <v>191.05724773999998</v>
      </c>
      <c r="O8" s="48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38">
        <v>1.1300110000000001</v>
      </c>
      <c r="N9" s="19">
        <f>(($B$5+$R$6)/5)</f>
        <v>191.05724773999998</v>
      </c>
      <c r="O9" s="48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48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38">
        <v>0.737757</v>
      </c>
    </row>
    <row r="12" spans="2:20">
      <c r="F12" t="s">
        <v>9</v>
      </c>
      <c r="G12" s="48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69" priority="17" operator="lessThan">
      <formula>$J$3</formula>
    </cfRule>
    <cfRule type="cellIs" dxfId="168" priority="18" operator="greaterThan">
      <formula>$J$3</formula>
    </cfRule>
  </conditionalFormatting>
  <conditionalFormatting sqref="C9:C11">
    <cfRule type="cellIs" dxfId="167" priority="15" operator="lessThan">
      <formula>$J$3</formula>
    </cfRule>
    <cfRule type="cellIs" dxfId="166" priority="16" operator="greaterThan">
      <formula>$J$3</formula>
    </cfRule>
    <cfRule type="cellIs" dxfId="165" priority="13" operator="lessThan">
      <formula>$J$3</formula>
    </cfRule>
    <cfRule type="cellIs" dxfId="164" priority="14" operator="greaterThan">
      <formula>$J$3</formula>
    </cfRule>
  </conditionalFormatting>
  <conditionalFormatting sqref="O6:O9">
    <cfRule type="cellIs" dxfId="163" priority="11" operator="lessThan">
      <formula>$J$3</formula>
    </cfRule>
    <cfRule type="cellIs" dxfId="162" priority="12" operator="greaterThan">
      <formula>$J$3</formula>
    </cfRule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S5">
    <cfRule type="cellIs" dxfId="159" priority="7" operator="lessThan">
      <formula>$J$3</formula>
    </cfRule>
    <cfRule type="cellIs" dxfId="158" priority="8" operator="greaterThan">
      <formula>$J$3</formula>
    </cfRule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G12">
    <cfRule type="cellIs" dxfId="155" priority="3" operator="lessThan">
      <formula>$J$3</formula>
    </cfRule>
    <cfRule type="cellIs" dxfId="154" priority="4" operator="greaterThan">
      <formula>$J$3</formula>
    </cfRule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2" sqref="B12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233.5782951875299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162.27486508121672</v>
      </c>
      <c r="K4" s="4">
        <f>(J4/D17-1)</f>
        <v>-0.16547500161620687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9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49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0.11003710200000001</v>
      </c>
      <c r="O6" s="38">
        <f>($S$8*Params!K8)</f>
        <v>369.94976476207086</v>
      </c>
      <c r="P6" s="38">
        <f>(O6*N6)</f>
        <v>40.708199999999998</v>
      </c>
      <c r="R6" s="49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49">
        <v>2.3499999999999999E-4</v>
      </c>
      <c r="C7" s="38">
        <v>0</v>
      </c>
      <c r="D7" s="38">
        <v>0</v>
      </c>
      <c r="E7" s="38">
        <f>(B7*J3)</f>
        <v>5.4890899369069525E-2</v>
      </c>
      <c r="I7" t="s">
        <v>11</v>
      </c>
      <c r="J7">
        <v>1</v>
      </c>
      <c r="N7" s="24">
        <f>($R$8/5)</f>
        <v>0.11003710200000001</v>
      </c>
      <c r="O7" s="38">
        <f>($S$8*Params!K9)</f>
        <v>455.32278739947179</v>
      </c>
      <c r="P7" s="38">
        <f>(O7*N7)</f>
        <v>50.102399999999996</v>
      </c>
      <c r="R7" s="49">
        <f>(B7+B8+B10)</f>
        <v>2.5293300000000002E-3</v>
      </c>
      <c r="S7" s="38">
        <f>(C7)</f>
        <v>0</v>
      </c>
      <c r="T7" s="38">
        <f>(R7*S7)</f>
        <v>0</v>
      </c>
    </row>
    <row r="8" spans="2:21">
      <c r="B8" s="49">
        <v>9.4980000000000002E-5</v>
      </c>
      <c r="C8" s="38">
        <v>0</v>
      </c>
      <c r="D8" s="38">
        <v>0</v>
      </c>
      <c r="E8" s="38">
        <f>(B8*J3)</f>
        <v>2.2185266476911592E-2</v>
      </c>
      <c r="I8" t="s">
        <v>13</v>
      </c>
      <c r="J8" s="49">
        <f>(J7-B17)</f>
        <v>0.30526564999999994</v>
      </c>
      <c r="N8" s="24">
        <f>($R$8/5)</f>
        <v>0.11003710200000001</v>
      </c>
      <c r="O8" s="38">
        <f>($S$8*Params!K10)</f>
        <v>626.06883267427372</v>
      </c>
      <c r="P8" s="38">
        <f>(O8*N8)</f>
        <v>68.890799999999999</v>
      </c>
      <c r="R8" s="49">
        <f>(B11)</f>
        <v>0.55018551000000004</v>
      </c>
      <c r="S8" s="38">
        <f>(C11)</f>
        <v>284.57674212466986</v>
      </c>
      <c r="T8" s="38">
        <f>(R8*S8)</f>
        <v>156.57</v>
      </c>
      <c r="U8" t="s">
        <v>10</v>
      </c>
    </row>
    <row r="9" spans="2:21">
      <c r="B9" s="49">
        <v>9.0920000000000004E-5</v>
      </c>
      <c r="C9" s="38">
        <v>276</v>
      </c>
      <c r="D9" s="38">
        <f>(B9*C9)</f>
        <v>2.5093920000000002E-2</v>
      </c>
      <c r="E9" s="38"/>
      <c r="I9" t="s">
        <v>14</v>
      </c>
      <c r="J9" s="41">
        <f>(J8*J3)</f>
        <v>71.303430106313172</v>
      </c>
      <c r="N9" s="24">
        <f>($R$8/5)</f>
        <v>0.11003710200000001</v>
      </c>
      <c r="O9" s="38">
        <f>($S$8*Params!K11)</f>
        <v>1138.3069684986795</v>
      </c>
      <c r="P9" s="38">
        <f>(O9*N9)</f>
        <v>125.25599999999999</v>
      </c>
      <c r="R9" s="49">
        <f>(B12)</f>
        <v>0.13227515000000001</v>
      </c>
      <c r="S9" s="38">
        <f>(C12)</f>
        <v>286.52396160578911</v>
      </c>
      <c r="T9" s="38">
        <f>(R9*S9)</f>
        <v>37.9</v>
      </c>
      <c r="U9" t="s">
        <v>15</v>
      </c>
    </row>
    <row r="10" spans="2:21">
      <c r="B10" s="50">
        <v>2.1993500000000001E-3</v>
      </c>
      <c r="C10" s="40">
        <v>0</v>
      </c>
      <c r="D10" s="26">
        <v>0</v>
      </c>
      <c r="E10" s="38">
        <f>(B10*J3)</f>
        <v>0.51372042352069391</v>
      </c>
      <c r="P10" s="38"/>
      <c r="R10" s="49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49">
        <v>0.55018551000000004</v>
      </c>
      <c r="C11" s="38">
        <f>(D11/B11)</f>
        <v>284.57674212466986</v>
      </c>
      <c r="D11" s="38">
        <v>156.57</v>
      </c>
      <c r="E11" t="s">
        <v>10</v>
      </c>
      <c r="P11" s="38">
        <f>(SUM(P6:P9))</f>
        <v>284.95739999999995</v>
      </c>
    </row>
    <row r="12" spans="2:21">
      <c r="B12" s="49">
        <v>0.13227515000000001</v>
      </c>
      <c r="C12" s="38">
        <f>(D12/B12)</f>
        <v>286.52396160578911</v>
      </c>
      <c r="D12" s="38">
        <v>37.9</v>
      </c>
      <c r="E12" t="s">
        <v>15</v>
      </c>
    </row>
    <row r="13" spans="2:21">
      <c r="B13" s="49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49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2.6455030000000001E-2</v>
      </c>
      <c r="O14" s="38">
        <f>($S$9*Params!K8)</f>
        <v>372.48115008752586</v>
      </c>
      <c r="P14" s="38">
        <f>(O14*N14)</f>
        <v>9.8539999999999992</v>
      </c>
    </row>
    <row r="15" spans="2:21">
      <c r="B15" s="49">
        <v>-0.29399999999999998</v>
      </c>
      <c r="C15" s="38">
        <f>(D15/B15)</f>
        <v>244.75500000000002</v>
      </c>
      <c r="D15" s="38">
        <v>-71.957970000000003</v>
      </c>
      <c r="N15" s="24">
        <f>($R$9/5)</f>
        <v>2.6455030000000001E-2</v>
      </c>
      <c r="O15" s="38">
        <f>($S$9*Params!K9)</f>
        <v>458.43833856926261</v>
      </c>
      <c r="P15" s="38">
        <f>(O15*N15)</f>
        <v>12.128</v>
      </c>
    </row>
    <row r="16" spans="2:21">
      <c r="N16" s="24">
        <f>($R$9/5)</f>
        <v>2.6455030000000001E-2</v>
      </c>
      <c r="O16" s="38">
        <f>($S$9*Params!K10)</f>
        <v>630.35271553273606</v>
      </c>
      <c r="P16" s="38">
        <f>(O16*N16)</f>
        <v>16.675999999999998</v>
      </c>
    </row>
    <row r="17" spans="2:16">
      <c r="B17" s="49">
        <f>(SUM(B5:B16))</f>
        <v>0.69473435000000006</v>
      </c>
      <c r="D17" s="38">
        <f>(SUM(D5:D16))</f>
        <v>194.45177244000001</v>
      </c>
      <c r="F17" t="s">
        <v>9</v>
      </c>
      <c r="G17" s="38">
        <f>(SUM(D5:D16)/SUM(B5:B16))</f>
        <v>279.89370676719813</v>
      </c>
      <c r="N17" s="24">
        <f>($R$9/5)</f>
        <v>2.6455030000000001E-2</v>
      </c>
      <c r="O17" s="38">
        <f>($S$9*Params!K11)</f>
        <v>1146.0958464231564</v>
      </c>
      <c r="P17" s="38">
        <f>(O17*N17)</f>
        <v>30.319999999999997</v>
      </c>
    </row>
    <row r="18" spans="2:16">
      <c r="P18" s="38"/>
    </row>
    <row r="19" spans="2:16">
      <c r="P19" s="38">
        <f>(SUM(P14:P17))</f>
        <v>68.977999999999994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9.6941400000000004E-4</v>
      </c>
      <c r="O22" s="38">
        <f>($S$5*Params!K8)</f>
        <v>323.96134165178148</v>
      </c>
      <c r="P22" s="38">
        <f>(O22*N22)</f>
        <v>0.31405266005602012</v>
      </c>
    </row>
    <row r="23" spans="2:16">
      <c r="N23" s="24">
        <f>(($R$5+$R$7)/5)</f>
        <v>9.6941400000000004E-4</v>
      </c>
      <c r="O23" s="38">
        <f>($S$5*Params!K9)</f>
        <v>398.72165126373102</v>
      </c>
      <c r="P23" s="38">
        <f>(O23*N23)</f>
        <v>0.38652635083817855</v>
      </c>
    </row>
    <row r="24" spans="2:16">
      <c r="N24" s="24">
        <f>(($R$5+$R$7)/5)</f>
        <v>9.6941400000000004E-4</v>
      </c>
      <c r="O24" s="38">
        <f>($S$5*Params!K10)</f>
        <v>548.24227048763021</v>
      </c>
      <c r="P24" s="38">
        <f>(O24*N24)</f>
        <v>0.53147373240249562</v>
      </c>
    </row>
    <row r="25" spans="2:16">
      <c r="N25" s="24">
        <f>(($R$5+$R$7)/5)</f>
        <v>9.6941400000000004E-4</v>
      </c>
      <c r="O25" s="38">
        <f>($S$5*Params!K11)</f>
        <v>996.80412815932755</v>
      </c>
      <c r="P25" s="38">
        <f>(O25*N25)</f>
        <v>0.96631587709544642</v>
      </c>
    </row>
    <row r="26" spans="2:16">
      <c r="P26" s="38"/>
    </row>
    <row r="27" spans="2:16">
      <c r="P27" s="38">
        <f>(SUM(P22:P25))</f>
        <v>2.1983686203921406</v>
      </c>
    </row>
    <row r="37" spans="18:20">
      <c r="R37" s="49">
        <f>(SUM(R5:R27))</f>
        <v>0.69473435000000006</v>
      </c>
      <c r="T37" s="38">
        <f>(SUM(T5:T27))</f>
        <v>194.45177244000001</v>
      </c>
    </row>
  </sheetData>
  <conditionalFormatting sqref="C5:C6 C9 C11:C14 O6:O9 O14 S5:S6 S8:S9">
    <cfRule type="cellIs" dxfId="151" priority="11" operator="lessThan">
      <formula>$J$3</formula>
    </cfRule>
    <cfRule type="cellIs" dxfId="150" priority="12" operator="greaterThan">
      <formula>$J$3</formula>
    </cfRule>
  </conditionalFormatting>
  <conditionalFormatting sqref="O15:O17">
    <cfRule type="cellIs" dxfId="149" priority="7" operator="lessThan">
      <formula>$J$3</formula>
    </cfRule>
    <cfRule type="cellIs" dxfId="148" priority="8" operator="greaterThan">
      <formula>$J$3</formula>
    </cfRule>
  </conditionalFormatting>
  <conditionalFormatting sqref="O22:O25">
    <cfRule type="cellIs" dxfId="147" priority="5" operator="lessThan">
      <formula>$J$3</formula>
    </cfRule>
    <cfRule type="cellIs" dxfId="146" priority="6" operator="greaterThan">
      <formula>$J$3</formula>
    </cfRule>
  </conditionalFormatting>
  <conditionalFormatting sqref="G17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9.8573042405429898E-2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6.0516146544845419</v>
      </c>
      <c r="K4" s="4">
        <f>(J4/D13-1)</f>
        <v>0.21032293089690834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0.27306862999999998</v>
      </c>
      <c r="C6" s="40">
        <v>0</v>
      </c>
      <c r="D6" s="26">
        <f>(B6*C6)</f>
        <v>0</v>
      </c>
      <c r="E6" s="38">
        <f>(B6*J3)</f>
        <v>2.6917205644582644E-2</v>
      </c>
      <c r="M6" t="s">
        <v>11</v>
      </c>
      <c r="N6" s="29">
        <f>($B$13/5)</f>
        <v>12.278437403999998</v>
      </c>
      <c r="O6" s="38">
        <f>($C$5*Params!K8)</f>
        <v>0.10634970155367125</v>
      </c>
      <c r="P6" s="38">
        <f>(O6*N6)</f>
        <v>1.3058081534608339</v>
      </c>
    </row>
    <row r="7" spans="2:16">
      <c r="N7" s="29">
        <f>($B$13/5)</f>
        <v>12.278437403999998</v>
      </c>
      <c r="O7" s="38">
        <f>($C$5*Params!K9)</f>
        <v>0.13089194037374924</v>
      </c>
      <c r="P7" s="38">
        <f>(O7*N7)</f>
        <v>1.6071484965671801</v>
      </c>
    </row>
    <row r="8" spans="2:16">
      <c r="N8" s="29">
        <f>($B$13/5)</f>
        <v>12.278437403999998</v>
      </c>
      <c r="O8" s="38">
        <f>($C$5*Params!K10)</f>
        <v>0.17997641801390521</v>
      </c>
      <c r="P8" s="38">
        <f>(O8*N8)</f>
        <v>2.2098291827798726</v>
      </c>
    </row>
    <row r="9" spans="2:16">
      <c r="N9" s="29">
        <f>($B$13/5)</f>
        <v>12.278437403999998</v>
      </c>
      <c r="O9" s="38">
        <f>($C$5*Params!K11)</f>
        <v>0.32722985093437307</v>
      </c>
      <c r="P9" s="38">
        <f>(O9*N9)</f>
        <v>4.01787124141795</v>
      </c>
    </row>
    <row r="11" spans="2:16">
      <c r="P11" s="38">
        <f>(SUM(P6:P9))</f>
        <v>9.1406570742258371</v>
      </c>
    </row>
    <row r="12" spans="2:16">
      <c r="F12" t="s">
        <v>9</v>
      </c>
      <c r="G12" s="38">
        <f>(D13/B13)</f>
        <v>8.1443588226806918E-2</v>
      </c>
    </row>
    <row r="13" spans="2:16">
      <c r="B13" s="29">
        <f>(SUM(B5:B12))</f>
        <v>61.392187019999994</v>
      </c>
      <c r="D13" s="38">
        <f>(SUM(D5:D12))</f>
        <v>5</v>
      </c>
    </row>
  </sheetData>
  <conditionalFormatting sqref="O6:O9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12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6.702380551284028</v>
      </c>
      <c r="M3" t="s">
        <v>4</v>
      </c>
      <c r="N3" s="24">
        <f>(INDEX(N5:N16,MATCH(MAX(O6),O5:O16,0))/0.9)</f>
        <v>1.5256666666666665</v>
      </c>
      <c r="O3" s="39">
        <f>(MAX(O6)*0.85)</f>
        <v>6.1277063936057683</v>
      </c>
      <c r="P3" s="35">
        <f>(O3*N3)</f>
        <v>9.348837387844533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37.426132341343852</v>
      </c>
      <c r="K4" s="4">
        <f>(J4/D14-1)</f>
        <v>0.3318907742488908</v>
      </c>
      <c r="R4" t="s">
        <v>5</v>
      </c>
      <c r="S4" t="s">
        <v>6</v>
      </c>
      <c r="T4" t="s">
        <v>7</v>
      </c>
    </row>
    <row r="5" spans="2:21">
      <c r="B5" s="24">
        <v>6.7983838199999997</v>
      </c>
      <c r="C5" s="38">
        <f>(D5/B5)</f>
        <v>5.545435650321962</v>
      </c>
      <c r="D5" s="38">
        <v>37.700000000000003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7.0940600000000006E-2</v>
      </c>
      <c r="S5" s="40">
        <v>0</v>
      </c>
      <c r="T5" s="26">
        <f>(D6)</f>
        <v>0</v>
      </c>
      <c r="U5">
        <f>(R5*J3)</f>
        <v>0.47547089773641976</v>
      </c>
    </row>
    <row r="6" spans="2:21">
      <c r="B6" s="25">
        <v>7.0940600000000006E-2</v>
      </c>
      <c r="C6" s="40">
        <v>0</v>
      </c>
      <c r="D6" s="26">
        <f>(B6*C6)</f>
        <v>0</v>
      </c>
      <c r="E6" s="38">
        <f>(B6*J3)</f>
        <v>0.47547089773641976</v>
      </c>
      <c r="M6" t="s">
        <v>11</v>
      </c>
      <c r="N6" s="24">
        <f>-B11</f>
        <v>1.3731</v>
      </c>
      <c r="O6" s="38">
        <f>($S$6*Params!K8)</f>
        <v>7.2090663454185506</v>
      </c>
      <c r="P6" s="38">
        <f>-D11</f>
        <v>9.8943422200000004</v>
      </c>
      <c r="Q6" t="s">
        <v>12</v>
      </c>
      <c r="R6" s="24">
        <f>B5</f>
        <v>6.7983838199999997</v>
      </c>
      <c r="S6" s="38">
        <f>(T6/R6)</f>
        <v>5.545435650321962</v>
      </c>
      <c r="T6" s="38">
        <f>D5</f>
        <v>37.700000000000003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($B$14-$B$11)/5</f>
        <v>1.391421174</v>
      </c>
      <c r="O7" s="38">
        <f>($S$6*Params!K9)</f>
        <v>8.8726970405151402</v>
      </c>
      <c r="P7" s="38">
        <f>(O7*N7)</f>
        <v>12.345658532659902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($B$14-$B$11)/5</f>
        <v>1.391421174</v>
      </c>
      <c r="O8" s="38">
        <f>($C$5*Params!K10)</f>
        <v>12.199958430708318</v>
      </c>
      <c r="P8" s="38">
        <f>(O8*N8)</f>
        <v>16.975280482407364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($B$14-$B$11)/5</f>
        <v>1.391421174</v>
      </c>
      <c r="O9" s="38">
        <f>($C$5*Params!K11)</f>
        <v>22.181742601287848</v>
      </c>
      <c r="P9" s="38">
        <f>(O9*N9)</f>
        <v>30.864146331649749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B11" s="24">
        <v>-1.3731</v>
      </c>
      <c r="C11" s="38">
        <f>(D11/B11)</f>
        <v>7.2058424149734179</v>
      </c>
      <c r="D11" s="38">
        <f>-9.89434222</f>
        <v>-9.8943422200000004</v>
      </c>
      <c r="N11" s="24"/>
      <c r="P11" s="38"/>
    </row>
    <row r="12" spans="2:21">
      <c r="N12" s="24"/>
      <c r="P12" s="38">
        <f>(SUM(P6:P9))</f>
        <v>70.079427566717015</v>
      </c>
    </row>
    <row r="13" spans="2:21">
      <c r="F13" t="s">
        <v>9</v>
      </c>
      <c r="G13" s="38">
        <f>(D14/B14)</f>
        <v>5.032229880159492</v>
      </c>
      <c r="N13" s="24"/>
      <c r="P13" s="38"/>
      <c r="R13" s="24">
        <f>(SUM(R5:R12))</f>
        <v>6.9571058699999995</v>
      </c>
      <c r="T13" s="38">
        <f>(SUM(T5:T12))</f>
        <v>37.994343410000006</v>
      </c>
    </row>
    <row r="14" spans="2:21">
      <c r="B14">
        <f>(SUM(B5:B13))</f>
        <v>5.5840058700000004</v>
      </c>
      <c r="D14" s="38">
        <f>(SUM(D5:D13))</f>
        <v>28.10000119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7:O9 S6:S7">
    <cfRule type="cellIs" dxfId="137" priority="17" operator="lessThan">
      <formula>$J$3</formula>
    </cfRule>
    <cfRule type="cellIs" dxfId="136" priority="18" operator="greaterThan">
      <formula>$J$3</formula>
    </cfRule>
  </conditionalFormatting>
  <conditionalFormatting sqref="O3">
    <cfRule type="cellIs" dxfId="135" priority="1" operator="greaterThan">
      <formula>$J$3</formula>
    </cfRule>
    <cfRule type="cellIs" dxfId="134" priority="2" operator="less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8">
        <v>64.134407240445583</v>
      </c>
      <c r="M3" t="s">
        <v>4</v>
      </c>
      <c r="N3" s="24">
        <f>(INDEX(N5:N16,MATCH(MAX(O6),O5:O16,0))/0.9)</f>
        <v>2.75E-2</v>
      </c>
      <c r="O3" s="39">
        <f>(MAX(O6)*0.85)</f>
        <v>48.820710242424241</v>
      </c>
      <c r="P3" s="3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6.3516536361091136</v>
      </c>
      <c r="K4" s="4">
        <f>(J4/D13-1)</f>
        <v>0.68101838135020576</v>
      </c>
    </row>
    <row r="5" spans="2:17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7">
      <c r="B6" s="25">
        <v>2.9389300000000002E-3</v>
      </c>
      <c r="C6" s="40">
        <v>0</v>
      </c>
      <c r="D6" s="26">
        <f>(B6*C6)</f>
        <v>0</v>
      </c>
      <c r="E6" s="38">
        <f>(B6*J3)</f>
        <v>0.18848653347116276</v>
      </c>
      <c r="M6" t="s">
        <v>11</v>
      </c>
      <c r="N6" s="24">
        <f>-B7</f>
        <v>2.4750000000000001E-2</v>
      </c>
      <c r="O6" s="38">
        <f>P6/N6</f>
        <v>57.436129696969694</v>
      </c>
      <c r="P6" s="38">
        <f>-D7</f>
        <v>1.42154421</v>
      </c>
      <c r="Q6" t="s">
        <v>12</v>
      </c>
    </row>
    <row r="7" spans="2:17">
      <c r="B7">
        <v>-2.4750000000000001E-2</v>
      </c>
      <c r="C7" s="38">
        <f>D7/B7</f>
        <v>57.436129696969694</v>
      </c>
      <c r="D7">
        <f>-1.42154421</f>
        <v>-1.42154421</v>
      </c>
      <c r="N7" s="24">
        <f>($B$13-$B$7)/5</f>
        <v>2.4757319999999999E-2</v>
      </c>
      <c r="O7" s="38">
        <f>($C$5*Params!K9)</f>
        <v>68.847999999999999</v>
      </c>
      <c r="P7" s="38">
        <f>(O7*N7)</f>
        <v>1.7044919673599999</v>
      </c>
    </row>
    <row r="8" spans="2:17">
      <c r="N8" s="24">
        <f>($B$13-$B$7)/5</f>
        <v>2.4757319999999999E-2</v>
      </c>
      <c r="O8" s="38">
        <f>($C$5*Params!K10)</f>
        <v>94.666000000000011</v>
      </c>
      <c r="P8" s="38">
        <f>(O8*N8)</f>
        <v>2.3436764551200002</v>
      </c>
    </row>
    <row r="9" spans="2:17">
      <c r="N9" s="24">
        <f>($B$13-$B$7)/5</f>
        <v>2.4757319999999999E-2</v>
      </c>
      <c r="O9" s="38">
        <f>($C$5*Params!K11)</f>
        <v>172.12</v>
      </c>
      <c r="P9" s="38">
        <f>(O9*N9)</f>
        <v>4.2612299183999998</v>
      </c>
    </row>
    <row r="11" spans="2:17">
      <c r="P11" s="38">
        <f>(SUM(P6:P9))</f>
        <v>9.73094255088</v>
      </c>
    </row>
    <row r="12" spans="2:17">
      <c r="F12" t="s">
        <v>9</v>
      </c>
      <c r="G12" s="38">
        <f>(D13/B13)</f>
        <v>38.152115379566744</v>
      </c>
    </row>
    <row r="13" spans="2:17">
      <c r="B13">
        <f>(SUM(B5:B12))</f>
        <v>9.9036600000000002E-2</v>
      </c>
      <c r="D13" s="38">
        <f>(SUM(D5:D12))</f>
        <v>3.7784557900000002</v>
      </c>
    </row>
  </sheetData>
  <conditionalFormatting sqref="C5">
    <cfRule type="cellIs" dxfId="133" priority="9" operator="lessThan">
      <formula>$J$3</formula>
    </cfRule>
    <cfRule type="cellIs" dxfId="132" priority="10" operator="greaterThan">
      <formula>$J$3</formula>
    </cfRule>
  </conditionalFormatting>
  <conditionalFormatting sqref="O7:O9">
    <cfRule type="cellIs" dxfId="131" priority="7" operator="lessThan">
      <formula>$J$3</formula>
    </cfRule>
    <cfRule type="cellIs" dxfId="130" priority="8" operator="greaterThan">
      <formula>$J$3</formula>
    </cfRule>
  </conditionalFormatting>
  <conditionalFormatting sqref="G12">
    <cfRule type="cellIs" dxfId="129" priority="5" operator="lessThan">
      <formula>$J$3</formula>
    </cfRule>
    <cfRule type="cellIs" dxfId="128" priority="6" operator="greaterThan">
      <formula>$J$3</formula>
    </cfRule>
  </conditionalFormatting>
  <conditionalFormatting sqref="O3">
    <cfRule type="cellIs" dxfId="127" priority="1" operator="greaterThan">
      <formula>$J$3</formula>
    </cfRule>
    <cfRule type="cellIs" dxfId="126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5.4236312058160543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11.999300688854957</v>
      </c>
      <c r="K4" s="4">
        <f>(J4/D10-1)</f>
        <v>0.17640202831911345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2.2288299999999998E-3</v>
      </c>
      <c r="C6" s="40">
        <v>0</v>
      </c>
      <c r="D6" s="26">
        <f>(B6*C6)</f>
        <v>0</v>
      </c>
      <c r="E6" s="38">
        <f>(B6*J3)</f>
        <v>1.2088351940458994E-2</v>
      </c>
      <c r="M6" t="s">
        <v>11</v>
      </c>
      <c r="N6" s="24">
        <f>($B$10/5)</f>
        <v>0.44248217599999995</v>
      </c>
      <c r="O6" s="38">
        <f>($C$5*Params!K8)</f>
        <v>5.9995057873173847</v>
      </c>
      <c r="P6" s="38">
        <f>(O6*N6)</f>
        <v>2.6546743756967892</v>
      </c>
    </row>
    <row r="7" spans="2:16">
      <c r="N7" s="24">
        <f>($B$10/5)</f>
        <v>0.44248217599999995</v>
      </c>
      <c r="O7" s="38">
        <f>($C$5*Params!K9)</f>
        <v>7.3840071228521653</v>
      </c>
      <c r="P7" s="38">
        <f>(O7*N7)</f>
        <v>3.2672915393191251</v>
      </c>
    </row>
    <row r="8" spans="2:16">
      <c r="N8" s="24">
        <f>($B$10/5)</f>
        <v>0.44248217599999995</v>
      </c>
      <c r="O8" s="38">
        <f>($C$5*Params!K10)</f>
        <v>10.153009793921727</v>
      </c>
      <c r="P8" s="38">
        <f>(O8*N8)</f>
        <v>4.4925258665637973</v>
      </c>
    </row>
    <row r="9" spans="2:16">
      <c r="F9" t="s">
        <v>9</v>
      </c>
      <c r="G9" s="38">
        <f>(D10/B10)</f>
        <v>4.6103551976746742</v>
      </c>
      <c r="N9" s="24">
        <f>($B$10/5)</f>
        <v>0.44248217599999995</v>
      </c>
      <c r="O9" s="38">
        <f>($C$5*Params!K11)</f>
        <v>18.460017807130413</v>
      </c>
      <c r="P9" s="38">
        <f>(O9*N9)</f>
        <v>8.1682288482978116</v>
      </c>
    </row>
    <row r="10" spans="2:16">
      <c r="B10">
        <f>(SUM(B5:B9))</f>
        <v>2.2124108799999997</v>
      </c>
      <c r="D10" s="38">
        <f>(SUM(D5:D9))</f>
        <v>10.199999999999999</v>
      </c>
    </row>
    <row r="11" spans="2:16">
      <c r="P11" s="38">
        <f>(SUM(P6:P9))</f>
        <v>18.582720629877521</v>
      </c>
    </row>
    <row r="12" spans="2:16">
      <c r="P12" s="38"/>
    </row>
  </sheetData>
  <conditionalFormatting sqref="C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9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2.2720295302331821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11.980253806867216</v>
      </c>
      <c r="K4" s="4">
        <f>(J4/D10-1)</f>
        <v>5.3672278528339223E-2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1.7379220000000001E-2</v>
      </c>
      <c r="C6" s="40">
        <v>0</v>
      </c>
      <c r="D6" s="26">
        <f>(B6*C6)</f>
        <v>0</v>
      </c>
      <c r="E6" s="38">
        <f>(B6*J3)</f>
        <v>3.9486101052419127E-2</v>
      </c>
      <c r="M6" t="s">
        <v>11</v>
      </c>
      <c r="N6" s="1">
        <f>($B$10/5)</f>
        <v>1.0545860999999999</v>
      </c>
      <c r="O6" s="38">
        <f>($C$5*Params!K8)</f>
        <v>2.8124547193077718</v>
      </c>
      <c r="P6" s="38">
        <f>(O6*N6)</f>
        <v>2.9659756538613773</v>
      </c>
    </row>
    <row r="7" spans="2:16">
      <c r="N7" s="1">
        <f>($B$10/5)</f>
        <v>1.0545860999999999</v>
      </c>
      <c r="O7" s="38">
        <f>($C$5*Params!K9)</f>
        <v>3.4614827314557193</v>
      </c>
      <c r="P7" s="38">
        <f>(O7*N7)</f>
        <v>3.650431573983234</v>
      </c>
    </row>
    <row r="8" spans="2:16">
      <c r="N8" s="1">
        <f>($B$10/5)</f>
        <v>1.0545860999999999</v>
      </c>
      <c r="O8" s="38">
        <f>($C$5*Params!K10)</f>
        <v>4.7595387557516142</v>
      </c>
      <c r="P8" s="38">
        <f>(O8*N8)</f>
        <v>5.0193434142269471</v>
      </c>
    </row>
    <row r="9" spans="2:16">
      <c r="F9" t="s">
        <v>9</v>
      </c>
      <c r="G9" s="38">
        <f>(D10/B10)</f>
        <v>2.156296199997326</v>
      </c>
      <c r="N9" s="1">
        <f>($B$10/5)</f>
        <v>1.0545860999999999</v>
      </c>
      <c r="O9" s="38">
        <f>($C$5*Params!K11)</f>
        <v>8.6537068286392973</v>
      </c>
      <c r="P9" s="38">
        <f>(O9*N9)</f>
        <v>9.126078934958084</v>
      </c>
    </row>
    <row r="10" spans="2:16">
      <c r="B10" s="1">
        <f>(SUM(B5:B9))</f>
        <v>5.2729304999999993</v>
      </c>
      <c r="D10" s="38">
        <f>(SUM(D5:D9))</f>
        <v>11.37</v>
      </c>
    </row>
    <row r="11" spans="2:16">
      <c r="P11" s="38">
        <f>(SUM(P6:P9))</f>
        <v>20.761829577029644</v>
      </c>
    </row>
  </sheetData>
  <conditionalFormatting sqref="C5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9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9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24" sqref="B2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42430.956063587051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1266.7609181342089</v>
      </c>
      <c r="K4" s="4">
        <f>(J4/D37-1)</f>
        <v>0.77048429612444869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3.4882000000000001E-4</v>
      </c>
      <c r="C6" s="40">
        <v>0</v>
      </c>
      <c r="D6" s="26">
        <f>(B6*C6)</f>
        <v>0</v>
      </c>
      <c r="E6" s="38">
        <f>(B6*J3)</f>
        <v>14.800766094100435</v>
      </c>
      <c r="I6" t="s">
        <v>11</v>
      </c>
      <c r="J6">
        <v>0.03</v>
      </c>
      <c r="R6" s="24">
        <f t="shared" si="0"/>
        <v>3.4882000000000001E-4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1.4535999999999369E-4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6.1677637734027462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6.3413799999999998E-3</v>
      </c>
      <c r="S19" s="38">
        <f t="shared" si="2"/>
        <v>24024.108127883836</v>
      </c>
      <c r="T19" s="38">
        <f>(D23+17438.6*B32)</f>
        <v>152.34599879999999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1.4510899999999999E-3</v>
      </c>
      <c r="S20" s="38">
        <f t="shared" si="2"/>
        <v>25500.80208532896</v>
      </c>
      <c r="T20" s="38">
        <f>(D24+17211.7*B31)</f>
        <v>37.003958898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6.68338E-3</v>
      </c>
      <c r="C23" s="38">
        <f t="shared" si="3"/>
        <v>23687.116399187238</v>
      </c>
      <c r="D23" s="38">
        <v>158.31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1.50315E-3</v>
      </c>
      <c r="C24" s="38">
        <f t="shared" si="3"/>
        <v>25213.717859162425</v>
      </c>
      <c r="D24" s="38">
        <v>37.9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1.67829E-3</v>
      </c>
      <c r="S24" s="38">
        <f>(T24/R24)</f>
        <v>26425.707118555198</v>
      </c>
      <c r="T24" s="38">
        <f>(D34)</f>
        <v>44.35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1.67829E-3</v>
      </c>
      <c r="C34" s="38">
        <f>(D34/B34)</f>
        <v>26425.707118555198</v>
      </c>
      <c r="D34" s="38">
        <v>44.35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23965.734209824674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2.9125369999999994E-2</v>
      </c>
      <c r="T36" s="38">
        <f>(SUM(T5:T25))</f>
        <v>531.40980017000004</v>
      </c>
    </row>
    <row r="37" spans="2:20">
      <c r="B37">
        <f>(SUM(B5:B36))</f>
        <v>2.9854640000000005E-2</v>
      </c>
      <c r="D37" s="38">
        <f>(SUM(D5:D36))</f>
        <v>715.48836717000017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2.3313520000000001E-3</v>
      </c>
      <c r="N50" s="38">
        <f>($S$19*Params!K16)</f>
        <v>48048.216255767671</v>
      </c>
      <c r="O50" s="41">
        <f>(N50*M50)</f>
        <v>112.01730506431647</v>
      </c>
    </row>
    <row r="51" spans="12:16">
      <c r="M51">
        <f>($B$23/5)</f>
        <v>1.336676E-3</v>
      </c>
      <c r="N51" s="38">
        <f>($S$19*Params!K17)</f>
        <v>96096.432511535342</v>
      </c>
      <c r="O51" s="41">
        <f>(N51*M51)</f>
        <v>128.44979502378902</v>
      </c>
    </row>
    <row r="52" spans="12:16">
      <c r="M52">
        <f>($B$23/5)</f>
        <v>1.336676E-3</v>
      </c>
      <c r="N52" s="38">
        <f>($S$19*Params!K18)</f>
        <v>192192.86502307068</v>
      </c>
      <c r="O52" s="41">
        <f>(N52*M52)</f>
        <v>256.89959004757804</v>
      </c>
    </row>
    <row r="54" spans="12:16">
      <c r="O54" s="41">
        <f>(SUM(O49:O52))</f>
        <v>504.82229013568355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5.4919999999999991E-4</v>
      </c>
      <c r="N58" s="38">
        <f>($S$20*Params!K16)</f>
        <v>51001.60417065792</v>
      </c>
      <c r="O58" s="41">
        <f>(N58*M58)</f>
        <v>28.010081010525326</v>
      </c>
    </row>
    <row r="59" spans="12:16">
      <c r="M59">
        <f>($B$24/5)</f>
        <v>3.0062999999999997E-4</v>
      </c>
      <c r="N59" s="38">
        <f>($S$20*Params!K17)</f>
        <v>102003.20834131584</v>
      </c>
      <c r="O59" s="41">
        <f>(N59*M59)</f>
        <v>30.66522452364978</v>
      </c>
    </row>
    <row r="60" spans="12:16">
      <c r="M60">
        <f>($B$24/5)</f>
        <v>3.0062999999999997E-4</v>
      </c>
      <c r="N60" s="38">
        <f>($S$20*Params!K18)</f>
        <v>204006.41668263168</v>
      </c>
      <c r="O60" s="41">
        <f>(N60*M60)</f>
        <v>61.33044904729956</v>
      </c>
    </row>
    <row r="62" spans="12:16">
      <c r="O62" s="41">
        <f>(SUM(O57:O60))</f>
        <v>121.12816818147468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3.3565800000000002E-4</v>
      </c>
      <c r="N73" s="38">
        <f>($S$24*Params!K15)</f>
        <v>39638.560677832793</v>
      </c>
      <c r="O73" s="41">
        <f>(N73*M73)</f>
        <v>13.305</v>
      </c>
    </row>
    <row r="74" spans="12:16">
      <c r="M74">
        <f>($R$24/5)</f>
        <v>3.3565800000000002E-4</v>
      </c>
      <c r="N74" s="38">
        <f>($S$24*Params!K16)</f>
        <v>52851.414237110395</v>
      </c>
      <c r="O74" s="41">
        <f>(N74*M74)</f>
        <v>17.740000000000002</v>
      </c>
    </row>
    <row r="75" spans="12:16">
      <c r="M75">
        <f>($R$24/5)</f>
        <v>3.3565800000000002E-4</v>
      </c>
      <c r="N75" s="38">
        <f>($S$24*Params!K17)</f>
        <v>105702.82847422079</v>
      </c>
      <c r="O75" s="41">
        <f>(N75*M75)</f>
        <v>35.480000000000004</v>
      </c>
    </row>
    <row r="76" spans="12:16">
      <c r="M76">
        <f>($R$24/5)</f>
        <v>3.3565800000000002E-4</v>
      </c>
      <c r="N76" s="38">
        <f>($S$24*Params!K18)</f>
        <v>211405.65694844158</v>
      </c>
      <c r="O76" s="41">
        <f>(N76*M76)</f>
        <v>70.960000000000008</v>
      </c>
    </row>
    <row r="78" spans="12:16">
      <c r="O78" s="41">
        <f>(SUM(O73:O76))</f>
        <v>137.48500000000001</v>
      </c>
    </row>
  </sheetData>
  <conditionalFormatting sqref="C5 C7:C17 C19:C20 C22:C25 C34:C35 G36 N10:N12 N20 N26:N28 N34 S5 S7:S21 S24">
    <cfRule type="cellIs" dxfId="251" priority="45" operator="lessThan">
      <formula>$J$3</formula>
    </cfRule>
    <cfRule type="cellIs" dxfId="250" priority="46" operator="greaterThan">
      <formula>$J$3</formula>
    </cfRule>
  </conditionalFormatting>
  <conditionalFormatting sqref="N35:N36">
    <cfRule type="cellIs" dxfId="249" priority="19" operator="lessThan">
      <formula>$J$3</formula>
    </cfRule>
    <cfRule type="cellIs" dxfId="248" priority="20" operator="greaterThan">
      <formula>$J$3</formula>
    </cfRule>
  </conditionalFormatting>
  <conditionalFormatting sqref="N42:N44">
    <cfRule type="cellIs" dxfId="247" priority="17" operator="lessThan">
      <formula>$J$3</formula>
    </cfRule>
    <cfRule type="cellIs" dxfId="246" priority="18" operator="greaterThan">
      <formula>$J$3</formula>
    </cfRule>
  </conditionalFormatting>
  <conditionalFormatting sqref="N50:N52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N58:N60">
    <cfRule type="cellIs" dxfId="243" priority="13" operator="lessThan">
      <formula>$J$3</formula>
    </cfRule>
    <cfRule type="cellIs" dxfId="242" priority="14" operator="greaterThan">
      <formula>$J$3</formula>
    </cfRule>
  </conditionalFormatting>
  <conditionalFormatting sqref="N66:N68">
    <cfRule type="cellIs" dxfId="241" priority="11" operator="lessThan">
      <formula>$J$3</formula>
    </cfRule>
    <cfRule type="cellIs" dxfId="240" priority="12" operator="greaterThan">
      <formula>$J$3</formula>
    </cfRule>
  </conditionalFormatting>
  <conditionalFormatting sqref="N73:N76">
    <cfRule type="cellIs" dxfId="239" priority="9" operator="lessThan">
      <formula>$J$3</formula>
    </cfRule>
    <cfRule type="cellIs" dxfId="238" priority="10" operator="greaterThan">
      <formula>$J$3</formula>
    </cfRule>
  </conditionalFormatting>
  <conditionalFormatting sqref="N4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M1" sqref="M1:P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15.08872052675992</v>
      </c>
      <c r="M3" t="s">
        <v>4</v>
      </c>
      <c r="N3" s="24">
        <f>(INDEX(N5:N16,MATCH(MAX(O6:O7),O5:O16,0))/0.9)</f>
        <v>0.30371801333333343</v>
      </c>
      <c r="O3" s="39">
        <f>(MAX(O6:O8)*0.85)</f>
        <v>12.906255639431281</v>
      </c>
      <c r="P3" s="35">
        <f>(O3*N3)</f>
        <v>3.9198623223801996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(B11*J3)</f>
        <v>7.982898534995301</v>
      </c>
      <c r="K4" s="4">
        <f>(J4/D11-1)</f>
        <v>-13.843448209613424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(B5)+B7+B8+B9</f>
        <v>0.52676553000000004</v>
      </c>
      <c r="S5" s="38">
        <f>(T5/R5)</f>
        <v>6.9018017940543661</v>
      </c>
      <c r="T5" s="38">
        <f>(D5)+(B7+B8+B9)*6.9017</f>
        <v>3.6356312799999992</v>
      </c>
    </row>
    <row r="6" spans="2:21">
      <c r="B6" s="2">
        <v>2.2984500000000001E-3</v>
      </c>
      <c r="C6" s="40">
        <v>0</v>
      </c>
      <c r="D6" s="26">
        <f>(B6*C6)</f>
        <v>0</v>
      </c>
      <c r="E6" s="38">
        <f>(B6*J3)</f>
        <v>3.4680669694731339E-2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2.2984500000000001E-3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(B7)-B7</f>
        <v>0</v>
      </c>
      <c r="S7" s="38">
        <v>0</v>
      </c>
      <c r="T7" s="38">
        <f>(D7)-B7*6.9017</f>
        <v>-0.82428226999999987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-B9</f>
        <v>0.2616</v>
      </c>
      <c r="O8" s="38">
        <f>($C$5*Params!K10)</f>
        <v>15.183830164036802</v>
      </c>
      <c r="P8" s="38">
        <f>(O8*N8)</f>
        <v>3.9720899709120276</v>
      </c>
      <c r="Q8" t="s">
        <v>12</v>
      </c>
      <c r="R8" s="1">
        <f>(B8)-B8</f>
        <v>0</v>
      </c>
      <c r="S8" s="38">
        <v>0</v>
      </c>
      <c r="T8" s="38">
        <f>(D8)-B8*6.9017</f>
        <v>-1.2281084799999999</v>
      </c>
      <c r="U8" s="39"/>
    </row>
    <row r="9" spans="2:21">
      <c r="B9" s="1">
        <v>-0.2616</v>
      </c>
      <c r="C9" s="38">
        <f>D9/B9</f>
        <v>15.329814220183486</v>
      </c>
      <c r="D9" s="38">
        <f>-4.0102794</f>
        <v>-4.0102793999999999</v>
      </c>
      <c r="N9" s="24">
        <f>4*($B$5+B6)/5-N8-N7-N6</f>
        <v>0.26358497200000008</v>
      </c>
      <c r="O9" s="38">
        <f>($C$5*Params!K11)</f>
        <v>27.606963934612367</v>
      </c>
      <c r="P9" s="38">
        <f>(O9*N9)</f>
        <v>7.2767808157098131</v>
      </c>
      <c r="R9" s="1">
        <f>(B9)-B9</f>
        <v>0</v>
      </c>
      <c r="S9" s="38">
        <v>0</v>
      </c>
      <c r="T9" s="38">
        <f>(D9)-B9*6.9017</f>
        <v>-2.20479468</v>
      </c>
      <c r="U9" s="39"/>
    </row>
    <row r="10" spans="2:21">
      <c r="C10" s="38"/>
      <c r="D10" s="38"/>
      <c r="F10" t="s">
        <v>9</v>
      </c>
      <c r="G10" s="38">
        <f>(D11/B11)</f>
        <v>-1.1748184973771989</v>
      </c>
      <c r="O10" s="38"/>
      <c r="P10" s="38"/>
      <c r="R10" s="1"/>
      <c r="S10" s="38"/>
      <c r="T10" s="38"/>
      <c r="U10" s="39"/>
    </row>
    <row r="11" spans="2:21">
      <c r="B11">
        <f>(SUM(B5:B10))</f>
        <v>0.5290639800000001</v>
      </c>
      <c r="C11" s="38"/>
      <c r="D11" s="38">
        <f>(SUM(D5:D10))</f>
        <v>-0.62155415000000058</v>
      </c>
      <c r="O11" s="38"/>
      <c r="P11" s="38">
        <f>(SUM(P6:P9))</f>
        <v>16.928460500326974</v>
      </c>
      <c r="R11" s="1"/>
      <c r="S11" s="38"/>
      <c r="T11" s="39"/>
    </row>
    <row r="22" spans="18:20">
      <c r="R22">
        <f>(SUM(R5:R21))</f>
        <v>0.52906397999999999</v>
      </c>
      <c r="T22" s="38">
        <f>(SUM(T5:T21))</f>
        <v>-0.62155415000000058</v>
      </c>
    </row>
  </sheetData>
  <conditionalFormatting sqref="C5 G10 O9 S5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3" operator="greaterThan">
      <formula>$J$3</formula>
    </cfRule>
    <cfRule type="cellIs" dxfId="110" priority="4" operator="less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73.497875972076827</v>
      </c>
      <c r="N3" s="24"/>
      <c r="O3" s="39"/>
      <c r="P3" s="35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12.058131354961098</v>
      </c>
      <c r="K4" s="4">
        <f>(J4/D15-1)</f>
        <v>0.21322859613779399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1.1033600000000001E-3</v>
      </c>
      <c r="C6" s="40">
        <v>0</v>
      </c>
      <c r="D6" s="26">
        <f>(B6*C6)</f>
        <v>0</v>
      </c>
      <c r="E6" s="38">
        <f>(B6*J3)</f>
        <v>8.1094616432550698E-2</v>
      </c>
      <c r="M6" t="s">
        <v>11</v>
      </c>
      <c r="N6" s="49">
        <f>(SUM(R$5:R$8)/5)</f>
        <v>3.2812190000000005E-2</v>
      </c>
      <c r="O6" s="38">
        <f>($C$7*Params!K8)</f>
        <v>89.451451451451447</v>
      </c>
      <c r="P6" s="38">
        <f>(O6*N6)</f>
        <v>2.9350980208008011</v>
      </c>
      <c r="R6" s="2">
        <f>(B6)</f>
        <v>1.1033600000000001E-3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49">
        <f>(SUM(R$5:R$8)/5)</f>
        <v>3.2812190000000005E-2</v>
      </c>
      <c r="O7" s="38">
        <f>($C$7*Params!K9)</f>
        <v>110.09409409409409</v>
      </c>
      <c r="P7" s="38">
        <f>(O7*N7)</f>
        <v>3.6124283332932938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49">
        <f>(SUM(R$5:R$8)/5)</f>
        <v>3.2812190000000005E-2</v>
      </c>
      <c r="O8" s="38">
        <f>($C$7*Params!K10)</f>
        <v>151.37937937937937</v>
      </c>
      <c r="P8" s="38">
        <f>(O8*N8)</f>
        <v>4.9670889582782785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1.2998495363728413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49">
        <f>(SUM(R$5:R$8)/5)</f>
        <v>3.2812190000000005E-2</v>
      </c>
      <c r="O9" s="38">
        <f>($C$7*Params!K11)</f>
        <v>275.23523523523522</v>
      </c>
      <c r="P9" s="38">
        <f>(O9*N9)</f>
        <v>9.031070833233235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20.545686145605607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60.58040191770192</v>
      </c>
    </row>
    <row r="15" spans="2:21">
      <c r="B15" s="1">
        <f>(SUM(B5:B14))</f>
        <v>0.16406095000000001</v>
      </c>
      <c r="D15" s="38">
        <f>(SUM(D5:D14))</f>
        <v>9.9388782899999999</v>
      </c>
    </row>
    <row r="21" spans="18:20">
      <c r="R21">
        <f>(SUM(R5:R20))</f>
        <v>0.16406095000000004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09" priority="21" operator="lessThan">
      <formula>$J$3</formula>
    </cfRule>
    <cfRule type="cellIs" dxfId="108" priority="22" operator="greaterThan">
      <formula>$J$3</formula>
    </cfRule>
  </conditionalFormatting>
  <conditionalFormatting sqref="C9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C12:C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O6:O7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14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1"/>
  <sheetViews>
    <sheetView workbookViewId="0">
      <selection activeCell="G23" sqref="G23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1.0273027924250291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(B21*J3)</f>
        <v>3.9511103486138381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0">
        <v>5.5709519999999998E-2</v>
      </c>
      <c r="C6" s="40">
        <v>0</v>
      </c>
      <c r="D6" s="26">
        <f>(B6*C6)</f>
        <v>0</v>
      </c>
      <c r="E6" s="38">
        <f>(B6*J3)</f>
        <v>5.7230545460658006E-2</v>
      </c>
    </row>
    <row r="7" spans="2:10">
      <c r="B7" s="49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9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>
      <c r="B16">
        <v>0.31639059000000003</v>
      </c>
      <c r="C16" s="38">
        <v>0</v>
      </c>
      <c r="D16" s="38">
        <f t="shared" si="0"/>
        <v>0</v>
      </c>
    </row>
    <row r="17" spans="2:4">
      <c r="B17">
        <v>0.31639059000000003</v>
      </c>
      <c r="C17" s="38">
        <v>0</v>
      </c>
      <c r="D17" s="38">
        <f t="shared" si="0"/>
        <v>0</v>
      </c>
    </row>
    <row r="18" spans="2:4">
      <c r="B18">
        <v>0.31639059000000003</v>
      </c>
      <c r="C18" s="38">
        <v>0</v>
      </c>
      <c r="D18" s="38">
        <f t="shared" si="0"/>
        <v>0</v>
      </c>
    </row>
    <row r="19" spans="2:4">
      <c r="B19">
        <v>0.31639059000000003</v>
      </c>
      <c r="C19" s="38">
        <v>0</v>
      </c>
      <c r="D19" s="38">
        <f t="shared" si="0"/>
        <v>0</v>
      </c>
    </row>
    <row r="21" spans="2:4">
      <c r="B21">
        <f>(SUM(B5:B20))</f>
        <v>3.8461010500000015</v>
      </c>
      <c r="D21" s="38">
        <f>(SUM(D5:D20))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T39" sqref="T3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1.823269228233252E-4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(B39*J3)</f>
        <v>23.337762767992849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48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48">
        <v>5.0000000000000001E-4</v>
      </c>
      <c r="O9" s="21">
        <f>B39/2</f>
        <v>63999.771417760232</v>
      </c>
      <c r="P9" s="38">
        <f>(O9*N9)</f>
        <v>31.999885708880118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N11" t="s">
        <v>1</v>
      </c>
      <c r="O11" t="s">
        <v>0</v>
      </c>
      <c r="P11" t="s">
        <v>2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M12" t="s">
        <v>4</v>
      </c>
      <c r="N12" s="48">
        <f>C37/2</f>
        <v>1.2834058513333334E-4</v>
      </c>
      <c r="O12" s="30">
        <f>-B37-B36</f>
        <v>212000</v>
      </c>
      <c r="P12" s="38">
        <f>(O12*N12)</f>
        <v>27.208204048266669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4844.8001015899999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4844.8001015899999</v>
      </c>
      <c r="C18" s="40">
        <v>0</v>
      </c>
      <c r="D18" s="26">
        <f>(B18*C18)</f>
        <v>0</v>
      </c>
      <c r="E18" s="38">
        <f>(B18*J3)</f>
        <v>0.883337494217038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  <c r="R26" s="29">
        <f>B36</f>
        <v>-62000</v>
      </c>
      <c r="S26" s="28">
        <f>T26/R26</f>
        <v>2.5846530951612908E-4</v>
      </c>
      <c r="T26" s="39">
        <f>D36</f>
        <v>-16.024849190000001</v>
      </c>
    </row>
    <row r="27" spans="2:20">
      <c r="B27" s="29">
        <v>-40000</v>
      </c>
      <c r="C27" s="28">
        <f t="shared" ref="C27:C37" si="4">(D27/B27)</f>
        <v>3.1099999999999997E-4</v>
      </c>
      <c r="D27" s="38">
        <v>-12.44</v>
      </c>
      <c r="R27" s="29">
        <f>B37</f>
        <v>-150000</v>
      </c>
      <c r="S27" s="28">
        <f>T27/R27</f>
        <v>2.5668117026666668E-4</v>
      </c>
      <c r="T27" s="39">
        <f>D37</f>
        <v>-38.502175540000003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  <c r="E32" s="39">
        <f>(B32+B33+B34)*J3</f>
        <v>39.385508311122678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/>
    </row>
    <row r="36" spans="2:20">
      <c r="B36" s="29">
        <v>-62000</v>
      </c>
      <c r="C36" s="28">
        <f t="shared" si="4"/>
        <v>2.5846530951612908E-4</v>
      </c>
      <c r="D36" s="38">
        <v>-16.024849190000001</v>
      </c>
      <c r="E36" s="38">
        <f>B36*J3</f>
        <v>-11.304269215046162</v>
      </c>
    </row>
    <row r="37" spans="2:20">
      <c r="B37" s="29">
        <v>-150000</v>
      </c>
      <c r="C37" s="28">
        <f t="shared" si="4"/>
        <v>2.5668117026666668E-4</v>
      </c>
      <c r="D37" s="38">
        <v>-38.502175540000003</v>
      </c>
      <c r="E37" s="38">
        <f>B37*J3</f>
        <v>-27.349038423498779</v>
      </c>
    </row>
    <row r="39" spans="2:20">
      <c r="B39">
        <f>(SUM(B5:B38))</f>
        <v>127999.54283552046</v>
      </c>
      <c r="D39" s="38">
        <f>(SUM(D5:D38))</f>
        <v>-76.307382291799911</v>
      </c>
      <c r="F39" t="s">
        <v>9</v>
      </c>
      <c r="G39" s="28">
        <f>(D39/B39)</f>
        <v>-5.9615355337522551E-4</v>
      </c>
      <c r="R39">
        <f>(SUM(R5:R38))</f>
        <v>127999.54283552046</v>
      </c>
      <c r="T39" s="38">
        <f>(SUM(T5:T38))</f>
        <v>-76.307382291799911</v>
      </c>
    </row>
  </sheetData>
  <conditionalFormatting sqref="C5:C9 C14:C16 C25:C26 C28 C30 C32 C35">
    <cfRule type="cellIs" dxfId="99" priority="15" operator="lessThan">
      <formula>$J$3</formula>
    </cfRule>
    <cfRule type="cellIs" dxfId="98" priority="16" operator="greaterThan">
      <formula>$J$3</formula>
    </cfRule>
  </conditionalFormatting>
  <conditionalFormatting sqref="N6">
    <cfRule type="cellIs" dxfId="97" priority="11" operator="lessThan">
      <formula>$J$3</formula>
    </cfRule>
    <cfRule type="cellIs" dxfId="96" priority="12" operator="greaterThan">
      <formula>$J$3</formula>
    </cfRule>
  </conditionalFormatting>
  <conditionalFormatting sqref="N9">
    <cfRule type="cellIs" dxfId="95" priority="7" operator="lessThan">
      <formula>$J$3</formula>
    </cfRule>
    <cfRule type="cellIs" dxfId="94" priority="8" operator="greaterThan">
      <formula>$J$3</formula>
    </cfRule>
  </conditionalFormatting>
  <conditionalFormatting sqref="S5:S9 S13">
    <cfRule type="cellIs" dxfId="93" priority="5" operator="lessThan">
      <formula>$J$3</formula>
    </cfRule>
    <cfRule type="cellIs" dxfId="92" priority="6" operator="greaterThan">
      <formula>$J$3</formula>
    </cfRule>
  </conditionalFormatting>
  <conditionalFormatting sqref="G39">
    <cfRule type="cellIs" dxfId="91" priority="3" operator="lessThan">
      <formula>$J$3</formula>
    </cfRule>
    <cfRule type="cellIs" dxfId="90" priority="4" operator="greaterThan">
      <formula>$J$3</formula>
    </cfRule>
  </conditionalFormatting>
  <conditionalFormatting sqref="N12">
    <cfRule type="cellIs" dxfId="89" priority="1" operator="greaterThan">
      <formula>$J$3</formula>
    </cfRule>
    <cfRule type="cellIs" dxfId="88" priority="2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C7" sqref="C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0.85584700069312913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47.327893849694057</v>
      </c>
      <c r="K4" s="4">
        <f>(J4/D18-1)</f>
        <v>-1.7407198983792727E-2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0.31697361000000002</v>
      </c>
      <c r="C6" s="40">
        <v>0</v>
      </c>
      <c r="D6" s="26">
        <f>(B6*C6)</f>
        <v>0</v>
      </c>
      <c r="E6" s="38">
        <f>(B6*J3)</f>
        <v>0.27128091341737365</v>
      </c>
      <c r="M6" t="s">
        <v>11</v>
      </c>
      <c r="N6" s="19">
        <f>($B$7+$R$9)/5</f>
        <v>8.3218054357777778</v>
      </c>
      <c r="O6" s="38">
        <f>($S$7*Params!K8)</f>
        <v>1.2023488968961829</v>
      </c>
      <c r="P6" s="38">
        <f>(O6*N6)</f>
        <v>10.005713585892069</v>
      </c>
      <c r="R6" s="36">
        <f>(B6)</f>
        <v>0.31697361000000002</v>
      </c>
      <c r="S6" s="40">
        <v>0</v>
      </c>
      <c r="T6" s="26">
        <f>(D6)</f>
        <v>0</v>
      </c>
      <c r="U6" s="38">
        <f>(R6*J3)</f>
        <v>0.27128091341737365</v>
      </c>
    </row>
    <row r="7" spans="2:21">
      <c r="B7" s="19">
        <v>40.97812218</v>
      </c>
      <c r="C7" s="38">
        <f t="shared" ref="C7:C14" si="0">(D7/B7)</f>
        <v>0.92488376684321749</v>
      </c>
      <c r="D7" s="38">
        <v>37.9</v>
      </c>
      <c r="E7" t="s">
        <v>15</v>
      </c>
      <c r="N7" s="19">
        <f>($B$7+$R$9)/5</f>
        <v>8.3218054357777778</v>
      </c>
      <c r="O7" s="38">
        <f>($S$7*Params!K9)</f>
        <v>1.479814026949148</v>
      </c>
      <c r="P7" s="38">
        <f>(O7*N7)</f>
        <v>12.314724413405623</v>
      </c>
      <c r="R7" s="19">
        <f>B7</f>
        <v>40.97812218</v>
      </c>
      <c r="S7" s="38">
        <f>(T7/R7)</f>
        <v>0.92488376684321749</v>
      </c>
      <c r="T7" s="38">
        <f>D7</f>
        <v>37.9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8.3218054357777778</v>
      </c>
      <c r="O8" s="38">
        <f>($S$7*Params!K10)</f>
        <v>2.0347442870550787</v>
      </c>
      <c r="P8" s="38">
        <f>(O8*N8)</f>
        <v>16.932746068432731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8.3218054357777778</v>
      </c>
      <c r="O9" s="38">
        <f>($C$7*Params!K11)</f>
        <v>3.69953506737287</v>
      </c>
      <c r="P9" s="38">
        <f>(O9*N9)</f>
        <v>30.786811033514056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70.039995101244472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0.87100882461992757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55.29947971</v>
      </c>
      <c r="S17" s="38"/>
      <c r="T17" s="38">
        <f>(SUM(T5:T12))</f>
        <v>48.166334824300641</v>
      </c>
    </row>
    <row r="18" spans="2:20">
      <c r="B18" s="19">
        <f>(SUM(B5:B17))</f>
        <v>55.299479710000007</v>
      </c>
      <c r="D18" s="38">
        <f>(SUM(D5:D17))</f>
        <v>48.166334824300641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87" priority="23" operator="lessThan">
      <formula>$J$3</formula>
    </cfRule>
    <cfRule type="cellIs" dxfId="86" priority="24" operator="greaterThan">
      <formula>$J$3</formula>
    </cfRule>
  </conditionalFormatting>
  <conditionalFormatting sqref="S8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R41" sqref="R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0.81837324874054229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43.204804622155983</v>
      </c>
      <c r="K4" s="4">
        <f>(J4/D10-1)</f>
        <v>9.1306002075169923E-2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0.33047863999999999</v>
      </c>
      <c r="C6" s="40">
        <v>0</v>
      </c>
      <c r="D6" s="26">
        <f>(B6*C6)</f>
        <v>0</v>
      </c>
      <c r="E6" s="38">
        <f>(B6*J3)</f>
        <v>0.27045487825615611</v>
      </c>
      <c r="M6" t="s">
        <v>11</v>
      </c>
      <c r="N6" s="29">
        <f>($B$10/5)</f>
        <v>10.558704036</v>
      </c>
      <c r="O6" s="38">
        <f>($C$5*Params!K8)</f>
        <v>0.98505771545924514</v>
      </c>
      <c r="P6" s="38">
        <f>(O6*N6)</f>
        <v>10.400932875912471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0.17622975567859145</v>
      </c>
      <c r="N7" s="29">
        <f>($B$10/5)</f>
        <v>10.558704036</v>
      </c>
      <c r="O7" s="38">
        <f>($C$5*Params!K9)</f>
        <v>1.2123787267190709</v>
      </c>
      <c r="P7" s="38">
        <f>(O7*N7)</f>
        <v>12.801148154969194</v>
      </c>
    </row>
    <row r="8" spans="2:16">
      <c r="N8" s="29">
        <f>($B$10/5)</f>
        <v>10.558704036</v>
      </c>
      <c r="O8" s="38">
        <f>($C$5*Params!K10)</f>
        <v>1.6670207492387226</v>
      </c>
      <c r="P8" s="38">
        <f>(O8*N8)</f>
        <v>17.601578713082645</v>
      </c>
    </row>
    <row r="9" spans="2:16">
      <c r="F9" t="s">
        <v>9</v>
      </c>
      <c r="G9" s="38">
        <f>(D10/B10)</f>
        <v>0.74990263700957105</v>
      </c>
      <c r="N9" s="29">
        <f>($B$10/5)</f>
        <v>10.558704036</v>
      </c>
      <c r="O9" s="38">
        <f>($C$5*Params!K11)</f>
        <v>3.0309468167976772</v>
      </c>
      <c r="P9" s="38">
        <f>(O9*N9)</f>
        <v>32.002870387422988</v>
      </c>
    </row>
    <row r="10" spans="2:16">
      <c r="B10" s="29">
        <f>(SUM(B5:B9))</f>
        <v>52.793520180000002</v>
      </c>
      <c r="D10" s="38">
        <f>(SUM(D5:D9))</f>
        <v>39.590000000000003</v>
      </c>
    </row>
    <row r="11" spans="2:16">
      <c r="P11" s="38">
        <f>(SUM(P6:P9))</f>
        <v>72.806530131387291</v>
      </c>
    </row>
  </sheetData>
  <conditionalFormatting sqref="C5">
    <cfRule type="cellIs" dxfId="83" priority="5" operator="lessThan">
      <formula>$J$3</formula>
    </cfRule>
    <cfRule type="cellIs" dxfId="82" priority="6" operator="greaterThan">
      <formula>$J$3</formula>
    </cfRule>
  </conditionalFormatting>
  <conditionalFormatting sqref="O6:O9">
    <cfRule type="cellIs" dxfId="81" priority="3" operator="lessThan">
      <formula>$J$3</formula>
    </cfRule>
    <cfRule type="cellIs" dxfId="80" priority="4" operator="greaterThan">
      <formula>$J$3</formula>
    </cfRule>
  </conditionalFormatting>
  <conditionalFormatting sqref="G9">
    <cfRule type="cellIs" dxfId="79" priority="1" operator="lessThan">
      <formula>$J$3</formula>
    </cfRule>
    <cfRule type="cellIs" dxfId="78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O16" sqref="O1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2.3333542152441562</v>
      </c>
      <c r="M3" t="s">
        <v>4</v>
      </c>
      <c r="N3" s="24">
        <f>(INDEX(N5:N27,MATCH(MAX(O6,O14),O5:O27,0))/0.9)</f>
        <v>4.7777777777777777</v>
      </c>
      <c r="O3" s="39">
        <f>(MAX(O6,O14)*0.85)</f>
        <v>2.0080046913953487</v>
      </c>
      <c r="P3" s="38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(B21*J3)</f>
        <v>44.455835333935191</v>
      </c>
      <c r="K4" s="4">
        <f>(J4/D21-1)</f>
        <v>0.5111347414892855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21.583017099999999</v>
      </c>
      <c r="C6" s="38">
        <f>(D6/B6)</f>
        <v>1.7467437395488143</v>
      </c>
      <c r="D6" s="38">
        <v>37.700000000000003</v>
      </c>
      <c r="E6" t="s">
        <v>15</v>
      </c>
      <c r="M6" t="s">
        <v>11</v>
      </c>
      <c r="N6" s="1">
        <f>-B18</f>
        <v>0.37769784172661802</v>
      </c>
      <c r="O6" s="38">
        <f>P6/N6</f>
        <v>2.1765811428571467</v>
      </c>
      <c r="P6" s="38">
        <f>-D18</f>
        <v>0.82208999999999999</v>
      </c>
      <c r="Q6" t="s">
        <v>12</v>
      </c>
      <c r="R6" s="1">
        <f>B6+B19</f>
        <v>17.283017099999999</v>
      </c>
      <c r="S6" s="38">
        <f>(T6/R6)</f>
        <v>1.7484215762304607</v>
      </c>
      <c r="T6" s="38">
        <f>D6+B19*1.74</f>
        <v>30.218000000000004</v>
      </c>
      <c r="U6" s="38" t="str">
        <f>(E6)</f>
        <v>DCA2</v>
      </c>
    </row>
    <row r="7" spans="2:22">
      <c r="B7" s="2">
        <v>9.9889909999999998E-2</v>
      </c>
      <c r="C7" s="40">
        <v>0</v>
      </c>
      <c r="D7" s="26">
        <v>0</v>
      </c>
      <c r="E7" s="39">
        <f>B7*J3</f>
        <v>0.23307854255885938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9.9889909999999998E-2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9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0.45172600274902325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0.44915466199987408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>
        <f>B18</f>
        <v>-0.37769784172661802</v>
      </c>
      <c r="S10" s="38">
        <f>T10/R10</f>
        <v>2.1765811428571467</v>
      </c>
      <c r="T10" s="38">
        <f>D18</f>
        <v>-0.82208999999999999</v>
      </c>
      <c r="U10" t="s">
        <v>83</v>
      </c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5.8192473575231318</v>
      </c>
      <c r="R11" s="1">
        <f>B19-B19</f>
        <v>0</v>
      </c>
      <c r="S11" s="38">
        <v>0</v>
      </c>
      <c r="T11" s="39">
        <f>D19-B19*1.74</f>
        <v>-2.6761413800000007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-B19</f>
        <v>4.3</v>
      </c>
      <c r="O14" s="38">
        <f>P14/N14</f>
        <v>2.3623584604651162</v>
      </c>
      <c r="P14" s="38">
        <f>-D19</f>
        <v>10.15814138</v>
      </c>
      <c r="Q14" t="s">
        <v>12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4.3437664739999997</v>
      </c>
      <c r="O15" s="38">
        <f>($S$6*Params!K9)</f>
        <v>2.7974745219687374</v>
      </c>
      <c r="P15" s="38">
        <f>(O15*N15)</f>
        <v>12.151576040396977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4.3437664739999997</v>
      </c>
      <c r="O16" s="38">
        <f>($C$6*Params!K10)</f>
        <v>3.8428362270073917</v>
      </c>
      <c r="P16" s="38">
        <f>(O16*N16)</f>
        <v>16.692383167947359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4.3437664739999997</v>
      </c>
      <c r="O17" s="38">
        <f>($C$6*Params!K11)</f>
        <v>6.9869749581952574</v>
      </c>
      <c r="P17" s="38">
        <f>(O17*N17)</f>
        <v>30.349787578086108</v>
      </c>
      <c r="S17" s="38"/>
      <c r="T17" s="38"/>
    </row>
    <row r="18" spans="2:20">
      <c r="B18" s="1">
        <v>-0.37769784172661802</v>
      </c>
      <c r="C18" s="38">
        <f t="shared" si="0"/>
        <v>2.1765811428571467</v>
      </c>
      <c r="D18" s="38">
        <v>-0.82208999999999999</v>
      </c>
      <c r="E18" t="str">
        <f>U10</f>
        <v>Learn 1/5</v>
      </c>
      <c r="N18" s="1"/>
      <c r="O18" s="38"/>
      <c r="P18" s="38"/>
      <c r="S18" s="38"/>
      <c r="T18" s="38"/>
    </row>
    <row r="19" spans="2:20">
      <c r="B19" s="1">
        <v>-4.3</v>
      </c>
      <c r="C19" s="38">
        <f t="shared" si="0"/>
        <v>2.3623584604651162</v>
      </c>
      <c r="D19" s="38">
        <v>-10.15814138</v>
      </c>
      <c r="O19" s="38"/>
      <c r="P19" s="38">
        <f>(SUM(P14:P17))</f>
        <v>69.351888166430442</v>
      </c>
      <c r="S19" s="38"/>
      <c r="T19" s="38"/>
    </row>
    <row r="20" spans="2:20">
      <c r="C20" s="38"/>
      <c r="D20" s="38"/>
      <c r="F20" t="s">
        <v>9</v>
      </c>
      <c r="G20" s="38">
        <f>(D21/B21)</f>
        <v>1.5441073196057551</v>
      </c>
      <c r="S20" s="38"/>
      <c r="T20" s="38"/>
    </row>
    <row r="21" spans="2:20">
      <c r="B21" s="1">
        <f>(SUM(B5:B20))</f>
        <v>19.052330350659361</v>
      </c>
      <c r="C21" s="38"/>
      <c r="D21" s="38">
        <f>(SUM(D5:D20))</f>
        <v>29.41884275</v>
      </c>
      <c r="S21" s="38"/>
      <c r="T21" s="38"/>
    </row>
    <row r="22" spans="2:20">
      <c r="S22" s="38"/>
      <c r="T22" s="38"/>
    </row>
    <row r="23" spans="2:20">
      <c r="S23" s="38"/>
      <c r="T23" s="38"/>
    </row>
    <row r="24" spans="2:20">
      <c r="R24" s="1">
        <f>(SUM(R5:R23))</f>
        <v>19.052330350659364</v>
      </c>
      <c r="S24" s="38"/>
      <c r="T24" s="38">
        <f>(SUM(T5:T23))</f>
        <v>29.41884275</v>
      </c>
    </row>
  </sheetData>
  <conditionalFormatting sqref="C5:C6 C12:C14 C16:C17 O7:O9 O15:O17 S5:S6">
    <cfRule type="cellIs" dxfId="77" priority="19" operator="lessThan">
      <formula>$J$3</formula>
    </cfRule>
    <cfRule type="cellIs" dxfId="76" priority="20" operator="greaterThan">
      <formula>$J$3</formula>
    </cfRule>
  </conditionalFormatting>
  <conditionalFormatting sqref="O3">
    <cfRule type="cellIs" dxfId="75" priority="1" operator="greaterThan">
      <formula>$J$3</formula>
    </cfRule>
    <cfRule type="cellIs" dxfId="74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2">
        <v>9.7162624554433458E-6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4.2731018511624894</v>
      </c>
      <c r="K4" s="4">
        <f>(J4/D13-1)</f>
        <v>-0.15047676915258668</v>
      </c>
    </row>
    <row r="5" spans="2:16">
      <c r="B5" s="22">
        <v>439531.68</v>
      </c>
      <c r="C5" s="52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256.95999999999998</v>
      </c>
      <c r="C6" s="40">
        <v>0</v>
      </c>
      <c r="D6" s="26">
        <f>(B6*C6)</f>
        <v>0</v>
      </c>
      <c r="E6" s="38">
        <f>(B6*J3)</f>
        <v>2.4966908005507218E-3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1.1437312250721165E-5</v>
      </c>
    </row>
    <row r="13" spans="2:16">
      <c r="B13">
        <f>(SUM(B5:B12))</f>
        <v>439788.64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73" priority="5" operator="lessThan">
      <formula>$J$3</formula>
    </cfRule>
    <cfRule type="cellIs" dxfId="72" priority="6" operator="greaterThan">
      <formula>$J$3</formula>
    </cfRule>
  </conditionalFormatting>
  <conditionalFormatting sqref="J3">
    <cfRule type="cellIs" dxfId="71" priority="3" operator="lessThan">
      <formula>$J$3</formula>
    </cfRule>
    <cfRule type="cellIs" dxfId="70" priority="4" operator="greaterThan">
      <formula>$J$3</formula>
    </cfRule>
  </conditionalFormatting>
  <conditionalFormatting sqref="O6:O9">
    <cfRule type="cellIs" dxfId="69" priority="1" operator="lessThan">
      <formula>$J$3</formula>
    </cfRule>
    <cfRule type="cellIs" dxfId="68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B18" sqref="B1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69.441756519680581</v>
      </c>
      <c r="M3" t="s">
        <v>4</v>
      </c>
      <c r="N3" s="24">
        <f>(INDEX(N5:N26,MATCH(MAX(O6:O9,O23:O24,O14:O15),O5:O26,0))/0.9)</f>
        <v>0.1209481488888889</v>
      </c>
      <c r="O3" s="39">
        <f>(MAX(O14:O16,O23:O25,O6:O9)*0.85)</f>
        <v>43.667054002813281</v>
      </c>
      <c r="P3" s="38">
        <f>(O3*N3)</f>
        <v>5.2814493490714129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(B43*J3)</f>
        <v>258.45792772397522</v>
      </c>
      <c r="K4" s="4">
        <f>(J4/D43-1)</f>
        <v>5.7490137073109207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84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-B36</f>
        <v>0.10885</v>
      </c>
      <c r="O7" s="38">
        <f>P7/N7</f>
        <v>23.941203491042717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Q9" t="s">
        <v>12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0.1458276886913292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85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(B17+B21+B37-N16)</f>
        <v>2.39291681</v>
      </c>
      <c r="S13" s="38">
        <f>(T13/R13)</f>
        <v>21.204442546416807</v>
      </c>
      <c r="T13" s="38">
        <f>(D17+11.97*B21+B37*19.42078-N16*19.42078)</f>
        <v>50.740467015999982</v>
      </c>
      <c r="U13" t="s">
        <v>10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0.42783156466059019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5">
        <f>(B18)</f>
        <v>6.1829969999999998E-2</v>
      </c>
      <c r="S14" s="40">
        <f>(C18)</f>
        <v>0</v>
      </c>
      <c r="T14" s="26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3.664983137244443E-2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B19+B22+B39-N25</f>
        <v>0.73814250000000003</v>
      </c>
      <c r="S15" s="38">
        <f>(T15/R15)</f>
        <v>21.558030326122672</v>
      </c>
      <c r="T15" s="38">
        <f>(D19+12.6*B22+20.2393*B39-20.2393*N25)</f>
        <v>15.912898400000005</v>
      </c>
      <c r="U15" t="s">
        <v>15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-B40-N25</f>
        <v>1.2328000000000001</v>
      </c>
      <c r="O16" s="38">
        <f>C40</f>
        <v>46.861096439187513</v>
      </c>
      <c r="P16" s="38">
        <f>(O16*N16)</f>
        <v>57.770359690230372</v>
      </c>
      <c r="Q16" t="s">
        <v>12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5.9866168100000001</v>
      </c>
      <c r="C17" s="38">
        <f>(D17/B17)</f>
        <v>19.784129126514113</v>
      </c>
      <c r="D17" s="38">
        <v>118.44</v>
      </c>
      <c r="E17" t="s">
        <v>10</v>
      </c>
      <c r="N17" s="24">
        <f>(($R$13+N14+$R$21)/5)</f>
        <v>0.54377788599999999</v>
      </c>
      <c r="O17" s="38">
        <f>($S$13*Params!K11)</f>
        <v>84.817770185667229</v>
      </c>
      <c r="P17" s="38">
        <f>(O17*N17)</f>
        <v>46.122027766795952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6.1829969999999998E-2</v>
      </c>
      <c r="C18" s="40">
        <v>0</v>
      </c>
      <c r="D18" s="26">
        <v>0</v>
      </c>
      <c r="E18" s="39">
        <f>B18*J3</f>
        <v>4.2935817223591544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1.8415824999999999</v>
      </c>
      <c r="C19" s="38">
        <f t="shared" ref="C19:C32" si="1">(D19/B19)</f>
        <v>20.471523811721713</v>
      </c>
      <c r="D19" s="38">
        <v>37.700000000000003</v>
      </c>
      <c r="E19" t="s">
        <v>15</v>
      </c>
      <c r="O19" s="38"/>
      <c r="P19" s="38">
        <f>(SUM(P14:P17))</f>
        <v>173.39675220702634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86</v>
      </c>
      <c r="V19" s="39">
        <f>-T19+R19*$J$3</f>
        <v>0.51322676357694452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87</v>
      </c>
      <c r="V20" s="39">
        <f>-T20+R20*$J$3</f>
        <v>3.1531805635130237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88</v>
      </c>
      <c r="V21" s="39">
        <f>-T21+R21*$J$3</f>
        <v>3.5850738237440849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  <c r="U22" t="s">
        <v>89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B37-B37</f>
        <v>0</v>
      </c>
      <c r="S23" s="39">
        <v>0</v>
      </c>
      <c r="T23" s="38">
        <f>D37-B37*19.42078</f>
        <v>-24.906942350000001</v>
      </c>
      <c r="U23" t="s">
        <v>90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34.492848521796276</v>
      </c>
      <c r="P24" s="38">
        <f>(O24*N24)</f>
        <v>22.42035153916758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91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0.382</f>
        <v>0.38200000000000001</v>
      </c>
      <c r="O25" s="38">
        <f>C40</f>
        <v>46.861096439187513</v>
      </c>
      <c r="P25" s="38">
        <f>(O25*N25)</f>
        <v>17.90093883976963</v>
      </c>
      <c r="Q25" t="s">
        <v>12</v>
      </c>
      <c r="R25" s="24">
        <f>B39-B39</f>
        <v>0</v>
      </c>
      <c r="S25" s="38">
        <v>0</v>
      </c>
      <c r="T25" s="38">
        <f>D39-B39*20.2393</f>
        <v>-8.2515799200000011</v>
      </c>
      <c r="U25" t="s">
        <v>92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0.16319338600000002</v>
      </c>
      <c r="O26" s="38">
        <f>($S$15*Params!K11)</f>
        <v>86.23212130449069</v>
      </c>
      <c r="P26" s="38">
        <f>(O26*N26)</f>
        <v>14.072511857642574</v>
      </c>
      <c r="R26" s="24">
        <f>N16-N16</f>
        <v>0</v>
      </c>
      <c r="S26" s="38">
        <v>0</v>
      </c>
      <c r="T26" s="38">
        <f>-57.77+(N16)*19.42078</f>
        <v>-33.828062416000002</v>
      </c>
      <c r="U26" t="s">
        <v>93</v>
      </c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R27" s="24">
        <f>N25-N25</f>
        <v>0</v>
      </c>
      <c r="S27" s="39">
        <v>0</v>
      </c>
      <c r="T27" s="39">
        <f>-P25+N25*20.2393</f>
        <v>-10.169526239769629</v>
      </c>
      <c r="U27" t="s">
        <v>94</v>
      </c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55.556905756579788</v>
      </c>
      <c r="R28" s="24">
        <f>B41</f>
        <v>-0.10879999999999999</v>
      </c>
      <c r="S28" s="38">
        <f>C41</f>
        <v>58.381847426470586</v>
      </c>
      <c r="T28" s="38">
        <f>D41</f>
        <v>-6.3519449999999997</v>
      </c>
      <c r="U28" t="s">
        <v>95</v>
      </c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41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N38" s="24"/>
      <c r="P38" s="39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N39" s="24">
        <f>N16+N25</f>
        <v>1.6148000000000002</v>
      </c>
      <c r="S39" s="38"/>
      <c r="T39" s="38"/>
    </row>
    <row r="40" spans="2:23">
      <c r="B40" s="24">
        <v>-1.6148</v>
      </c>
      <c r="C40" s="38">
        <f t="shared" si="2"/>
        <v>46.861096439187513</v>
      </c>
      <c r="D40" s="38">
        <v>-75.671298530000001</v>
      </c>
      <c r="E40" s="38"/>
      <c r="S40" s="38"/>
      <c r="T40" s="38"/>
    </row>
    <row r="41" spans="2:23">
      <c r="B41" s="24">
        <v>-0.10879999999999999</v>
      </c>
      <c r="C41" s="38">
        <f t="shared" si="2"/>
        <v>58.381847426470586</v>
      </c>
      <c r="D41" s="38">
        <f>-6.4064+0.054455</f>
        <v>-6.3519449999999997</v>
      </c>
      <c r="E41" s="38"/>
      <c r="S41" s="38"/>
      <c r="T41" s="38"/>
    </row>
    <row r="42" spans="2:23">
      <c r="C42" s="38"/>
      <c r="D42" s="38"/>
      <c r="E42" s="38"/>
      <c r="S42" s="38"/>
      <c r="T42" s="38"/>
    </row>
    <row r="43" spans="2:23">
      <c r="B43" s="24">
        <f>(SUM(B5:B42))</f>
        <v>3.7219382210000016</v>
      </c>
      <c r="C43" s="38"/>
      <c r="D43" s="38">
        <f>(SUM(D5:D42))</f>
        <v>38.295659029999996</v>
      </c>
      <c r="E43" s="38"/>
      <c r="F43" t="s">
        <v>9</v>
      </c>
      <c r="G43" s="38">
        <f>(D43/B43)</f>
        <v>10.289171059833123</v>
      </c>
      <c r="R43" s="24">
        <f>(SUM(R5:R36))</f>
        <v>3.7219382209999998</v>
      </c>
      <c r="S43" s="38"/>
      <c r="T43" s="38">
        <f>(SUM(T5:T36))</f>
        <v>38.293659160230376</v>
      </c>
      <c r="V43" t="s">
        <v>9</v>
      </c>
      <c r="W43" s="38">
        <f>(T43/R43)</f>
        <v>10.288633740390711</v>
      </c>
    </row>
    <row r="44" spans="2:23">
      <c r="M44" s="24"/>
      <c r="S44" s="38"/>
      <c r="T44" s="38"/>
    </row>
    <row r="47" spans="2:23">
      <c r="N47" s="24"/>
    </row>
  </sheetData>
  <conditionalFormatting sqref="C5 C8:C10 S5">
    <cfRule type="cellIs" dxfId="67" priority="95" operator="lessThan">
      <formula>$J$3</formula>
    </cfRule>
    <cfRule type="cellIs" dxfId="66" priority="96" operator="greaterThan">
      <formula>$J$3</formula>
    </cfRule>
  </conditionalFormatting>
  <conditionalFormatting sqref="C16:C17">
    <cfRule type="cellIs" dxfId="65" priority="79" operator="lessThan">
      <formula>$J$3</formula>
    </cfRule>
    <cfRule type="cellIs" dxfId="64" priority="80" operator="greaterThan">
      <formula>$J$3</formula>
    </cfRule>
    <cfRule type="cellIs" dxfId="63" priority="81" operator="lessThan">
      <formula>$J$3</formula>
    </cfRule>
    <cfRule type="cellIs" dxfId="62" priority="82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</conditionalFormatting>
  <conditionalFormatting sqref="C19:C20 G43 W43">
    <cfRule type="cellIs" dxfId="59" priority="73" operator="lessThan">
      <formula>$J$3</formula>
    </cfRule>
    <cfRule type="cellIs" dxfId="58" priority="74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  <cfRule type="cellIs" dxfId="55" priority="77" operator="lessThan">
      <formula>$J$3</formula>
    </cfRule>
    <cfRule type="cellIs" dxfId="54" priority="78" operator="greaterThan">
      <formula>$J$3</formula>
    </cfRule>
    <cfRule type="cellIs" dxfId="53" priority="87" operator="lessThan">
      <formula>$J$3</formula>
    </cfRule>
    <cfRule type="cellIs" dxfId="52" priority="88" operator="greaterThan">
      <formula>$J$3</formula>
    </cfRule>
  </conditionalFormatting>
  <conditionalFormatting sqref="C27:C28 C30:C31 C34:C35">
    <cfRule type="cellIs" dxfId="51" priority="65" operator="lessThan">
      <formula>$J$3</formula>
    </cfRule>
    <cfRule type="cellIs" dxfId="50" priority="66" operator="greaterThan">
      <formula>$J$3</formula>
    </cfRule>
    <cfRule type="cellIs" dxfId="49" priority="67" operator="lessThan">
      <formula>$J$3</formula>
    </cfRule>
    <cfRule type="cellIs" dxfId="48" priority="68" operator="greaterThan">
      <formula>$J$3</formula>
    </cfRule>
    <cfRule type="cellIs" dxfId="47" priority="69" operator="lessThan">
      <formula>$J$3</formula>
    </cfRule>
    <cfRule type="cellIs" dxfId="46" priority="70" operator="greaterThan">
      <formula>$J$3</formula>
    </cfRule>
    <cfRule type="cellIs" dxfId="45" priority="71" operator="lessThan">
      <formula>$J$3</formula>
    </cfRule>
    <cfRule type="cellIs" dxfId="44" priority="72" operator="greaterThan">
      <formula>$J$3</formula>
    </cfRule>
    <cfRule type="cellIs" dxfId="43" priority="85" operator="lessThan">
      <formula>$J$3</formula>
    </cfRule>
    <cfRule type="cellIs" dxfId="42" priority="86" operator="greaterThan">
      <formula>$J$3</formula>
    </cfRule>
  </conditionalFormatting>
  <conditionalFormatting sqref="O17 O26 S12:S13 S15:S16">
    <cfRule type="cellIs" dxfId="41" priority="59" operator="lessThan">
      <formula>$J$3</formula>
    </cfRule>
    <cfRule type="cellIs" dxfId="40" priority="60" operator="greaterThan">
      <formula>$J$3</formula>
    </cfRule>
    <cfRule type="cellIs" dxfId="39" priority="61" operator="lessThan">
      <formula>$J$3</formula>
    </cfRule>
    <cfRule type="cellIs" dxfId="38" priority="62" operator="greaterThan">
      <formula>$J$3</formula>
    </cfRule>
  </conditionalFormatting>
  <conditionalFormatting sqref="O3">
    <cfRule type="cellIs" dxfId="37" priority="41" operator="greaterThan">
      <formula>$J$3</formula>
    </cfRule>
    <cfRule type="cellIs" dxfId="36" priority="42" operator="less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0.1055500233238448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0.98611571052575031</v>
      </c>
      <c r="K4" s="4">
        <f>(J4/D13-1)</f>
        <v>0.97223142105150062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0.24138012</v>
      </c>
      <c r="C6" s="40">
        <v>0</v>
      </c>
      <c r="D6" s="26">
        <f>(B6*C6)</f>
        <v>0</v>
      </c>
      <c r="E6" s="38">
        <f>(B6*J3)</f>
        <v>2.5477677295912458E-2</v>
      </c>
      <c r="G6" s="38"/>
      <c r="M6" t="s">
        <v>11</v>
      </c>
      <c r="N6" s="19">
        <f>($B$13/5)</f>
        <v>1.8685276980000001</v>
      </c>
      <c r="O6" s="35">
        <f>($C$5*Params!K8)</f>
        <v>7.1418695478700056E-2</v>
      </c>
      <c r="P6" s="38">
        <f>(O6*N6)</f>
        <v>0.13344781065697842</v>
      </c>
      <c r="Q6" s="38">
        <f>N6*$J$3</f>
        <v>0.19722314210515005</v>
      </c>
    </row>
    <row r="7" spans="2:17">
      <c r="C7" s="38"/>
      <c r="D7" s="38"/>
      <c r="E7" s="38"/>
      <c r="G7" s="38"/>
      <c r="N7" s="19">
        <f>($B$13/5)</f>
        <v>1.8685276980000001</v>
      </c>
      <c r="O7" s="35">
        <f>($C$5*Params!K9)</f>
        <v>8.7899932896861599E-2</v>
      </c>
      <c r="P7" s="38">
        <f>(O7*N7)</f>
        <v>0.16424345927012729</v>
      </c>
      <c r="Q7" s="38">
        <f>Q6*2</f>
        <v>0.39444628421030009</v>
      </c>
    </row>
    <row r="8" spans="2:17">
      <c r="C8" s="38"/>
      <c r="D8" s="38"/>
      <c r="E8" s="38"/>
      <c r="G8" s="38"/>
      <c r="N8" s="19">
        <f>($B$13/5)</f>
        <v>1.8685276980000001</v>
      </c>
      <c r="O8" s="35">
        <f>($C$5*Params!K10)</f>
        <v>0.12086240773318471</v>
      </c>
      <c r="P8" s="38">
        <f>(O8*N8)</f>
        <v>0.22583475649642504</v>
      </c>
      <c r="Q8" s="38">
        <f>Q6*3</f>
        <v>0.59166942631545016</v>
      </c>
    </row>
    <row r="9" spans="2:17">
      <c r="C9" s="38"/>
      <c r="D9" s="38"/>
      <c r="E9" s="38"/>
      <c r="G9" s="38"/>
      <c r="N9" s="19">
        <f>($B$13/5)</f>
        <v>1.8685276980000001</v>
      </c>
      <c r="O9" s="35">
        <f>($C$5*Params!K11)</f>
        <v>0.219749832242154</v>
      </c>
      <c r="P9" s="38">
        <f>(O9*N9)</f>
        <v>0.41060864817531822</v>
      </c>
      <c r="Q9" s="38">
        <f>Q6*4</f>
        <v>0.78889256842060018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0.93413467459884902</v>
      </c>
    </row>
    <row r="12" spans="2:17">
      <c r="C12" s="38"/>
      <c r="D12" s="38"/>
      <c r="E12" s="38"/>
      <c r="F12" t="s">
        <v>9</v>
      </c>
      <c r="G12" s="38">
        <f>(D13/B13)</f>
        <v>5.3518072066598817E-2</v>
      </c>
    </row>
    <row r="13" spans="2:17">
      <c r="B13">
        <f>(SUM(B5:B12))</f>
        <v>9.3426384900000006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27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27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6.2671385209503541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12.146725343045215</v>
      </c>
      <c r="K4" s="4">
        <f>(J4/D10-1)</f>
        <v>0.15025808172776656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2.5572400000000001E-3</v>
      </c>
      <c r="C6" s="40">
        <v>0</v>
      </c>
      <c r="D6" s="40">
        <f>(B6*C6)</f>
        <v>0</v>
      </c>
      <c r="E6" s="38">
        <f>(B6*J3)</f>
        <v>1.6026577311315085E-2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5.4484629323679101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1.9381613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S13" sqref="S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0.62453530281627712</v>
      </c>
      <c r="M3" t="s">
        <v>4</v>
      </c>
      <c r="N3" s="19">
        <f>(INDEX(N5:N14,MATCH(MAX(O6:O7),O5:O14,0))/0.9)</f>
        <v>11.463896744444444</v>
      </c>
      <c r="O3" s="37">
        <f>(MAX(O6:O7)*0.85)</f>
        <v>0.48540838895304461</v>
      </c>
      <c r="P3" s="38">
        <f>(O3*N3)</f>
        <v>5.5646716498448301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19.330942206814591</v>
      </c>
      <c r="K4" s="4">
        <f>(J4/D14-1)</f>
        <v>7.2675080056902779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 s="19">
        <f>(SUM(B$5:B$7))</f>
        <v>54.359795609999999</v>
      </c>
      <c r="S5" s="38">
        <f>(T5/R5)</f>
        <v>0.35136261617007214</v>
      </c>
      <c r="T5" s="38">
        <f>(SUM(D5:D7))</f>
        <v>19.100000000000001</v>
      </c>
    </row>
    <row r="6" spans="2:21">
      <c r="B6" s="20">
        <v>0.78478413999999996</v>
      </c>
      <c r="C6" s="40">
        <v>0</v>
      </c>
      <c r="D6" s="40">
        <f>(B6*C6)</f>
        <v>0</v>
      </c>
      <c r="E6" s="38">
        <f>(B6*J3)</f>
        <v>0.49012540052031162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10.31750707</v>
      </c>
      <c r="O7" s="38">
        <f>($C$5*Params!K9)</f>
        <v>0.57106869288593487</v>
      </c>
      <c r="P7" s="38">
        <f>(O7*N7)</f>
        <v>5.8920052763062918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10.31750707</v>
      </c>
      <c r="O8" s="38">
        <f>($C$5*Params!K10)</f>
        <v>0.78521945271816052</v>
      </c>
      <c r="P8" s="38">
        <f>(O8*N8)</f>
        <v>8.1015072549211506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10.31750707</v>
      </c>
      <c r="O9" s="38">
        <f>($C$5*Params!K11)</f>
        <v>1.4276717322148371</v>
      </c>
      <c r="P9" s="38">
        <f>(O9*N9)</f>
        <v>14.730013190765728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33.776223081993166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7.5540937170720399E-2</v>
      </c>
    </row>
    <row r="14" spans="2:21">
      <c r="B14" s="19">
        <f>(SUM(B5:B13))</f>
        <v>30.95252121</v>
      </c>
      <c r="D14" s="38">
        <f>(SUM(D5:D13))</f>
        <v>2.3381824600000005</v>
      </c>
    </row>
    <row r="18" spans="12:20">
      <c r="R18">
        <f>(SUM(R5:R17))</f>
        <v>30.95252121</v>
      </c>
      <c r="T18" s="38">
        <f>(SUM(T5:T17))</f>
        <v>2.3381824600000005</v>
      </c>
    </row>
    <row r="22" spans="12:20">
      <c r="L22" s="39"/>
    </row>
    <row r="25" spans="12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0.1620981112593361</v>
      </c>
      <c r="M3" t="s">
        <v>4</v>
      </c>
      <c r="N3" s="29">
        <f>(INDEX(N5:N29,MATCH(MAX(O6:O8),O5:O29,0))/0.9)</f>
        <v>17.499576300000001</v>
      </c>
      <c r="O3" s="37">
        <f>(MAX(O6:O8)*0.85)</f>
        <v>0.11792713112298792</v>
      </c>
      <c r="P3" s="38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4.3664898809465145</v>
      </c>
      <c r="K4" s="4">
        <f>(J4/D14-1)</f>
        <v>-7.683508587553959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Q8" t="s">
        <v>12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4*($R$5+$R$7)/5+B12-N7-N6</f>
        <v>13.415354599999992</v>
      </c>
      <c r="O9" s="38">
        <f>($C$5*Params!K11)</f>
        <v>0.25225054785665862</v>
      </c>
      <c r="P9" s="38">
        <f>(O9*N9)</f>
        <v>3.3840305475413435</v>
      </c>
      <c r="R9" s="24">
        <f>B12</f>
        <v>-15.856236790000001</v>
      </c>
      <c r="S9" s="38">
        <f>T9/R9</f>
        <v>0.13886598876907916</v>
      </c>
      <c r="T9" s="38">
        <f>D12</f>
        <v>-2.201892</v>
      </c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B12" s="19">
        <v>-15.856236790000001</v>
      </c>
      <c r="C12" s="35">
        <f>D12/B12</f>
        <v>0.13886598876907916</v>
      </c>
      <c r="D12" s="38">
        <v>-2.201892</v>
      </c>
      <c r="N12" s="29"/>
      <c r="O12" s="38"/>
      <c r="P12" s="38"/>
      <c r="R12" s="24"/>
      <c r="S12" s="38"/>
      <c r="T12" s="38"/>
    </row>
    <row r="13" spans="2:20">
      <c r="C13" s="38"/>
      <c r="D13" s="38"/>
      <c r="F13" t="s">
        <v>9</v>
      </c>
      <c r="G13" s="38">
        <f>(D14/B14)</f>
        <v>-2.4253445497353809E-2</v>
      </c>
      <c r="O13" s="38"/>
      <c r="P13" s="38">
        <f>(SUM(P6:P9))</f>
        <v>7.8466350134638709</v>
      </c>
      <c r="R13" s="24"/>
      <c r="S13" s="38"/>
      <c r="T13" s="38"/>
    </row>
    <row r="14" spans="2:20">
      <c r="B14" s="19">
        <f>(SUM(B5:B13))</f>
        <v>26.937327320000005</v>
      </c>
      <c r="C14" s="38"/>
      <c r="D14" s="38">
        <f>(SUM(D5:D13))</f>
        <v>-0.65332299999999988</v>
      </c>
      <c r="O14" s="38"/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2:22">
      <c r="R17" s="24"/>
      <c r="S17" s="38"/>
      <c r="T17" s="38"/>
    </row>
    <row r="18" spans="12:22">
      <c r="R18" s="24"/>
      <c r="S18" s="38"/>
      <c r="T18" s="38"/>
    </row>
    <row r="19" spans="12:22">
      <c r="R19" s="24"/>
      <c r="S19" s="38"/>
      <c r="T19" s="38"/>
    </row>
    <row r="20" spans="12:22">
      <c r="R20" s="24"/>
      <c r="S20" s="38"/>
      <c r="T20" s="38"/>
    </row>
    <row r="21" spans="12:22">
      <c r="R21" s="24"/>
      <c r="S21" s="38"/>
      <c r="T21" s="38"/>
    </row>
    <row r="22" spans="12:22">
      <c r="R22" s="24"/>
      <c r="S22" s="38"/>
      <c r="T22" s="38"/>
    </row>
    <row r="23" spans="12:22">
      <c r="R23" s="24"/>
      <c r="S23" s="38"/>
      <c r="T23" s="38"/>
    </row>
    <row r="24" spans="12:22">
      <c r="R24" s="24"/>
      <c r="S24" s="38"/>
      <c r="T24" s="38"/>
      <c r="V24" s="39"/>
    </row>
    <row r="26" spans="12:22">
      <c r="S26" s="38"/>
      <c r="T26" s="38"/>
    </row>
    <row r="27" spans="12:22">
      <c r="L27" s="39"/>
      <c r="M27" s="39"/>
      <c r="S27" s="38"/>
      <c r="T27" s="38"/>
    </row>
    <row r="28" spans="12:22">
      <c r="S28" s="38"/>
      <c r="T28" s="38"/>
    </row>
    <row r="29" spans="12:22">
      <c r="S29" s="38"/>
      <c r="T29" s="38"/>
    </row>
    <row r="30" spans="12:22">
      <c r="S30" s="38"/>
      <c r="T30" s="38"/>
    </row>
    <row r="31" spans="12:22">
      <c r="S31" s="38"/>
      <c r="T31" s="38"/>
    </row>
    <row r="32" spans="12:22">
      <c r="S32" s="38"/>
      <c r="T32" s="38"/>
    </row>
    <row r="33" spans="18:23">
      <c r="R33" s="24">
        <f>(SUM(R5:R31))</f>
        <v>26.937327320000005</v>
      </c>
      <c r="S33" s="38"/>
      <c r="T33" s="38">
        <f>(SUM(T5:T31))</f>
        <v>-0.65332299999999988</v>
      </c>
      <c r="V33" t="s">
        <v>9</v>
      </c>
      <c r="W33" s="38">
        <f>(T33/R33)</f>
        <v>-2.4253445497353809E-2</v>
      </c>
    </row>
    <row r="34" spans="18:23">
      <c r="S34" s="38"/>
      <c r="T34" s="38"/>
    </row>
    <row r="35" spans="18:23">
      <c r="S35" s="38"/>
      <c r="T35" s="38"/>
    </row>
    <row r="36" spans="18:23">
      <c r="S36" s="38"/>
      <c r="T36" s="38"/>
    </row>
    <row r="37" spans="18:23">
      <c r="S37" s="38"/>
      <c r="T37" s="38"/>
    </row>
  </sheetData>
  <conditionalFormatting sqref="C5 C9:C10 G13 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3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0.77720263403045464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2.2727884295453054</v>
      </c>
      <c r="K4" s="4">
        <f>(J4/D10-1)</f>
        <v>-0.24240385681823151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4.2222861196081832E-3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2.5308383000931447</v>
      </c>
      <c r="K4" s="4">
        <f>(J4/D10-1)</f>
        <v>-0.1563872333022851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F9" sqref="F9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0.61286023734842587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3.7285191119803534</v>
      </c>
      <c r="K4" s="4">
        <f>(J4/D9-1)</f>
        <v>-0.87084037785803292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5" priority="9" operator="lessThan">
      <formula>$J$3</formula>
    </cfRule>
    <cfRule type="cellIs" dxfId="234" priority="10" operator="greaterThan">
      <formula>$J$3</formula>
    </cfRule>
  </conditionalFormatting>
  <conditionalFormatting sqref="O11:O14">
    <cfRule type="cellIs" dxfId="233" priority="7" operator="lessThan">
      <formula>$J$3</formula>
    </cfRule>
    <cfRule type="cellIs" dxfId="232" priority="8" operator="greaterThan">
      <formula>$J$3</formula>
    </cfRule>
  </conditionalFormatting>
  <conditionalFormatting sqref="O20:O23">
    <cfRule type="cellIs" dxfId="231" priority="5" operator="lessThan">
      <formula>$J$3</formula>
    </cfRule>
    <cfRule type="cellIs" dxfId="230" priority="6" operator="greaterThan">
      <formula>$J$3</formula>
    </cfRule>
  </conditionalFormatting>
  <conditionalFormatting sqref="O29:O32">
    <cfRule type="cellIs" dxfId="229" priority="3" operator="lessThan">
      <formula>$J$3</formula>
    </cfRule>
    <cfRule type="cellIs" dxfId="228" priority="4" operator="greaterThan">
      <formula>$J$3</formula>
    </cfRule>
  </conditionalFormatting>
  <conditionalFormatting sqref="N6">
    <cfRule type="cellIs" dxfId="227" priority="1" operator="lessThan">
      <formula>$J$3</formula>
    </cfRule>
    <cfRule type="cellIs" dxfId="22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724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6.0632361302160719E-3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0.80249999999999999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(SUM(K35:K43)-C77*J3+D77)</f>
        <v>9.4817446877257403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(-SUM(E9:E31))</f>
        <v>-7.0166399999999376</v>
      </c>
      <c r="K14" s="39">
        <f>(J14-M38-M39-M40-M42-L43)</f>
        <v>-67.916639999999944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-251.53489531227419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(J15+M47)</f>
        <v>-112.48489531227418</v>
      </c>
    </row>
    <row r="17" spans="2:18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8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  <c r="R18" s="39"/>
    </row>
    <row r="19" spans="2:18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8">
      <c r="B20" s="8" t="s">
        <v>44</v>
      </c>
      <c r="C20" s="40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8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8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8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8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8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8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8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8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8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8">
      <c r="B30" s="8" t="s">
        <v>44</v>
      </c>
      <c r="C30" s="38">
        <v>4</v>
      </c>
      <c r="D30" s="38">
        <v>0.01</v>
      </c>
      <c r="E30" s="38">
        <f>(C30+D30)</f>
        <v>4.01</v>
      </c>
      <c r="F30" s="9" t="s">
        <v>40</v>
      </c>
    </row>
    <row r="31" spans="2:18">
      <c r="B31" s="10" t="s">
        <v>44</v>
      </c>
      <c r="C31" s="42">
        <v>-8.4440000000000008</v>
      </c>
      <c r="D31" s="42">
        <f>-C31*6%</f>
        <v>0.50663999999999998</v>
      </c>
      <c r="E31" s="42">
        <f>(C31+D31)</f>
        <v>-7.9373600000000009</v>
      </c>
      <c r="F31" s="12" t="s">
        <v>47</v>
      </c>
    </row>
    <row r="33" spans="2:22">
      <c r="B33" s="5" t="s">
        <v>53</v>
      </c>
      <c r="C33" s="6"/>
      <c r="D33" s="6"/>
      <c r="E33" s="6"/>
      <c r="F33" s="6"/>
      <c r="G33" s="6"/>
      <c r="H33" s="6"/>
      <c r="I33" s="6"/>
      <c r="J33" s="6"/>
      <c r="K33" s="7"/>
      <c r="L33" t="s">
        <v>54</v>
      </c>
      <c r="M33" t="s">
        <v>55</v>
      </c>
      <c r="N33" t="s">
        <v>35</v>
      </c>
    </row>
    <row r="34" spans="2:22">
      <c r="B34" s="8"/>
      <c r="C34" t="s">
        <v>56</v>
      </c>
      <c r="D34" t="s">
        <v>57</v>
      </c>
      <c r="E34" t="s">
        <v>58</v>
      </c>
      <c r="F34" t="s">
        <v>59</v>
      </c>
      <c r="G34" t="s">
        <v>60</v>
      </c>
      <c r="H34" s="13" t="s">
        <v>61</v>
      </c>
      <c r="I34" t="s">
        <v>62</v>
      </c>
      <c r="J34" t="s">
        <v>5</v>
      </c>
      <c r="K34" s="9" t="s">
        <v>63</v>
      </c>
    </row>
    <row r="35" spans="2:22">
      <c r="B35" s="8" t="s">
        <v>39</v>
      </c>
      <c r="C35">
        <v>6.2539999999999996</v>
      </c>
      <c r="D35">
        <f>$H$2</f>
        <v>724</v>
      </c>
      <c r="E35">
        <f t="shared" ref="E35:E41" si="1">C35*D35</f>
        <v>4527.8959999999997</v>
      </c>
      <c r="F35" s="29">
        <f t="shared" ref="F35:F41" si="2">E35*$N$5</f>
        <v>3633.63654</v>
      </c>
      <c r="G35" s="38">
        <v>3.5</v>
      </c>
      <c r="H35" s="30">
        <f>G51</f>
        <v>1.5615590400000001</v>
      </c>
      <c r="I35" s="39">
        <f t="shared" ref="I35:I42" si="3">((F35-H35*D35)*$J$3-G35)</f>
        <v>11.676691091266806</v>
      </c>
      <c r="J35">
        <v>1</v>
      </c>
      <c r="K35" s="43">
        <f t="shared" ref="K35:K41" si="4">I35*J35</f>
        <v>11.676691091266806</v>
      </c>
      <c r="L35" s="31">
        <v>37.799999999999997</v>
      </c>
      <c r="M35" s="31">
        <f t="shared" ref="M35:M41" si="5">L35*J35</f>
        <v>37.799999999999997</v>
      </c>
    </row>
    <row r="36" spans="2:22">
      <c r="B36" s="8" t="s">
        <v>42</v>
      </c>
      <c r="C36">
        <v>0.96599999999999997</v>
      </c>
      <c r="D36">
        <f>$H$2</f>
        <v>724</v>
      </c>
      <c r="E36">
        <f t="shared" si="1"/>
        <v>699.38400000000001</v>
      </c>
      <c r="F36" s="29">
        <f t="shared" si="2"/>
        <v>561.25566000000003</v>
      </c>
      <c r="G36" s="38">
        <v>3.5</v>
      </c>
      <c r="H36" s="30">
        <f>G52</f>
        <v>0.21337130135885166</v>
      </c>
      <c r="I36" s="39">
        <f t="shared" si="3"/>
        <v>-1.0336281064900854</v>
      </c>
      <c r="J36">
        <v>1</v>
      </c>
      <c r="K36" s="43">
        <f t="shared" si="4"/>
        <v>-1.0336281064900854</v>
      </c>
      <c r="L36" s="31">
        <v>10</v>
      </c>
      <c r="M36" s="31">
        <f t="shared" si="5"/>
        <v>10</v>
      </c>
    </row>
    <row r="37" spans="2:22">
      <c r="B37" s="8" t="s">
        <v>44</v>
      </c>
      <c r="C37">
        <v>0.85099999999999998</v>
      </c>
      <c r="D37">
        <f>$H$2</f>
        <v>724</v>
      </c>
      <c r="E37">
        <f t="shared" si="1"/>
        <v>616.12400000000002</v>
      </c>
      <c r="F37" s="29">
        <f t="shared" si="2"/>
        <v>494.43951000000004</v>
      </c>
      <c r="G37" s="38">
        <v>3.5</v>
      </c>
      <c r="H37" s="30">
        <f>G53</f>
        <v>0.18479602162162162</v>
      </c>
      <c r="I37" s="39">
        <f t="shared" si="3"/>
        <v>-1.3133109252335471</v>
      </c>
      <c r="J37">
        <v>1</v>
      </c>
      <c r="K37" s="43">
        <f t="shared" si="4"/>
        <v>-1.3133109252335471</v>
      </c>
      <c r="L37" s="31">
        <v>8.1999999999999993</v>
      </c>
      <c r="M37" s="31">
        <f t="shared" si="5"/>
        <v>8.1999999999999993</v>
      </c>
    </row>
    <row r="38" spans="2:22">
      <c r="B38" s="8" t="s">
        <v>44</v>
      </c>
      <c r="C38">
        <v>0.85099999999999998</v>
      </c>
      <c r="D38">
        <f>$H$2-34</f>
        <v>690</v>
      </c>
      <c r="E38">
        <f t="shared" si="1"/>
        <v>587.18999999999994</v>
      </c>
      <c r="F38" s="29">
        <f t="shared" si="2"/>
        <v>471.21997499999992</v>
      </c>
      <c r="G38" s="38">
        <v>0</v>
      </c>
      <c r="H38" s="30">
        <f>G53</f>
        <v>0.18479602162162162</v>
      </c>
      <c r="I38" s="39">
        <f t="shared" si="3"/>
        <v>2.0839992563381933</v>
      </c>
      <c r="J38">
        <v>3</v>
      </c>
      <c r="K38" s="43">
        <f t="shared" si="4"/>
        <v>6.2519977690145794</v>
      </c>
      <c r="L38" s="31">
        <f>L37</f>
        <v>8.1999999999999993</v>
      </c>
      <c r="M38" s="31">
        <f t="shared" si="5"/>
        <v>24.599999999999998</v>
      </c>
    </row>
    <row r="39" spans="2:22">
      <c r="B39" s="8" t="s">
        <v>44</v>
      </c>
      <c r="C39">
        <v>0.85099999999999998</v>
      </c>
      <c r="D39">
        <f>$H$2-34-58</f>
        <v>632</v>
      </c>
      <c r="E39">
        <f t="shared" si="1"/>
        <v>537.83199999999999</v>
      </c>
      <c r="F39" s="29">
        <f t="shared" si="2"/>
        <v>431.61018000000001</v>
      </c>
      <c r="G39" s="38">
        <v>0</v>
      </c>
      <c r="H39" s="30">
        <f>H38</f>
        <v>0.18479602162162162</v>
      </c>
      <c r="I39" s="39">
        <f t="shared" si="3"/>
        <v>1.9088225072546934</v>
      </c>
      <c r="J39">
        <v>1</v>
      </c>
      <c r="K39" s="43">
        <f t="shared" si="4"/>
        <v>1.9088225072546934</v>
      </c>
      <c r="L39" s="31">
        <f>L38</f>
        <v>8.1999999999999993</v>
      </c>
      <c r="M39" s="31">
        <f t="shared" si="5"/>
        <v>8.1999999999999993</v>
      </c>
    </row>
    <row r="40" spans="2:22">
      <c r="B40" s="8" t="s">
        <v>44</v>
      </c>
      <c r="C40">
        <v>0.85099999999999998</v>
      </c>
      <c r="D40">
        <f>$H$2-140</f>
        <v>584</v>
      </c>
      <c r="E40">
        <f t="shared" si="1"/>
        <v>496.98399999999998</v>
      </c>
      <c r="F40" s="29">
        <f t="shared" si="2"/>
        <v>398.82965999999999</v>
      </c>
      <c r="G40" s="38">
        <v>0</v>
      </c>
      <c r="H40" s="30">
        <f>H39</f>
        <v>0.18479602162162162</v>
      </c>
      <c r="I40" s="39">
        <f t="shared" si="3"/>
        <v>1.76384864594421</v>
      </c>
      <c r="J40">
        <v>1</v>
      </c>
      <c r="K40" s="43">
        <f t="shared" si="4"/>
        <v>1.76384864594421</v>
      </c>
      <c r="L40" s="31">
        <f>L39</f>
        <v>8.1999999999999993</v>
      </c>
      <c r="M40" s="31">
        <f t="shared" si="5"/>
        <v>8.1999999999999993</v>
      </c>
    </row>
    <row r="41" spans="2:22">
      <c r="B41" s="15" t="s">
        <v>42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44">
        <v>0</v>
      </c>
      <c r="H41" s="32">
        <f>H36</f>
        <v>0.21337130135885166</v>
      </c>
      <c r="I41" s="44">
        <f t="shared" si="3"/>
        <v>0.23846137091946687</v>
      </c>
      <c r="J41" s="16">
        <v>1</v>
      </c>
      <c r="K41" s="45">
        <f t="shared" si="4"/>
        <v>0.23846137091946687</v>
      </c>
      <c r="L41" s="33">
        <v>0</v>
      </c>
      <c r="M41" s="33">
        <f t="shared" si="5"/>
        <v>0</v>
      </c>
      <c r="N41" t="s">
        <v>64</v>
      </c>
    </row>
    <row r="42" spans="2:22">
      <c r="B42" s="15" t="s">
        <v>44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44">
        <v>0</v>
      </c>
      <c r="H42" s="32">
        <f>(H38)</f>
        <v>0.18479602162162162</v>
      </c>
      <c r="I42" s="44">
        <f t="shared" si="3"/>
        <v>1.3289270620127611</v>
      </c>
      <c r="J42" s="16">
        <v>1</v>
      </c>
      <c r="K42" s="45">
        <f>(I42*J42)</f>
        <v>1.3289270620127611</v>
      </c>
      <c r="L42" s="33">
        <v>0</v>
      </c>
      <c r="M42" s="33">
        <f>(L42*J42)</f>
        <v>0</v>
      </c>
      <c r="N42" t="s">
        <v>64</v>
      </c>
    </row>
    <row r="43" spans="2:22">
      <c r="B43" s="8" t="s">
        <v>46</v>
      </c>
      <c r="H43" s="21"/>
      <c r="J43">
        <v>2</v>
      </c>
      <c r="K43" s="43"/>
      <c r="L43" s="31">
        <v>19.899999999999999</v>
      </c>
      <c r="M43" s="31">
        <f>L43*J43</f>
        <v>39.799999999999997</v>
      </c>
    </row>
    <row r="44" spans="2:22">
      <c r="B44" s="8" t="s">
        <v>65</v>
      </c>
      <c r="J44">
        <v>1</v>
      </c>
      <c r="K44" s="9"/>
      <c r="L44" s="31">
        <v>0.4</v>
      </c>
      <c r="M44" s="31">
        <f>(L44*J44)</f>
        <v>0.4</v>
      </c>
    </row>
    <row r="45" spans="2:22">
      <c r="B45" s="8" t="s">
        <v>66</v>
      </c>
      <c r="J45">
        <v>1</v>
      </c>
      <c r="K45" s="9"/>
      <c r="L45" s="31">
        <v>0.35</v>
      </c>
      <c r="M45" s="31">
        <f>(L45*J45)</f>
        <v>0.35</v>
      </c>
    </row>
    <row r="46" spans="2:22">
      <c r="B46" s="10" t="s">
        <v>67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1">
        <v>1.5</v>
      </c>
      <c r="M46" s="31">
        <f>(L46*J46)</f>
        <v>1.5</v>
      </c>
      <c r="V46" s="39"/>
    </row>
    <row r="47" spans="2:22">
      <c r="L47" t="s">
        <v>34</v>
      </c>
      <c r="M47" s="31">
        <f>(SUM(M34:M46))</f>
        <v>139.05000000000001</v>
      </c>
      <c r="O47" s="31">
        <f>(J13+SUM(G35:G41)-D77)</f>
        <v>1.5019926877257426</v>
      </c>
      <c r="P47">
        <f>(O47/J3)</f>
        <v>247.72129197485452</v>
      </c>
    </row>
    <row r="49" spans="2:7">
      <c r="B49" s="18" t="s">
        <v>61</v>
      </c>
      <c r="C49" s="6"/>
      <c r="D49" s="6"/>
      <c r="E49" s="6"/>
      <c r="F49" s="6"/>
      <c r="G49" s="7"/>
    </row>
    <row r="50" spans="2:7">
      <c r="B50" s="8"/>
      <c r="C50" t="s">
        <v>68</v>
      </c>
      <c r="D50" t="s">
        <v>69</v>
      </c>
      <c r="E50" t="s">
        <v>70</v>
      </c>
      <c r="F50" t="s">
        <v>71</v>
      </c>
      <c r="G50" s="9" t="s">
        <v>72</v>
      </c>
    </row>
    <row r="51" spans="2:7">
      <c r="B51" s="8" t="s">
        <v>39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34">
        <f>(C51*$J$4+D51*$J$5+E51*$J$6+F51*$J$7)</f>
        <v>1.5615590400000001</v>
      </c>
    </row>
    <row r="52" spans="2:7">
      <c r="B52" s="8" t="s">
        <v>42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34">
        <f>(C52*$J$4+D52*$J$5+E52*$J$6+F52*$J$7)</f>
        <v>0.21337130135885166</v>
      </c>
    </row>
    <row r="53" spans="2:7">
      <c r="B53" s="8" t="s">
        <v>44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34">
        <f>(C53*$J$4+D53*$J$5+E53*$J$6+F53*$J$7)</f>
        <v>0.18479602162162162</v>
      </c>
    </row>
    <row r="54" spans="2:7">
      <c r="B54" s="10" t="s">
        <v>46</v>
      </c>
      <c r="C54" s="11"/>
      <c r="D54" s="11"/>
      <c r="E54" s="11"/>
      <c r="F54" s="11"/>
      <c r="G54" s="12"/>
    </row>
    <row r="56" spans="2:7">
      <c r="B56" s="5" t="s">
        <v>73</v>
      </c>
      <c r="C56" s="6" t="s">
        <v>74</v>
      </c>
      <c r="D56" s="7" t="s">
        <v>75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6">
        <v>1.1399999999999999</v>
      </c>
      <c r="E60" s="47">
        <f t="shared" ref="E60:E67" si="6">D60/C60</f>
        <v>1.0039857823396298E-2</v>
      </c>
    </row>
    <row r="61" spans="2:7">
      <c r="B61" s="8"/>
      <c r="C61" s="19">
        <v>130.53974622000001</v>
      </c>
      <c r="D61" s="46">
        <v>1.1793119999999999</v>
      </c>
      <c r="E61" s="47">
        <f t="shared" si="6"/>
        <v>9.0341220520874389E-3</v>
      </c>
    </row>
    <row r="62" spans="2:7">
      <c r="B62" s="8"/>
      <c r="C62" s="19">
        <v>167.40487411999999</v>
      </c>
      <c r="D62" s="46">
        <v>1.05481</v>
      </c>
      <c r="E62" s="47">
        <f t="shared" si="6"/>
        <v>6.3009515436443378E-3</v>
      </c>
    </row>
    <row r="63" spans="2:7">
      <c r="B63" s="8"/>
      <c r="C63" s="19">
        <v>167.96827999999999</v>
      </c>
      <c r="D63" s="46">
        <f>1.0512-0.00017</f>
        <v>1.0510299999999999</v>
      </c>
      <c r="E63" s="47">
        <f t="shared" si="6"/>
        <v>6.2573123925541178E-3</v>
      </c>
    </row>
    <row r="64" spans="2:7">
      <c r="B64" s="8"/>
      <c r="C64" s="19">
        <v>123.66</v>
      </c>
      <c r="D64" s="46">
        <v>1.0489999999999999</v>
      </c>
      <c r="E64" s="47">
        <f t="shared" si="6"/>
        <v>8.4829370855571719E-3</v>
      </c>
    </row>
    <row r="65" spans="2:5">
      <c r="B65" s="8"/>
      <c r="C65" s="19">
        <v>149.5</v>
      </c>
      <c r="D65" s="46">
        <v>1.17</v>
      </c>
      <c r="E65" s="47">
        <f t="shared" si="6"/>
        <v>7.826086956521738E-3</v>
      </c>
    </row>
    <row r="66" spans="2:5">
      <c r="B66" s="8"/>
      <c r="C66" s="19">
        <v>170.62</v>
      </c>
      <c r="D66" s="46">
        <v>1.1579999999999999</v>
      </c>
      <c r="E66" s="47">
        <f t="shared" si="6"/>
        <v>6.7870120736138783E-3</v>
      </c>
    </row>
    <row r="67" spans="2:5">
      <c r="B67" s="8"/>
      <c r="C67" s="19">
        <v>192.66</v>
      </c>
      <c r="D67" s="46">
        <v>1.0900000000000001</v>
      </c>
      <c r="E67" s="47">
        <f t="shared" si="6"/>
        <v>5.6576352122910834E-3</v>
      </c>
    </row>
    <row r="68" spans="2:5">
      <c r="B68" s="8"/>
      <c r="C68" s="19">
        <v>257.33999999999997</v>
      </c>
      <c r="D68" s="46">
        <v>1.1299999999999999</v>
      </c>
      <c r="E68" s="47">
        <f t="shared" ref="E68:E74" si="7">(D68/C68)</f>
        <v>4.3910779513484108E-3</v>
      </c>
    </row>
    <row r="69" spans="2:5">
      <c r="B69" s="8"/>
      <c r="C69" s="19">
        <v>312.13</v>
      </c>
      <c r="D69" s="46">
        <v>0.82</v>
      </c>
      <c r="E69" s="47">
        <f t="shared" si="7"/>
        <v>2.6271104988306155E-3</v>
      </c>
    </row>
    <row r="70" spans="2:5">
      <c r="B70" s="8"/>
      <c r="C70" s="19">
        <v>352.46100000000001</v>
      </c>
      <c r="D70" s="46">
        <v>1.2074</v>
      </c>
      <c r="E70" s="47">
        <f t="shared" si="7"/>
        <v>3.4256272325165053E-3</v>
      </c>
    </row>
    <row r="71" spans="2:5">
      <c r="B71" s="8"/>
      <c r="C71" s="19">
        <v>263.04000000000002</v>
      </c>
      <c r="D71" s="46">
        <v>1.0588</v>
      </c>
      <c r="E71" s="47">
        <f t="shared" si="7"/>
        <v>4.0252433090024325E-3</v>
      </c>
    </row>
    <row r="72" spans="2:5">
      <c r="B72" s="8"/>
      <c r="C72" s="19">
        <v>359.00495999999998</v>
      </c>
      <c r="D72" s="46">
        <v>1.1194999999999999</v>
      </c>
      <c r="E72" s="47">
        <f t="shared" si="7"/>
        <v>3.1183413176241355E-3</v>
      </c>
    </row>
    <row r="73" spans="2:5">
      <c r="B73" s="8"/>
      <c r="C73" s="19">
        <v>327.91</v>
      </c>
      <c r="D73" s="46">
        <v>1.0785</v>
      </c>
      <c r="E73" s="47">
        <f t="shared" si="7"/>
        <v>3.2890122289652647E-3</v>
      </c>
    </row>
    <row r="74" spans="2:5">
      <c r="B74" s="8"/>
      <c r="C74" s="19">
        <v>925.39</v>
      </c>
      <c r="D74" s="46">
        <v>3.1734</v>
      </c>
      <c r="E74" s="47">
        <f t="shared" si="7"/>
        <v>3.4292568538670182E-3</v>
      </c>
    </row>
    <row r="75" spans="2:5">
      <c r="B75" s="8"/>
      <c r="C75" s="19">
        <v>109.44</v>
      </c>
      <c r="D75" s="46"/>
      <c r="E75" s="47"/>
    </row>
    <row r="76" spans="2:5">
      <c r="B76" s="10"/>
      <c r="C76" s="11"/>
      <c r="D76" s="12"/>
    </row>
    <row r="77" spans="2:5">
      <c r="B77" t="s">
        <v>34</v>
      </c>
      <c r="C77" s="19">
        <f>(SUM(C57:C76))</f>
        <v>4918.1354785700005</v>
      </c>
      <c r="D77" s="38">
        <f>(SUM(D57:D76))</f>
        <v>18.479751999999998</v>
      </c>
    </row>
  </sheetData>
  <conditionalFormatting sqref="L35">
    <cfRule type="cellIs" dxfId="225" priority="17" operator="lessThan">
      <formula>$C$5</formula>
    </cfRule>
    <cfRule type="cellIs" dxfId="224" priority="18" operator="greaterThan">
      <formula>$C$5</formula>
    </cfRule>
  </conditionalFormatting>
  <conditionalFormatting sqref="L36">
    <cfRule type="cellIs" dxfId="223" priority="15" operator="lessThan">
      <formula>$C$6</formula>
    </cfRule>
    <cfRule type="cellIs" dxfId="222" priority="16" operator="greaterThan">
      <formula>$C$6</formula>
    </cfRule>
  </conditionalFormatting>
  <conditionalFormatting sqref="L40">
    <cfRule type="cellIs" dxfId="221" priority="13" operator="lessThan">
      <formula>$C$20</formula>
    </cfRule>
    <cfRule type="cellIs" dxfId="220" priority="14" operator="greaterThan">
      <formula>$C$20</formula>
    </cfRule>
  </conditionalFormatting>
  <conditionalFormatting sqref="L39">
    <cfRule type="cellIs" dxfId="219" priority="11" operator="lessThan">
      <formula>$C$19</formula>
    </cfRule>
    <cfRule type="cellIs" dxfId="218" priority="12" operator="greaterThan">
      <formula>$C$19</formula>
    </cfRule>
  </conditionalFormatting>
  <conditionalFormatting sqref="L38">
    <cfRule type="cellIs" dxfId="217" priority="9" operator="lessThan">
      <formula>$C$17</formula>
    </cfRule>
    <cfRule type="cellIs" dxfId="216" priority="10" operator="greaterThan">
      <formula>$C$17</formula>
    </cfRule>
  </conditionalFormatting>
  <conditionalFormatting sqref="L37">
    <cfRule type="cellIs" dxfId="215" priority="7" operator="lessThan">
      <formula>$C$7</formula>
    </cfRule>
    <cfRule type="cellIs" dxfId="214" priority="8" operator="greaterThan">
      <formula>$C$7</formula>
    </cfRule>
  </conditionalFormatting>
  <conditionalFormatting sqref="L43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4:L46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33</v>
      </c>
    </row>
    <row r="4" spans="2:4">
      <c r="B4" t="s">
        <v>76</v>
      </c>
      <c r="C4" s="38">
        <f>(-328/3)</f>
        <v>-109.33333333333333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tabSelected="1"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0.55790047434740275</v>
      </c>
      <c r="M3" t="s">
        <v>4</v>
      </c>
      <c r="N3" s="24">
        <f>(INDEX(N5:N21,MATCH(MAX(O6:O7),O5:O21,0))/0.9)</f>
        <v>25</v>
      </c>
      <c r="O3" s="39">
        <f>(MAX(O6:O7)*0.85)</f>
        <v>0.46520163618371491</v>
      </c>
      <c r="P3" s="35">
        <f>(O3*N3)</f>
        <v>11.630040904592873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38.6607128932351</v>
      </c>
      <c r="K4" s="4">
        <f>(J4/D13-1)</f>
        <v>1.4160518000025237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0.71303108000000004</v>
      </c>
      <c r="C6" s="40">
        <v>0</v>
      </c>
      <c r="D6" s="40">
        <f>(B6*C6)</f>
        <v>0</v>
      </c>
      <c r="E6" s="38">
        <f>(B6*J3)</f>
        <v>0.39780037775644089</v>
      </c>
      <c r="M6" t="s">
        <v>11</v>
      </c>
      <c r="N6" s="1">
        <f>-B10</f>
        <v>22.57</v>
      </c>
      <c r="O6" s="38">
        <f>P6/N6</f>
        <v>0.44671816437749229</v>
      </c>
      <c r="P6" s="38">
        <f>-D10</f>
        <v>10.08242897</v>
      </c>
      <c r="Q6" t="s">
        <v>12</v>
      </c>
      <c r="R6" s="2">
        <f>(B6)</f>
        <v>0.71303108000000004</v>
      </c>
      <c r="S6" s="40">
        <v>0</v>
      </c>
      <c r="T6" s="40">
        <f>(D6)</f>
        <v>0</v>
      </c>
      <c r="U6" s="38">
        <f>(R6*J3)</f>
        <v>0.39780037775644089</v>
      </c>
    </row>
    <row r="7" spans="2:21">
      <c r="B7" s="1">
        <v>111.01437129999999</v>
      </c>
      <c r="C7" s="38">
        <f>(D7/B7)</f>
        <v>0.34139724034089991</v>
      </c>
      <c r="D7" s="38">
        <v>37.9</v>
      </c>
      <c r="E7" t="s">
        <v>15</v>
      </c>
      <c r="N7" s="1">
        <f>-B11</f>
        <v>22.5</v>
      </c>
      <c r="O7" s="38">
        <f>($S$7*Params!K9)</f>
        <v>0.54729604256907638</v>
      </c>
      <c r="P7" s="38">
        <f>-D11</f>
        <v>12.305999999999999</v>
      </c>
      <c r="Q7" t="s">
        <v>12</v>
      </c>
      <c r="R7" s="29">
        <f>B7+B10</f>
        <v>88.4443713</v>
      </c>
      <c r="S7" s="38">
        <f>(T7/R7)</f>
        <v>0.34206002660567275</v>
      </c>
      <c r="T7" s="38">
        <f>D7+B10*0.3388</f>
        <v>30.253284000000001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3*($B$13-B11-B10)/5-N7-N6</f>
        <v>23.550074947999995</v>
      </c>
      <c r="O8" s="38">
        <f>($C$7*Params!K10)</f>
        <v>0.75107392874997991</v>
      </c>
      <c r="P8" s="38">
        <f>(O8*N8)</f>
        <v>17.687847313550837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13.859358315999998</v>
      </c>
      <c r="O9" s="38">
        <f>($C$7*Params!K11)</f>
        <v>1.3655889613635996</v>
      </c>
      <c r="P9" s="38">
        <f>(O9*N9)</f>
        <v>18.926186727912405</v>
      </c>
      <c r="R9" s="1">
        <f>B10-B10</f>
        <v>0</v>
      </c>
      <c r="S9" s="39">
        <v>0</v>
      </c>
      <c r="T9" s="39">
        <f>D10-B10*0.3388</f>
        <v>-2.4357129700000009</v>
      </c>
    </row>
    <row r="10" spans="2:21">
      <c r="B10" s="1">
        <v>-22.57</v>
      </c>
      <c r="C10" s="39">
        <f>D10/B10</f>
        <v>0.44671816437749229</v>
      </c>
      <c r="D10" s="38">
        <v>-10.08242897</v>
      </c>
      <c r="N10" s="1"/>
      <c r="P10" s="38"/>
    </row>
    <row r="11" spans="2:21">
      <c r="B11" s="1">
        <v>-22.5</v>
      </c>
      <c r="C11" s="39">
        <f>D11/B11</f>
        <v>0.54693333333333327</v>
      </c>
      <c r="D11" s="38">
        <v>-12.305999999999999</v>
      </c>
      <c r="P11" s="38">
        <f>(SUM(P6:P9))</f>
        <v>59.002463011463249</v>
      </c>
    </row>
    <row r="12" spans="2:21">
      <c r="F12" t="s">
        <v>9</v>
      </c>
      <c r="G12" s="35">
        <f>(D13/B13)</f>
        <v>0.2309141196173112</v>
      </c>
    </row>
    <row r="13" spans="2:21">
      <c r="B13" s="1">
        <f>(SUM(B5:B12))</f>
        <v>69.29679157999999</v>
      </c>
      <c r="D13" s="38">
        <f>(SUM(D5:D12))</f>
        <v>16.001607620000001</v>
      </c>
      <c r="R13" s="1">
        <f>(SUM(R5:R12))</f>
        <v>91.796791580000004</v>
      </c>
      <c r="T13" s="38">
        <f>(SUM(T5:T12))</f>
        <v>28.307607619999999</v>
      </c>
    </row>
  </sheetData>
  <conditionalFormatting sqref="C5 C7 G12 S5 S7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O8:O9">
    <cfRule type="cellIs" dxfId="207" priority="15" operator="lessThan">
      <formula>$J$3</formula>
    </cfRule>
    <cfRule type="cellIs" dxfId="206" priority="16" operator="greaterThan">
      <formula>$J$3</formula>
    </cfRule>
  </conditionalFormatting>
  <conditionalFormatting sqref="C9">
    <cfRule type="cellIs" dxfId="205" priority="3" operator="lessThan">
      <formula>$J$3</formula>
    </cfRule>
    <cfRule type="cellIs" dxfId="204" priority="4" operator="greaterThan">
      <formula>$J$3</formula>
    </cfRule>
  </conditionalFormatting>
  <conditionalFormatting sqref="O3">
    <cfRule type="cellIs" dxfId="203" priority="1" operator="greaterThan">
      <formula>$J$3</formula>
    </cfRule>
    <cfRule type="cellIs" dxfId="202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0.18875013094013851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11.948557985291322</v>
      </c>
      <c r="K4" s="4">
        <f>(J4/D14-1)</f>
        <v>0.21603128084118839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0.56076499999999996</v>
      </c>
      <c r="C6" s="40">
        <v>0</v>
      </c>
      <c r="D6" s="40">
        <f>(B6*C6)</f>
        <v>0</v>
      </c>
      <c r="E6" s="38">
        <f>(B6*J3)</f>
        <v>0.10584446717664676</v>
      </c>
      <c r="M6" t="s">
        <v>11</v>
      </c>
      <c r="N6" s="29">
        <f>($B$14/5)</f>
        <v>12.660714910000001</v>
      </c>
      <c r="O6" s="38">
        <f>($C$5*Params!K8)</f>
        <v>0.21940472231459929</v>
      </c>
      <c r="P6" s="38">
        <f>(O6*N6)</f>
        <v>2.777820639132857</v>
      </c>
      <c r="R6" s="36">
        <f>(B6)</f>
        <v>0.56076499999999996</v>
      </c>
      <c r="S6" s="40">
        <v>0</v>
      </c>
      <c r="T6" s="40">
        <f>(D6)</f>
        <v>0</v>
      </c>
      <c r="U6" s="38">
        <f>(E6)</f>
        <v>0.10584446717664676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12.660714910000001</v>
      </c>
      <c r="O7" s="38">
        <f>($C$5*Params!K9)</f>
        <v>0.27003658131027602</v>
      </c>
      <c r="P7" s="38">
        <f>(O7*N7)</f>
        <v>3.4188561712404395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12.660714910000001</v>
      </c>
      <c r="O8" s="38">
        <f>($C$5*Params!K10)</f>
        <v>0.37130029930162955</v>
      </c>
      <c r="P8" s="38">
        <f>(O8*N8)</f>
        <v>4.7009272354556044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12.660714910000001</v>
      </c>
      <c r="O9" s="38">
        <f>($C$5*Params!K11)</f>
        <v>0.67509145327569009</v>
      </c>
      <c r="P9" s="38">
        <f>(O9*N9)</f>
        <v>8.5471404281010983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19.444744473930001</v>
      </c>
    </row>
    <row r="13" spans="2:21">
      <c r="F13" t="s">
        <v>9</v>
      </c>
      <c r="G13" s="38">
        <f>(D14/B14)</f>
        <v>0.15521815426456037</v>
      </c>
    </row>
    <row r="14" spans="2:21">
      <c r="B14" s="29">
        <f>(SUM(B5:B13))</f>
        <v>63.303574550000008</v>
      </c>
      <c r="D14" s="38">
        <f>(SUM(D5:D13))</f>
        <v>9.8258639999999993</v>
      </c>
    </row>
    <row r="17" spans="11:20">
      <c r="N17" s="29"/>
      <c r="R17" s="29">
        <f>(SUM(R5:R16))</f>
        <v>63.303574550000008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1" priority="13" operator="lessThan">
      <formula>$J$3</formula>
    </cfRule>
    <cfRule type="cellIs" dxfId="200" priority="14" operator="greaterThan">
      <formula>$J$3</formula>
    </cfRule>
  </conditionalFormatting>
  <conditionalFormatting sqref="C9:C10">
    <cfRule type="cellIs" dxfId="199" priority="11" operator="lessThan">
      <formula>$J$3</formula>
    </cfRule>
    <cfRule type="cellIs" dxfId="198" priority="12" operator="greaterThan">
      <formula>$J$3</formula>
    </cfRule>
  </conditionalFormatting>
  <conditionalFormatting sqref="O6:O9">
    <cfRule type="cellIs" dxfId="197" priority="9" operator="lessThan">
      <formula>$J$3</formula>
    </cfRule>
    <cfRule type="cellIs" dxfId="196" priority="10" operator="greaterThan">
      <formula>$J$3</formula>
    </cfRule>
  </conditionalFormatting>
  <conditionalFormatting sqref="S5 S7:S8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O6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2023-12-11T11:24:12Z</dcterms:modified>
</cp:coreProperties>
</file>