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1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J4"/>
  <c r="K4" s="1"/>
  <c r="B13" i="31"/>
  <c r="N9"/>
  <c r="N8"/>
  <c r="C8"/>
  <c r="C7"/>
  <c r="T6"/>
  <c r="S6"/>
  <c r="R6"/>
  <c r="P6"/>
  <c r="N6"/>
  <c r="N7" s="1"/>
  <c r="E6"/>
  <c r="D6"/>
  <c r="D13" s="1"/>
  <c r="G12" s="1"/>
  <c r="T5"/>
  <c r="T17" s="1"/>
  <c r="R5"/>
  <c r="R17" s="1"/>
  <c r="C5"/>
  <c r="O8" s="1"/>
  <c r="P8" s="1"/>
  <c r="J4"/>
  <c r="B10" i="30"/>
  <c r="N9"/>
  <c r="N8"/>
  <c r="N7"/>
  <c r="N6"/>
  <c r="E6"/>
  <c r="D6"/>
  <c r="D10" s="1"/>
  <c r="G9" s="1"/>
  <c r="C5"/>
  <c r="O9" s="1"/>
  <c r="P9" s="1"/>
  <c r="J4"/>
  <c r="B13" i="29"/>
  <c r="N9" s="1"/>
  <c r="E6"/>
  <c r="D6"/>
  <c r="D13" s="1"/>
  <c r="G12" s="1"/>
  <c r="C5"/>
  <c r="O9" s="1"/>
  <c r="J4"/>
  <c r="C31" i="28"/>
  <c r="C30"/>
  <c r="D29"/>
  <c r="C29" s="1"/>
  <c r="O7" s="1"/>
  <c r="P7" s="1"/>
  <c r="B28"/>
  <c r="C28" s="1"/>
  <c r="C27"/>
  <c r="B26"/>
  <c r="C26" s="1"/>
  <c r="C25"/>
  <c r="C24"/>
  <c r="N23"/>
  <c r="C23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R16"/>
  <c r="S16" s="1"/>
  <c r="C16"/>
  <c r="T15"/>
  <c r="S15" s="1"/>
  <c r="R15"/>
  <c r="N25" s="1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N7"/>
  <c r="C7"/>
  <c r="T6"/>
  <c r="R6"/>
  <c r="O6"/>
  <c r="P6" s="1"/>
  <c r="N6"/>
  <c r="C6"/>
  <c r="B6"/>
  <c r="S5"/>
  <c r="B5"/>
  <c r="B33" s="1"/>
  <c r="J4" s="1"/>
  <c r="B13" i="27"/>
  <c r="N9"/>
  <c r="N8"/>
  <c r="N7"/>
  <c r="N6"/>
  <c r="E6"/>
  <c r="D6"/>
  <c r="D13" s="1"/>
  <c r="G12" s="1"/>
  <c r="C5"/>
  <c r="O9" s="1"/>
  <c r="P9" s="1"/>
  <c r="J4"/>
  <c r="B19" i="26"/>
  <c r="C17"/>
  <c r="C16"/>
  <c r="C15"/>
  <c r="C14"/>
  <c r="C13"/>
  <c r="C12"/>
  <c r="C11"/>
  <c r="C10"/>
  <c r="R9"/>
  <c r="N9"/>
  <c r="D9"/>
  <c r="T9" s="1"/>
  <c r="V9" s="1"/>
  <c r="C9"/>
  <c r="T8"/>
  <c r="V8" s="1"/>
  <c r="R8"/>
  <c r="N17" s="1"/>
  <c r="N8"/>
  <c r="C8"/>
  <c r="T7"/>
  <c r="R7"/>
  <c r="N7"/>
  <c r="E7"/>
  <c r="U6"/>
  <c r="T6"/>
  <c r="S6"/>
  <c r="R6"/>
  <c r="N6"/>
  <c r="C6"/>
  <c r="O17" s="1"/>
  <c r="P17" s="1"/>
  <c r="T5"/>
  <c r="T22" s="1"/>
  <c r="R5"/>
  <c r="R22" s="1"/>
  <c r="C5"/>
  <c r="O9" s="1"/>
  <c r="P9" s="1"/>
  <c r="J4"/>
  <c r="B10" i="25"/>
  <c r="N9" s="1"/>
  <c r="D7"/>
  <c r="E6"/>
  <c r="D6"/>
  <c r="C5"/>
  <c r="O9" s="1"/>
  <c r="P9" s="1"/>
  <c r="J4"/>
  <c r="D15" i="24"/>
  <c r="B15"/>
  <c r="B16" s="1"/>
  <c r="C14"/>
  <c r="C13"/>
  <c r="C12"/>
  <c r="C11"/>
  <c r="T10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R21"/>
  <c r="C21"/>
  <c r="R20"/>
  <c r="S20" s="1"/>
  <c r="D20"/>
  <c r="R19"/>
  <c r="S19" s="1"/>
  <c r="D19"/>
  <c r="R18"/>
  <c r="S18" s="1"/>
  <c r="E18"/>
  <c r="D18"/>
  <c r="R17"/>
  <c r="T17" s="1"/>
  <c r="D17"/>
  <c r="R16"/>
  <c r="T16" s="1"/>
  <c r="C16"/>
  <c r="R15"/>
  <c r="T15" s="1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R5"/>
  <c r="R37" s="1"/>
  <c r="D5"/>
  <c r="D37" s="1"/>
  <c r="G37" s="1"/>
  <c r="D13" i="22"/>
  <c r="D12"/>
  <c r="D11"/>
  <c r="D10"/>
  <c r="D9"/>
  <c r="D8"/>
  <c r="C7"/>
  <c r="B7"/>
  <c r="B15" s="1"/>
  <c r="J4" s="1"/>
  <c r="E6"/>
  <c r="D6"/>
  <c r="D5"/>
  <c r="B13" i="21"/>
  <c r="N9"/>
  <c r="C9"/>
  <c r="T8"/>
  <c r="R8"/>
  <c r="N8"/>
  <c r="C8"/>
  <c r="T7"/>
  <c r="S7" s="1"/>
  <c r="R7"/>
  <c r="N7"/>
  <c r="C7"/>
  <c r="O9" s="1"/>
  <c r="P9" s="1"/>
  <c r="R6"/>
  <c r="O6"/>
  <c r="N6"/>
  <c r="P6" s="1"/>
  <c r="E6"/>
  <c r="D6"/>
  <c r="T6" s="1"/>
  <c r="S6" s="1"/>
  <c r="T5"/>
  <c r="S5"/>
  <c r="R5"/>
  <c r="R19" s="1"/>
  <c r="C5"/>
  <c r="J4"/>
  <c r="B10" i="20"/>
  <c r="N9" s="1"/>
  <c r="N8"/>
  <c r="N6"/>
  <c r="E6"/>
  <c r="D6"/>
  <c r="D10" s="1"/>
  <c r="G9" s="1"/>
  <c r="C5"/>
  <c r="O9" s="1"/>
  <c r="J4"/>
  <c r="B10" i="19"/>
  <c r="N9" s="1"/>
  <c r="N7"/>
  <c r="E6"/>
  <c r="D6"/>
  <c r="D10" s="1"/>
  <c r="G9" s="1"/>
  <c r="C5"/>
  <c r="O7" s="1"/>
  <c r="P7" s="1"/>
  <c r="J4"/>
  <c r="B10" i="18"/>
  <c r="N9" s="1"/>
  <c r="N8"/>
  <c r="N6"/>
  <c r="E6"/>
  <c r="D6"/>
  <c r="D10" s="1"/>
  <c r="G9" s="1"/>
  <c r="C5"/>
  <c r="O9" s="1"/>
  <c r="J4"/>
  <c r="B13" i="17"/>
  <c r="O9"/>
  <c r="N9"/>
  <c r="O8"/>
  <c r="N8"/>
  <c r="O7"/>
  <c r="N7"/>
  <c r="O6"/>
  <c r="N6"/>
  <c r="P6" s="1"/>
  <c r="E6"/>
  <c r="D6"/>
  <c r="D13" s="1"/>
  <c r="G12" s="1"/>
  <c r="J4"/>
  <c r="C10" i="16"/>
  <c r="B9"/>
  <c r="D9" s="1"/>
  <c r="D8" s="1"/>
  <c r="B8"/>
  <c r="B14" s="1"/>
  <c r="T7"/>
  <c r="R7"/>
  <c r="S7" s="1"/>
  <c r="C7"/>
  <c r="T6"/>
  <c r="S6" s="1"/>
  <c r="R6"/>
  <c r="E6"/>
  <c r="D6"/>
  <c r="D14" s="1"/>
  <c r="G13" s="1"/>
  <c r="T5"/>
  <c r="R5"/>
  <c r="C5"/>
  <c r="O9" s="1"/>
  <c r="B13" i="15"/>
  <c r="N9" s="1"/>
  <c r="N8"/>
  <c r="N6"/>
  <c r="E6"/>
  <c r="D6"/>
  <c r="D13" s="1"/>
  <c r="G12" s="1"/>
  <c r="C5"/>
  <c r="O9" s="1"/>
  <c r="J4"/>
  <c r="B15" i="14"/>
  <c r="C13"/>
  <c r="C12"/>
  <c r="C11"/>
  <c r="E10"/>
  <c r="S9"/>
  <c r="O16" s="1"/>
  <c r="R9"/>
  <c r="N17" s="1"/>
  <c r="D9"/>
  <c r="S8"/>
  <c r="O9" s="1"/>
  <c r="R8"/>
  <c r="N8" s="1"/>
  <c r="O8"/>
  <c r="E8"/>
  <c r="S7"/>
  <c r="R7"/>
  <c r="T7" s="1"/>
  <c r="O7"/>
  <c r="N7"/>
  <c r="P7" s="1"/>
  <c r="E7"/>
  <c r="S6"/>
  <c r="R6"/>
  <c r="T6" s="1"/>
  <c r="O6"/>
  <c r="P6" s="1"/>
  <c r="N6"/>
  <c r="D6"/>
  <c r="R5"/>
  <c r="N24" s="1"/>
  <c r="D5"/>
  <c r="D15" s="1"/>
  <c r="J4"/>
  <c r="D13" i="13"/>
  <c r="B13"/>
  <c r="G12"/>
  <c r="C11"/>
  <c r="C10"/>
  <c r="C9"/>
  <c r="C8"/>
  <c r="C7"/>
  <c r="T6"/>
  <c r="R6"/>
  <c r="N9" s="1"/>
  <c r="C6"/>
  <c r="O6" s="1"/>
  <c r="T5"/>
  <c r="T15" s="1"/>
  <c r="S5"/>
  <c r="R5"/>
  <c r="R15" s="1"/>
  <c r="C5"/>
  <c r="O9" s="1"/>
  <c r="P9" s="1"/>
  <c r="J4"/>
  <c r="K4" s="1"/>
  <c r="N17" i="12"/>
  <c r="N16"/>
  <c r="N15"/>
  <c r="N14"/>
  <c r="B13"/>
  <c r="C11"/>
  <c r="C10"/>
  <c r="O17" s="1"/>
  <c r="P17" s="1"/>
  <c r="C9"/>
  <c r="U8"/>
  <c r="T8"/>
  <c r="S8" s="1"/>
  <c r="R8"/>
  <c r="C8"/>
  <c r="T7"/>
  <c r="R7"/>
  <c r="N9" s="1"/>
  <c r="C7"/>
  <c r="O6" s="1"/>
  <c r="P6" s="1"/>
  <c r="T6"/>
  <c r="S6"/>
  <c r="R6"/>
  <c r="N6"/>
  <c r="E6"/>
  <c r="D6"/>
  <c r="D13" s="1"/>
  <c r="G12" s="1"/>
  <c r="R5"/>
  <c r="R13" s="1"/>
  <c r="C5"/>
  <c r="O9" s="1"/>
  <c r="P9" s="1"/>
  <c r="J4"/>
  <c r="B14" i="11"/>
  <c r="N9"/>
  <c r="N8"/>
  <c r="N7"/>
  <c r="D7"/>
  <c r="N6"/>
  <c r="E6"/>
  <c r="D6"/>
  <c r="D14" s="1"/>
  <c r="C5"/>
  <c r="O9" s="1"/>
  <c r="P9" s="1"/>
  <c r="J4"/>
  <c r="B14" i="10"/>
  <c r="D12"/>
  <c r="C12" s="1"/>
  <c r="C11"/>
  <c r="C10"/>
  <c r="C9"/>
  <c r="C8"/>
  <c r="T7"/>
  <c r="R7"/>
  <c r="C7"/>
  <c r="T6"/>
  <c r="S6"/>
  <c r="R6"/>
  <c r="N6"/>
  <c r="E6"/>
  <c r="D6"/>
  <c r="D14" s="1"/>
  <c r="G13" s="1"/>
  <c r="R5"/>
  <c r="C5"/>
  <c r="J4"/>
  <c r="B14" i="9"/>
  <c r="N8" s="1"/>
  <c r="C10"/>
  <c r="N9"/>
  <c r="C9"/>
  <c r="C8"/>
  <c r="T7"/>
  <c r="R7"/>
  <c r="C7"/>
  <c r="R6"/>
  <c r="O6"/>
  <c r="E6"/>
  <c r="U6" s="1"/>
  <c r="D6"/>
  <c r="D14" s="1"/>
  <c r="T5"/>
  <c r="R5"/>
  <c r="C5"/>
  <c r="O9" s="1"/>
  <c r="P9" s="1"/>
  <c r="B13" i="8"/>
  <c r="N9" s="1"/>
  <c r="C9"/>
  <c r="T8"/>
  <c r="R8"/>
  <c r="C8"/>
  <c r="T7"/>
  <c r="R7"/>
  <c r="C7"/>
  <c r="R6"/>
  <c r="U6" s="1"/>
  <c r="O6"/>
  <c r="N6"/>
  <c r="P6" s="1"/>
  <c r="E6"/>
  <c r="D6"/>
  <c r="D13" s="1"/>
  <c r="G12" s="1"/>
  <c r="T5"/>
  <c r="S5"/>
  <c r="R5"/>
  <c r="C5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L39" s="1"/>
  <c r="L41" s="1"/>
  <c r="M41" s="1"/>
  <c r="E37"/>
  <c r="F37" s="1"/>
  <c r="D37"/>
  <c r="M36"/>
  <c r="D36"/>
  <c r="E36" s="1"/>
  <c r="F36" s="1"/>
  <c r="M35"/>
  <c r="E35"/>
  <c r="F35" s="1"/>
  <c r="D35"/>
  <c r="M34"/>
  <c r="F34"/>
  <c r="I34" s="1"/>
  <c r="K34" s="1"/>
  <c r="D34"/>
  <c r="E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D9"/>
  <c r="B9"/>
  <c r="G8"/>
  <c r="D7"/>
  <c r="P6"/>
  <c r="N6"/>
  <c r="O6" s="1"/>
  <c r="D6"/>
  <c r="D5"/>
  <c r="J4"/>
  <c r="K4" s="1"/>
  <c r="D229" i="3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C32"/>
  <c r="N49" s="1"/>
  <c r="O49" s="1"/>
  <c r="B30"/>
  <c r="D29"/>
  <c r="M28"/>
  <c r="D28"/>
  <c r="M27"/>
  <c r="D27"/>
  <c r="M26"/>
  <c r="D26"/>
  <c r="C26"/>
  <c r="N25"/>
  <c r="O25" s="1"/>
  <c r="M25"/>
  <c r="C25"/>
  <c r="T24"/>
  <c r="S24"/>
  <c r="N74" s="1"/>
  <c r="R24"/>
  <c r="C24"/>
  <c r="T23"/>
  <c r="R23"/>
  <c r="C23"/>
  <c r="C22"/>
  <c r="N44" s="1"/>
  <c r="O44" s="1"/>
  <c r="R21"/>
  <c r="C21"/>
  <c r="M20"/>
  <c r="C20"/>
  <c r="N34" s="1"/>
  <c r="O34" s="1"/>
  <c r="T19"/>
  <c r="S19"/>
  <c r="N51" s="1"/>
  <c r="O51" s="1"/>
  <c r="R19"/>
  <c r="M50" s="1"/>
  <c r="M19"/>
  <c r="C19"/>
  <c r="N28" s="1"/>
  <c r="O28" s="1"/>
  <c r="T18"/>
  <c r="S18" s="1"/>
  <c r="R18"/>
  <c r="N18"/>
  <c r="O18" s="1"/>
  <c r="M18"/>
  <c r="D18"/>
  <c r="C18" s="1"/>
  <c r="N17" s="1"/>
  <c r="T17"/>
  <c r="S17" s="1"/>
  <c r="R17"/>
  <c r="M17"/>
  <c r="C17"/>
  <c r="N20" s="1"/>
  <c r="O20" s="1"/>
  <c r="T16"/>
  <c r="S16"/>
  <c r="R16"/>
  <c r="D16"/>
  <c r="T14" s="1"/>
  <c r="S14" s="1"/>
  <c r="R15"/>
  <c r="D15"/>
  <c r="R14"/>
  <c r="D14"/>
  <c r="T13"/>
  <c r="R13"/>
  <c r="D13"/>
  <c r="T12" s="1"/>
  <c r="S12" s="1"/>
  <c r="R12"/>
  <c r="N12"/>
  <c r="M12"/>
  <c r="O12" s="1"/>
  <c r="D12"/>
  <c r="R11"/>
  <c r="T11" s="1"/>
  <c r="N11"/>
  <c r="O11" s="1"/>
  <c r="M11"/>
  <c r="D11"/>
  <c r="R10"/>
  <c r="T10" s="1"/>
  <c r="N10"/>
  <c r="O10" s="1"/>
  <c r="M10"/>
  <c r="D10"/>
  <c r="S9"/>
  <c r="R9"/>
  <c r="N9"/>
  <c r="M9"/>
  <c r="O9" s="1"/>
  <c r="C9"/>
  <c r="S8"/>
  <c r="R8"/>
  <c r="C8"/>
  <c r="S7"/>
  <c r="R7"/>
  <c r="C7"/>
  <c r="R6"/>
  <c r="T6" s="1"/>
  <c r="E6"/>
  <c r="D6"/>
  <c r="T5"/>
  <c r="R5"/>
  <c r="D5"/>
  <c r="C40" i="1"/>
  <c r="B38"/>
  <c r="B39" s="1"/>
  <c r="C37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N6" s="1"/>
  <c r="B23"/>
  <c r="B42" s="1"/>
  <c r="D22"/>
  <c r="R21"/>
  <c r="N21"/>
  <c r="D21"/>
  <c r="T20"/>
  <c r="S20"/>
  <c r="O29" s="1"/>
  <c r="R20"/>
  <c r="N29" s="1"/>
  <c r="N20"/>
  <c r="C20"/>
  <c r="T19"/>
  <c r="S19"/>
  <c r="O20" s="1"/>
  <c r="P20" s="1"/>
  <c r="R19"/>
  <c r="C19"/>
  <c r="D19" s="1"/>
  <c r="O18"/>
  <c r="N18"/>
  <c r="N19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"/>
  <c r="K4" i="31" l="1"/>
  <c r="K4" i="30"/>
  <c r="N6" i="29"/>
  <c r="Q6" s="1"/>
  <c r="N8"/>
  <c r="P9"/>
  <c r="N7"/>
  <c r="K4"/>
  <c r="K4" i="27"/>
  <c r="E7" i="25"/>
  <c r="D10"/>
  <c r="G9" s="1"/>
  <c r="N6"/>
  <c r="N7"/>
  <c r="D15" i="22"/>
  <c r="T19" i="21"/>
  <c r="K4" i="20"/>
  <c r="P9"/>
  <c r="N7"/>
  <c r="K4" i="19"/>
  <c r="N6"/>
  <c r="N8"/>
  <c r="P9" i="18"/>
  <c r="N7"/>
  <c r="K4"/>
  <c r="K4" i="17"/>
  <c r="P7"/>
  <c r="P8"/>
  <c r="P9"/>
  <c r="P9" i="15"/>
  <c r="N7"/>
  <c r="K4"/>
  <c r="T5" i="12"/>
  <c r="T13" s="1"/>
  <c r="K4"/>
  <c r="E7" i="11"/>
  <c r="K4" i="10"/>
  <c r="R17" i="9"/>
  <c r="G13"/>
  <c r="N7"/>
  <c r="N7" i="8"/>
  <c r="N8"/>
  <c r="I40" i="5"/>
  <c r="K40" s="1"/>
  <c r="O6" i="1"/>
  <c r="P6" s="1"/>
  <c r="J12"/>
  <c r="J13" s="1"/>
  <c r="J4"/>
  <c r="R22"/>
  <c r="D39"/>
  <c r="T22" s="1"/>
  <c r="T18"/>
  <c r="S18" s="1"/>
  <c r="R18"/>
  <c r="N10"/>
  <c r="R32"/>
  <c r="P10"/>
  <c r="T10"/>
  <c r="S10" s="1"/>
  <c r="P29"/>
  <c r="O14" i="2"/>
  <c r="O37" i="1"/>
  <c r="P37" s="1"/>
  <c r="O36"/>
  <c r="O35"/>
  <c r="O34"/>
  <c r="N4" i="2"/>
  <c r="O17"/>
  <c r="O22" s="1"/>
  <c r="H36" i="5"/>
  <c r="I36" s="1"/>
  <c r="K36" s="1"/>
  <c r="H37"/>
  <c r="M76" i="2"/>
  <c r="M74"/>
  <c r="O74" s="1"/>
  <c r="E229" i="3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O9" i="8"/>
  <c r="P9" s="1"/>
  <c r="O8"/>
  <c r="P8" s="1"/>
  <c r="S5" i="9"/>
  <c r="O9" i="10"/>
  <c r="O8"/>
  <c r="O7"/>
  <c r="O6"/>
  <c r="P6" s="1"/>
  <c r="T5" i="1"/>
  <c r="O19"/>
  <c r="P19" s="1"/>
  <c r="O21"/>
  <c r="P21" s="1"/>
  <c r="O26"/>
  <c r="O27"/>
  <c r="O28"/>
  <c r="N34"/>
  <c r="N35"/>
  <c r="N36"/>
  <c r="D38"/>
  <c r="T21" s="1"/>
  <c r="T15" i="2"/>
  <c r="S15" s="1"/>
  <c r="N26"/>
  <c r="O26" s="1"/>
  <c r="O30" s="1"/>
  <c r="N27"/>
  <c r="O27" s="1"/>
  <c r="D30"/>
  <c r="T21" s="1"/>
  <c r="S21" s="1"/>
  <c r="B31"/>
  <c r="B37" s="1"/>
  <c r="N35"/>
  <c r="O35" s="1"/>
  <c r="O38" s="1"/>
  <c r="N36"/>
  <c r="O36" s="1"/>
  <c r="N43"/>
  <c r="O43" s="1"/>
  <c r="N50"/>
  <c r="O50" s="1"/>
  <c r="O54" s="1"/>
  <c r="N52"/>
  <c r="O52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35" i="4"/>
  <c r="I37" i="5"/>
  <c r="K37" s="1"/>
  <c r="M39"/>
  <c r="K4" i="8"/>
  <c r="R13"/>
  <c r="S7"/>
  <c r="O7" s="1"/>
  <c r="P7" s="1"/>
  <c r="P11" s="1"/>
  <c r="T5" i="10"/>
  <c r="T14" s="1"/>
  <c r="N75" i="2"/>
  <c r="N73"/>
  <c r="O73" s="1"/>
  <c r="N68"/>
  <c r="O68" s="1"/>
  <c r="N66"/>
  <c r="O66" s="1"/>
  <c r="D74" i="5"/>
  <c r="E62"/>
  <c r="N6" i="9"/>
  <c r="J4"/>
  <c r="K4" i="11"/>
  <c r="G13"/>
  <c r="C8" i="16"/>
  <c r="T8"/>
  <c r="P18" i="1"/>
  <c r="P23" s="1"/>
  <c r="N26"/>
  <c r="N27"/>
  <c r="N28"/>
  <c r="N42" i="2"/>
  <c r="O42" s="1"/>
  <c r="O46" s="1"/>
  <c r="O70"/>
  <c r="N67"/>
  <c r="O67" s="1"/>
  <c r="M75"/>
  <c r="N76"/>
  <c r="O76" s="1"/>
  <c r="P17" i="4"/>
  <c r="I35" i="5"/>
  <c r="K35" s="1"/>
  <c r="M38"/>
  <c r="K14" s="1"/>
  <c r="T6" i="8"/>
  <c r="T13" s="1"/>
  <c r="P6" i="9"/>
  <c r="N9" i="10"/>
  <c r="N8"/>
  <c r="N7"/>
  <c r="R14"/>
  <c r="O7" i="16"/>
  <c r="O6"/>
  <c r="N9"/>
  <c r="P9" s="1"/>
  <c r="N8"/>
  <c r="N6"/>
  <c r="J4"/>
  <c r="N7"/>
  <c r="R9" i="24"/>
  <c r="D16"/>
  <c r="T9" s="1"/>
  <c r="O16" i="28"/>
  <c r="O17"/>
  <c r="P17" s="1"/>
  <c r="O15"/>
  <c r="P23"/>
  <c r="O3"/>
  <c r="P6" i="32"/>
  <c r="T6" i="9"/>
  <c r="T17" s="1"/>
  <c r="O7"/>
  <c r="P7" s="1"/>
  <c r="O8"/>
  <c r="P8" s="1"/>
  <c r="U5" i="10"/>
  <c r="K4" i="14"/>
  <c r="P8"/>
  <c r="T13" i="16"/>
  <c r="P11" i="17"/>
  <c r="O26" i="28"/>
  <c r="O25"/>
  <c r="P25" s="1"/>
  <c r="O24"/>
  <c r="T21" i="23"/>
  <c r="S21" s="1"/>
  <c r="R17" i="24"/>
  <c r="D18"/>
  <c r="O6" i="11"/>
  <c r="P6" s="1"/>
  <c r="O8"/>
  <c r="P8" s="1"/>
  <c r="U5" i="12"/>
  <c r="N7"/>
  <c r="N8"/>
  <c r="O14"/>
  <c r="P14" s="1"/>
  <c r="O16"/>
  <c r="P16" s="1"/>
  <c r="O7" i="13"/>
  <c r="O8"/>
  <c r="T8" i="14"/>
  <c r="N9"/>
  <c r="P9" s="1"/>
  <c r="O14"/>
  <c r="G15"/>
  <c r="O15"/>
  <c r="N16"/>
  <c r="P16" s="1"/>
  <c r="O17"/>
  <c r="P17" s="1"/>
  <c r="N23"/>
  <c r="N25"/>
  <c r="R35"/>
  <c r="O6" i="15"/>
  <c r="P6" s="1"/>
  <c r="O8"/>
  <c r="P8" s="1"/>
  <c r="U5" i="16"/>
  <c r="O8"/>
  <c r="P8" s="1"/>
  <c r="R8"/>
  <c r="R13" s="1"/>
  <c r="O7" i="18"/>
  <c r="P7" s="1"/>
  <c r="O6" i="19"/>
  <c r="P6" s="1"/>
  <c r="O8"/>
  <c r="P8" s="1"/>
  <c r="O9"/>
  <c r="P9" s="1"/>
  <c r="O7" i="20"/>
  <c r="P7" s="1"/>
  <c r="O7" i="21"/>
  <c r="P7" s="1"/>
  <c r="D13"/>
  <c r="G12" s="1"/>
  <c r="O8" i="24"/>
  <c r="O14"/>
  <c r="N15"/>
  <c r="P15" s="1"/>
  <c r="O16"/>
  <c r="O17"/>
  <c r="P17" s="1"/>
  <c r="B18"/>
  <c r="J4" s="1"/>
  <c r="K4" i="25"/>
  <c r="O7"/>
  <c r="P7" s="1"/>
  <c r="N8"/>
  <c r="S5" i="26"/>
  <c r="O6"/>
  <c r="P6" s="1"/>
  <c r="O7"/>
  <c r="P7" s="1"/>
  <c r="O8"/>
  <c r="P8" s="1"/>
  <c r="O14"/>
  <c r="O15"/>
  <c r="O16"/>
  <c r="D19"/>
  <c r="O6" i="27"/>
  <c r="P6" s="1"/>
  <c r="O8"/>
  <c r="P8" s="1"/>
  <c r="R5" i="28"/>
  <c r="N16"/>
  <c r="N26"/>
  <c r="O8" i="29"/>
  <c r="P8" s="1"/>
  <c r="O7" i="30"/>
  <c r="P7" s="1"/>
  <c r="O6" i="31"/>
  <c r="O9"/>
  <c r="P9" s="1"/>
  <c r="S6" i="32"/>
  <c r="O7"/>
  <c r="P7" s="1"/>
  <c r="O9"/>
  <c r="P9" s="1"/>
  <c r="O7" i="33"/>
  <c r="P7" s="1"/>
  <c r="O6" i="34"/>
  <c r="P6" s="1"/>
  <c r="O8"/>
  <c r="P8" s="1"/>
  <c r="O9"/>
  <c r="P9" s="1"/>
  <c r="O7" i="11"/>
  <c r="P7" s="1"/>
  <c r="O7" i="12"/>
  <c r="P7" s="1"/>
  <c r="P11" s="1"/>
  <c r="O8"/>
  <c r="P8" s="1"/>
  <c r="O15"/>
  <c r="P15" s="1"/>
  <c r="N6" i="13"/>
  <c r="P6" s="1"/>
  <c r="N7"/>
  <c r="N8"/>
  <c r="T5" i="14"/>
  <c r="T9"/>
  <c r="N14"/>
  <c r="N15"/>
  <c r="N22"/>
  <c r="O7" i="15"/>
  <c r="P7" s="1"/>
  <c r="O6" i="18"/>
  <c r="P6" s="1"/>
  <c r="P11" s="1"/>
  <c r="O8"/>
  <c r="P8" s="1"/>
  <c r="O6" i="20"/>
  <c r="P6" s="1"/>
  <c r="P11" s="1"/>
  <c r="O8"/>
  <c r="P8" s="1"/>
  <c r="O8" i="21"/>
  <c r="P8" s="1"/>
  <c r="S5" i="24"/>
  <c r="T6"/>
  <c r="T17" s="1"/>
  <c r="N14"/>
  <c r="N16"/>
  <c r="O6" i="25"/>
  <c r="P6" s="1"/>
  <c r="O8"/>
  <c r="P8" s="1"/>
  <c r="N14" i="26"/>
  <c r="N15"/>
  <c r="N16"/>
  <c r="O7" i="27"/>
  <c r="P7" s="1"/>
  <c r="D5" i="28"/>
  <c r="D33" s="1"/>
  <c r="G33" s="1"/>
  <c r="N9"/>
  <c r="P9" s="1"/>
  <c r="P11" s="1"/>
  <c r="N15"/>
  <c r="N24"/>
  <c r="O6" i="29"/>
  <c r="P6" s="1"/>
  <c r="P11" s="1"/>
  <c r="O7"/>
  <c r="P7" s="1"/>
  <c r="O6" i="30"/>
  <c r="P6" s="1"/>
  <c r="P11" s="1"/>
  <c r="O8"/>
  <c r="P8" s="1"/>
  <c r="S5" i="31"/>
  <c r="O7"/>
  <c r="P7" s="1"/>
  <c r="P11" s="1"/>
  <c r="S5" i="32"/>
  <c r="T5" s="1"/>
  <c r="T35" s="1"/>
  <c r="W35" s="1"/>
  <c r="O6" i="33"/>
  <c r="P6" s="1"/>
  <c r="O8"/>
  <c r="P8" s="1"/>
  <c r="K4" i="24" l="1"/>
  <c r="P11" i="21"/>
  <c r="K4" i="16"/>
  <c r="K4" i="9"/>
  <c r="P11" i="14"/>
  <c r="J7" i="2"/>
  <c r="J8" s="1"/>
  <c r="J4"/>
  <c r="T35" i="14"/>
  <c r="S5"/>
  <c r="R35" i="28"/>
  <c r="T5"/>
  <c r="T35" s="1"/>
  <c r="N8" i="24"/>
  <c r="N6"/>
  <c r="P6" s="1"/>
  <c r="N9"/>
  <c r="P9" s="1"/>
  <c r="N7"/>
  <c r="P7" s="1"/>
  <c r="H41" i="5"/>
  <c r="I41" s="1"/>
  <c r="K41" s="1"/>
  <c r="H38"/>
  <c r="P11" i="33"/>
  <c r="P11" i="34"/>
  <c r="P11" i="27"/>
  <c r="P16" i="26"/>
  <c r="P14"/>
  <c r="P16" i="24"/>
  <c r="P14"/>
  <c r="P8" i="13"/>
  <c r="P12" i="11"/>
  <c r="G17" i="24"/>
  <c r="K4" i="28"/>
  <c r="N3" i="32"/>
  <c r="O3"/>
  <c r="N3" i="28"/>
  <c r="P15"/>
  <c r="P16"/>
  <c r="P6" i="16"/>
  <c r="T37" i="23"/>
  <c r="M46" i="5"/>
  <c r="O75" i="2"/>
  <c r="P28" i="1"/>
  <c r="P26"/>
  <c r="P8" i="10"/>
  <c r="P34" i="1"/>
  <c r="P36"/>
  <c r="D42"/>
  <c r="N11"/>
  <c r="O3" i="31"/>
  <c r="N3"/>
  <c r="K4" i="26"/>
  <c r="G18"/>
  <c r="M57" i="2"/>
  <c r="O57" s="1"/>
  <c r="D31"/>
  <c r="T22" s="1"/>
  <c r="T20"/>
  <c r="S20" s="1"/>
  <c r="R20"/>
  <c r="R22"/>
  <c r="M4"/>
  <c r="O4" s="1"/>
  <c r="O13" i="1"/>
  <c r="P13" s="1"/>
  <c r="O12"/>
  <c r="P12" s="1"/>
  <c r="O11"/>
  <c r="P11" s="1"/>
  <c r="P11" i="25"/>
  <c r="P15" i="26"/>
  <c r="P11"/>
  <c r="P8" i="24"/>
  <c r="P11" i="19"/>
  <c r="P11" i="15"/>
  <c r="P15" i="14"/>
  <c r="P14"/>
  <c r="P7" i="13"/>
  <c r="P12" s="1"/>
  <c r="P19" i="12"/>
  <c r="P24" i="28"/>
  <c r="P26"/>
  <c r="P11" i="32"/>
  <c r="P3" i="28"/>
  <c r="P28"/>
  <c r="P7" i="16"/>
  <c r="K4" i="21"/>
  <c r="P12" i="9"/>
  <c r="S8" i="16"/>
  <c r="O78" i="2"/>
  <c r="P27" i="1"/>
  <c r="T32"/>
  <c r="P7" i="10"/>
  <c r="P9"/>
  <c r="P35" i="1"/>
  <c r="D37" i="2"/>
  <c r="G36" s="1"/>
  <c r="P15" i="1"/>
  <c r="K4"/>
  <c r="N3"/>
  <c r="P3" s="1"/>
  <c r="W35" i="28" l="1"/>
  <c r="P11" i="10"/>
  <c r="M58" i="2"/>
  <c r="R36"/>
  <c r="I42" i="1"/>
  <c r="G7"/>
  <c r="P19" i="14"/>
  <c r="P3" i="31"/>
  <c r="P31" i="1"/>
  <c r="P12" i="16"/>
  <c r="P19" i="28"/>
  <c r="P3" i="32"/>
  <c r="P20" i="24"/>
  <c r="P19" i="26"/>
  <c r="N60" i="2"/>
  <c r="O60" s="1"/>
  <c r="N58"/>
  <c r="O58" s="1"/>
  <c r="O62" s="1"/>
  <c r="N59"/>
  <c r="O59" s="1"/>
  <c r="H39" i="5"/>
  <c r="I39" s="1"/>
  <c r="K39" s="1"/>
  <c r="I38"/>
  <c r="K38" s="1"/>
  <c r="O25" i="14"/>
  <c r="P25" s="1"/>
  <c r="O23"/>
  <c r="P23" s="1"/>
  <c r="O24"/>
  <c r="P24" s="1"/>
  <c r="O22"/>
  <c r="P22" s="1"/>
  <c r="T36" i="2"/>
  <c r="P39" i="1"/>
  <c r="P11" i="24"/>
  <c r="K4" i="2"/>
  <c r="P27" i="14" l="1"/>
  <c r="J13" i="5"/>
  <c r="J15" s="1"/>
  <c r="J16" s="1"/>
  <c r="O46"/>
  <c r="P46" l="1"/>
</calcChain>
</file>

<file path=xl/sharedStrings.xml><?xml version="1.0" encoding="utf-8"?>
<sst xmlns="http://schemas.openxmlformats.org/spreadsheetml/2006/main" count="690" uniqueCount="87">
  <si>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</si>
  <si>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</si>
  <si>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</si>
  <si>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</si>
  <si>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</si>
  <si>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</si>
  <si>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</si>
  <si>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</si>
  <si>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</si>
  <si>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</si>
  <si>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</si>
  <si>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</si>
  <si>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</si>
  <si>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</si>
  <si>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</si>
  <si>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</si>
  <si>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</si>
  <si>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</si>
  <si>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</si>
  <si>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</si>
  <si>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</si>
  <si>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</si>
  <si>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</si>
  <si>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</si>
  <si>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</si>
  <si>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</si>
  <si>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</si>
  <si>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</si>
  <si>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</si>
  <si>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</si>
  <si>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</si>
  <si>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</si>
  <si>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</si>
  <si>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</si>
  <si>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</si>
  <si>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</si>
  <si>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</si>
  <si>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</si>
  <si>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</si>
  <si>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</si>
  <si>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</si>
  <si>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</si>
  <si>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</si>
  <si>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</si>
  <si>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</si>
  <si>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</si>
  <si>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</si>
  <si>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</si>
  <si>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</si>
  <si>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</si>
  <si>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</si>
  <si>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</si>
  <si>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</si>
  <si>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</si>
  <si>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</si>
  <si>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</si>
  <si>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</si>
  <si>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</si>
  <si>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</si>
  <si>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</si>
  <si>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</si>
  <si>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</si>
  <si>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</si>
  <si>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</si>
  <si>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</si>
  <si>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</si>
  <si>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</si>
  <si>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</si>
  <si>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</si>
  <si>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</si>
  <si>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</si>
  <si>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</si>
  <si>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</si>
  <si>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</si>
  <si>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</si>
  <si>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</si>
  <si>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</si>
  <si>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</si>
  <si>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</si>
  <si>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</si>
  <si>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</si>
  <si>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</si>
  <si>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</si>
  <si>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NFT Burn</t>
  </si>
  <si>
    <t>DCA2*</t>
  </si>
  <si>
    <t>Ph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</si>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</sst>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</c:numCache>
            </c:numRef>
          </c:val>
        </c:ser>
        <c:marker val="1"/>
        <c:axId val="78652160"/>
        <c:axId val="84074880"/>
      </c:lineChart>
      <c:dateAx>
        <c:axId val="78652160"/>
        <c:scaling>
          <c:orientation val="minMax"/>
        </c:scaling>
        <c:axPos val="b"/>
        <c:numFmt formatCode="dd/mm/yy;@" sourceLinked="1"/>
        <c:majorTickMark val="none"/>
        <c:tickLblPos val="nextTo"/>
        <c:crossAx val="84074880"/>
        <c:crosses val="autoZero"/>
        <c:lblOffset val="100"/>
      </c:dateAx>
      <c:valAx>
        <c:axId val="8407488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8652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1729.6368710683489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855.50752351531412</v>
      </c>
      <c r="K4" s="4">
        <f>(J4/D42-1)</f>
        <v>-0.38358634331616559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2805.9677982694334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4.1759900000000001E-3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0.5</v>
      </c>
      <c r="N11">
        <f>(2*($R$18+N10)/5-N10)</f>
        <v>3.2239180000000006E-2</v>
      </c>
      <c r="O11" s="39">
        <f>($S$18*Params!K16)</f>
        <v>3244.5971875893979</v>
      </c>
      <c r="P11" s="23">
        <f>(O11*N11)</f>
        <v>104.60315275818839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4.1759900000000001E-3</v>
      </c>
      <c r="C12" s="40">
        <v>0</v>
      </c>
      <c r="D12" s="26">
        <f t="shared" si="0"/>
        <v>0</v>
      </c>
      <c r="E12" s="38">
        <f>(B12*J3)</f>
        <v>7.2229462772127144</v>
      </c>
      <c r="I12" t="s">
        <v>13</v>
      </c>
      <c r="J12">
        <f>(J11-B42)</f>
        <v>5.3831600000000535E-3</v>
      </c>
      <c r="N12">
        <f>($B$35/5)</f>
        <v>1.8442090000000001E-2</v>
      </c>
      <c r="O12" s="39">
        <f>($S$18*Params!K17)</f>
        <v>6489.1943751787958</v>
      </c>
      <c r="P12" s="23">
        <f>(O12*N12)</f>
        <v>119.67430669454113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9.3109120188603853</v>
      </c>
      <c r="N13">
        <f>($B$35/5)</f>
        <v>1.8442090000000001E-2</v>
      </c>
      <c r="O13" s="39">
        <f>($S$18*Params!K18)</f>
        <v>12978.388750357592</v>
      </c>
      <c r="P13" s="23">
        <f>(O13*N13)</f>
        <v>239.34861338908226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471.08129784181176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8.7565450000000003E-2</v>
      </c>
      <c r="S18" s="39">
        <f>(T18/R18)</f>
        <v>1622.2985937946989</v>
      </c>
      <c r="T18" s="23">
        <f>(D35+1283.68*B39)</f>
        <v>142.05730640000002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6.5396999999999999E-3</v>
      </c>
      <c r="O19" s="39">
        <f>($S$19*Params!K16)</f>
        <v>3332.5952575868555</v>
      </c>
      <c r="P19" s="23">
        <f>(O19*N19)</f>
        <v>21.794173206040757</v>
      </c>
      <c r="R19" s="24">
        <f>(B36+B38)</f>
        <v>1.7406749999999999E-2</v>
      </c>
      <c r="S19" s="39">
        <f>(T19/R19)</f>
        <v>1666.2976287934277</v>
      </c>
      <c r="T19" s="23">
        <f>(D36+1269.75*B38)</f>
        <v>29.004826249999997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3.6223499999999999E-3</v>
      </c>
      <c r="O20" s="39">
        <f>($S$19*Params!K17)</f>
        <v>6665.190515173711</v>
      </c>
      <c r="P20" s="23">
        <f>(O20*N20)</f>
        <v>24.143652862639492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3.6223499999999999E-3</v>
      </c>
      <c r="O21" s="39">
        <f>($S$19*Params!K18)</f>
        <v>13330.381030347422</v>
      </c>
      <c r="P21" s="23">
        <f>(O21*N21)</f>
        <v>48.287305725278983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95.356656793959232</v>
      </c>
      <c r="R23" s="24">
        <f>(B40)</f>
        <v>3.2702080000000001E-2</v>
      </c>
      <c r="S23" s="39">
        <f>(T23/R23)</f>
        <v>1827.1009061197331</v>
      </c>
      <c r="T23" s="23">
        <f>(D40)</f>
        <v>59.75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0.49461684000000006</v>
      </c>
      <c r="T32" s="23">
        <f>(SUM(T5:T31))</f>
        <v>1387.8789255217841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6.5404160000000003E-3</v>
      </c>
      <c r="O34" s="39">
        <f>($S$23*Params!K15)</f>
        <v>2740.6513591795997</v>
      </c>
      <c r="P34" s="23">
        <f>(O34*N34)</f>
        <v>17.925000000000001</v>
      </c>
    </row>
    <row r="35" spans="2:16">
      <c r="B35" s="24">
        <v>9.2210449999999999E-2</v>
      </c>
      <c r="C35" s="39">
        <f>(D35/B35)</f>
        <v>1605.2410545659413</v>
      </c>
      <c r="D35" s="23">
        <v>148.02000000000001</v>
      </c>
      <c r="E35" t="s">
        <v>10</v>
      </c>
      <c r="N35">
        <f>($R$23/5)</f>
        <v>6.5404160000000003E-3</v>
      </c>
      <c r="O35" s="39">
        <f>($S$23*Params!K16)</f>
        <v>3654.2018122394661</v>
      </c>
      <c r="P35" s="23">
        <f>(O35*N35)</f>
        <v>23.900000000000002</v>
      </c>
    </row>
    <row r="36" spans="2:16">
      <c r="B36" s="24">
        <v>1.8111749999999999E-2</v>
      </c>
      <c r="C36" s="39">
        <f>(D36/B36)</f>
        <v>1650.8620094689911</v>
      </c>
      <c r="D36" s="23">
        <v>29.9</v>
      </c>
      <c r="E36" t="s">
        <v>15</v>
      </c>
      <c r="N36">
        <f>($R$23/5)</f>
        <v>6.5404160000000003E-3</v>
      </c>
      <c r="O36" s="39">
        <f>($S$23*Params!K17)</f>
        <v>7308.4036244789322</v>
      </c>
      <c r="P36" s="23">
        <f>(O36*N36)</f>
        <v>47.800000000000004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6.5404160000000003E-3</v>
      </c>
      <c r="O37" s="39">
        <f>($S$23*Params!K18)</f>
        <v>14616.807248957864</v>
      </c>
      <c r="P37" s="23">
        <f>(O37*N37)</f>
        <v>95.600000000000009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185.22500000000002</v>
      </c>
    </row>
    <row r="40" spans="2:16">
      <c r="B40" s="24">
        <v>3.2702080000000001E-2</v>
      </c>
      <c r="C40" s="39">
        <f>(D40/B40)</f>
        <v>1827.1009061197331</v>
      </c>
      <c r="D40" s="23">
        <v>59.75</v>
      </c>
      <c r="E40" t="s">
        <v>18</v>
      </c>
    </row>
    <row r="42" spans="2:16">
      <c r="B42">
        <f>(SUM(B5:B41))</f>
        <v>0.49461683999999995</v>
      </c>
      <c r="D42" s="23">
        <f>(SUM(D5:D41))</f>
        <v>1387.8789255217844</v>
      </c>
      <c r="H42" t="s">
        <v>9</v>
      </c>
      <c r="I42" s="39">
        <f>D42/B42</f>
        <v>2805.9677982694334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2.0637205577264139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14.661675151697864</v>
      </c>
      <c r="K4" s="4">
        <f>(J4/D14-1)</f>
        <v>-0.48574324863098828</v>
      </c>
      <c r="R4" t="s">
        <v>5</v>
      </c>
      <c r="S4" t="s">
        <v>6</v>
      </c>
      <c r="T4" t="s">
        <v>7</v>
      </c>
    </row>
    <row r="5" spans="2:21">
      <c r="B5" s="29">
        <v>6.6847200000000004</v>
      </c>
      <c r="C5" s="38">
        <f>(D5/B5)</f>
        <v>4.2933735444416516</v>
      </c>
      <c r="D5" s="38">
        <v>28.7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0.35382490999999999</v>
      </c>
      <c r="S5" s="40">
        <v>0</v>
      </c>
      <c r="T5" s="26">
        <f>(D6)</f>
        <v>0</v>
      </c>
      <c r="U5" s="38">
        <f>(R5*J3)</f>
        <v>0.73019574060269821</v>
      </c>
    </row>
    <row r="6" spans="2:21">
      <c r="B6" s="36">
        <v>0.35382490999999999</v>
      </c>
      <c r="C6" s="40">
        <v>0</v>
      </c>
      <c r="D6" s="26">
        <f>(B6*C6)</f>
        <v>0</v>
      </c>
      <c r="E6" s="38">
        <f>(B6*J3)</f>
        <v>0.73019574060269821</v>
      </c>
      <c r="M6" t="s">
        <v>11</v>
      </c>
      <c r="N6" s="29">
        <f>(SUM(R5:R7)/5)</f>
        <v>1.4208973300000001</v>
      </c>
      <c r="O6" s="38">
        <f>($C$5*Params!K8)</f>
        <v>5.5813856077741475</v>
      </c>
      <c r="P6" s="38">
        <f>(O6*N6)</f>
        <v>7.9305759077867135</v>
      </c>
      <c r="R6" s="29">
        <f>(B5)</f>
        <v>6.6847200000000004</v>
      </c>
      <c r="S6" s="38">
        <f>(T6/R6)</f>
        <v>4.2933735444416516</v>
      </c>
      <c r="T6" s="38">
        <f>(D5)</f>
        <v>28.7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1.4208973300000001</v>
      </c>
      <c r="O7" s="38">
        <f>($C$5*Params!K9)</f>
        <v>6.8693976711066433</v>
      </c>
      <c r="P7" s="38">
        <f>(O7*N7)</f>
        <v>9.7607088095836474</v>
      </c>
      <c r="R7" s="29">
        <f>(SUM(B7:B12))</f>
        <v>6.5941739999999971E-2</v>
      </c>
      <c r="S7" s="38">
        <v>0</v>
      </c>
      <c r="T7" s="38">
        <f>(SUM(D7:D12))</f>
        <v>-0.18958158999999997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1.4208973300000001</v>
      </c>
      <c r="O8" s="38">
        <f>($C$5*Params!K10)</f>
        <v>9.445421797771635</v>
      </c>
      <c r="P8" s="38">
        <f>(O8*N8)</f>
        <v>13.420974613177517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1.4208973300000001</v>
      </c>
      <c r="O9" s="38">
        <f>($C$5*Params!K11)</f>
        <v>17.173494177766607</v>
      </c>
      <c r="P9" s="38">
        <f>(O9*N9)</f>
        <v>24.401772023959118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55.514031354506997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4.0130159735045732</v>
      </c>
    </row>
    <row r="14" spans="2:21">
      <c r="B14" s="29">
        <f>(SUM(B5:B13))</f>
        <v>7.104486650000001</v>
      </c>
      <c r="D14" s="38">
        <f>(SUM(D5:D13))</f>
        <v>28.51041841</v>
      </c>
      <c r="R14" s="29">
        <f>(SUM(R5:R13))</f>
        <v>7.1044866500000001</v>
      </c>
      <c r="T14" s="38">
        <f>(SUM(T5:T13))</f>
        <v>28.51041841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8.594581016753267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10.375489159465472</v>
      </c>
      <c r="K4" s="4">
        <f>(J4/D14-1)</f>
        <v>-5.0732922281292558E-2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0.75577367790988648</v>
      </c>
      <c r="M6" t="s">
        <v>11</v>
      </c>
      <c r="N6" s="1">
        <f>(SUM($B$5:$B$7)/5)</f>
        <v>0.24144258200000004</v>
      </c>
      <c r="O6" s="38">
        <f>($C$5*Params!K8)</f>
        <v>12.800900900900901</v>
      </c>
      <c r="P6" s="38">
        <f>(O6*N6)</f>
        <v>3.0906825654396402</v>
      </c>
    </row>
    <row r="7" spans="2:16">
      <c r="B7" s="36">
        <v>9.2768399999999997E-3</v>
      </c>
      <c r="C7" s="40">
        <v>0</v>
      </c>
      <c r="D7" s="26">
        <f>(C7*B7)</f>
        <v>0</v>
      </c>
      <c r="E7" s="38">
        <f>(B7*J4)</f>
        <v>9.6251752854095665E-2</v>
      </c>
      <c r="N7" s="1">
        <f>(SUM($B$5:$B$7)/5)</f>
        <v>0.24144258200000004</v>
      </c>
      <c r="O7" s="38">
        <f>($C$5*Params!K9)</f>
        <v>15.754954954954954</v>
      </c>
      <c r="P7" s="38">
        <f>(O7*N7)</f>
        <v>3.8039170036180185</v>
      </c>
    </row>
    <row r="8" spans="2:16">
      <c r="N8" s="1">
        <f>(SUM($B$5:$B$7)/5)</f>
        <v>0.24144258200000004</v>
      </c>
      <c r="O8" s="38">
        <f>($C$5*Params!K10)</f>
        <v>21.663063063063063</v>
      </c>
      <c r="P8" s="38">
        <f>(O8*N8)</f>
        <v>5.2303858799747758</v>
      </c>
    </row>
    <row r="9" spans="2:16">
      <c r="N9" s="1">
        <f>(SUM($B$5:$B$7)/5)</f>
        <v>0.24144258200000004</v>
      </c>
      <c r="O9" s="38">
        <f>($C$5*Params!K11)</f>
        <v>39.387387387387385</v>
      </c>
      <c r="P9" s="38">
        <f>(O9*N9)</f>
        <v>9.509792509045047</v>
      </c>
    </row>
    <row r="12" spans="2:16">
      <c r="P12" s="38">
        <f>(SUM(P6:P9))</f>
        <v>21.634777958077482</v>
      </c>
    </row>
    <row r="13" spans="2:16">
      <c r="F13" t="s">
        <v>9</v>
      </c>
      <c r="G13" s="38">
        <f>(D14/B14)</f>
        <v>9.053912453603564</v>
      </c>
    </row>
    <row r="14" spans="2:16">
      <c r="B14" s="19">
        <f>(SUM(B5:B13))</f>
        <v>1.2072129100000002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U19"/>
  <sheetViews>
    <sheetView tabSelected="1"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1">
      <c r="I3" t="s">
        <v>3</v>
      </c>
      <c r="J3" s="38">
        <v>11.41495907042037</v>
      </c>
      <c r="N3" s="24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24.860358665624975</v>
      </c>
      <c r="K4" s="4">
        <f>(J4/D13-1)</f>
        <v>-0.28369413181274694</v>
      </c>
      <c r="R4" t="s">
        <v>5</v>
      </c>
      <c r="S4" t="s">
        <v>6</v>
      </c>
      <c r="T4" t="s">
        <v>7</v>
      </c>
    </row>
    <row r="5" spans="2:21">
      <c r="B5">
        <v>1.75847</v>
      </c>
      <c r="C5" s="38">
        <f>(D5/B5)</f>
        <v>16.321006329365868</v>
      </c>
      <c r="D5" s="38">
        <v>28.7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9.7883299999999996E-3</v>
      </c>
      <c r="S5" s="40">
        <v>0</v>
      </c>
      <c r="T5" s="26">
        <f>(D6)</f>
        <v>0</v>
      </c>
      <c r="U5" s="38">
        <f>(R5*J3)</f>
        <v>0.11173338631776782</v>
      </c>
    </row>
    <row r="6" spans="2:21">
      <c r="B6" s="25">
        <v>9.7883299999999996E-3</v>
      </c>
      <c r="C6" s="40">
        <v>0</v>
      </c>
      <c r="D6" s="26">
        <f>(B6*C6)</f>
        <v>0</v>
      </c>
      <c r="E6" s="38">
        <f>(B6*J3)</f>
        <v>0.11173338631776782</v>
      </c>
      <c r="M6" t="s">
        <v>11</v>
      </c>
      <c r="N6" s="24">
        <f>($B$5+$R$7)/5</f>
        <v>0.358153416</v>
      </c>
      <c r="O6" s="38">
        <f>(C7)</f>
        <v>15.79</v>
      </c>
      <c r="P6" s="38">
        <f>(O6*N6)</f>
        <v>5.6552424386399993</v>
      </c>
      <c r="R6" s="24">
        <f>B5</f>
        <v>1.75847</v>
      </c>
      <c r="S6" s="38">
        <f>(T6/R6)</f>
        <v>16.321006329365868</v>
      </c>
      <c r="T6" s="38">
        <f>D5</f>
        <v>28.7</v>
      </c>
      <c r="U6" t="s">
        <v>15</v>
      </c>
    </row>
    <row r="7" spans="2:21">
      <c r="B7" s="24">
        <v>-7.17E-2</v>
      </c>
      <c r="C7" s="38">
        <f>(D7/B7)</f>
        <v>15.79</v>
      </c>
      <c r="D7" s="38">
        <v>-1.1321429999999999</v>
      </c>
      <c r="N7" s="24">
        <f>($B$5+$R$7)/5</f>
        <v>0.358153416</v>
      </c>
      <c r="O7" s="38">
        <f>($C$5*Params!K9)</f>
        <v>26.113610126985392</v>
      </c>
      <c r="P7" s="38">
        <f>(O7*N7)</f>
        <v>9.3526786710720113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</row>
    <row r="8" spans="2:21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0.358153416</v>
      </c>
      <c r="O8" s="38">
        <f>($C$5*Params!K10)</f>
        <v>35.906213924604913</v>
      </c>
      <c r="P8" s="38">
        <f>(O8*N8)</f>
        <v>12.859933172724016</v>
      </c>
      <c r="R8" s="24">
        <f>(B10)</f>
        <v>0.37731999999999999</v>
      </c>
      <c r="S8" s="38">
        <f>(T8/R8)</f>
        <v>16.458178734230891</v>
      </c>
      <c r="T8" s="38">
        <f>(D10)</f>
        <v>6.21</v>
      </c>
      <c r="U8" t="str">
        <f>E10</f>
        <v>DCA4</v>
      </c>
    </row>
    <row r="9" spans="2:21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0.358153416</v>
      </c>
      <c r="O9" s="38">
        <f>($C$5*Params!K11)</f>
        <v>65.284025317463474</v>
      </c>
      <c r="P9" s="38">
        <f>(O9*N9)</f>
        <v>23.381696677680029</v>
      </c>
    </row>
    <row r="10" spans="2:21">
      <c r="B10">
        <v>0.37731999999999999</v>
      </c>
      <c r="C10" s="38">
        <f>(D10/B10)</f>
        <v>16.458178734230891</v>
      </c>
      <c r="D10" s="38">
        <v>6.21</v>
      </c>
      <c r="E10" t="s">
        <v>81</v>
      </c>
    </row>
    <row r="11" spans="2:21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51.249550960116053</v>
      </c>
    </row>
    <row r="12" spans="2:21">
      <c r="F12" t="s">
        <v>9</v>
      </c>
      <c r="G12" s="38">
        <f>(D13/B13)</f>
        <v>15.93587261724949</v>
      </c>
    </row>
    <row r="13" spans="2:21">
      <c r="B13" s="24">
        <f>(SUM(B5:B12))</f>
        <v>2.1778754099999995</v>
      </c>
      <c r="D13" s="38">
        <f>(SUM(D5:D12))</f>
        <v>34.706345110000001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2.17787541</v>
      </c>
      <c r="T13" s="38">
        <f>(SUM(T5:T12))</f>
        <v>34.706345110000001</v>
      </c>
    </row>
    <row r="14" spans="2:21">
      <c r="M14" t="s">
        <v>11</v>
      </c>
      <c r="N14" s="24">
        <f>($B$10)/5</f>
        <v>7.5464000000000003E-2</v>
      </c>
      <c r="O14" s="38">
        <f>($C$10*Params!K8)</f>
        <v>21.395632354500158</v>
      </c>
      <c r="P14" s="38">
        <f>(O14*N14)</f>
        <v>1.6146</v>
      </c>
    </row>
    <row r="15" spans="2:21">
      <c r="N15" s="24">
        <f>($B$10)/5</f>
        <v>7.5464000000000003E-2</v>
      </c>
      <c r="O15" s="38">
        <f>($C$10*Params!K9)</f>
        <v>26.333085974769428</v>
      </c>
      <c r="P15" s="38">
        <f>(O15*N15)</f>
        <v>1.9872000000000003</v>
      </c>
    </row>
    <row r="16" spans="2:21">
      <c r="N16" s="24">
        <f>($B$10)/5</f>
        <v>7.5464000000000003E-2</v>
      </c>
      <c r="O16" s="38">
        <f>($C$10*Params!K10)</f>
        <v>36.207993215307965</v>
      </c>
      <c r="P16" s="38">
        <f>(O16*N16)</f>
        <v>2.7324000000000006</v>
      </c>
    </row>
    <row r="17" spans="14:16">
      <c r="N17" s="24">
        <f>($B$10)/5</f>
        <v>7.5464000000000003E-2</v>
      </c>
      <c r="O17" s="38">
        <f>($C$10*Params!K11)</f>
        <v>65.832714936923566</v>
      </c>
      <c r="P17" s="38">
        <f>(O17*N17)</f>
        <v>4.968</v>
      </c>
    </row>
    <row r="19" spans="14:16">
      <c r="P19" s="38">
        <f>(SUM(P14:P17))</f>
        <v>11.302200000000001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2.28515625" style="14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1.9949331391514451E-3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1.9057321749579677</v>
      </c>
      <c r="K4" s="4">
        <f>(J4/D13-1)</f>
        <v>-0.32711022609309015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B11" sqref="B11"/>
    </sheetView>
  </sheetViews>
  <sheetFormatPr baseColWidth="10" defaultColWidth="9.140625" defaultRowHeight="15"/>
  <cols>
    <col min="2" max="2" width="11" style="14" bestFit="1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244.2262807444362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118.6995896462531</v>
      </c>
      <c r="K4" s="4">
        <f>(J4/D15-1)</f>
        <v>-0.20076896327908211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7.6305999999999999E-2</v>
      </c>
      <c r="O6" s="38">
        <f>($S$8*Params!K8)</f>
        <v>397.84027468351115</v>
      </c>
      <c r="P6" s="38">
        <f>(O6*N6)</f>
        <v>30.357600000000001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5.7393175974942506E-2</v>
      </c>
      <c r="N7" s="24">
        <f>($R$8/5)</f>
        <v>7.6305999999999999E-2</v>
      </c>
      <c r="O7" s="38">
        <f>($S$8*Params!K9)</f>
        <v>489.6495688412445</v>
      </c>
      <c r="P7" s="38">
        <f>(O7*N7)</f>
        <v>37.363199999999999</v>
      </c>
      <c r="R7" s="51">
        <f>(B7+B8+B10)</f>
        <v>1.1473799999999999E-3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2.319661214510655E-2</v>
      </c>
      <c r="N8" s="24">
        <f>($R$8/5)</f>
        <v>7.6305999999999999E-2</v>
      </c>
      <c r="O8" s="38">
        <f>($S$8*Params!K10)</f>
        <v>673.26815715671125</v>
      </c>
      <c r="P8" s="38">
        <f>(O8*N8)</f>
        <v>51.374400000000009</v>
      </c>
      <c r="R8" s="51">
        <f>(B11)</f>
        <v>0.38152999999999998</v>
      </c>
      <c r="S8" s="38">
        <f>(C11)</f>
        <v>306.03098052577781</v>
      </c>
      <c r="T8" s="38">
        <f>(R8*S8)</f>
        <v>116.76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7.6305999999999999E-2</v>
      </c>
      <c r="O9" s="38">
        <f>($S$8*Params!K11)</f>
        <v>1224.1239221031112</v>
      </c>
      <c r="P9" s="38">
        <f>(O9*N9)</f>
        <v>93.408000000000001</v>
      </c>
      <c r="R9" s="51">
        <f>(B12)</f>
        <v>9.4380000000000006E-2</v>
      </c>
      <c r="S9" s="38">
        <f>(C12)</f>
        <v>304.08984954439495</v>
      </c>
      <c r="T9" s="38">
        <f>(R9*S9)</f>
        <v>28.699999999999996</v>
      </c>
      <c r="U9" t="s">
        <v>15</v>
      </c>
    </row>
    <row r="10" spans="2:21">
      <c r="B10" s="51">
        <v>8.1740000000000003E-4</v>
      </c>
      <c r="C10" s="38">
        <v>0</v>
      </c>
      <c r="D10" s="38">
        <v>0</v>
      </c>
      <c r="E10" s="38">
        <f>(B10*J3)</f>
        <v>0.19963056188050216</v>
      </c>
      <c r="P10" s="38"/>
      <c r="R10" s="51"/>
    </row>
    <row r="11" spans="2:21">
      <c r="B11" s="51">
        <v>0.38152999999999998</v>
      </c>
      <c r="C11" s="38">
        <f>(D11/B11)</f>
        <v>306.03098052577781</v>
      </c>
      <c r="D11" s="38">
        <v>116.76</v>
      </c>
      <c r="E11" t="s">
        <v>10</v>
      </c>
      <c r="P11" s="38">
        <f>(SUM(P6:P9))</f>
        <v>212.50319999999999</v>
      </c>
    </row>
    <row r="12" spans="2:21">
      <c r="B12" s="51">
        <v>9.4380000000000006E-2</v>
      </c>
      <c r="C12" s="38">
        <f>(D12/B12)</f>
        <v>304.08984954439495</v>
      </c>
      <c r="D12" s="38">
        <v>28.7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M14" t="s">
        <v>11</v>
      </c>
      <c r="N14" s="24">
        <f>($R$9/5)</f>
        <v>1.8876E-2</v>
      </c>
      <c r="O14" s="38">
        <f>($S$9*Params!K8)</f>
        <v>395.31680440771345</v>
      </c>
      <c r="P14" s="38">
        <f>(O14*N14)</f>
        <v>7.4619999999999989</v>
      </c>
    </row>
    <row r="15" spans="2:21">
      <c r="B15" s="51">
        <f>(SUM(B5:B14))</f>
        <v>0.48602299999999998</v>
      </c>
      <c r="D15" s="38">
        <f>(SUM(D5:D14))</f>
        <v>148.51724243999999</v>
      </c>
      <c r="F15" t="s">
        <v>9</v>
      </c>
      <c r="G15" s="38">
        <f>(SUM(D5:D14)/SUM(B5:B14))</f>
        <v>305.57657238443448</v>
      </c>
      <c r="N15" s="24">
        <f>($R$9/5)</f>
        <v>1.8876E-2</v>
      </c>
      <c r="O15" s="38">
        <f>($S$9*Params!K9)</f>
        <v>486.54375927103194</v>
      </c>
      <c r="P15" s="38">
        <f>(O15*N15)</f>
        <v>9.1839999999999993</v>
      </c>
    </row>
    <row r="16" spans="2:21">
      <c r="N16" s="24">
        <f>($R$9/5)</f>
        <v>1.8876E-2</v>
      </c>
      <c r="O16" s="38">
        <f>($S$9*Params!K10)</f>
        <v>668.99766899766894</v>
      </c>
      <c r="P16" s="38">
        <f>(O16*N16)</f>
        <v>12.627999999999998</v>
      </c>
    </row>
    <row r="17" spans="13:16">
      <c r="N17" s="24">
        <f>($R$9/5)</f>
        <v>1.8876E-2</v>
      </c>
      <c r="O17" s="38">
        <f>($S$9*Params!K11)</f>
        <v>1216.3593981775798</v>
      </c>
      <c r="P17" s="38">
        <f>(O17*N17)</f>
        <v>22.959999999999997</v>
      </c>
    </row>
    <row r="18" spans="13:16">
      <c r="P18" s="38"/>
    </row>
    <row r="19" spans="13:16">
      <c r="P19" s="38">
        <f>(SUM(P14:P17))</f>
        <v>52.233999999999995</v>
      </c>
    </row>
    <row r="21" spans="13:16">
      <c r="N21" t="s">
        <v>29</v>
      </c>
      <c r="O21" t="s">
        <v>1</v>
      </c>
      <c r="P21" t="s">
        <v>2</v>
      </c>
    </row>
    <row r="22" spans="13:16">
      <c r="M22" t="s">
        <v>11</v>
      </c>
      <c r="N22" s="24">
        <f>(($R$5+$R$7)/5)</f>
        <v>6.9302399999999998E-4</v>
      </c>
      <c r="O22" s="38">
        <f>($S$5*Params!K8)</f>
        <v>323.96134165178148</v>
      </c>
      <c r="P22" s="38">
        <f>(O22*N22)</f>
        <v>0.2245129848368842</v>
      </c>
    </row>
    <row r="23" spans="13:16">
      <c r="N23" s="24">
        <f>(($R$5+$R$7)/5)</f>
        <v>6.9302399999999998E-4</v>
      </c>
      <c r="O23" s="38">
        <f>($S$5*Params!K9)</f>
        <v>398.72165126373102</v>
      </c>
      <c r="P23" s="38">
        <f>(O23*N23)</f>
        <v>0.2763236736453959</v>
      </c>
    </row>
    <row r="24" spans="13:16">
      <c r="N24" s="24">
        <f>(($R$5+$R$7)/5)</f>
        <v>6.9302399999999998E-4</v>
      </c>
      <c r="O24" s="38">
        <f>($S$5*Params!K10)</f>
        <v>548.24227048763021</v>
      </c>
      <c r="P24" s="38">
        <f>(O24*N24)</f>
        <v>0.37994505126241945</v>
      </c>
    </row>
    <row r="25" spans="13:16">
      <c r="N25" s="24">
        <f>(($R$5+$R$7)/5)</f>
        <v>6.9302399999999998E-4</v>
      </c>
      <c r="O25" s="38">
        <f>($S$5*Params!K11)</f>
        <v>996.80412815932755</v>
      </c>
      <c r="P25" s="38">
        <f>(O25*N25)</f>
        <v>0.69080918411348979</v>
      </c>
    </row>
    <row r="26" spans="13:16">
      <c r="P26" s="38"/>
    </row>
    <row r="27" spans="13:16">
      <c r="P27" s="38">
        <f>(SUM(P22:P25))</f>
        <v>1.5715908938581893</v>
      </c>
    </row>
    <row r="35" spans="18:20">
      <c r="R35" s="51">
        <f>(SUM(R5:R25))</f>
        <v>0.48602299999999998</v>
      </c>
      <c r="T35" s="38">
        <f>(SUM(T5:T25))</f>
        <v>148.51724243999999</v>
      </c>
    </row>
  </sheetData>
  <conditionalFormatting sqref="C5:C6 C9 C11:C13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6:O9">
    <cfRule type="cellIs" dxfId="153" priority="7" operator="lessThan">
      <formula>$J$3</formula>
    </cfRule>
    <cfRule type="cellIs" dxfId="152" priority="8" operator="greaterThan">
      <formula>$J$3</formula>
    </cfRule>
  </conditionalFormatting>
  <conditionalFormatting sqref="O14:O17">
    <cfRule type="cellIs" dxfId="151" priority="5" operator="lessThan">
      <formula>$J$3</formula>
    </cfRule>
    <cfRule type="cellIs" dxfId="150" priority="6" operator="greaterThan">
      <formula>$J$3</formula>
    </cfRule>
  </conditionalFormatting>
  <conditionalFormatting sqref="O22:O25">
    <cfRule type="cellIs" dxfId="149" priority="3" operator="lessThan">
      <formula>$J$3</formula>
    </cfRule>
    <cfRule type="cellIs" dxfId="148" priority="4" operator="greaterThan">
      <formula>$J$3</formula>
    </cfRule>
  </conditionalFormatting>
  <conditionalFormatting sqref="S5:S6 S8:S9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5703125" style="14" bestFit="1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2">
        <v>6.1749140710659713E-2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3.7861442161520857</v>
      </c>
      <c r="K4" s="4">
        <f>(J4/D13-1)</f>
        <v>-0.24277115676958283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25">
        <v>0.19581122000000001</v>
      </c>
      <c r="C6" s="40">
        <v>0</v>
      </c>
      <c r="D6" s="26">
        <f>(B6*C6)</f>
        <v>0</v>
      </c>
      <c r="E6" s="38">
        <f>(B6*J3)</f>
        <v>1.2091174576505945E-2</v>
      </c>
      <c r="M6" t="s">
        <v>11</v>
      </c>
      <c r="N6" s="29">
        <f>($B$13/5)</f>
        <v>12.262985922</v>
      </c>
      <c r="O6" s="38">
        <f>($C$5*Params!K8)</f>
        <v>0.10634970155367125</v>
      </c>
      <c r="P6" s="38">
        <f>(O6*N6)</f>
        <v>1.3041648929615721</v>
      </c>
    </row>
    <row r="7" spans="2:16">
      <c r="N7" s="29">
        <f>($B$13/5)</f>
        <v>12.262985922</v>
      </c>
      <c r="O7" s="38">
        <f>($C$5*Params!K9)</f>
        <v>0.13089194037374924</v>
      </c>
      <c r="P7" s="38">
        <f>(O7*N7)</f>
        <v>1.6051260221065504</v>
      </c>
    </row>
    <row r="8" spans="2:16">
      <c r="N8" s="29">
        <f>($B$13/5)</f>
        <v>12.262985922</v>
      </c>
      <c r="O8" s="38">
        <f>($C$5*Params!K10)</f>
        <v>0.17997641801390521</v>
      </c>
      <c r="P8" s="38">
        <f>(O8*N8)</f>
        <v>2.2070482803965068</v>
      </c>
    </row>
    <row r="9" spans="2:16">
      <c r="N9" s="29">
        <f>($B$13/5)</f>
        <v>12.262985922</v>
      </c>
      <c r="O9" s="38">
        <f>($C$5*Params!K11)</f>
        <v>0.32722985093437307</v>
      </c>
      <c r="P9" s="38">
        <f>(O9*N9)</f>
        <v>4.0128150552663753</v>
      </c>
    </row>
    <row r="11" spans="2:16">
      <c r="P11" s="38">
        <f>(SUM(P6:P9))</f>
        <v>9.1291542507310055</v>
      </c>
    </row>
    <row r="12" spans="2:16">
      <c r="F12" t="s">
        <v>9</v>
      </c>
      <c r="G12" s="38">
        <f>(D13/B13)</f>
        <v>8.1546207943204385E-2</v>
      </c>
    </row>
    <row r="13" spans="2:16">
      <c r="B13" s="29">
        <f>(SUM(B5:B12))</f>
        <v>61.31492961</v>
      </c>
      <c r="D13" s="38">
        <f>(SUM(D5:D12))</f>
        <v>5</v>
      </c>
    </row>
  </sheetData>
  <conditionalFormatting sqref="O6:O9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C5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G12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14" max="15" width="11.28515625" style="14" bestFit="1" customWidth="1"/>
  </cols>
  <sheetData>
    <row r="3" spans="2:21">
      <c r="I3" t="s">
        <v>3</v>
      </c>
      <c r="J3" s="38">
        <v>4.5529394027000478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23.893131616581549</v>
      </c>
      <c r="K4" s="4">
        <f>(J4/D14-1)</f>
        <v>-0.20868848538470175</v>
      </c>
      <c r="R4" t="s">
        <v>5</v>
      </c>
      <c r="S4" t="s">
        <v>6</v>
      </c>
      <c r="T4" t="s">
        <v>7</v>
      </c>
    </row>
    <row r="5" spans="2:21">
      <c r="B5">
        <v>5.1384347400000001</v>
      </c>
      <c r="C5" s="38">
        <f>(D5/B5)</f>
        <v>5.8188926225420934</v>
      </c>
      <c r="D5" s="38">
        <v>29.9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2.1631299999999999E-2</v>
      </c>
      <c r="S5" s="40">
        <v>0</v>
      </c>
      <c r="T5" s="26">
        <f>(D6)</f>
        <v>0</v>
      </c>
      <c r="U5">
        <f>(R5*J3)</f>
        <v>9.8485998101625546E-2</v>
      </c>
    </row>
    <row r="6" spans="2:21">
      <c r="B6" s="25">
        <v>2.1631299999999999E-2</v>
      </c>
      <c r="C6" s="40">
        <v>0</v>
      </c>
      <c r="D6" s="26">
        <f>(B6*C6)</f>
        <v>0</v>
      </c>
      <c r="E6" s="38">
        <f>(B6*J3)</f>
        <v>9.8485998101625546E-2</v>
      </c>
      <c r="M6" t="s">
        <v>11</v>
      </c>
      <c r="N6" s="24">
        <f>($B$14/5)</f>
        <v>1.0495694980000001</v>
      </c>
      <c r="O6" s="38">
        <f>($S$6*Params!K8)</f>
        <v>7.5645604093047218</v>
      </c>
      <c r="P6" s="38">
        <f>(O6*N6)</f>
        <v>7.9395318713846326</v>
      </c>
      <c r="R6" s="24">
        <f>B5</f>
        <v>5.1384347400000001</v>
      </c>
      <c r="S6" s="38">
        <f>(T6/R6)</f>
        <v>5.8188926225420934</v>
      </c>
      <c r="T6" s="38">
        <f>D5</f>
        <v>29.9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1.0495694980000001</v>
      </c>
      <c r="O7" s="38">
        <f>($S$6*Params!K9)</f>
        <v>9.3102281960673494</v>
      </c>
      <c r="P7" s="38">
        <f>(O7*N7)</f>
        <v>9.7717315340118542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1.0495694980000001</v>
      </c>
      <c r="O8" s="38">
        <f>($C$5*Params!K10)</f>
        <v>12.801563769592606</v>
      </c>
      <c r="P8" s="38">
        <f>(O8*N8)</f>
        <v>13.436130859266301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1.0495694980000001</v>
      </c>
      <c r="O9" s="38">
        <f>($C$5*Params!K11)</f>
        <v>23.275570490168374</v>
      </c>
      <c r="P9" s="38">
        <f>(O9*N9)</f>
        <v>24.429328835029636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55.576723099692423</v>
      </c>
    </row>
    <row r="13" spans="2:21">
      <c r="F13" t="s">
        <v>9</v>
      </c>
      <c r="G13" s="38">
        <f>(D14/B14)</f>
        <v>5.7536625192589188</v>
      </c>
      <c r="N13" s="24"/>
      <c r="P13" s="38"/>
      <c r="R13" s="24">
        <f>(SUM(R5:R12))</f>
        <v>5.2478474899999998</v>
      </c>
      <c r="T13" s="38">
        <f>(SUM(T5:T12))</f>
        <v>30.194343409999998</v>
      </c>
    </row>
    <row r="14" spans="2:21">
      <c r="B14">
        <f>(SUM(B5:B13))</f>
        <v>5.2478474900000007</v>
      </c>
      <c r="D14" s="38">
        <f>(SUM(D5:D13))</f>
        <v>30.194343409999998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39" priority="15" operator="lessThan">
      <formula>$J$3</formula>
    </cfRule>
    <cfRule type="cellIs" dxfId="13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30.346355751953219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3.7388142634397861</v>
      </c>
      <c r="K4" s="4">
        <f>(J4/D13-1)</f>
        <v>-0.28099725703081035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2.3570499999999999E-3</v>
      </c>
      <c r="C6" s="40">
        <v>0</v>
      </c>
      <c r="D6" s="26">
        <f>(B6*C6)</f>
        <v>0</v>
      </c>
      <c r="E6" s="38">
        <f>(B6*J3)</f>
        <v>7.1527877825141334E-2</v>
      </c>
      <c r="M6" t="s">
        <v>11</v>
      </c>
      <c r="N6" s="24">
        <f>($B$13/5)</f>
        <v>2.4640944000000001E-2</v>
      </c>
      <c r="O6" s="38">
        <f>($C$5*Params!K8)</f>
        <v>55.939</v>
      </c>
      <c r="P6" s="38">
        <f>(O6*N6)</f>
        <v>1.3783897664160001</v>
      </c>
    </row>
    <row r="7" spans="2:16">
      <c r="N7" s="24">
        <f>($B$13/5)</f>
        <v>2.4640944000000001E-2</v>
      </c>
      <c r="O7" s="38">
        <f>($C$5*Params!K9)</f>
        <v>68.847999999999999</v>
      </c>
      <c r="P7" s="38">
        <f>(O7*N7)</f>
        <v>1.6964797125120001</v>
      </c>
    </row>
    <row r="8" spans="2:16">
      <c r="N8" s="24">
        <f>($B$13/5)</f>
        <v>2.4640944000000001E-2</v>
      </c>
      <c r="O8" s="38">
        <f>($C$5*Params!K10)</f>
        <v>94.666000000000011</v>
      </c>
      <c r="P8" s="38">
        <f>(O8*N8)</f>
        <v>2.3326596047040002</v>
      </c>
    </row>
    <row r="9" spans="2:16">
      <c r="N9" s="24">
        <f>($B$13/5)</f>
        <v>2.4640944000000001E-2</v>
      </c>
      <c r="O9" s="38">
        <f>($C$5*Params!K11)</f>
        <v>172.12</v>
      </c>
      <c r="P9" s="38">
        <f>(O9*N9)</f>
        <v>4.2411992812800001</v>
      </c>
    </row>
    <row r="11" spans="2:16">
      <c r="P11" s="38">
        <f>(SUM(P6:P9))</f>
        <v>9.6487283649119995</v>
      </c>
    </row>
    <row r="12" spans="2:16">
      <c r="F12" t="s">
        <v>9</v>
      </c>
      <c r="G12" s="38">
        <f>(D13/B13)</f>
        <v>42.206175217962432</v>
      </c>
    </row>
    <row r="13" spans="2:16">
      <c r="B13">
        <f>(SUM(B5:B12))</f>
        <v>0.12320472</v>
      </c>
      <c r="D13" s="38">
        <f>(SUM(D5:D12))</f>
        <v>5.2</v>
      </c>
    </row>
  </sheetData>
  <conditionalFormatting sqref="C5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O6:O9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3.9754760156943538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4.7040644469429109</v>
      </c>
      <c r="K4" s="4">
        <f>(J4/D10-1)</f>
        <v>-0.25332310365985544</v>
      </c>
    </row>
    <row r="5" spans="2:16">
      <c r="B5" s="1">
        <v>1.1823300000000001</v>
      </c>
      <c r="C5" s="38">
        <f>(D5/B5)</f>
        <v>5.3284615970160605</v>
      </c>
      <c r="D5" s="38">
        <v>6.3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9.4074000000000002E-4</v>
      </c>
      <c r="C6" s="40">
        <v>0</v>
      </c>
      <c r="D6" s="26">
        <f>(B6*C6)</f>
        <v>0</v>
      </c>
      <c r="E6" s="38">
        <f>(B6*J3)</f>
        <v>3.7398893070043067E-3</v>
      </c>
      <c r="M6" t="s">
        <v>11</v>
      </c>
      <c r="N6" s="24">
        <f>($B$10/5)</f>
        <v>0.23665414800000004</v>
      </c>
      <c r="O6" s="38">
        <f>($C$5*Params!K8)</f>
        <v>6.927000076120879</v>
      </c>
      <c r="P6" s="38">
        <f>(O6*N6)</f>
        <v>1.639303301210322</v>
      </c>
    </row>
    <row r="7" spans="2:16">
      <c r="N7" s="24">
        <f>($B$10/5)</f>
        <v>0.23665414800000004</v>
      </c>
      <c r="O7" s="38">
        <f>($C$5*Params!K9)</f>
        <v>8.5255385552256975</v>
      </c>
      <c r="P7" s="38">
        <f>(O7*N7)</f>
        <v>2.0176040630280885</v>
      </c>
    </row>
    <row r="8" spans="2:16">
      <c r="N8" s="24">
        <f>($B$10/5)</f>
        <v>0.23665414800000004</v>
      </c>
      <c r="O8" s="38">
        <f>($C$5*Params!K10)</f>
        <v>11.722615513435334</v>
      </c>
      <c r="P8" s="38">
        <f>(O8*N8)</f>
        <v>2.7742055866636219</v>
      </c>
    </row>
    <row r="9" spans="2:16">
      <c r="F9" t="s">
        <v>9</v>
      </c>
      <c r="G9" s="38">
        <f>(D10/B10)</f>
        <v>5.324225290992997</v>
      </c>
      <c r="N9" s="24">
        <f>($B$10/5)</f>
        <v>0.23665414800000004</v>
      </c>
      <c r="O9" s="38">
        <f>($C$5*Params!K11)</f>
        <v>21.313846388064242</v>
      </c>
      <c r="P9" s="38">
        <f>(O9*N9)</f>
        <v>5.044010157570221</v>
      </c>
    </row>
    <row r="10" spans="2:16">
      <c r="B10">
        <f>(SUM(B5:B9))</f>
        <v>1.1832707400000002</v>
      </c>
      <c r="D10" s="38">
        <f>(SUM(D5:D9))</f>
        <v>6.3</v>
      </c>
    </row>
    <row r="11" spans="2:16">
      <c r="P11" s="38">
        <f>(SUM(P6:P9))</f>
        <v>11.475123108472253</v>
      </c>
    </row>
    <row r="12" spans="2:16">
      <c r="P12" s="38"/>
    </row>
  </sheetData>
  <conditionalFormatting sqref="C5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O6:O9">
    <cfRule type="cellIs" dxfId="131" priority="3" operator="lessThan">
      <formula>$J$3</formula>
    </cfRule>
    <cfRule type="cellIs" dxfId="130" priority="4" operator="greaterThan">
      <formula>$J$3</formula>
    </cfRule>
  </conditionalFormatting>
  <conditionalFormatting sqref="G9">
    <cfRule type="cellIs" dxfId="129" priority="1" operator="lessThan">
      <formula>$J$3</formula>
    </cfRule>
    <cfRule type="cellIs" dxfId="12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1.7202876464723309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6.7628326421402498</v>
      </c>
      <c r="K4" s="4">
        <f>(J4/D10-1)</f>
        <v>-0.24098399078111676</v>
      </c>
    </row>
    <row r="5" spans="2:16">
      <c r="B5" s="1">
        <v>3.9178700000000002</v>
      </c>
      <c r="C5" s="38">
        <f>(D5/B5)</f>
        <v>2.2741949069264678</v>
      </c>
      <c r="D5" s="38">
        <v>8.91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1.3351999999999999E-2</v>
      </c>
      <c r="C6" s="40">
        <v>0</v>
      </c>
      <c r="D6" s="26">
        <f>(B6*C6)</f>
        <v>0</v>
      </c>
      <c r="E6" s="38">
        <f>(B6*J3)</f>
        <v>2.296928065569856E-2</v>
      </c>
      <c r="M6" t="s">
        <v>11</v>
      </c>
      <c r="N6" s="1">
        <f>($B$10/5)</f>
        <v>0.78624439999999995</v>
      </c>
      <c r="O6" s="38">
        <f>($C$5*Params!K8)</f>
        <v>2.9564533790044081</v>
      </c>
      <c r="P6" s="38">
        <f>(O6*N6)</f>
        <v>2.3244949131032935</v>
      </c>
    </row>
    <row r="7" spans="2:16">
      <c r="N7" s="1">
        <f>($B$10/5)</f>
        <v>0.78624439999999995</v>
      </c>
      <c r="O7" s="38">
        <f>($C$5*Params!K9)</f>
        <v>3.6387118510823484</v>
      </c>
      <c r="P7" s="38">
        <f>(O7*N7)</f>
        <v>2.8609168161271303</v>
      </c>
    </row>
    <row r="8" spans="2:16">
      <c r="N8" s="1">
        <f>($B$10/5)</f>
        <v>0.78624439999999995</v>
      </c>
      <c r="O8" s="38">
        <f>($C$5*Params!K10)</f>
        <v>5.0032287952382291</v>
      </c>
      <c r="P8" s="38">
        <f>(O8*N8)</f>
        <v>3.933760622174804</v>
      </c>
    </row>
    <row r="9" spans="2:16">
      <c r="F9" t="s">
        <v>9</v>
      </c>
      <c r="G9" s="38">
        <f>(D10/B10)</f>
        <v>2.2664708327334351</v>
      </c>
      <c r="N9" s="1">
        <f>($B$10/5)</f>
        <v>0.78624439999999995</v>
      </c>
      <c r="O9" s="38">
        <f>($C$5*Params!K11)</f>
        <v>9.096779627705871</v>
      </c>
      <c r="P9" s="38">
        <f>(O9*N9)</f>
        <v>7.1522920403178256</v>
      </c>
    </row>
    <row r="10" spans="2:16">
      <c r="B10" s="1">
        <f>(SUM(B5:B9))</f>
        <v>3.931222</v>
      </c>
      <c r="D10" s="38">
        <f>(SUM(D5:D9))</f>
        <v>8.91</v>
      </c>
    </row>
    <row r="11" spans="2:16">
      <c r="P11" s="38">
        <f>(SUM(P6:P9))</f>
        <v>16.271464391723054</v>
      </c>
    </row>
  </sheetData>
  <conditionalFormatting sqref="C5">
    <cfRule type="cellIs" dxfId="127" priority="5" operator="lessThan">
      <formula>$J$3</formula>
    </cfRule>
    <cfRule type="cellIs" dxfId="126" priority="6" operator="greaterThan">
      <formula>$J$3</formula>
    </cfRule>
  </conditionalFormatting>
  <conditionalFormatting sqref="O6:O9">
    <cfRule type="cellIs" dxfId="125" priority="3" operator="lessThan">
      <formula>$J$3</formula>
    </cfRule>
    <cfRule type="cellIs" dxfId="124" priority="4" operator="greaterThan">
      <formula>$J$3</formula>
    </cfRule>
  </conditionalFormatting>
  <conditionalFormatting sqref="G9">
    <cfRule type="cellIs" dxfId="123" priority="1" operator="lessThan">
      <formula>$J$3</formula>
    </cfRule>
    <cfRule type="cellIs" dxfId="12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26478.224571223891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757.06777998064501</v>
      </c>
      <c r="K4" s="4">
        <f>(J4/D37-1)</f>
        <v>0.12133542313673074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3.2076000000000001E-4</v>
      </c>
      <c r="C6" s="40">
        <v>0</v>
      </c>
      <c r="D6" s="26">
        <f>(B6*C6)</f>
        <v>0</v>
      </c>
      <c r="E6" s="38">
        <f>(B6*J3)</f>
        <v>8.4931553134657758</v>
      </c>
      <c r="I6" t="s">
        <v>11</v>
      </c>
      <c r="J6">
        <v>0.03</v>
      </c>
      <c r="R6" s="24">
        <f t="shared" si="0"/>
        <v>3.2076000000000001E-4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1.4079099999999949E-3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>
        <f>(J7*J3)</f>
        <v>37.278957156071691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5.5088799999999999E-3</v>
      </c>
      <c r="S19" s="38">
        <f t="shared" si="2"/>
        <v>22709.87910428254</v>
      </c>
      <c r="T19" s="38">
        <f>(D23+17438.6*B32)</f>
        <v>125.10599879999999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1.1990199999999999E-3</v>
      </c>
      <c r="S20" s="38">
        <f t="shared" si="2"/>
        <v>24189.720686894296</v>
      </c>
      <c r="T20" s="38">
        <f>(D24+17211.7*B31)</f>
        <v>29.003958897999997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5.8508800000000001E-3</v>
      </c>
      <c r="C23" s="38">
        <f t="shared" si="3"/>
        <v>22401.758367971997</v>
      </c>
      <c r="D23" s="38">
        <v>131.07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1.2510799999999999E-3</v>
      </c>
      <c r="C24" s="38">
        <f t="shared" si="3"/>
        <v>23899.350960769894</v>
      </c>
      <c r="D24" s="38">
        <v>29.9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1.52837E-3</v>
      </c>
      <c r="S24" s="38">
        <f>(T24/R24)</f>
        <v>25680.954219200848</v>
      </c>
      <c r="T24" s="38">
        <f>(D34)</f>
        <v>39.25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1.52837E-3</v>
      </c>
      <c r="C34" s="38">
        <f>(D34/B34)</f>
        <v>25680.954219200848</v>
      </c>
      <c r="D34" s="38">
        <v>39.25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23613.117025373103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2.7862819999999996E-2</v>
      </c>
      <c r="T36" s="38">
        <f>(SUM(T5:T25))</f>
        <v>491.06980017000006</v>
      </c>
    </row>
    <row r="37" spans="2:20">
      <c r="B37">
        <f>(SUM(B5:B36))</f>
        <v>2.8592090000000004E-2</v>
      </c>
      <c r="D37" s="38">
        <f>(SUM(D5:D36))</f>
        <v>675.14836717000014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1.9983520000000001E-3</v>
      </c>
      <c r="N50" s="38">
        <f>($S$19*Params!K16)</f>
        <v>45419.758208565079</v>
      </c>
      <c r="O50" s="41">
        <f>(N50*M50)</f>
        <v>90.764664655602445</v>
      </c>
    </row>
    <row r="51" spans="12:16">
      <c r="M51">
        <f>($B$23/5)</f>
        <v>1.170176E-3</v>
      </c>
      <c r="N51" s="38">
        <f>($S$19*Params!K17)</f>
        <v>90839.516417130159</v>
      </c>
      <c r="O51" s="41">
        <f>(N51*M51)</f>
        <v>106.29822196293171</v>
      </c>
    </row>
    <row r="52" spans="12:16">
      <c r="M52">
        <f>($B$23/5)</f>
        <v>1.170176E-3</v>
      </c>
      <c r="N52" s="38">
        <f>($S$19*Params!K18)</f>
        <v>181679.03283426032</v>
      </c>
      <c r="O52" s="41">
        <f>(N52*M52)</f>
        <v>212.59644392586341</v>
      </c>
    </row>
    <row r="54" spans="12:16">
      <c r="O54" s="41">
        <f>(SUM(O49:O52))</f>
        <v>417.11493054439757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4.48372E-4</v>
      </c>
      <c r="N58" s="38">
        <f>($S$20*Params!K16)</f>
        <v>48379.441373788592</v>
      </c>
      <c r="O58" s="41">
        <f>(N58*M58)</f>
        <v>21.691986887648337</v>
      </c>
    </row>
    <row r="59" spans="12:16">
      <c r="M59">
        <f>($B$24/5)</f>
        <v>2.5021599999999999E-4</v>
      </c>
      <c r="N59" s="38">
        <f>($S$20*Params!K17)</f>
        <v>96758.882747577183</v>
      </c>
      <c r="O59" s="41">
        <f>(N59*M59)</f>
        <v>24.210620605567772</v>
      </c>
    </row>
    <row r="60" spans="12:16">
      <c r="M60">
        <f>($B$24/5)</f>
        <v>2.5021599999999999E-4</v>
      </c>
      <c r="N60" s="38">
        <f>($S$20*Params!K18)</f>
        <v>193517.76549515437</v>
      </c>
      <c r="O60" s="41">
        <f>(N60*M60)</f>
        <v>48.421241211135545</v>
      </c>
    </row>
    <row r="62" spans="12:16">
      <c r="O62" s="41">
        <f>(SUM(O57:O60))</f>
        <v>95.446262304351649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3.0567400000000003E-4</v>
      </c>
      <c r="N73" s="38">
        <f>($S$24*Params!K15)</f>
        <v>38521.431328801271</v>
      </c>
      <c r="O73" s="41">
        <f>(N73*M73)</f>
        <v>11.775</v>
      </c>
    </row>
    <row r="74" spans="12:16">
      <c r="M74">
        <f>($R$24/5)</f>
        <v>3.0567400000000003E-4</v>
      </c>
      <c r="N74" s="38">
        <f>($S$24*Params!K16)</f>
        <v>51361.908438401697</v>
      </c>
      <c r="O74" s="41">
        <f>(N74*M74)</f>
        <v>15.700000000000001</v>
      </c>
    </row>
    <row r="75" spans="12:16">
      <c r="M75">
        <f>($R$24/5)</f>
        <v>3.0567400000000003E-4</v>
      </c>
      <c r="N75" s="38">
        <f>($S$24*Params!K17)</f>
        <v>102723.81687680339</v>
      </c>
      <c r="O75" s="41">
        <f>(N75*M75)</f>
        <v>31.400000000000002</v>
      </c>
    </row>
    <row r="76" spans="12:16">
      <c r="M76">
        <f>($R$24/5)</f>
        <v>3.0567400000000003E-4</v>
      </c>
      <c r="N76" s="38">
        <f>($S$24*Params!K18)</f>
        <v>205447.63375360679</v>
      </c>
      <c r="O76" s="41">
        <f>(N76*M76)</f>
        <v>62.800000000000004</v>
      </c>
    </row>
    <row r="78" spans="12:16">
      <c r="O78" s="41">
        <f>(SUM(O73:O76))</f>
        <v>121.67500000000001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5.1889811404944561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4.6869796981735563</v>
      </c>
      <c r="K4" s="4">
        <f>(J4/D10-1)</f>
        <v>-0.25956086916689469</v>
      </c>
    </row>
    <row r="5" spans="2:16">
      <c r="B5" s="1">
        <v>0.90227999999999997</v>
      </c>
      <c r="C5" s="38">
        <f>(D5/B5)</f>
        <v>7.0155605798643439</v>
      </c>
      <c r="D5" s="38">
        <v>6.33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9.7625999999999995E-4</v>
      </c>
      <c r="C6" s="40">
        <v>0</v>
      </c>
      <c r="D6" s="26">
        <f>(B6*C6)</f>
        <v>0</v>
      </c>
      <c r="E6" s="38">
        <f>(B6*J3)</f>
        <v>5.0657947282191172E-3</v>
      </c>
      <c r="M6" t="s">
        <v>11</v>
      </c>
      <c r="N6" s="24">
        <f>($B$10/5)</f>
        <v>0.18065125199999998</v>
      </c>
      <c r="O6" s="38">
        <f>($C$5*Params!K8)</f>
        <v>9.1202287538236479</v>
      </c>
      <c r="P6" s="38">
        <f>(O6*N6)</f>
        <v>1.6475807429046416</v>
      </c>
    </row>
    <row r="7" spans="2:16">
      <c r="C7" s="38"/>
      <c r="D7" s="38"/>
      <c r="N7" s="24">
        <f>($B$10/5)</f>
        <v>0.18065125199999998</v>
      </c>
      <c r="O7" s="38">
        <f>($C$5*Params!K9)</f>
        <v>11.22489692778295</v>
      </c>
      <c r="P7" s="38">
        <f>(O7*N7)</f>
        <v>2.0277916835749434</v>
      </c>
    </row>
    <row r="8" spans="2:16">
      <c r="C8" s="38"/>
      <c r="D8" s="38"/>
      <c r="N8" s="24">
        <f>($B$10/5)</f>
        <v>0.18065125199999998</v>
      </c>
      <c r="O8" s="38">
        <f>($C$5*Params!K10)</f>
        <v>15.434233275701558</v>
      </c>
      <c r="P8" s="38">
        <f>(O8*N8)</f>
        <v>2.7882135649155475</v>
      </c>
    </row>
    <row r="9" spans="2:16">
      <c r="C9" s="38"/>
      <c r="D9" s="38"/>
      <c r="F9" t="s">
        <v>9</v>
      </c>
      <c r="G9" s="38">
        <f>(D10/B10)</f>
        <v>7.0079780017245614</v>
      </c>
      <c r="N9" s="24">
        <f>($B$10/5)</f>
        <v>0.18065125199999998</v>
      </c>
      <c r="O9" s="38">
        <f>($C$5*Params!K11)</f>
        <v>28.062242319457376</v>
      </c>
      <c r="P9" s="38">
        <f>(O9*N9)</f>
        <v>5.0694792089373584</v>
      </c>
    </row>
    <row r="10" spans="2:16">
      <c r="B10">
        <f>(SUM(B5:B9))</f>
        <v>0.90325625999999992</v>
      </c>
      <c r="C10" s="38"/>
      <c r="D10" s="38">
        <f>(SUM(D5:D9))</f>
        <v>6.33</v>
      </c>
      <c r="O10" s="38"/>
      <c r="P10" s="38"/>
    </row>
    <row r="11" spans="2:16">
      <c r="O11" s="38"/>
      <c r="P11" s="38">
        <f>(SUM(P6:P9))</f>
        <v>11.533065200332491</v>
      </c>
    </row>
  </sheetData>
  <conditionalFormatting sqref="O6:O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C5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9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T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3" spans="2:20">
      <c r="I3" t="s">
        <v>3</v>
      </c>
      <c r="J3" s="38">
        <v>77.315207975511797</v>
      </c>
      <c r="O3" s="39"/>
      <c r="P3" s="38"/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12.082161976841034</v>
      </c>
      <c r="K4" s="4">
        <f>(J4/D13-1)</f>
        <v>0.17249569994917802</v>
      </c>
      <c r="O4" s="38"/>
      <c r="P4" s="38"/>
      <c r="R4" t="s">
        <v>5</v>
      </c>
      <c r="S4" t="s">
        <v>6</v>
      </c>
      <c r="T4" t="s">
        <v>7</v>
      </c>
    </row>
    <row r="5" spans="2:20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0">
      <c r="B6" s="2">
        <v>4.8518999999999998E-4</v>
      </c>
      <c r="C6" s="40">
        <v>0</v>
      </c>
      <c r="D6" s="26">
        <f>(B6*C6)</f>
        <v>0</v>
      </c>
      <c r="E6" s="38">
        <f>(B6*J3)</f>
        <v>3.7512565757638568E-2</v>
      </c>
      <c r="M6" t="s">
        <v>11</v>
      </c>
      <c r="N6">
        <f>(SUM($B$5:$B$9)/5)</f>
        <v>3.1254296000000001E-2</v>
      </c>
      <c r="O6" s="38">
        <f>(C8)</f>
        <v>91.202314270075746</v>
      </c>
      <c r="P6" s="38">
        <f>(O6*N6)</f>
        <v>2.8504641260819712</v>
      </c>
      <c r="R6" s="2">
        <f>(B6)</f>
        <v>4.8518999999999998E-4</v>
      </c>
      <c r="S6" s="40">
        <f>(T6/R6)</f>
        <v>0</v>
      </c>
      <c r="T6" s="26">
        <f>(D6)</f>
        <v>0</v>
      </c>
    </row>
    <row r="7" spans="2:20">
      <c r="B7" s="1">
        <v>0.14485500000000001</v>
      </c>
      <c r="C7" s="38">
        <f>(D7/B7)</f>
        <v>68.808808808808806</v>
      </c>
      <c r="D7" s="38">
        <v>9.9672999999999998</v>
      </c>
      <c r="N7">
        <f>(SUM($B$5:$B$9)/5)</f>
        <v>3.1254296000000001E-2</v>
      </c>
      <c r="O7" s="38">
        <f>($C$7*Params!K9)</f>
        <v>110.09409409409409</v>
      </c>
      <c r="P7" s="38">
        <f>(O7*N7)</f>
        <v>3.4409134046686685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0">
      <c r="B8" s="1">
        <v>-3.0510700000000002E-2</v>
      </c>
      <c r="C8" s="38">
        <f>(D8/B8)</f>
        <v>91.202314270075746</v>
      </c>
      <c r="D8" s="38">
        <v>-2.7826464500000001</v>
      </c>
      <c r="N8">
        <f>(SUM($B$5:$B$9)/5)</f>
        <v>3.1254296000000001E-2</v>
      </c>
      <c r="O8" s="38">
        <f>($C$7*Params!K10)</f>
        <v>151.37937937937937</v>
      </c>
      <c r="P8" s="38">
        <f>(O8*N8)</f>
        <v>4.7312559314194189</v>
      </c>
      <c r="R8" s="1">
        <f>(B8+B9)</f>
        <v>3.3246200000000004E-3</v>
      </c>
      <c r="S8" s="38">
        <v>0</v>
      </c>
      <c r="T8" s="38">
        <f>(D8+D9)</f>
        <v>-0.16264645</v>
      </c>
    </row>
    <row r="9" spans="2:20">
      <c r="B9" s="1">
        <v>3.3835320000000002E-2</v>
      </c>
      <c r="C9" s="38">
        <f>(D9/B9)</f>
        <v>77.433876789106762</v>
      </c>
      <c r="D9" s="38">
        <v>2.62</v>
      </c>
      <c r="N9">
        <f>(SUM($B$5:$B$9)/5)</f>
        <v>3.1254296000000001E-2</v>
      </c>
      <c r="O9" s="38">
        <f>($C$7*Params!K11)</f>
        <v>275.23523523523522</v>
      </c>
      <c r="P9" s="38">
        <f>(O9*N9)</f>
        <v>8.602283511671672</v>
      </c>
      <c r="R9" s="24"/>
      <c r="S9" s="38"/>
      <c r="T9" s="38"/>
    </row>
    <row r="10" spans="2:20">
      <c r="O10" s="38"/>
      <c r="P10" s="38"/>
    </row>
    <row r="11" spans="2:20">
      <c r="O11" s="38"/>
      <c r="P11" s="38">
        <f>(SUM(P6:P9))</f>
        <v>19.624916973841732</v>
      </c>
    </row>
    <row r="12" spans="2:20">
      <c r="F12" t="s">
        <v>9</v>
      </c>
      <c r="G12" s="38">
        <f>(D13/B13)</f>
        <v>65.940717717653925</v>
      </c>
    </row>
    <row r="13" spans="2:20">
      <c r="B13">
        <f>(SUM(B5:B12))</f>
        <v>0.15627148000000002</v>
      </c>
      <c r="D13" s="38">
        <f>(SUM(D5:D12))</f>
        <v>10.304653550000001</v>
      </c>
    </row>
    <row r="19" spans="18:20">
      <c r="R19">
        <f>(SUM(R5:R18))</f>
        <v>0.15627148000000002</v>
      </c>
      <c r="T19" s="38">
        <f>(SUM(T5:T18))</f>
        <v>10.304653549999999</v>
      </c>
    </row>
  </sheetData>
  <conditionalFormatting sqref="C5 C7 O7:O9 S5 S7">
    <cfRule type="cellIs" dxfId="115" priority="13" operator="lessThan">
      <formula>$J$3</formula>
    </cfRule>
    <cfRule type="cellIs" dxfId="114" priority="14" operator="greaterThan">
      <formula>$J$3</formula>
    </cfRule>
  </conditionalFormatting>
  <conditionalFormatting sqref="O6">
    <cfRule type="cellIs" dxfId="113" priority="3" operator="lessThan">
      <formula>$J$3</formula>
    </cfRule>
    <cfRule type="cellIs" dxfId="112" priority="4" operator="greaterThan">
      <formula>$J$3</formula>
    </cfRule>
  </conditionalFormatting>
  <conditionalFormatting sqref="C9"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5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0.5738621208179927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(B15*J3)</f>
        <v>1.1100885273939551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2">
        <v>4.236881E-2</v>
      </c>
      <c r="C6" s="40">
        <v>0</v>
      </c>
      <c r="D6" s="26">
        <f>(B6*C6)</f>
        <v>0</v>
      </c>
      <c r="E6" s="38">
        <f>(B6*J3)</f>
        <v>2.4313855163134578E-2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3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5" spans="2:10">
      <c r="B15">
        <f>(SUM(B5:B14))</f>
        <v>1.9344168000000006</v>
      </c>
      <c r="D15" s="38">
        <f>(SUM(D5:D14))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8.8179542589789217E-5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29.957932506224058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4583.1559483999999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4583.1559483999999</v>
      </c>
      <c r="C18" s="40">
        <v>0</v>
      </c>
      <c r="D18" s="26">
        <f>(B18*C18)</f>
        <v>0</v>
      </c>
      <c r="E18" s="38">
        <f>(B18*J3)</f>
        <v>0.4041405951475836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5.4752587680718081</v>
      </c>
    </row>
    <row r="37" spans="2:20">
      <c r="B37">
        <f>(SUM(B5:B36))</f>
        <v>339737.8986823305</v>
      </c>
      <c r="D37" s="38">
        <f>(SUM(D5:D36))</f>
        <v>-21.780357561799917</v>
      </c>
      <c r="F37" t="s">
        <v>9</v>
      </c>
      <c r="G37" s="28">
        <f>(D37/B37)</f>
        <v>-6.4109296155285536E-5</v>
      </c>
      <c r="R37">
        <f>(SUM(R5:R36))</f>
        <v>339737.8986823305</v>
      </c>
      <c r="T37">
        <f>(SUM(T5:T36))</f>
        <v>-21.78035756179991</v>
      </c>
    </row>
  </sheetData>
  <conditionalFormatting sqref="C5:C9 C14:C16 C25:C26 C28 C30 C32 C35">
    <cfRule type="cellIs" dxfId="109" priority="13" operator="lessThan">
      <formula>$J$3</formula>
    </cfRule>
    <cfRule type="cellIs" dxfId="108" priority="14" operator="greaterThan">
      <formula>$J$3</formula>
    </cfRule>
  </conditionalFormatting>
  <conditionalFormatting sqref="N6">
    <cfRule type="cellIs" dxfId="107" priority="9" operator="lessThan">
      <formula>$J$3</formula>
    </cfRule>
    <cfRule type="cellIs" dxfId="106" priority="10" operator="greaterThan">
      <formula>$J$3</formula>
    </cfRule>
  </conditionalFormatting>
  <conditionalFormatting sqref="N9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S5:S9 S13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G37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0.6008920853883849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25.246659342408542</v>
      </c>
      <c r="K4" s="4">
        <f>(J4/D18-1)</f>
        <v>-0.35209047871076848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0.25305293000000001</v>
      </c>
      <c r="C6" s="40">
        <v>0</v>
      </c>
      <c r="D6" s="26">
        <f>(B6*C6)</f>
        <v>0</v>
      </c>
      <c r="E6" s="38">
        <f>(B6*J3)</f>
        <v>0.15205750282134101</v>
      </c>
      <c r="M6" t="s">
        <v>11</v>
      </c>
      <c r="N6" s="19">
        <f>($B$7+$R$9)/5</f>
        <v>5.6777529997777778</v>
      </c>
      <c r="O6" s="38">
        <f>($S$7*Params!K8)</f>
        <v>1.3441237905227565</v>
      </c>
      <c r="P6" s="38">
        <f>(O6*N6)</f>
        <v>7.6316028837132581</v>
      </c>
      <c r="R6" s="36">
        <f>(B6)</f>
        <v>0.25305293000000001</v>
      </c>
      <c r="S6" s="40">
        <v>0</v>
      </c>
      <c r="T6" s="26">
        <f>(D6)</f>
        <v>0</v>
      </c>
      <c r="U6" s="38">
        <f>(R6*J3)</f>
        <v>0.15205750282134101</v>
      </c>
    </row>
    <row r="7" spans="2:21">
      <c r="B7" s="19">
        <v>27.757860000000001</v>
      </c>
      <c r="C7" s="38">
        <f t="shared" ref="C7:C14" si="0">(D7/B7)</f>
        <v>1.0339413773251973</v>
      </c>
      <c r="D7" s="38">
        <v>28.7</v>
      </c>
      <c r="E7" t="s">
        <v>15</v>
      </c>
      <c r="N7" s="19">
        <f>($B$7+$R$9)/5</f>
        <v>5.6777529997777778</v>
      </c>
      <c r="O7" s="38">
        <f>($S$7*Params!K9)</f>
        <v>1.6543062037203158</v>
      </c>
      <c r="P7" s="38">
        <f>(O7*N7)</f>
        <v>9.3927420107240103</v>
      </c>
      <c r="R7" s="19">
        <f>B7</f>
        <v>27.757860000000001</v>
      </c>
      <c r="S7" s="38">
        <f>(T7/R7)</f>
        <v>1.0339413773251973</v>
      </c>
      <c r="T7" s="38">
        <f>D7</f>
        <v>28.7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5.6777529997777778</v>
      </c>
      <c r="O8" s="38">
        <f>($S$7*Params!K10)</f>
        <v>2.2746710301154343</v>
      </c>
      <c r="P8" s="38">
        <f>(O8*N8)</f>
        <v>12.915020264745515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5.6777529997777778</v>
      </c>
      <c r="O9" s="38">
        <f>($C$7*Params!K11)</f>
        <v>4.1357655093007892</v>
      </c>
      <c r="P9" s="38">
        <f>(O9*N9)</f>
        <v>23.481855026810024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53.421220185992809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0.92743209606290433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42.015296849999999</v>
      </c>
      <c r="S17" s="38"/>
      <c r="T17" s="38">
        <f>(SUM(T5:T12))</f>
        <v>38.966334824300645</v>
      </c>
    </row>
    <row r="18" spans="2:20">
      <c r="B18" s="19">
        <f>(SUM(B5:B17))</f>
        <v>42.015296850000006</v>
      </c>
      <c r="D18" s="38">
        <f>(SUM(D5:D17))</f>
        <v>38.966334824300645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9" priority="23" operator="lessThan">
      <formula>$J$3</formula>
    </cfRule>
    <cfRule type="cellIs" dxfId="98" priority="24" operator="greaterThan">
      <formula>$J$3</formula>
    </cfRule>
  </conditionalFormatting>
  <conditionalFormatting sqref="S8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0.42473481612896152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22.89317182055898</v>
      </c>
      <c r="K4" s="4">
        <f>(J4/D10-1)</f>
        <v>-0.42174357614147573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1.6511679399999999</v>
      </c>
      <c r="C6" s="40">
        <v>0</v>
      </c>
      <c r="D6" s="26">
        <f>(B6*C6)</f>
        <v>0</v>
      </c>
      <c r="E6" s="38">
        <f>(B6*J3)</f>
        <v>0.70130851139393613</v>
      </c>
      <c r="M6" t="s">
        <v>11</v>
      </c>
      <c r="N6" s="29">
        <f>($B$10/5)</f>
        <v>10.779983628</v>
      </c>
      <c r="O6" s="38">
        <f>($C$5*Params!K8)</f>
        <v>0.98505771545924514</v>
      </c>
      <c r="P6" s="38">
        <f>(O6*N6)</f>
        <v>10.618906045285746</v>
      </c>
    </row>
    <row r="7" spans="2:16">
      <c r="B7" s="36">
        <v>1.0502E-3</v>
      </c>
      <c r="C7" s="40">
        <v>0</v>
      </c>
      <c r="D7" s="26">
        <f>(B7*C7)</f>
        <v>0</v>
      </c>
      <c r="E7" s="38">
        <f>(B7*J4)</f>
        <v>2.4042409045951042E-2</v>
      </c>
      <c r="N7" s="29">
        <f>($B$10/5)</f>
        <v>10.779983628</v>
      </c>
      <c r="O7" s="38">
        <f>($C$5*Params!K9)</f>
        <v>1.2123787267190709</v>
      </c>
      <c r="P7" s="38">
        <f>(O7*N7)</f>
        <v>13.06942282496707</v>
      </c>
    </row>
    <row r="8" spans="2:16">
      <c r="N8" s="29">
        <f>($B$10/5)</f>
        <v>10.779983628</v>
      </c>
      <c r="O8" s="38">
        <f>($C$5*Params!K10)</f>
        <v>1.6670207492387226</v>
      </c>
      <c r="P8" s="38">
        <f>(O8*N8)</f>
        <v>17.970456384329722</v>
      </c>
    </row>
    <row r="9" spans="2:16">
      <c r="F9" t="s">
        <v>9</v>
      </c>
      <c r="G9" s="38">
        <f>(D10/B10)</f>
        <v>0.73450946432179498</v>
      </c>
      <c r="N9" s="29">
        <f>($B$10/5)</f>
        <v>10.779983628</v>
      </c>
      <c r="O9" s="38">
        <f>($C$5*Params!K11)</f>
        <v>3.0309468167976772</v>
      </c>
      <c r="P9" s="38">
        <f>(O9*N9)</f>
        <v>32.673557062417679</v>
      </c>
    </row>
    <row r="10" spans="2:16">
      <c r="B10" s="29">
        <f>(SUM(B5:B9))</f>
        <v>53.899918140000004</v>
      </c>
      <c r="D10" s="38">
        <f>(SUM(D5:D9))</f>
        <v>39.590000000000003</v>
      </c>
    </row>
    <row r="11" spans="2:16">
      <c r="P11" s="38">
        <f>(SUM(P6:P9))</f>
        <v>74.332342317000212</v>
      </c>
    </row>
  </sheetData>
  <conditionalFormatting sqref="C5">
    <cfRule type="cellIs" dxfId="95" priority="5" operator="lessThan">
      <formula>$J$3</formula>
    </cfRule>
    <cfRule type="cellIs" dxfId="94" priority="6" operator="greaterThan">
      <formula>$J$3</formula>
    </cfRule>
  </conditionalFormatting>
  <conditionalFormatting sqref="O6:O9">
    <cfRule type="cellIs" dxfId="93" priority="3" operator="lessThan">
      <formula>$J$3</formula>
    </cfRule>
    <cfRule type="cellIs" dxfId="92" priority="4" operator="greaterThan">
      <formula>$J$3</formula>
    </cfRule>
  </conditionalFormatting>
  <conditionalFormatting sqref="G9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G18" sqref="G1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1.2462238558938821</v>
      </c>
      <c r="N3" s="1"/>
      <c r="O3" s="53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21.192964972136952</v>
      </c>
      <c r="K4" s="4">
        <f>(J4/D19-1)</f>
        <v>-0.32504490787235352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14.90846</v>
      </c>
      <c r="C6" s="38">
        <f>(D6/B6)</f>
        <v>1.9250814638131637</v>
      </c>
      <c r="D6" s="38">
        <v>28.7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14.90846</v>
      </c>
      <c r="S6" s="38">
        <f>(T6/R6)</f>
        <v>1.9250814638131637</v>
      </c>
      <c r="T6" s="38">
        <f>D6</f>
        <v>28.7</v>
      </c>
      <c r="U6" s="38" t="str">
        <f>(E6)</f>
        <v>DCA2</v>
      </c>
    </row>
    <row r="7" spans="2:22">
      <c r="B7" s="2">
        <v>5.016371E-2</v>
      </c>
      <c r="C7" s="40">
        <v>0</v>
      </c>
      <c r="D7" s="26">
        <v>0</v>
      </c>
      <c r="E7" s="39">
        <f>B7*J3</f>
        <v>6.2515212102142489E-2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5.016371E-2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0.30407709946866873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0.31727932187638641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3.0088550540000001</v>
      </c>
      <c r="O14" s="38">
        <f>($C$6*Params!K8)</f>
        <v>2.502605902957113</v>
      </c>
      <c r="P14" s="38">
        <f>(O14*N14)</f>
        <v>7.5299784192827435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3.0088550540000001</v>
      </c>
      <c r="O15" s="38">
        <f>($C$6*Params!K9)</f>
        <v>3.0801303421010622</v>
      </c>
      <c r="P15" s="38">
        <f>(O15*N15)</f>
        <v>9.2676657468095307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3.0088550540000001</v>
      </c>
      <c r="O16" s="38">
        <f>($C$6*Params!K10)</f>
        <v>4.2351792203889609</v>
      </c>
      <c r="P16" s="38">
        <f>(O16*N16)</f>
        <v>12.743040401863105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3.0088550540000001</v>
      </c>
      <c r="O17" s="38">
        <f>($C$6*Params!K11)</f>
        <v>7.7003258552526548</v>
      </c>
      <c r="P17" s="38">
        <f>(O17*N17)</f>
        <v>23.169164367023825</v>
      </c>
      <c r="S17" s="38"/>
      <c r="T17" s="38"/>
    </row>
    <row r="18" spans="2:20">
      <c r="C18" s="38"/>
      <c r="D18" s="38"/>
      <c r="F18" t="s">
        <v>9</v>
      </c>
      <c r="G18" s="38">
        <f>(D19/B19)</f>
        <v>1.8463804043102148</v>
      </c>
      <c r="O18" s="38"/>
      <c r="P18" s="38"/>
      <c r="S18" s="38"/>
      <c r="T18" s="38"/>
    </row>
    <row r="19" spans="2:20">
      <c r="B19" s="1">
        <f>(SUM(B5:B18))</f>
        <v>17.005744892385984</v>
      </c>
      <c r="C19" s="38"/>
      <c r="D19" s="38">
        <f>(SUM(D5:D18))</f>
        <v>31.399074130000002</v>
      </c>
      <c r="O19" s="38"/>
      <c r="P19" s="38">
        <f>(SUM(P14:P17))</f>
        <v>52.709848934979206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17.005744892385984</v>
      </c>
      <c r="S22" s="38"/>
      <c r="T22" s="38">
        <f>(SUM(T5:T21))</f>
        <v>31.399074130000002</v>
      </c>
    </row>
  </sheetData>
  <conditionalFormatting sqref="C5:C6 C12:C14 C16:C17 O6:O9 O14:O17 S5:S6">
    <cfRule type="cellIs" dxfId="89" priority="17" operator="lessThan">
      <formula>$J$3</formula>
    </cfRule>
    <cfRule type="cellIs" dxfId="88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7.128287005467703E-6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3.1345306265559398</v>
      </c>
      <c r="K4" s="4">
        <f>(J4/D13-1)</f>
        <v>-0.37683287742426641</v>
      </c>
    </row>
    <row r="5" spans="2:16">
      <c r="B5" s="22">
        <v>439531.68</v>
      </c>
      <c r="C5" s="54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199.58</v>
      </c>
      <c r="C6" s="40">
        <v>0</v>
      </c>
      <c r="D6" s="26">
        <f>(B6*C6)</f>
        <v>0</v>
      </c>
      <c r="E6" s="38">
        <f>(B6*J3)</f>
        <v>1.4226635205512443E-3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1.1438804691756506E-5</v>
      </c>
    </row>
    <row r="13" spans="2:16">
      <c r="B13">
        <f>(SUM(B5:B12))</f>
        <v>439731.26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7" priority="5" operator="lessThan">
      <formula>$J$3</formula>
    </cfRule>
    <cfRule type="cellIs" dxfId="86" priority="6" operator="greaterThan">
      <formula>$J$3</formula>
    </cfRule>
  </conditionalFormatting>
  <conditionalFormatting sqref="J3">
    <cfRule type="cellIs" dxfId="85" priority="3" operator="lessThan">
      <formula>$J$3</formula>
    </cfRule>
    <cfRule type="cellIs" dxfId="84" priority="4" operator="greaterThan">
      <formula>$J$3</formula>
    </cfRule>
  </conditionalFormatting>
  <conditionalFormatting sqref="O6:O9"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B18" sqref="B18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15.55538690322869</v>
      </c>
      <c r="M3" t="s">
        <v>4</v>
      </c>
      <c r="N3" s="24">
        <f>(INDEX(N5:N26,MATCH(MAX(O6,O23,O14),O5:O26,0))/0.9)</f>
        <v>7.9377777777777783E-2</v>
      </c>
      <c r="O3" s="39">
        <f>(MAX(O14,O23,O6)*0.85)</f>
        <v>13.838717693169091</v>
      </c>
      <c r="P3" s="38">
        <f>(O3*N3)</f>
        <v>1.0984866577777777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(B33*J3)</f>
        <v>110.0957575737559</v>
      </c>
      <c r="K4" s="4">
        <f>(J4/D33-1)</f>
        <v>-0.39627870893401118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0.10553971600000001</v>
      </c>
      <c r="O7" s="38">
        <f>(C29)</f>
        <v>22.114333333333335</v>
      </c>
      <c r="P7" s="38">
        <f>(O7*N7)</f>
        <v>2.3339404595293334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0.10553971600000001</v>
      </c>
      <c r="O8" s="38">
        <f>($C$16*Params!K10)</f>
        <v>28.255152590055655</v>
      </c>
      <c r="P8" s="38">
        <f>(O8*N8)</f>
        <v>2.9820407798911384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0.10553971600000001</v>
      </c>
      <c r="O9" s="38">
        <f>($C$16*Params!K11)</f>
        <v>51.373004709192095</v>
      </c>
      <c r="P9" s="38">
        <f>(O9*N9)</f>
        <v>5.4218923270747963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12.330478632441654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3.2666312496780245E-2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83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4.8267499999999997</v>
      </c>
      <c r="S13" s="38">
        <f>(T13/R13)</f>
        <v>19.34793121665717</v>
      </c>
      <c r="T13" s="38">
        <f>(D17+11.97*B21)</f>
        <v>93.387626999999995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9.5836940930822456E-2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2.9230300000000001E-2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8.2097909890123336E-3</v>
      </c>
      <c r="N15" s="24">
        <f>(2*($R$13+N14+$R$21)/5-N14)</f>
        <v>1.777101048</v>
      </c>
      <c r="O15" s="38">
        <f>($S$13*Params!K9)</f>
        <v>30.956689946651473</v>
      </c>
      <c r="P15" s="38">
        <f>(O15*N15)</f>
        <v>55.013166146805396</v>
      </c>
      <c r="R15" s="24">
        <f>B19+B22</f>
        <v>1.39927</v>
      </c>
      <c r="S15" s="38">
        <f>(T15/R15)</f>
        <v>19.86739942970263</v>
      </c>
      <c r="T15" s="38">
        <f>(D19+12.6*B22)</f>
        <v>27.799855999999998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1.029000524</v>
      </c>
      <c r="O16" s="38">
        <f>($S$13*Params!K10)</f>
        <v>42.565448676645779</v>
      </c>
      <c r="P16" s="38">
        <f>(O16*N16)</f>
        <v>43.79986899256361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5.1076499999999996</v>
      </c>
      <c r="C17" s="38">
        <f>(D17/B17)</f>
        <v>18.942174972834867</v>
      </c>
      <c r="D17" s="38">
        <v>96.75</v>
      </c>
      <c r="E17" t="s">
        <v>10</v>
      </c>
      <c r="N17" s="24">
        <f>(($R$13+N14+$R$21)/5)</f>
        <v>1.029000524</v>
      </c>
      <c r="O17" s="38">
        <f>($S$13*Params!K11)</f>
        <v>77.391724866628678</v>
      </c>
      <c r="P17" s="38">
        <f>(O17*N17)</f>
        <v>79.636125441024731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2.9230300000000001E-2</v>
      </c>
      <c r="C18" s="40">
        <v>0</v>
      </c>
      <c r="D18" s="26">
        <v>0</v>
      </c>
      <c r="E18" s="39">
        <f>B18*J3</f>
        <v>0.45468862579744562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1.47071</v>
      </c>
      <c r="C19" s="38">
        <f t="shared" ref="C19:C31" si="1">(D19/B19)</f>
        <v>19.514384208987497</v>
      </c>
      <c r="D19" s="38">
        <v>28.7</v>
      </c>
      <c r="E19" t="s">
        <v>15</v>
      </c>
      <c r="O19" s="38"/>
      <c r="P19" s="38">
        <f>(SUM(P14:P17))</f>
        <v>182.65136058039371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84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(B28+B25+B29+B30)</f>
        <v>2.2895579999999999E-2</v>
      </c>
      <c r="S20" s="38">
        <v>0</v>
      </c>
      <c r="T20" s="38">
        <f>(D28+D25+D29+D30)</f>
        <v>-0.24566200000000027</v>
      </c>
      <c r="U20" t="s">
        <v>85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</f>
        <v>3.7352620000000003E-2</v>
      </c>
      <c r="S21" s="38">
        <v>0</v>
      </c>
      <c r="T21" s="38">
        <f>D31+D24</f>
        <v>-0.32399999999999984</v>
      </c>
      <c r="U21" t="s">
        <v>86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S23" s="38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0.51939777200000004</v>
      </c>
      <c r="O24" s="38">
        <f>($S$15*Params!K9)</f>
        <v>31.787839087524208</v>
      </c>
      <c r="P24" s="38">
        <f>(O24*N24)</f>
        <v>16.510532798754589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0.29541888599999999</v>
      </c>
      <c r="O25" s="38">
        <f>($S$15*Params!K10)</f>
        <v>43.708278745345787</v>
      </c>
      <c r="P25" s="38">
        <f>(O25*N25)</f>
        <v>12.912251015927529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0.29541888599999999</v>
      </c>
      <c r="O26" s="38">
        <f>($S$15*Params!K11)</f>
        <v>79.469597718810519</v>
      </c>
      <c r="P26" s="38">
        <f>(O26*N26)</f>
        <v>23.476820028959143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54.062707363641266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C32" s="38"/>
      <c r="D32" s="38"/>
      <c r="E32" s="38"/>
      <c r="S32" s="38"/>
      <c r="T32" s="38"/>
    </row>
    <row r="33" spans="2:23">
      <c r="B33" s="24">
        <f>(SUM(B5:B32))</f>
        <v>7.077661151</v>
      </c>
      <c r="C33" s="38"/>
      <c r="D33" s="38">
        <f>(SUM(D5:D32))</f>
        <v>182.36189314999999</v>
      </c>
      <c r="E33" s="38"/>
      <c r="F33" t="s">
        <v>9</v>
      </c>
      <c r="G33" s="38">
        <f>(D33/B33)</f>
        <v>25.765841181056562</v>
      </c>
      <c r="S33" s="38"/>
      <c r="T33" s="38"/>
    </row>
    <row r="34" spans="2:23">
      <c r="M34" s="24"/>
      <c r="S34" s="38"/>
      <c r="T34" s="38"/>
    </row>
    <row r="35" spans="2:23">
      <c r="R35" s="24">
        <f>(SUM(R5:R34))</f>
        <v>7.077661151</v>
      </c>
      <c r="S35" s="38"/>
      <c r="T35" s="38">
        <f>(SUM(T5:T34))</f>
        <v>182.35953358999998</v>
      </c>
      <c r="V35" t="s">
        <v>9</v>
      </c>
      <c r="W35" s="38">
        <f>(T35/R35)</f>
        <v>25.76550779973897</v>
      </c>
    </row>
    <row r="37" spans="2:23">
      <c r="N37" s="24"/>
    </row>
  </sheetData>
  <conditionalFormatting sqref="C5 C8:C10 S5">
    <cfRule type="cellIs" dxfId="81" priority="85" operator="lessThan">
      <formula>$J$3</formula>
    </cfRule>
    <cfRule type="cellIs" dxfId="80" priority="86" operator="greaterThan">
      <formula>$J$3</formula>
    </cfRule>
  </conditionalFormatting>
  <conditionalFormatting sqref="C16:C17">
    <cfRule type="cellIs" dxfId="79" priority="69" operator="lessThan">
      <formula>$J$3</formula>
    </cfRule>
    <cfRule type="cellIs" dxfId="78" priority="70" operator="greaterThan">
      <formula>$J$3</formula>
    </cfRule>
    <cfRule type="cellIs" dxfId="77" priority="71" operator="lessThan">
      <formula>$J$3</formula>
    </cfRule>
    <cfRule type="cellIs" dxfId="76" priority="72" operator="greaterThan">
      <formula>$J$3</formula>
    </cfRule>
    <cfRule type="cellIs" dxfId="75" priority="79" operator="lessThan">
      <formula>$J$3</formula>
    </cfRule>
    <cfRule type="cellIs" dxfId="74" priority="80" operator="greaterThan">
      <formula>$J$3</formula>
    </cfRule>
  </conditionalFormatting>
  <conditionalFormatting sqref="C19:C20 G33">
    <cfRule type="cellIs" dxfId="73" priority="63" operator="lessThan">
      <formula>$J$3</formula>
    </cfRule>
    <cfRule type="cellIs" dxfId="72" priority="64" operator="greaterThan">
      <formula>$J$3</formula>
    </cfRule>
    <cfRule type="cellIs" dxfId="71" priority="65" operator="lessThan">
      <formula>$J$3</formula>
    </cfRule>
    <cfRule type="cellIs" dxfId="70" priority="66" operator="greaterThan">
      <formula>$J$3</formula>
    </cfRule>
    <cfRule type="cellIs" dxfId="69" priority="67" operator="lessThan">
      <formula>$J$3</formula>
    </cfRule>
    <cfRule type="cellIs" dxfId="68" priority="68" operator="greaterThan">
      <formula>$J$3</formula>
    </cfRule>
    <cfRule type="cellIs" dxfId="67" priority="77" operator="lessThan">
      <formula>$J$3</formula>
    </cfRule>
    <cfRule type="cellIs" dxfId="66" priority="78" operator="greaterThan">
      <formula>$J$3</formula>
    </cfRule>
  </conditionalFormatting>
  <conditionalFormatting sqref="C27:C28 C30:C31">
    <cfRule type="cellIs" dxfId="65" priority="55" operator="lessThan">
      <formula>$J$3</formula>
    </cfRule>
    <cfRule type="cellIs" dxfId="64" priority="56" operator="greaterThan">
      <formula>$J$3</formula>
    </cfRule>
    <cfRule type="cellIs" dxfId="63" priority="57" operator="lessThan">
      <formula>$J$3</formula>
    </cfRule>
    <cfRule type="cellIs" dxfId="62" priority="58" operator="greaterThan">
      <formula>$J$3</formula>
    </cfRule>
    <cfRule type="cellIs" dxfId="61" priority="59" operator="lessThan">
      <formula>$J$3</formula>
    </cfRule>
    <cfRule type="cellIs" dxfId="60" priority="60" operator="greaterThan">
      <formula>$J$3</formula>
    </cfRule>
    <cfRule type="cellIs" dxfId="59" priority="61" operator="lessThan">
      <formula>$J$3</formula>
    </cfRule>
    <cfRule type="cellIs" dxfId="58" priority="62" operator="greaterThan">
      <formula>$J$3</formula>
    </cfRule>
    <cfRule type="cellIs" dxfId="57" priority="75" operator="lessThan">
      <formula>$J$3</formula>
    </cfRule>
    <cfRule type="cellIs" dxfId="56" priority="76" operator="greaterThan">
      <formula>$J$3</formula>
    </cfRule>
  </conditionalFormatting>
  <conditionalFormatting sqref="O7:O9 O15:O17 O24:O26 S12:S13 S15:S16">
    <cfRule type="cellIs" dxfId="55" priority="49" operator="lessThan">
      <formula>$J$3</formula>
    </cfRule>
    <cfRule type="cellIs" dxfId="54" priority="50" operator="greaterThan">
      <formula>$J$3</formula>
    </cfRule>
    <cfRule type="cellIs" dxfId="53" priority="51" operator="lessThan">
      <formula>$J$3</formula>
    </cfRule>
    <cfRule type="cellIs" dxfId="52" priority="52" operator="greaterThan">
      <formula>$J$3</formula>
    </cfRule>
  </conditionalFormatting>
  <conditionalFormatting sqref="O3">
    <cfRule type="cellIs" dxfId="51" priority="31" operator="greaterThan">
      <formula>$J$3</formula>
    </cfRule>
    <cfRule type="cellIs" dxfId="50" priority="32" operator="lessThan">
      <formula>$J$3</formula>
    </cfRule>
  </conditionalFormatting>
  <conditionalFormatting sqref="W35">
    <cfRule type="cellIs" dxfId="49" priority="1" operator="lessThan">
      <formula>$J$3</formula>
    </cfRule>
    <cfRule type="cellIs" dxfId="48" priority="2" operator="greaterThan">
      <formula>$J$3</formula>
    </cfRule>
    <cfRule type="cellIs" dxfId="47" priority="3" operator="lessThan">
      <formula>$J$3</formula>
    </cfRule>
    <cfRule type="cellIs" dxfId="46" priority="4" operator="greaterThan">
      <formula>$J$3</formula>
    </cfRule>
    <cfRule type="cellIs" dxfId="45" priority="5" operator="lessThan">
      <formula>$J$3</formula>
    </cfRule>
    <cfRule type="cellIs" dxfId="44" priority="6" operator="greaterThan">
      <formula>$J$3</formula>
    </cfRule>
    <cfRule type="cellIs" dxfId="43" priority="7" operator="lessThan">
      <formula>$J$3</formula>
    </cfRule>
    <cfRule type="cellIs" dxfId="42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6.9996552885066746E-2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0.64749330524628523</v>
      </c>
      <c r="K4" s="4">
        <f>(J4/D13-1)</f>
        <v>0.29498661049257047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0.14910151999999999</v>
      </c>
      <c r="C6" s="40">
        <v>0</v>
      </c>
      <c r="D6" s="26">
        <f>(B6*C6)</f>
        <v>0</v>
      </c>
      <c r="E6" s="38">
        <f>(B6*J3)</f>
        <v>1.0436592429923836E-2</v>
      </c>
      <c r="G6" s="38"/>
      <c r="M6" t="s">
        <v>11</v>
      </c>
      <c r="N6" s="19">
        <f>($B$13/5)</f>
        <v>1.8500719780000001</v>
      </c>
      <c r="O6" s="35">
        <f>($C$5*Params!K8)</f>
        <v>7.1418695478700056E-2</v>
      </c>
      <c r="P6" s="38">
        <f>(O6*N6)</f>
        <v>0.13212972721045826</v>
      </c>
      <c r="Q6" s="38">
        <f>N6*$J$3</f>
        <v>0.12949866104925706</v>
      </c>
    </row>
    <row r="7" spans="2:17">
      <c r="C7" s="38"/>
      <c r="D7" s="38"/>
      <c r="E7" s="38"/>
      <c r="G7" s="38"/>
      <c r="N7" s="19">
        <f>($B$13/5)</f>
        <v>1.8500719780000001</v>
      </c>
      <c r="O7" s="35">
        <f>($C$5*Params!K9)</f>
        <v>8.7899932896861599E-2</v>
      </c>
      <c r="P7" s="38">
        <f>(O7*N7)</f>
        <v>0.16262120272056402</v>
      </c>
      <c r="Q7" s="38"/>
    </row>
    <row r="8" spans="2:17">
      <c r="C8" s="38"/>
      <c r="D8" s="38"/>
      <c r="E8" s="38"/>
      <c r="G8" s="38"/>
      <c r="N8" s="19">
        <f>($B$13/5)</f>
        <v>1.8500719780000001</v>
      </c>
      <c r="O8" s="35">
        <f>($C$5*Params!K10)</f>
        <v>0.12086240773318471</v>
      </c>
      <c r="P8" s="38">
        <f>(O8*N8)</f>
        <v>0.22360415374077555</v>
      </c>
      <c r="Q8" s="38"/>
    </row>
    <row r="9" spans="2:17">
      <c r="C9" s="38"/>
      <c r="D9" s="38"/>
      <c r="E9" s="38"/>
      <c r="G9" s="38"/>
      <c r="N9" s="19">
        <f>($B$13/5)</f>
        <v>1.8500719780000001</v>
      </c>
      <c r="O9" s="35">
        <f>($C$5*Params!K11)</f>
        <v>0.219749832242154</v>
      </c>
      <c r="P9" s="38">
        <f>(O9*N9)</f>
        <v>0.40655300680141004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0.92490809047320788</v>
      </c>
    </row>
    <row r="12" spans="2:17">
      <c r="C12" s="38"/>
      <c r="D12" s="38"/>
      <c r="E12" s="38"/>
      <c r="F12" t="s">
        <v>9</v>
      </c>
      <c r="G12" s="38">
        <f>(D13/B13)</f>
        <v>5.4051951053333554E-2</v>
      </c>
    </row>
    <row r="13" spans="2:17">
      <c r="B13">
        <f>(SUM(B5:B12))</f>
        <v>9.2503598900000004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1" priority="7" operator="lessThan">
      <formula>$J$3</formula>
    </cfRule>
    <cfRule type="cellIs" dxfId="40" priority="8" operator="greaterThan">
      <formula>$J$3</formula>
    </cfRule>
  </conditionalFormatting>
  <conditionalFormatting sqref="O6:O9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1" operator="lessThan">
      <formula>$J$3</formula>
    </cfRule>
    <cfRule type="cellIs" dxfId="3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29"/>
  <sheetViews>
    <sheetView zoomScale="85" zoomScaleNormal="85" workbookViewId="0">
      <selection activeCell="Y3" sqref="Y3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(C229)</f>
        <v>59.4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4.4957297814933748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6.4826041611496228</v>
      </c>
      <c r="K4" s="4">
        <f>(J4/D10-1)</f>
        <v>-0.21422979864853053</v>
      </c>
      <c r="O4" s="38"/>
      <c r="P4" s="38"/>
    </row>
    <row r="5" spans="2:16">
      <c r="B5" s="1">
        <v>1.44085</v>
      </c>
      <c r="C5" s="38">
        <f>(D5/B5)</f>
        <v>5.7257868619217822</v>
      </c>
      <c r="D5" s="38">
        <v>8.25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1.09702E-3</v>
      </c>
      <c r="C6" s="40">
        <v>0</v>
      </c>
      <c r="D6" s="40">
        <f>(B6*C6)</f>
        <v>0</v>
      </c>
      <c r="E6" s="38">
        <f>(B6*J3)</f>
        <v>4.9319054848938615E-3</v>
      </c>
      <c r="G6" s="38"/>
      <c r="H6" s="38"/>
      <c r="J6" s="38"/>
      <c r="M6" t="s">
        <v>11</v>
      </c>
      <c r="N6" s="1">
        <f>($B$5/5)</f>
        <v>0.28816999999999998</v>
      </c>
      <c r="O6" s="35">
        <f>($C$5*Params!K8)</f>
        <v>7.4435229204983173</v>
      </c>
      <c r="P6" s="38">
        <f>(O6*N6)</f>
        <v>2.145</v>
      </c>
    </row>
    <row r="7" spans="2:16">
      <c r="C7" s="38"/>
      <c r="D7" s="38"/>
      <c r="E7" s="38"/>
      <c r="G7" s="38"/>
      <c r="H7" s="38"/>
      <c r="J7" s="38"/>
      <c r="N7" s="1">
        <f>($B$5/5)</f>
        <v>0.28816999999999998</v>
      </c>
      <c r="O7" s="35">
        <f>($C$5*Params!K9)</f>
        <v>9.1612589790748515</v>
      </c>
      <c r="P7" s="38">
        <f>(O7*N7)</f>
        <v>2.6399999999999997</v>
      </c>
    </row>
    <row r="8" spans="2:16">
      <c r="C8" s="38"/>
      <c r="D8" s="38"/>
      <c r="E8" s="38"/>
      <c r="G8" s="38"/>
      <c r="H8" s="38"/>
      <c r="J8" s="38"/>
      <c r="N8" s="1">
        <f>($B$5/5)</f>
        <v>0.28816999999999998</v>
      </c>
      <c r="O8" s="35">
        <f>($C$5*Params!K10)</f>
        <v>12.596731096227922</v>
      </c>
      <c r="P8" s="38">
        <f>(O8*N8)</f>
        <v>3.63</v>
      </c>
    </row>
    <row r="9" spans="2:16">
      <c r="C9" s="38"/>
      <c r="D9" s="38"/>
      <c r="E9" s="38"/>
      <c r="F9" t="s">
        <v>9</v>
      </c>
      <c r="G9" s="38">
        <f>(D10/B10)</f>
        <v>5.7214307360613015</v>
      </c>
      <c r="H9" s="38"/>
      <c r="J9" s="38"/>
      <c r="N9" s="1">
        <f>($B$5/5)</f>
        <v>0.28816999999999998</v>
      </c>
      <c r="O9" s="35">
        <f>($C$5*Params!K11)</f>
        <v>22.903147447687129</v>
      </c>
      <c r="P9" s="38">
        <f>(O9*N9)</f>
        <v>6.6</v>
      </c>
    </row>
    <row r="10" spans="2:16">
      <c r="B10" s="1">
        <f>(SUM(B5:B9))</f>
        <v>1.44194702</v>
      </c>
      <c r="C10" s="38"/>
      <c r="D10" s="38">
        <f>(SUM(D5:D9))</f>
        <v>8.25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15.014999999999999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5" priority="5" operator="lessThan">
      <formula>$J$3</formula>
    </cfRule>
    <cfRule type="cellIs" dxfId="34" priority="6" operator="greaterThan">
      <formula>$J$3</formula>
    </cfRule>
  </conditionalFormatting>
  <conditionalFormatting sqref="O6:O9">
    <cfRule type="cellIs" dxfId="33" priority="3" operator="lessThan">
      <formula>$J$3</formula>
    </cfRule>
    <cfRule type="cellIs" dxfId="32" priority="4" operator="greaterThan">
      <formula>$J$3</formula>
    </cfRule>
  </conditionalFormatting>
  <conditionalFormatting sqref="G9"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17"/>
  <sheetViews>
    <sheetView workbookViewId="0">
      <selection activeCell="J10" sqref="J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0.49042001915661187</v>
      </c>
      <c r="M3" t="s">
        <v>4</v>
      </c>
      <c r="N3" s="19">
        <f>(INDEX(N5:N13,MATCH(MAX(O6),O5:O13,0))/0.9)</f>
        <v>11.955555555555556</v>
      </c>
      <c r="O3" s="39">
        <f>(MAX(O6)*0.85)</f>
        <v>0.39914430817843866</v>
      </c>
      <c r="P3" s="38">
        <f>(O3*N3)</f>
        <v>4.7719919511111115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21.250405926043378</v>
      </c>
      <c r="K4" s="4">
        <f>(J4/D13-1)</f>
        <v>0.51277483447479666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54.091032779999999</v>
      </c>
      <c r="S5" s="38">
        <f>(T5/R5)</f>
        <v>0.35310843624827531</v>
      </c>
      <c r="T5" s="38">
        <f>(SUM(D5:D7))</f>
        <v>19.100000000000001</v>
      </c>
    </row>
    <row r="6" spans="2:20">
      <c r="B6" s="20">
        <v>0.51602130999999996</v>
      </c>
      <c r="C6" s="40">
        <v>0</v>
      </c>
      <c r="D6" s="40">
        <f>(B6*C6)</f>
        <v>0</v>
      </c>
      <c r="E6" s="38">
        <f>(B6*J3)</f>
        <v>0.25306718073541995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(2*SUM(B$5:B$7)/5-N6)</f>
        <v>10.876413112</v>
      </c>
      <c r="O7" s="38">
        <f>($C$5*Params!K9)</f>
        <v>0.57106869288593487</v>
      </c>
      <c r="P7" s="38">
        <f>(O7*N7)</f>
        <v>6.2111790191572833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(SUM(B$5:B$7)/5)</f>
        <v>10.818206556</v>
      </c>
      <c r="O8" s="38">
        <f>($C$5*Params!K10)</f>
        <v>0.78521945271816052</v>
      </c>
      <c r="P8" s="38">
        <f>(O8*N8)</f>
        <v>8.4946662312943353</v>
      </c>
    </row>
    <row r="9" spans="2:20">
      <c r="N9" s="19">
        <f>(SUM(B$5:B$7)/5)</f>
        <v>10.818206556</v>
      </c>
      <c r="O9" s="38">
        <f>($C$5*Params!K11)</f>
        <v>1.4276717322148371</v>
      </c>
      <c r="P9" s="38">
        <f>(O9*N9)</f>
        <v>15.444847693262426</v>
      </c>
    </row>
    <row r="11" spans="2:20">
      <c r="P11" s="38">
        <f>(SUM(P6:P9))</f>
        <v>35.203390303714045</v>
      </c>
    </row>
    <row r="12" spans="2:20">
      <c r="F12" t="s">
        <v>9</v>
      </c>
      <c r="G12" s="38">
        <f>(D13/B13)</f>
        <v>0.32418573338237433</v>
      </c>
    </row>
    <row r="13" spans="2:20">
      <c r="B13">
        <f>(SUM(B5:B12))</f>
        <v>43.331032780000001</v>
      </c>
      <c r="D13" s="38">
        <f>(SUM(D5:D12))</f>
        <v>14.047302640000002</v>
      </c>
    </row>
    <row r="17" spans="18:20">
      <c r="R17">
        <f>(SUM(R5:R16))</f>
        <v>43.331032780000001</v>
      </c>
      <c r="T17" s="38">
        <f>(SUM(T5:T16))</f>
        <v>14.047302640000002</v>
      </c>
    </row>
  </sheetData>
  <conditionalFormatting sqref="C5 C7 G12 O7:O9 S5">
    <cfRule type="cellIs" dxfId="29" priority="11" operator="lessThan">
      <formula>$J$3</formula>
    </cfRule>
    <cfRule type="cellIs" dxfId="28" priority="12" operator="greaterThan">
      <formula>$J$3</formula>
    </cfRule>
  </conditionalFormatting>
  <conditionalFormatting sqref="O3">
    <cfRule type="cellIs" dxfId="27" priority="5" operator="greaterThan">
      <formula>$J$3</formula>
    </cfRule>
    <cfRule type="cellIs" dxfId="26" priority="6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9.9838797719895234E-2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4.0819079189186827</v>
      </c>
      <c r="K4" s="4">
        <f>(J4/D11-1)</f>
        <v>1.4120275072585127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H24" sqref="H24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0.81189104016762892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2.3742283946919605</v>
      </c>
      <c r="K4" s="4">
        <f>(J4/D10-1)</f>
        <v>-0.20859053510267989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2.8705362187965949E-3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1.720599409546679</v>
      </c>
      <c r="K4" s="4">
        <f>(J4/D10-1)</f>
        <v>-0.4264668634844403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L27" sqref="L27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E39" sqref="E39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0.16210273105440859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0.98620059518881098</v>
      </c>
      <c r="K4" s="4">
        <f>(J4/D9-1)</f>
        <v>-0.96583702740815103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548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1.6581322092730289E-3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0.85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5.2840631153473669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-42.303999999999931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-263.66993688465254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-187.39993688465253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548</v>
      </c>
      <c r="E34">
        <f t="shared" ref="E34:E40" si="1">C34*D34</f>
        <v>3427.1919999999996</v>
      </c>
      <c r="F34" s="29">
        <f t="shared" ref="F34:F40" si="2">E34*$N$5</f>
        <v>2913.1131999999993</v>
      </c>
      <c r="G34" s="38">
        <v>3.5</v>
      </c>
      <c r="H34" s="30">
        <f>G50</f>
        <v>1.5615590400000001</v>
      </c>
      <c r="I34" s="39">
        <f t="shared" ref="I34:I41" si="3">((F34-H34*D34)*$J$3-G34)</f>
        <v>-8.8593868637775852E-2</v>
      </c>
      <c r="J34">
        <v>1</v>
      </c>
      <c r="K34" s="44">
        <f t="shared" ref="K34:K40" si="4">I34*J34</f>
        <v>-8.8593868637775852E-2</v>
      </c>
      <c r="L34" s="31">
        <v>31.51</v>
      </c>
      <c r="M34" s="31">
        <f t="shared" ref="M34:M40" si="5">L34*J34</f>
        <v>31.51</v>
      </c>
    </row>
    <row r="35" spans="2:16">
      <c r="B35" s="8" t="s">
        <v>42</v>
      </c>
      <c r="C35">
        <v>0.96599999999999997</v>
      </c>
      <c r="D35">
        <f>$H$2</f>
        <v>548</v>
      </c>
      <c r="E35">
        <f t="shared" si="1"/>
        <v>529.36799999999994</v>
      </c>
      <c r="F35" s="29">
        <f t="shared" si="2"/>
        <v>449.96279999999996</v>
      </c>
      <c r="G35" s="38">
        <v>3.5</v>
      </c>
      <c r="H35" s="30">
        <f>G51</f>
        <v>0.21337130135885166</v>
      </c>
      <c r="I35" s="39">
        <f t="shared" si="3"/>
        <v>-2.9477833977153747</v>
      </c>
      <c r="J35">
        <v>1</v>
      </c>
      <c r="K35" s="44">
        <f t="shared" si="4"/>
        <v>-2.9477833977153747</v>
      </c>
      <c r="L35" s="31">
        <v>4.1500000000000004</v>
      </c>
      <c r="M35" s="31">
        <f t="shared" si="5"/>
        <v>4.1500000000000004</v>
      </c>
    </row>
    <row r="36" spans="2:16">
      <c r="B36" s="8" t="s">
        <v>44</v>
      </c>
      <c r="C36">
        <v>0.85099999999999998</v>
      </c>
      <c r="D36">
        <f>$H$2</f>
        <v>548</v>
      </c>
      <c r="E36">
        <f t="shared" si="1"/>
        <v>466.34800000000001</v>
      </c>
      <c r="F36" s="29">
        <f t="shared" si="2"/>
        <v>396.39580000000001</v>
      </c>
      <c r="G36" s="38">
        <v>3.5</v>
      </c>
      <c r="H36" s="30">
        <f>G52</f>
        <v>0.18479602162162162</v>
      </c>
      <c r="I36" s="39">
        <f t="shared" si="3"/>
        <v>-3.0106394535062369</v>
      </c>
      <c r="J36">
        <v>1</v>
      </c>
      <c r="K36" s="44">
        <f t="shared" si="4"/>
        <v>-3.0106394535062369</v>
      </c>
      <c r="L36" s="31">
        <v>3.51</v>
      </c>
      <c r="M36" s="31">
        <f t="shared" si="5"/>
        <v>3.51</v>
      </c>
    </row>
    <row r="37" spans="2:16">
      <c r="B37" s="8" t="s">
        <v>44</v>
      </c>
      <c r="C37">
        <v>0.85099999999999998</v>
      </c>
      <c r="D37">
        <f>$H$2-34</f>
        <v>514</v>
      </c>
      <c r="E37">
        <f t="shared" si="1"/>
        <v>437.41399999999999</v>
      </c>
      <c r="F37" s="29">
        <f t="shared" si="2"/>
        <v>371.80189999999999</v>
      </c>
      <c r="G37" s="38">
        <v>0</v>
      </c>
      <c r="H37" s="30">
        <f>G52</f>
        <v>0.18479602162162162</v>
      </c>
      <c r="I37" s="39">
        <f t="shared" si="3"/>
        <v>0.45899876076239832</v>
      </c>
      <c r="J37">
        <v>3</v>
      </c>
      <c r="K37" s="44">
        <f t="shared" si="4"/>
        <v>1.3769962822871951</v>
      </c>
      <c r="L37" s="31">
        <f>L36</f>
        <v>3.51</v>
      </c>
      <c r="M37" s="31">
        <f t="shared" si="5"/>
        <v>10.53</v>
      </c>
    </row>
    <row r="38" spans="2:16">
      <c r="B38" s="8" t="s">
        <v>44</v>
      </c>
      <c r="C38">
        <v>0.85099999999999998</v>
      </c>
      <c r="D38">
        <f>$H$2-34-58</f>
        <v>456</v>
      </c>
      <c r="E38">
        <f t="shared" si="1"/>
        <v>388.05599999999998</v>
      </c>
      <c r="F38" s="29">
        <f t="shared" si="2"/>
        <v>329.8476</v>
      </c>
      <c r="G38" s="38">
        <v>0</v>
      </c>
      <c r="H38" s="30">
        <f>H37</f>
        <v>0.18479602162162162</v>
      </c>
      <c r="I38" s="39">
        <f t="shared" si="3"/>
        <v>0.40720512627948174</v>
      </c>
      <c r="J38">
        <v>1</v>
      </c>
      <c r="K38" s="44">
        <f t="shared" si="4"/>
        <v>0.40720512627948174</v>
      </c>
      <c r="L38" s="31">
        <f>L37</f>
        <v>3.51</v>
      </c>
      <c r="M38" s="31">
        <f t="shared" si="5"/>
        <v>3.51</v>
      </c>
    </row>
    <row r="39" spans="2:16">
      <c r="B39" s="8" t="s">
        <v>44</v>
      </c>
      <c r="C39">
        <v>0.85099999999999998</v>
      </c>
      <c r="D39">
        <f>$H$2-140</f>
        <v>408</v>
      </c>
      <c r="E39">
        <f t="shared" si="1"/>
        <v>347.20799999999997</v>
      </c>
      <c r="F39" s="29">
        <f t="shared" si="2"/>
        <v>295.12679999999995</v>
      </c>
      <c r="G39" s="38">
        <v>0</v>
      </c>
      <c r="H39" s="30">
        <f>H38</f>
        <v>0.18479602162162162</v>
      </c>
      <c r="I39" s="39">
        <f t="shared" si="3"/>
        <v>0.36434142877637832</v>
      </c>
      <c r="J39">
        <v>1</v>
      </c>
      <c r="K39" s="44">
        <f t="shared" si="4"/>
        <v>0.36434142877637832</v>
      </c>
      <c r="L39" s="31">
        <f>L38</f>
        <v>3.51</v>
      </c>
      <c r="M39" s="31">
        <f t="shared" si="5"/>
        <v>3.51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57.477000000000004</v>
      </c>
      <c r="G40" s="45">
        <v>0</v>
      </c>
      <c r="H40" s="32">
        <f>H35</f>
        <v>0.21337130135885166</v>
      </c>
      <c r="I40" s="45">
        <f t="shared" si="3"/>
        <v>7.053861708015291E-2</v>
      </c>
      <c r="J40" s="16">
        <v>1</v>
      </c>
      <c r="K40" s="46">
        <f t="shared" si="4"/>
        <v>7.053861708015291E-2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274</v>
      </c>
      <c r="E41">
        <f>(C41*D41)</f>
        <v>233.17400000000001</v>
      </c>
      <c r="F41" s="29">
        <f>(E41*$N$5)</f>
        <v>198.1979</v>
      </c>
      <c r="G41" s="38">
        <v>0</v>
      </c>
      <c r="H41" s="29">
        <f>(H37)</f>
        <v>0.18479602162162162</v>
      </c>
      <c r="I41" s="39">
        <f t="shared" si="3"/>
        <v>0.24468027324688157</v>
      </c>
      <c r="J41">
        <v>1</v>
      </c>
      <c r="K41" s="44">
        <f>(I41*J41)</f>
        <v>0.24468027324688157</v>
      </c>
      <c r="L41" s="31">
        <f>(L39)</f>
        <v>3.51</v>
      </c>
      <c r="M41" s="31">
        <f>(L41*J41)</f>
        <v>3.51</v>
      </c>
    </row>
    <row r="42" spans="2:16">
      <c r="B42" s="8" t="s">
        <v>46</v>
      </c>
      <c r="H42" s="21"/>
      <c r="J42">
        <v>2</v>
      </c>
      <c r="K42" s="44"/>
      <c r="L42" s="31">
        <v>6.29</v>
      </c>
      <c r="M42" s="31">
        <f>L42*J42</f>
        <v>12.58</v>
      </c>
    </row>
    <row r="43" spans="2:16">
      <c r="B43" s="8" t="s">
        <v>65</v>
      </c>
      <c r="J43">
        <v>1</v>
      </c>
      <c r="K43" s="9"/>
      <c r="L43" s="31">
        <v>0.81</v>
      </c>
      <c r="M43" s="31">
        <f>(L43*J43)</f>
        <v>0.81</v>
      </c>
    </row>
    <row r="44" spans="2:16">
      <c r="B44" s="8" t="s">
        <v>66</v>
      </c>
      <c r="J44">
        <v>1</v>
      </c>
      <c r="K44" s="9"/>
      <c r="L44" s="31">
        <v>0.65</v>
      </c>
      <c r="M44" s="31">
        <f>(L44*J44)</f>
        <v>0.65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2</v>
      </c>
      <c r="M45" s="31">
        <f>(L45*J45)</f>
        <v>2</v>
      </c>
    </row>
    <row r="46" spans="2:16">
      <c r="L46" t="s">
        <v>34</v>
      </c>
      <c r="M46" s="31">
        <f>(SUM(M33:M45))</f>
        <v>76.27000000000001</v>
      </c>
      <c r="O46" s="31">
        <f>(J13+SUM(G34:G40)-D74)</f>
        <v>0.47771111534736832</v>
      </c>
      <c r="P46">
        <f>(O46/J3)</f>
        <v>288.10194547563253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$C$20</formula>
    </cfRule>
    <cfRule type="cellIs" dxfId="214" priority="6" operator="greaterThan">
      <formula>$C$20</formula>
    </cfRule>
  </conditionalFormatting>
  <conditionalFormatting sqref="L42">
    <cfRule type="cellIs" dxfId="213" priority="3" operator="lessThan">
      <formula>$C$20</formula>
    </cfRule>
    <cfRule type="cellIs" dxfId="212" priority="4" operator="greaterThan">
      <formula>$C$20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P14" sqref="P14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(-60/3)</f>
        <v>-20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0.26270037513364719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22.141877295519031</v>
      </c>
      <c r="K4" s="4">
        <f>(J4/D13-1)</f>
        <v>-0.24145770673324696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0.42911144000000001</v>
      </c>
      <c r="C6" s="40">
        <v>0</v>
      </c>
      <c r="D6" s="40">
        <f>(B6*C6)</f>
        <v>0</v>
      </c>
      <c r="E6" s="38">
        <f>(B6*J3)</f>
        <v>0.11272773626213954</v>
      </c>
      <c r="M6" t="s">
        <v>11</v>
      </c>
      <c r="N6" s="1">
        <f>($B$13/5)</f>
        <v>16.857134127999998</v>
      </c>
      <c r="O6" s="38">
        <f>(C8)</f>
        <v>0.3241529704400295</v>
      </c>
      <c r="P6" s="38">
        <f>(O6*N6)</f>
        <v>5.4642901006971956</v>
      </c>
      <c r="R6" s="2">
        <f>(B6)</f>
        <v>0.42911144000000001</v>
      </c>
      <c r="S6" s="40">
        <v>0</v>
      </c>
      <c r="T6" s="40">
        <f>(D6)</f>
        <v>0</v>
      </c>
      <c r="U6" s="38">
        <f>(R6*J3)</f>
        <v>0.11272773626213954</v>
      </c>
    </row>
    <row r="7" spans="2:21">
      <c r="B7" s="1">
        <v>81.217169999999996</v>
      </c>
      <c r="C7" s="38">
        <f>(D7/B7)</f>
        <v>0.35337355389260672</v>
      </c>
      <c r="D7" s="38">
        <v>28.7</v>
      </c>
      <c r="E7" t="s">
        <v>15</v>
      </c>
      <c r="N7" s="1">
        <f>($B$13/5)</f>
        <v>16.857134127999998</v>
      </c>
      <c r="O7" s="38">
        <f>($S$7*Params!K9)</f>
        <v>0.56539768622817077</v>
      </c>
      <c r="P7" s="38">
        <f>(O7*N7)</f>
        <v>9.5309846324091314</v>
      </c>
      <c r="R7" s="29">
        <f>B7</f>
        <v>81.217169999999996</v>
      </c>
      <c r="S7" s="38">
        <f>(T7/R7)</f>
        <v>0.35337355389260672</v>
      </c>
      <c r="T7" s="38">
        <f>D7</f>
        <v>28.7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16.857134127999998</v>
      </c>
      <c r="O8" s="38">
        <f>($C$7*Params!K10)</f>
        <v>0.77742181856373482</v>
      </c>
      <c r="P8" s="38">
        <f>(O8*N8)</f>
        <v>13.105103869562557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16.857134127999998</v>
      </c>
      <c r="O9" s="38">
        <f>($C$7*Params!K11)</f>
        <v>1.4134942155704269</v>
      </c>
      <c r="P9" s="38">
        <f>(O9*N9)</f>
        <v>23.827461581022831</v>
      </c>
    </row>
    <row r="10" spans="2:21">
      <c r="N10" s="1"/>
      <c r="P10" s="38"/>
    </row>
    <row r="11" spans="2:21">
      <c r="P11" s="38">
        <f>(SUM(P6:P9))</f>
        <v>51.927840183691714</v>
      </c>
    </row>
    <row r="12" spans="2:21">
      <c r="F12" t="s">
        <v>9</v>
      </c>
      <c r="G12" s="35">
        <f>(D13/B13)</f>
        <v>0.34632264735338175</v>
      </c>
    </row>
    <row r="13" spans="2:21">
      <c r="B13" s="1">
        <f>(SUM(B5:B12))</f>
        <v>84.285670639999992</v>
      </c>
      <c r="D13" s="38">
        <f>(SUM(D5:D12))</f>
        <v>29.190036589999998</v>
      </c>
      <c r="R13" s="1">
        <f>(SUM(R5:R12))</f>
        <v>84.285670639999992</v>
      </c>
      <c r="T13" s="38">
        <f>(SUM(T5:T12))</f>
        <v>29.190036589999998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7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0.1157211082521318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7.2947562652859377</v>
      </c>
      <c r="K4" s="4">
        <f>(J4/D14-1)</f>
        <v>-0.25759645510196982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0.29457728</v>
      </c>
      <c r="C6" s="40">
        <v>0</v>
      </c>
      <c r="D6" s="40">
        <f>(B6*C6)</f>
        <v>0</v>
      </c>
      <c r="E6" s="38">
        <f>(B6*J3)</f>
        <v>3.4088809307498538E-2</v>
      </c>
      <c r="M6" t="s">
        <v>11</v>
      </c>
      <c r="N6" s="29">
        <f>($B$14/5)</f>
        <v>12.607477366000001</v>
      </c>
      <c r="O6" s="38">
        <f>($C$5*Params!K8)</f>
        <v>0.21940472231459929</v>
      </c>
      <c r="P6" s="38">
        <f>(O6*N6)</f>
        <v>2.766140070574826</v>
      </c>
      <c r="R6" s="25">
        <f>(B6)</f>
        <v>0.29457728</v>
      </c>
      <c r="S6" s="40">
        <v>0</v>
      </c>
      <c r="T6" s="40">
        <f>(D6)</f>
        <v>0</v>
      </c>
      <c r="U6" s="38">
        <f>(E6)</f>
        <v>3.4088809307498538E-2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12.607477366000001</v>
      </c>
      <c r="O7" s="38">
        <f>($C$5*Params!K9)</f>
        <v>0.27003658131027602</v>
      </c>
      <c r="P7" s="38">
        <f>(O7*N7)</f>
        <v>3.4044800868613239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12.607477366000001</v>
      </c>
      <c r="O8" s="38">
        <f>($C$5*Params!K10)</f>
        <v>0.37130029930162955</v>
      </c>
      <c r="P8" s="38">
        <f>(O8*N8)</f>
        <v>4.6811601194343204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12.607477366000001</v>
      </c>
      <c r="O9" s="38">
        <f>($C$5*Params!K11)</f>
        <v>0.67509145327569009</v>
      </c>
      <c r="P9" s="38">
        <f>(O9*N9)</f>
        <v>8.511200217153311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19.36298049402378</v>
      </c>
    </row>
    <row r="13" spans="2:21">
      <c r="F13" t="s">
        <v>9</v>
      </c>
      <c r="G13" s="38">
        <f>(D14/B14)</f>
        <v>0.15587359334070286</v>
      </c>
    </row>
    <row r="14" spans="2:21">
      <c r="B14" s="29">
        <f>(SUM(B5:B13))</f>
        <v>63.037386830000003</v>
      </c>
      <c r="D14" s="38">
        <f>(SUM(D5:D13))</f>
        <v>9.8258639999999993</v>
      </c>
    </row>
    <row r="17" spans="11:20">
      <c r="N17" s="29"/>
      <c r="R17" s="29">
        <f>(SUM(R5:R16))</f>
        <v>63.037386830000003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2023-06-18T21:21:55Z</dcterms:modified>
</cp:coreProperties>
</file>