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6" i="29"/>
  <c r="N26" i="35" l="1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0" i="32"/>
  <c r="B10"/>
  <c r="J4" s="1"/>
  <c r="K4" s="1"/>
  <c r="O9"/>
  <c r="P9" s="1"/>
  <c r="N9"/>
  <c r="G9"/>
  <c r="N8"/>
  <c r="C8"/>
  <c r="O8" s="1"/>
  <c r="P8" s="1"/>
  <c r="N7"/>
  <c r="C7"/>
  <c r="O7" s="1"/>
  <c r="P7" s="1"/>
  <c r="N6"/>
  <c r="C6"/>
  <c r="O6" s="1"/>
  <c r="C5"/>
  <c r="B13" i="31"/>
  <c r="J4" s="1"/>
  <c r="O9"/>
  <c r="P9" s="1"/>
  <c r="N9"/>
  <c r="N8"/>
  <c r="C8"/>
  <c r="N7"/>
  <c r="C7"/>
  <c r="T6"/>
  <c r="S6"/>
  <c r="R6"/>
  <c r="P6"/>
  <c r="O6"/>
  <c r="O3" s="1"/>
  <c r="P3" s="1"/>
  <c r="N6"/>
  <c r="E6"/>
  <c r="D6"/>
  <c r="D13" s="1"/>
  <c r="G12" s="1"/>
  <c r="T5"/>
  <c r="T17" s="1"/>
  <c r="R5"/>
  <c r="R17" s="1"/>
  <c r="C5"/>
  <c r="O8" s="1"/>
  <c r="P8" s="1"/>
  <c r="N3"/>
  <c r="B10" i="30"/>
  <c r="N9"/>
  <c r="N8"/>
  <c r="O7"/>
  <c r="P7" s="1"/>
  <c r="N7"/>
  <c r="N6"/>
  <c r="E6"/>
  <c r="D6"/>
  <c r="D10" s="1"/>
  <c r="C5"/>
  <c r="O9" s="1"/>
  <c r="P9" s="1"/>
  <c r="J4"/>
  <c r="D13" i="29"/>
  <c r="B13"/>
  <c r="G12"/>
  <c r="N9"/>
  <c r="N8"/>
  <c r="N7"/>
  <c r="E6"/>
  <c r="D6"/>
  <c r="C5"/>
  <c r="J4"/>
  <c r="K4" s="1"/>
  <c r="D29" i="28"/>
  <c r="B28"/>
  <c r="C27"/>
  <c r="N26"/>
  <c r="B26"/>
  <c r="C26" s="1"/>
  <c r="C25"/>
  <c r="C24"/>
  <c r="O23"/>
  <c r="P23" s="1"/>
  <c r="N23"/>
  <c r="C23"/>
  <c r="O6" s="1"/>
  <c r="C22"/>
  <c r="T21"/>
  <c r="C21"/>
  <c r="T20"/>
  <c r="R20"/>
  <c r="C20"/>
  <c r="T19"/>
  <c r="R19"/>
  <c r="C19"/>
  <c r="T18"/>
  <c r="R18"/>
  <c r="E18"/>
  <c r="T17"/>
  <c r="R17"/>
  <c r="C17"/>
  <c r="T16"/>
  <c r="S16"/>
  <c r="R16"/>
  <c r="N16"/>
  <c r="C16"/>
  <c r="T15"/>
  <c r="S15" s="1"/>
  <c r="O26" s="1"/>
  <c r="P26" s="1"/>
  <c r="R15"/>
  <c r="P15"/>
  <c r="O15"/>
  <c r="N15"/>
  <c r="E15"/>
  <c r="B15"/>
  <c r="T14"/>
  <c r="S14"/>
  <c r="R14"/>
  <c r="O14"/>
  <c r="N14"/>
  <c r="E14"/>
  <c r="B14"/>
  <c r="T13"/>
  <c r="S13" s="1"/>
  <c r="O16" s="1"/>
  <c r="P16" s="1"/>
  <c r="R13"/>
  <c r="N17" s="1"/>
  <c r="B13"/>
  <c r="R12"/>
  <c r="E12"/>
  <c r="T11"/>
  <c r="S11"/>
  <c r="R11"/>
  <c r="C11"/>
  <c r="T10"/>
  <c r="S10"/>
  <c r="R10"/>
  <c r="C10"/>
  <c r="O9"/>
  <c r="B9"/>
  <c r="C9" s="1"/>
  <c r="R8"/>
  <c r="T8" s="1"/>
  <c r="O8"/>
  <c r="C8"/>
  <c r="B8"/>
  <c r="T7"/>
  <c r="R7"/>
  <c r="N7"/>
  <c r="C7"/>
  <c r="T6"/>
  <c r="P6"/>
  <c r="N6"/>
  <c r="B6"/>
  <c r="S5"/>
  <c r="D5"/>
  <c r="B5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P17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T5"/>
  <c r="S5" s="1"/>
  <c r="R5"/>
  <c r="R22" s="1"/>
  <c r="C5"/>
  <c r="O9" s="1"/>
  <c r="P9" s="1"/>
  <c r="K4"/>
  <c r="B10" i="25"/>
  <c r="O9"/>
  <c r="O8"/>
  <c r="N7"/>
  <c r="D7"/>
  <c r="O6"/>
  <c r="E6"/>
  <c r="D6"/>
  <c r="D10" s="1"/>
  <c r="G9" s="1"/>
  <c r="C5"/>
  <c r="O7" s="1"/>
  <c r="P7" s="1"/>
  <c r="J4"/>
  <c r="N17" i="24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G17" s="1"/>
  <c r="T5"/>
  <c r="S5"/>
  <c r="R5"/>
  <c r="R17" s="1"/>
  <c r="C5"/>
  <c r="J4"/>
  <c r="B35" i="23"/>
  <c r="C34"/>
  <c r="C33"/>
  <c r="B32"/>
  <c r="C31"/>
  <c r="C30"/>
  <c r="C29"/>
  <c r="C28"/>
  <c r="C27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D37" s="1"/>
  <c r="R6"/>
  <c r="T6" s="1"/>
  <c r="D6"/>
  <c r="R5"/>
  <c r="T5" s="1"/>
  <c r="T37" s="1"/>
  <c r="D5"/>
  <c r="B14" i="22"/>
  <c r="D12"/>
  <c r="D11"/>
  <c r="D10"/>
  <c r="D9"/>
  <c r="D8"/>
  <c r="C7"/>
  <c r="E6"/>
  <c r="D6"/>
  <c r="D5"/>
  <c r="D14" s="1"/>
  <c r="J4"/>
  <c r="B13" i="21"/>
  <c r="J4" s="1"/>
  <c r="O9"/>
  <c r="P9" s="1"/>
  <c r="N9"/>
  <c r="T8"/>
  <c r="R8"/>
  <c r="O8"/>
  <c r="P8" s="1"/>
  <c r="N8"/>
  <c r="C8"/>
  <c r="T7"/>
  <c r="S7"/>
  <c r="R7"/>
  <c r="N7"/>
  <c r="C7"/>
  <c r="O7" s="1"/>
  <c r="P7" s="1"/>
  <c r="P11" s="1"/>
  <c r="T6"/>
  <c r="S6" s="1"/>
  <c r="R6"/>
  <c r="P6"/>
  <c r="O6"/>
  <c r="O3" s="1"/>
  <c r="N6"/>
  <c r="E6"/>
  <c r="D6"/>
  <c r="D13" s="1"/>
  <c r="G12" s="1"/>
  <c r="T5"/>
  <c r="R5"/>
  <c r="R19" s="1"/>
  <c r="C5"/>
  <c r="K4"/>
  <c r="N3"/>
  <c r="P3" s="1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N18" i="16"/>
  <c r="N17"/>
  <c r="N16"/>
  <c r="O15"/>
  <c r="N15"/>
  <c r="B9" s="1"/>
  <c r="B14"/>
  <c r="J4" s="1"/>
  <c r="N9"/>
  <c r="D9"/>
  <c r="T8"/>
  <c r="S8" s="1"/>
  <c r="R8"/>
  <c r="N8"/>
  <c r="D8"/>
  <c r="C8" s="1"/>
  <c r="O6" s="1"/>
  <c r="N3" s="1"/>
  <c r="B8"/>
  <c r="R7"/>
  <c r="C7"/>
  <c r="O17" s="1"/>
  <c r="P17" s="1"/>
  <c r="P6"/>
  <c r="N6"/>
  <c r="E6"/>
  <c r="D6"/>
  <c r="T5"/>
  <c r="R5"/>
  <c r="U5" s="1"/>
  <c r="C5"/>
  <c r="O9" s="1"/>
  <c r="P9" s="1"/>
  <c r="O3"/>
  <c r="P3" s="1"/>
  <c r="D13" i="15"/>
  <c r="B13"/>
  <c r="G12"/>
  <c r="N9"/>
  <c r="N8"/>
  <c r="N7"/>
  <c r="N6"/>
  <c r="E6"/>
  <c r="D6"/>
  <c r="C5"/>
  <c r="J4"/>
  <c r="K4" s="1"/>
  <c r="N25" i="14"/>
  <c r="N23"/>
  <c r="N16"/>
  <c r="B15"/>
  <c r="C13"/>
  <c r="C12"/>
  <c r="C11"/>
  <c r="S8" s="1"/>
  <c r="E10"/>
  <c r="S9"/>
  <c r="O16" s="1"/>
  <c r="P16" s="1"/>
  <c r="R9"/>
  <c r="N17" s="1"/>
  <c r="D9"/>
  <c r="R8"/>
  <c r="E8"/>
  <c r="S7"/>
  <c r="R7"/>
  <c r="N7"/>
  <c r="E7"/>
  <c r="S6"/>
  <c r="R6"/>
  <c r="R35" s="1"/>
  <c r="D6"/>
  <c r="G15" s="1"/>
  <c r="R5"/>
  <c r="N24" s="1"/>
  <c r="D5"/>
  <c r="J4"/>
  <c r="D13" i="13"/>
  <c r="B13"/>
  <c r="G12"/>
  <c r="C11"/>
  <c r="C10"/>
  <c r="C9"/>
  <c r="C8"/>
  <c r="C7"/>
  <c r="T6"/>
  <c r="R6"/>
  <c r="C6"/>
  <c r="O6" s="1"/>
  <c r="T5"/>
  <c r="T15" s="1"/>
  <c r="S5"/>
  <c r="R5"/>
  <c r="C5"/>
  <c r="O9" s="1"/>
  <c r="J4"/>
  <c r="K4" s="1"/>
  <c r="N17" i="12"/>
  <c r="N16"/>
  <c r="N15"/>
  <c r="N14"/>
  <c r="B13"/>
  <c r="C10"/>
  <c r="U9"/>
  <c r="T9"/>
  <c r="S9" s="1"/>
  <c r="R9"/>
  <c r="N9"/>
  <c r="C9"/>
  <c r="T8"/>
  <c r="R8"/>
  <c r="N8"/>
  <c r="C8"/>
  <c r="R7"/>
  <c r="C7"/>
  <c r="T6"/>
  <c r="S6" s="1"/>
  <c r="R6"/>
  <c r="N7" s="1"/>
  <c r="O6"/>
  <c r="P6" s="1"/>
  <c r="N6"/>
  <c r="E6"/>
  <c r="D6"/>
  <c r="D13" s="1"/>
  <c r="G12" s="1"/>
  <c r="T5"/>
  <c r="R5"/>
  <c r="C5"/>
  <c r="O9" s="1"/>
  <c r="P9" s="1"/>
  <c r="K4"/>
  <c r="J4"/>
  <c r="N3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D14" i="10"/>
  <c r="K4" s="1"/>
  <c r="B14"/>
  <c r="G13"/>
  <c r="D12"/>
  <c r="C12"/>
  <c r="C11"/>
  <c r="C10"/>
  <c r="N9"/>
  <c r="C9"/>
  <c r="C8"/>
  <c r="T7"/>
  <c r="R7"/>
  <c r="N7"/>
  <c r="C7"/>
  <c r="T6"/>
  <c r="S6" s="1"/>
  <c r="R6"/>
  <c r="O6"/>
  <c r="E6"/>
  <c r="D6"/>
  <c r="T5"/>
  <c r="R5"/>
  <c r="C5"/>
  <c r="O9" s="1"/>
  <c r="P9" s="1"/>
  <c r="J4"/>
  <c r="B14" i="9"/>
  <c r="C10"/>
  <c r="N9"/>
  <c r="C9"/>
  <c r="N8"/>
  <c r="C8"/>
  <c r="T7"/>
  <c r="R7"/>
  <c r="N7"/>
  <c r="C7"/>
  <c r="R6"/>
  <c r="N6"/>
  <c r="E6"/>
  <c r="U6" s="1"/>
  <c r="D6"/>
  <c r="T6" s="1"/>
  <c r="T17" s="1"/>
  <c r="T5"/>
  <c r="S5"/>
  <c r="R5"/>
  <c r="R17" s="1"/>
  <c r="C5"/>
  <c r="O6" s="1"/>
  <c r="P6" s="1"/>
  <c r="J4"/>
  <c r="O16" i="8"/>
  <c r="D13"/>
  <c r="B13"/>
  <c r="G12"/>
  <c r="N9"/>
  <c r="R8"/>
  <c r="O8"/>
  <c r="P8" s="1"/>
  <c r="N8"/>
  <c r="C8"/>
  <c r="O14" s="1"/>
  <c r="P14" s="1"/>
  <c r="N7"/>
  <c r="C7"/>
  <c r="O17" s="1"/>
  <c r="U6"/>
  <c r="R6"/>
  <c r="O6"/>
  <c r="N6"/>
  <c r="N14" s="1"/>
  <c r="E6"/>
  <c r="D6"/>
  <c r="T6" s="1"/>
  <c r="R5"/>
  <c r="C5"/>
  <c r="O9" s="1"/>
  <c r="P9" s="1"/>
  <c r="K4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M39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F36"/>
  <c r="D36"/>
  <c r="E36" s="1"/>
  <c r="M35"/>
  <c r="E35"/>
  <c r="F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24" i="3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T24"/>
  <c r="S24"/>
  <c r="R24"/>
  <c r="M76" s="1"/>
  <c r="C24"/>
  <c r="T23"/>
  <c r="R23"/>
  <c r="C23"/>
  <c r="C22"/>
  <c r="N43" s="1"/>
  <c r="O43" s="1"/>
  <c r="R21"/>
  <c r="C21"/>
  <c r="M20"/>
  <c r="C20"/>
  <c r="T19"/>
  <c r="S19"/>
  <c r="R19"/>
  <c r="M19"/>
  <c r="C19"/>
  <c r="N28" s="1"/>
  <c r="O28" s="1"/>
  <c r="T18"/>
  <c r="R18"/>
  <c r="N18"/>
  <c r="O18" s="1"/>
  <c r="M18"/>
  <c r="D18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O9"/>
  <c r="M9"/>
  <c r="C9"/>
  <c r="S8"/>
  <c r="R8"/>
  <c r="C8"/>
  <c r="S7"/>
  <c r="R7"/>
  <c r="C7"/>
  <c r="T6"/>
  <c r="R6"/>
  <c r="E6"/>
  <c r="D6"/>
  <c r="T5"/>
  <c r="R5"/>
  <c r="D5"/>
  <c r="C40" i="1"/>
  <c r="B39"/>
  <c r="B38"/>
  <c r="C37"/>
  <c r="S20" s="1"/>
  <c r="C36"/>
  <c r="C35"/>
  <c r="C34"/>
  <c r="D33"/>
  <c r="D32"/>
  <c r="T16" s="1"/>
  <c r="D31"/>
  <c r="D30"/>
  <c r="D29"/>
  <c r="C28"/>
  <c r="D27"/>
  <c r="D26"/>
  <c r="D25"/>
  <c r="D24"/>
  <c r="T23"/>
  <c r="R23"/>
  <c r="D23"/>
  <c r="B23"/>
  <c r="B42" s="1"/>
  <c r="D22"/>
  <c r="N21"/>
  <c r="D21"/>
  <c r="T20"/>
  <c r="R20"/>
  <c r="N28" s="1"/>
  <c r="N20"/>
  <c r="C20"/>
  <c r="C19"/>
  <c r="D19" s="1"/>
  <c r="O18"/>
  <c r="N18"/>
  <c r="P18" s="1"/>
  <c r="C18"/>
  <c r="R17"/>
  <c r="S17" s="1"/>
  <c r="D17"/>
  <c r="R16"/>
  <c r="D16"/>
  <c r="R15"/>
  <c r="T15" s="1"/>
  <c r="D15"/>
  <c r="R14"/>
  <c r="T14" s="1"/>
  <c r="D14"/>
  <c r="T13"/>
  <c r="N13"/>
  <c r="D13"/>
  <c r="T12"/>
  <c r="R12"/>
  <c r="N12"/>
  <c r="E12"/>
  <c r="D12"/>
  <c r="T11"/>
  <c r="R11"/>
  <c r="D11"/>
  <c r="R10"/>
  <c r="O10"/>
  <c r="D10"/>
  <c r="T8" s="1"/>
  <c r="R9"/>
  <c r="T9" s="1"/>
  <c r="D9"/>
  <c r="R8"/>
  <c r="D8"/>
  <c r="R7"/>
  <c r="T7" s="1"/>
  <c r="D7"/>
  <c r="R6"/>
  <c r="T6" s="1"/>
  <c r="D6"/>
  <c r="R5"/>
  <c r="D5"/>
  <c r="O9" i="14" l="1"/>
  <c r="O8"/>
  <c r="O7"/>
  <c r="P7" s="1"/>
  <c r="O6"/>
  <c r="J12" i="1"/>
  <c r="J13" s="1"/>
  <c r="J4"/>
  <c r="H36" i="5"/>
  <c r="H37"/>
  <c r="O14" i="2"/>
  <c r="O46"/>
  <c r="I36" i="5"/>
  <c r="K36" s="1"/>
  <c r="I40"/>
  <c r="K40" s="1"/>
  <c r="D18" i="1"/>
  <c r="T10" s="1"/>
  <c r="S10" s="1"/>
  <c r="N37"/>
  <c r="N36"/>
  <c r="N35"/>
  <c r="N34"/>
  <c r="D39"/>
  <c r="T22" s="1"/>
  <c r="T18"/>
  <c r="R18"/>
  <c r="N10"/>
  <c r="N52" i="2"/>
  <c r="O52" s="1"/>
  <c r="N50"/>
  <c r="O50" s="1"/>
  <c r="O54" s="1"/>
  <c r="N36"/>
  <c r="O36" s="1"/>
  <c r="N35"/>
  <c r="O35" s="1"/>
  <c r="N75"/>
  <c r="O75" s="1"/>
  <c r="N73"/>
  <c r="O73" s="1"/>
  <c r="N68"/>
  <c r="O68" s="1"/>
  <c r="N66"/>
  <c r="O66" s="1"/>
  <c r="O70" s="1"/>
  <c r="B31"/>
  <c r="D30"/>
  <c r="T21" s="1"/>
  <c r="S21" s="1"/>
  <c r="P6" i="8"/>
  <c r="O3"/>
  <c r="T7" i="12"/>
  <c r="G9" i="30"/>
  <c r="K4"/>
  <c r="T5" i="1"/>
  <c r="P10"/>
  <c r="O3"/>
  <c r="O29"/>
  <c r="O28"/>
  <c r="P28" s="1"/>
  <c r="O27"/>
  <c r="P27" s="1"/>
  <c r="O26"/>
  <c r="D38"/>
  <c r="T21" s="1"/>
  <c r="R21"/>
  <c r="T19"/>
  <c r="S19" s="1"/>
  <c r="R19"/>
  <c r="N19" s="1"/>
  <c r="C18" i="2"/>
  <c r="N17" s="1"/>
  <c r="T15"/>
  <c r="S15" s="1"/>
  <c r="E224" i="3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D74" i="5"/>
  <c r="E62"/>
  <c r="T8" i="8"/>
  <c r="T7"/>
  <c r="R7"/>
  <c r="N15" s="1"/>
  <c r="R14" i="10"/>
  <c r="N6"/>
  <c r="R13" i="12"/>
  <c r="U5"/>
  <c r="G9" i="20"/>
  <c r="K4"/>
  <c r="S13" i="1"/>
  <c r="N27"/>
  <c r="N29"/>
  <c r="N34" i="2"/>
  <c r="O34" s="1"/>
  <c r="N67"/>
  <c r="O67" s="1"/>
  <c r="N76"/>
  <c r="O76" s="1"/>
  <c r="P35" i="4"/>
  <c r="I37" i="5"/>
  <c r="K37" s="1"/>
  <c r="P16" i="8"/>
  <c r="O7" i="9"/>
  <c r="P7" s="1"/>
  <c r="P12" s="1"/>
  <c r="O9"/>
  <c r="P9" s="1"/>
  <c r="D14"/>
  <c r="G13" s="1"/>
  <c r="P6" i="10"/>
  <c r="R13" i="1"/>
  <c r="R22"/>
  <c r="C23"/>
  <c r="N6" s="1"/>
  <c r="S23"/>
  <c r="N26"/>
  <c r="S18" i="2"/>
  <c r="C33"/>
  <c r="N19" s="1"/>
  <c r="O19" s="1"/>
  <c r="O38"/>
  <c r="N51"/>
  <c r="O51" s="1"/>
  <c r="N74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6"/>
  <c r="G8"/>
  <c r="P17"/>
  <c r="J14" i="5"/>
  <c r="I35"/>
  <c r="K35" s="1"/>
  <c r="M38"/>
  <c r="M46" s="1"/>
  <c r="R13" i="8"/>
  <c r="N16"/>
  <c r="N17"/>
  <c r="P17" s="1"/>
  <c r="K4" i="9"/>
  <c r="O8"/>
  <c r="P8" s="1"/>
  <c r="U5" i="10"/>
  <c r="N8"/>
  <c r="T14"/>
  <c r="P9" i="13"/>
  <c r="K4" i="16"/>
  <c r="O17" i="12"/>
  <c r="P17" s="1"/>
  <c r="O15"/>
  <c r="P15" s="1"/>
  <c r="N9" i="13"/>
  <c r="N8"/>
  <c r="N7"/>
  <c r="N6"/>
  <c r="P6" s="1"/>
  <c r="P12" s="1"/>
  <c r="O9" i="15"/>
  <c r="P9" s="1"/>
  <c r="O7"/>
  <c r="P7" s="1"/>
  <c r="C35" i="23"/>
  <c r="N9" s="1"/>
  <c r="R25"/>
  <c r="O9"/>
  <c r="P9" s="1"/>
  <c r="O8" i="24"/>
  <c r="P8" s="1"/>
  <c r="O6"/>
  <c r="P6" s="1"/>
  <c r="E7" i="25"/>
  <c r="K4"/>
  <c r="R6" i="28"/>
  <c r="C6"/>
  <c r="D13"/>
  <c r="D31" s="1"/>
  <c r="G31" s="1"/>
  <c r="R9"/>
  <c r="S9" s="1"/>
  <c r="P14"/>
  <c r="P19" s="1"/>
  <c r="P6" i="32"/>
  <c r="P11" s="1"/>
  <c r="O3"/>
  <c r="N3"/>
  <c r="D15" i="14"/>
  <c r="T5"/>
  <c r="N8"/>
  <c r="N6"/>
  <c r="T7" i="16"/>
  <c r="T6"/>
  <c r="S6" s="1"/>
  <c r="O7" s="1"/>
  <c r="R6"/>
  <c r="N9" i="19"/>
  <c r="N8"/>
  <c r="N6"/>
  <c r="T19" i="21"/>
  <c r="S5"/>
  <c r="B37" i="23"/>
  <c r="J4" s="1"/>
  <c r="R9"/>
  <c r="S9" s="1"/>
  <c r="C9"/>
  <c r="O6" s="1"/>
  <c r="P6" s="1"/>
  <c r="C32"/>
  <c r="R24"/>
  <c r="O17" i="24"/>
  <c r="P17" s="1"/>
  <c r="O16"/>
  <c r="P16" s="1"/>
  <c r="O14"/>
  <c r="P14" s="1"/>
  <c r="P20" s="1"/>
  <c r="N9"/>
  <c r="N7"/>
  <c r="N9" i="25"/>
  <c r="N8"/>
  <c r="P8" s="1"/>
  <c r="N6"/>
  <c r="N25" i="28"/>
  <c r="N24"/>
  <c r="C28"/>
  <c r="R21"/>
  <c r="C29"/>
  <c r="O7" s="1"/>
  <c r="T12"/>
  <c r="S12" s="1"/>
  <c r="O9" i="29"/>
  <c r="P9" s="1"/>
  <c r="O7"/>
  <c r="P7" s="1"/>
  <c r="T13" i="12"/>
  <c r="O14"/>
  <c r="P14" s="1"/>
  <c r="O16"/>
  <c r="P16" s="1"/>
  <c r="K4" i="14"/>
  <c r="T6"/>
  <c r="P8"/>
  <c r="O14"/>
  <c r="P14" s="1"/>
  <c r="O17"/>
  <c r="P17" s="1"/>
  <c r="O6" i="15"/>
  <c r="P6" s="1"/>
  <c r="P11" s="1"/>
  <c r="O8"/>
  <c r="P8" s="1"/>
  <c r="T13" i="16"/>
  <c r="O8"/>
  <c r="P8" s="1"/>
  <c r="P11" i="17"/>
  <c r="O8" i="19"/>
  <c r="P8" s="1"/>
  <c r="O9"/>
  <c r="P9" s="1"/>
  <c r="K4" i="24"/>
  <c r="P7"/>
  <c r="P9"/>
  <c r="P6" i="25"/>
  <c r="P9"/>
  <c r="O17" i="28"/>
  <c r="P17" s="1"/>
  <c r="O24"/>
  <c r="P24" s="1"/>
  <c r="O25"/>
  <c r="K4" i="31"/>
  <c r="N26" i="2"/>
  <c r="O26" s="1"/>
  <c r="N27"/>
  <c r="O27" s="1"/>
  <c r="O30" s="1"/>
  <c r="M74"/>
  <c r="O7" i="8"/>
  <c r="P7" s="1"/>
  <c r="O7" i="10"/>
  <c r="P7" s="1"/>
  <c r="O8"/>
  <c r="P8" s="1"/>
  <c r="O6" i="11"/>
  <c r="P6" s="1"/>
  <c r="P12" s="1"/>
  <c r="O3" i="12"/>
  <c r="P3" s="1"/>
  <c r="O7"/>
  <c r="P7" s="1"/>
  <c r="O8"/>
  <c r="P8" s="1"/>
  <c r="P11" s="1"/>
  <c r="O7" i="13"/>
  <c r="P7" s="1"/>
  <c r="O8"/>
  <c r="P8" s="1"/>
  <c r="R15"/>
  <c r="P6" i="14"/>
  <c r="T7"/>
  <c r="T8"/>
  <c r="N9"/>
  <c r="P9" s="1"/>
  <c r="O15"/>
  <c r="D14" i="16"/>
  <c r="G13" s="1"/>
  <c r="P15"/>
  <c r="O16"/>
  <c r="P16" s="1"/>
  <c r="O18"/>
  <c r="P18" s="1"/>
  <c r="K4" i="18"/>
  <c r="O6" i="19"/>
  <c r="P6" s="1"/>
  <c r="P11" s="1"/>
  <c r="S8" i="21"/>
  <c r="E35" i="23"/>
  <c r="T22" i="26"/>
  <c r="B31" i="28"/>
  <c r="J4" s="1"/>
  <c r="O6" i="29"/>
  <c r="P6" s="1"/>
  <c r="O8"/>
  <c r="P8" s="1"/>
  <c r="O6" i="34"/>
  <c r="P6" s="1"/>
  <c r="O8"/>
  <c r="P8" s="1"/>
  <c r="O9"/>
  <c r="P9" s="1"/>
  <c r="T9" i="14"/>
  <c r="N14"/>
  <c r="N15"/>
  <c r="N22"/>
  <c r="O6" i="18"/>
  <c r="P6" s="1"/>
  <c r="P11" s="1"/>
  <c r="O8"/>
  <c r="P8" s="1"/>
  <c r="O6" i="20"/>
  <c r="P6" s="1"/>
  <c r="P11" s="1"/>
  <c r="O8"/>
  <c r="P8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O6" i="30"/>
  <c r="P6" s="1"/>
  <c r="P11" s="1"/>
  <c r="O8"/>
  <c r="P8" s="1"/>
  <c r="S5" i="31"/>
  <c r="O7"/>
  <c r="P7" s="1"/>
  <c r="P11" s="1"/>
  <c r="O6" i="33"/>
  <c r="P6" s="1"/>
  <c r="P11" s="1"/>
  <c r="O8"/>
  <c r="P8" s="1"/>
  <c r="R32" i="1" l="1"/>
  <c r="S18"/>
  <c r="P11" i="14"/>
  <c r="P6" i="1"/>
  <c r="O6"/>
  <c r="N3" s="1"/>
  <c r="P3" s="1"/>
  <c r="P28" i="28"/>
  <c r="P7"/>
  <c r="N3"/>
  <c r="T35" i="14"/>
  <c r="S5"/>
  <c r="O37" i="1"/>
  <c r="P37" s="1"/>
  <c r="O36"/>
  <c r="P36" s="1"/>
  <c r="O35"/>
  <c r="P35" s="1"/>
  <c r="O34"/>
  <c r="P34" s="1"/>
  <c r="O17" i="2"/>
  <c r="O22" s="1"/>
  <c r="N4"/>
  <c r="O21" i="1"/>
  <c r="P21" s="1"/>
  <c r="O19"/>
  <c r="P19" s="1"/>
  <c r="O20"/>
  <c r="P20" s="1"/>
  <c r="P11" i="8"/>
  <c r="T5"/>
  <c r="R22" i="2"/>
  <c r="R20"/>
  <c r="M57"/>
  <c r="O57" s="1"/>
  <c r="D31"/>
  <c r="D37" s="1"/>
  <c r="T22"/>
  <c r="T20"/>
  <c r="S20" s="1"/>
  <c r="O12" i="1"/>
  <c r="P12" s="1"/>
  <c r="O11"/>
  <c r="O13"/>
  <c r="P13" s="1"/>
  <c r="T5" i="28"/>
  <c r="T33" s="1"/>
  <c r="R33"/>
  <c r="N8"/>
  <c r="P8" s="1"/>
  <c r="N9"/>
  <c r="P9" s="1"/>
  <c r="N7" i="16"/>
  <c r="R13"/>
  <c r="N3" i="8"/>
  <c r="P3" s="1"/>
  <c r="H41" i="5"/>
  <c r="I41" s="1"/>
  <c r="K41" s="1"/>
  <c r="H38"/>
  <c r="P11" i="26"/>
  <c r="P21" i="16"/>
  <c r="P15" i="14"/>
  <c r="P11" i="25"/>
  <c r="P19" i="14"/>
  <c r="P7" i="16"/>
  <c r="P12" s="1"/>
  <c r="P11" i="10"/>
  <c r="P29" i="1"/>
  <c r="P19" i="26"/>
  <c r="P11" i="34"/>
  <c r="P11" i="29"/>
  <c r="K4" i="28"/>
  <c r="R37" i="23"/>
  <c r="P25" i="28"/>
  <c r="P19" i="12"/>
  <c r="P3" i="32"/>
  <c r="O3" i="28"/>
  <c r="P3" s="1"/>
  <c r="P11" i="24"/>
  <c r="G37" i="23"/>
  <c r="K14" i="5"/>
  <c r="O74" i="2"/>
  <c r="O78" s="1"/>
  <c r="D42" i="1"/>
  <c r="K4" s="1"/>
  <c r="S7" i="8"/>
  <c r="O15" s="1"/>
  <c r="P15" s="1"/>
  <c r="P19" s="1"/>
  <c r="P26" i="1"/>
  <c r="P31" s="1"/>
  <c r="T32"/>
  <c r="B37" i="2"/>
  <c r="N11" i="1"/>
  <c r="T36" i="2"/>
  <c r="P23" i="1" l="1"/>
  <c r="P39"/>
  <c r="J4" i="2"/>
  <c r="K4" s="1"/>
  <c r="J7"/>
  <c r="J8" s="1"/>
  <c r="H39" i="5"/>
  <c r="I39" s="1"/>
  <c r="K39" s="1"/>
  <c r="I38"/>
  <c r="K38" s="1"/>
  <c r="O4" i="2"/>
  <c r="M4"/>
  <c r="O25" i="14"/>
  <c r="P25" s="1"/>
  <c r="O23"/>
  <c r="P23" s="1"/>
  <c r="O24"/>
  <c r="P24" s="1"/>
  <c r="O22"/>
  <c r="P22" s="1"/>
  <c r="G7" i="1"/>
  <c r="I42"/>
  <c r="N59" i="2"/>
  <c r="O59" s="1"/>
  <c r="N60"/>
  <c r="O60" s="1"/>
  <c r="N58"/>
  <c r="O58" s="1"/>
  <c r="O62" s="1"/>
  <c r="M58"/>
  <c r="R36"/>
  <c r="S5" i="8"/>
  <c r="T13"/>
  <c r="P11" i="1"/>
  <c r="P15" s="1"/>
  <c r="G36" i="2"/>
  <c r="P11" i="28"/>
  <c r="P27" i="14" l="1"/>
  <c r="J13" i="5"/>
  <c r="J15" l="1"/>
  <c r="J16" s="1"/>
  <c r="O46"/>
  <c r="P46" s="1"/>
</calcChain>
</file>

<file path=xl/sharedStrings.xml><?xml version="1.0" encoding="utf-8"?>
<sst xmlns="http://schemas.openxmlformats.org/spreadsheetml/2006/main" count="716" uniqueCount="84">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</sst>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</c:numCache>
            </c:numRef>
          </c:val>
        </c:ser>
        <c:marker val="1"/>
        <c:axId val="74630656"/>
        <c:axId val="74632576"/>
      </c:lineChart>
      <c:dateAx>
        <c:axId val="74630656"/>
        <c:scaling>
          <c:orientation val="minMax"/>
        </c:scaling>
        <c:axPos val="b"/>
        <c:numFmt formatCode="dd/mm/yy;@" sourceLinked="1"/>
        <c:majorTickMark val="none"/>
        <c:tickLblPos val="nextTo"/>
        <c:crossAx val="74632576"/>
        <c:crosses val="autoZero"/>
        <c:lblOffset val="100"/>
      </c:dateAx>
      <c:valAx>
        <c:axId val="746325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630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abSelected="1" workbookViewId="0">
      <selection activeCell="B37" sqref="B37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1811.3395390951571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886.41952312170451</v>
      </c>
      <c r="K4" s="4">
        <f>(J4/D42-1)</f>
        <v>-0.35701420716964172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2817.0755237403055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3.8958E-3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3.1627000000000002E-2</v>
      </c>
      <c r="O11" s="38">
        <f>($S$18*Params!K16)</f>
        <v>3235.3648259429301</v>
      </c>
      <c r="P11" s="23">
        <f>(O11*N11)</f>
        <v>102.32488335009705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3.8958E-3</v>
      </c>
      <c r="C12" s="39">
        <v>0</v>
      </c>
      <c r="D12" s="26">
        <f t="shared" si="0"/>
        <v>0</v>
      </c>
      <c r="E12" s="37">
        <f>(B12*J3)</f>
        <v>7.0566165764069133</v>
      </c>
      <c r="I12" t="s">
        <v>13</v>
      </c>
      <c r="J12">
        <f>(J11-B42)</f>
        <v>1.062763000000011E-2</v>
      </c>
      <c r="N12">
        <f>($B$35/5)</f>
        <v>1.8135999999999999E-2</v>
      </c>
      <c r="O12" s="38">
        <f>($S$18*Params!K17)</f>
        <v>6470.7296518858602</v>
      </c>
      <c r="P12" s="23">
        <f>(O12*N12)</f>
        <v>117.35315296660195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19.250246425874064</v>
      </c>
      <c r="N13">
        <f>($B$35/5)</f>
        <v>1.8135999999999999E-2</v>
      </c>
      <c r="O13" s="38">
        <f>($S$18*Params!K18)</f>
        <v>12941.45930377172</v>
      </c>
      <c r="P13" s="23">
        <f>(O13*N13)</f>
        <v>234.70630593320391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461.83956724990293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8.6035E-2</v>
      </c>
      <c r="S18" s="38">
        <f>(T18/R18)</f>
        <v>1617.6824129714651</v>
      </c>
      <c r="T18" s="23">
        <f>(D35+1283.68*B39)</f>
        <v>139.17730639999999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6.3229999999999996E-3</v>
      </c>
      <c r="O19" s="38">
        <f>($S$19*Params!K16)</f>
        <v>3321.0585532167211</v>
      </c>
      <c r="P19" s="23">
        <f>(O19*N19)</f>
        <v>20.999053231989325</v>
      </c>
      <c r="R19" s="24">
        <f>(B36+B38)</f>
        <v>1.6864999999999998E-2</v>
      </c>
      <c r="S19" s="38">
        <f>(T19/R19)</f>
        <v>1660.5292766083605</v>
      </c>
      <c r="T19" s="23">
        <f>(D36+1269.75*B38)</f>
        <v>28.004826249999997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3.5139999999999998E-3</v>
      </c>
      <c r="O20" s="38">
        <f>($S$19*Params!K17)</f>
        <v>6642.1171064334421</v>
      </c>
      <c r="P20" s="23">
        <f>(O20*N20)</f>
        <v>23.340399512007114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3.5139999999999998E-3</v>
      </c>
      <c r="O21" s="38">
        <f>($S$19*Params!K18)</f>
        <v>13284.234212866884</v>
      </c>
      <c r="P21" s="23">
        <f>(O21*N21)</f>
        <v>46.680799024014227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92.151776768010677</v>
      </c>
      <c r="R23" s="24">
        <f>(B40)</f>
        <v>2.981E-2</v>
      </c>
      <c r="S23" s="38">
        <f>(T23/R23)</f>
        <v>1823.2136866823214</v>
      </c>
      <c r="T23" s="23">
        <f>(D40)</f>
        <v>54.35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0.48937237000000006</v>
      </c>
      <c r="T32" s="23">
        <f>(SUM(T5:T31))</f>
        <v>1378.5989255217839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5.9620000000000003E-3</v>
      </c>
      <c r="O34" s="38">
        <f>($S$23*Params!K15)</f>
        <v>2734.8205300234822</v>
      </c>
      <c r="P34" s="23">
        <f>(O34*N34)</f>
        <v>16.305000000000003</v>
      </c>
    </row>
    <row r="35" spans="2:16">
      <c r="B35" s="24">
        <v>9.0679999999999997E-2</v>
      </c>
      <c r="C35" s="38">
        <f>(D35/B35)</f>
        <v>1600.5734450816055</v>
      </c>
      <c r="D35" s="23">
        <v>145.13999999999999</v>
      </c>
      <c r="E35" t="s">
        <v>10</v>
      </c>
      <c r="N35">
        <f>($R$23/5)</f>
        <v>5.9620000000000003E-3</v>
      </c>
      <c r="O35" s="38">
        <f>($S$23*Params!K16)</f>
        <v>3646.4273733646428</v>
      </c>
      <c r="P35" s="23">
        <f>(O35*N35)</f>
        <v>21.740000000000002</v>
      </c>
    </row>
    <row r="36" spans="2:16">
      <c r="B36" s="24">
        <v>1.7569999999999999E-2</v>
      </c>
      <c r="C36" s="38">
        <f>(D36/B36)</f>
        <v>1644.8491747296528</v>
      </c>
      <c r="D36" s="23">
        <v>28.9</v>
      </c>
      <c r="E36" t="s">
        <v>15</v>
      </c>
      <c r="N36">
        <f>($R$23/5)</f>
        <v>5.9620000000000003E-3</v>
      </c>
      <c r="O36" s="38">
        <f>($S$23*Params!K17)</f>
        <v>7292.8547467292856</v>
      </c>
      <c r="P36" s="23">
        <f>(O36*N36)</f>
        <v>43.480000000000004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5.9620000000000003E-3</v>
      </c>
      <c r="O37" s="38">
        <f>($S$23*Params!K18)</f>
        <v>14585.709493458571</v>
      </c>
      <c r="P37" s="23">
        <f>(O37*N37)</f>
        <v>86.960000000000008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168.48500000000001</v>
      </c>
    </row>
    <row r="40" spans="2:16">
      <c r="B40" s="24">
        <v>2.981E-2</v>
      </c>
      <c r="C40" s="38">
        <f>(D40/B40)</f>
        <v>1823.2136866823214</v>
      </c>
      <c r="D40" s="23">
        <v>54.35</v>
      </c>
      <c r="E40" t="s">
        <v>18</v>
      </c>
    </row>
    <row r="42" spans="2:16">
      <c r="B42">
        <f>(SUM(B5:B41))</f>
        <v>0.48937236999999989</v>
      </c>
      <c r="D42" s="23">
        <f>(SUM(D5:D41))</f>
        <v>1378.5989255217842</v>
      </c>
      <c r="H42" t="s">
        <v>9</v>
      </c>
      <c r="I42" s="38">
        <f>D42/B42</f>
        <v>2817.0755237403055</v>
      </c>
    </row>
  </sheetData>
  <conditionalFormatting sqref="C5:C7 C11 C18:C24">
    <cfRule type="cellIs" dxfId="335" priority="37" operator="lessThan">
      <formula>$J$3</formula>
    </cfRule>
    <cfRule type="cellIs" dxfId="334" priority="38" operator="greaterThan">
      <formula>$J$3</formula>
    </cfRule>
  </conditionalFormatting>
  <conditionalFormatting sqref="C25">
    <cfRule type="cellIs" dxfId="333" priority="35" operator="lessThan">
      <formula>$J$3</formula>
    </cfRule>
    <cfRule type="cellIs" dxfId="332" priority="36" operator="greaterThan">
      <formula>$J$3</formula>
    </cfRule>
  </conditionalFormatting>
  <conditionalFormatting sqref="C27">
    <cfRule type="cellIs" dxfId="331" priority="33" operator="lessThan">
      <formula>$J$3</formula>
    </cfRule>
    <cfRule type="cellIs" dxfId="330" priority="34" operator="greaterThan">
      <formula>$J$3</formula>
    </cfRule>
  </conditionalFormatting>
  <conditionalFormatting sqref="C29">
    <cfRule type="cellIs" dxfId="329" priority="31" operator="lessThan">
      <formula>$J$3</formula>
    </cfRule>
    <cfRule type="cellIs" dxfId="328" priority="32" operator="greaterThan">
      <formula>$J$3</formula>
    </cfRule>
  </conditionalFormatting>
  <conditionalFormatting sqref="C31">
    <cfRule type="cellIs" dxfId="327" priority="29" operator="lessThan">
      <formula>$J$3</formula>
    </cfRule>
    <cfRule type="cellIs" dxfId="326" priority="30" operator="greaterThan">
      <formula>$J$3</formula>
    </cfRule>
  </conditionalFormatting>
  <conditionalFormatting sqref="C33">
    <cfRule type="cellIs" dxfId="325" priority="27" operator="lessThan">
      <formula>$J$3</formula>
    </cfRule>
    <cfRule type="cellIs" dxfId="324" priority="28" operator="greaterThan">
      <formula>$J$3</formula>
    </cfRule>
  </conditionalFormatting>
  <conditionalFormatting sqref="C35:C37">
    <cfRule type="cellIs" dxfId="323" priority="25" operator="lessThan">
      <formula>$J$3</formula>
    </cfRule>
    <cfRule type="cellIs" dxfId="322" priority="26" operator="greaterThan">
      <formula>$J$3</formula>
    </cfRule>
  </conditionalFormatting>
  <conditionalFormatting sqref="C40">
    <cfRule type="cellIs" dxfId="321" priority="23" operator="lessThan">
      <formula>$J$3</formula>
    </cfRule>
    <cfRule type="cellIs" dxfId="320" priority="24" operator="greaterThan">
      <formula>$J$3</formula>
    </cfRule>
  </conditionalFormatting>
  <conditionalFormatting sqref="I42">
    <cfRule type="cellIs" dxfId="319" priority="21" operator="lessThan">
      <formula>$J$3</formula>
    </cfRule>
    <cfRule type="cellIs" dxfId="318" priority="22" operator="greaterThan">
      <formula>$J$3</formula>
    </cfRule>
  </conditionalFormatting>
  <conditionalFormatting sqref="O11:O13">
    <cfRule type="cellIs" dxfId="317" priority="19" operator="lessThan">
      <formula>$J$3</formula>
    </cfRule>
    <cfRule type="cellIs" dxfId="316" priority="20" operator="greaterThan">
      <formula>$J$3</formula>
    </cfRule>
  </conditionalFormatting>
  <conditionalFormatting sqref="O19:O21">
    <cfRule type="cellIs" dxfId="315" priority="17" operator="lessThan">
      <formula>$J$3</formula>
    </cfRule>
    <cfRule type="cellIs" dxfId="314" priority="18" operator="greaterThan">
      <formula>$J$3</formula>
    </cfRule>
  </conditionalFormatting>
  <conditionalFormatting sqref="O26:O29">
    <cfRule type="cellIs" dxfId="313" priority="15" operator="lessThan">
      <formula>$J$3</formula>
    </cfRule>
    <cfRule type="cellIs" dxfId="312" priority="16" operator="greaterThan">
      <formula>$J$3</formula>
    </cfRule>
  </conditionalFormatting>
  <conditionalFormatting sqref="O34:O37">
    <cfRule type="cellIs" dxfId="311" priority="13" operator="lessThan">
      <formula>$J$3</formula>
    </cfRule>
    <cfRule type="cellIs" dxfId="310" priority="14" operator="greaterThan">
      <formula>$J$3</formula>
    </cfRule>
  </conditionalFormatting>
  <conditionalFormatting sqref="N6">
    <cfRule type="cellIs" dxfId="309" priority="11" operator="lessThan">
      <formula>$J$3</formula>
    </cfRule>
    <cfRule type="cellIs" dxfId="308" priority="12" operator="greaterThan">
      <formula>$J$3</formula>
    </cfRule>
  </conditionalFormatting>
  <conditionalFormatting sqref="O3">
    <cfRule type="cellIs" dxfId="307" priority="9" operator="greaterThan">
      <formula>$J$3</formula>
    </cfRule>
    <cfRule type="cellIs" dxfId="306" priority="10" operator="lessThan">
      <formula>$J$3</formula>
    </cfRule>
  </conditionalFormatting>
  <conditionalFormatting sqref="S5:S7">
    <cfRule type="cellIs" dxfId="305" priority="7" operator="lessThan">
      <formula>$J$3</formula>
    </cfRule>
    <cfRule type="cellIs" dxfId="304" priority="8" operator="greaterThan">
      <formula>$J$3</formula>
    </cfRule>
  </conditionalFormatting>
  <conditionalFormatting sqref="S10:S15">
    <cfRule type="cellIs" dxfId="303" priority="5" operator="lessThan">
      <formula>$J$3</formula>
    </cfRule>
    <cfRule type="cellIs" dxfId="302" priority="6" operator="greaterThan">
      <formula>$J$3</formula>
    </cfRule>
  </conditionalFormatting>
  <conditionalFormatting sqref="S18:S20">
    <cfRule type="cellIs" dxfId="301" priority="3" operator="lessThan">
      <formula>$J$3</formula>
    </cfRule>
    <cfRule type="cellIs" dxfId="300" priority="4" operator="greaterThan">
      <formula>$J$3</formula>
    </cfRule>
  </conditionalFormatting>
  <conditionalFormatting sqref="S23">
    <cfRule type="cellIs" dxfId="299" priority="1" operator="lessThan">
      <formula>$J$3</formula>
    </cfRule>
    <cfRule type="cellIs" dxfId="298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3.2129159792664752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22.603233335218953</v>
      </c>
      <c r="K4" s="4">
        <f>(J4/D14-1)</f>
        <v>-0.20719391030435064</v>
      </c>
      <c r="R4" t="s">
        <v>5</v>
      </c>
      <c r="S4" t="s">
        <v>6</v>
      </c>
      <c r="T4" t="s">
        <v>7</v>
      </c>
    </row>
    <row r="5" spans="2:21">
      <c r="B5" s="29">
        <v>6.6847200000000004</v>
      </c>
      <c r="C5" s="37">
        <f>(D5/B5)</f>
        <v>4.2933735444416516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0.28445324</v>
      </c>
      <c r="S5" s="39">
        <v>0</v>
      </c>
      <c r="T5" s="26">
        <f>(D6)</f>
        <v>0</v>
      </c>
      <c r="U5" s="37">
        <f>(R5*J3)</f>
        <v>0.91392436015012168</v>
      </c>
    </row>
    <row r="6" spans="2:21">
      <c r="B6" s="36">
        <v>0.28445324</v>
      </c>
      <c r="C6" s="39">
        <v>0</v>
      </c>
      <c r="D6" s="26">
        <f>(B6*C6)</f>
        <v>0</v>
      </c>
      <c r="E6" s="37">
        <f>(B6*J3)</f>
        <v>0.91392436015012168</v>
      </c>
      <c r="M6" t="s">
        <v>11</v>
      </c>
      <c r="N6" s="29">
        <f>(SUM(R5:R7)/5)</f>
        <v>1.4070229960000002</v>
      </c>
      <c r="O6" s="37">
        <f>($C$5*Params!K8)</f>
        <v>5.5813856077741475</v>
      </c>
      <c r="P6" s="37">
        <f>(O6*N6)</f>
        <v>7.8531378996816636</v>
      </c>
      <c r="R6" s="29">
        <f>(B5)</f>
        <v>6.6847200000000004</v>
      </c>
      <c r="S6" s="37">
        <f>(T6/R6)</f>
        <v>4.2933735444416516</v>
      </c>
      <c r="T6" s="37">
        <f>(D5)</f>
        <v>28.7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1.4070229960000002</v>
      </c>
      <c r="O7" s="37">
        <f>($C$5*Params!K9)</f>
        <v>6.8693976711066433</v>
      </c>
      <c r="P7" s="37">
        <f>(O7*N7)</f>
        <v>9.6654004919158929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1.4070229960000002</v>
      </c>
      <c r="O8" s="37">
        <f>($C$5*Params!K10)</f>
        <v>9.445421797771635</v>
      </c>
      <c r="P8" s="37">
        <f>(O8*N8)</f>
        <v>13.289925676384355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1.4070229960000002</v>
      </c>
      <c r="O9" s="37">
        <f>($C$5*Params!K11)</f>
        <v>17.173494177766607</v>
      </c>
      <c r="P9" s="37">
        <f>(O9*N9)</f>
        <v>24.16350122978973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54.971965297771639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4.052587412011281</v>
      </c>
    </row>
    <row r="14" spans="2:21">
      <c r="B14" s="29">
        <f>(SUM(B5:B13))</f>
        <v>7.0351149800000012</v>
      </c>
      <c r="D14" s="37">
        <f>(SUM(D5:D13))</f>
        <v>28.51041841</v>
      </c>
      <c r="R14" s="29">
        <f>(SUM(R5:R13))</f>
        <v>7.0351149800000012</v>
      </c>
      <c r="T14" s="37">
        <f>(SUM(T5:T13))</f>
        <v>28.51041841</v>
      </c>
    </row>
    <row r="22" spans="4:4">
      <c r="D22" s="29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10.453526653586451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12.595368545987757</v>
      </c>
      <c r="K4" s="4">
        <f>(J4/D14-1)</f>
        <v>0.15236674711690368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0.91924205155664396</v>
      </c>
      <c r="M6" t="s">
        <v>11</v>
      </c>
      <c r="N6" s="1">
        <f>(SUM($B$5:$B$7)/5)</f>
        <v>0.24097836000000003</v>
      </c>
      <c r="O6" s="37">
        <f>($C$5*Params!K8)</f>
        <v>12.800900900900901</v>
      </c>
      <c r="P6" s="37">
        <f>(O6*N6)</f>
        <v>3.0847401056216222</v>
      </c>
    </row>
    <row r="7" spans="2:16">
      <c r="B7" s="36">
        <v>6.9557300000000002E-3</v>
      </c>
      <c r="C7" s="39">
        <v>0</v>
      </c>
      <c r="D7" s="26">
        <f>(C7*B7)</f>
        <v>0</v>
      </c>
      <c r="E7" s="37">
        <f>(B7*J4)</f>
        <v>8.7609982856383425E-2</v>
      </c>
      <c r="N7" s="1">
        <f>(SUM($B$5:$B$7)/5)</f>
        <v>0.24097836000000003</v>
      </c>
      <c r="O7" s="37">
        <f>($C$5*Params!K9)</f>
        <v>15.754954954954954</v>
      </c>
      <c r="P7" s="37">
        <f>(O7*N7)</f>
        <v>3.7966032069189191</v>
      </c>
    </row>
    <row r="8" spans="2:16">
      <c r="N8" s="1">
        <f>(SUM($B$5:$B$7)/5)</f>
        <v>0.24097836000000003</v>
      </c>
      <c r="O8" s="37">
        <f>($C$5*Params!K10)</f>
        <v>21.663063063063063</v>
      </c>
      <c r="P8" s="37">
        <f>(O8*N8)</f>
        <v>5.2203294095135142</v>
      </c>
    </row>
    <row r="9" spans="2:16">
      <c r="N9" s="1">
        <f>(SUM($B$5:$B$7)/5)</f>
        <v>0.24097836000000003</v>
      </c>
      <c r="O9" s="37">
        <f>($C$5*Params!K11)</f>
        <v>39.387387387387385</v>
      </c>
      <c r="P9" s="37">
        <f>(O9*N9)</f>
        <v>9.4915080172972974</v>
      </c>
    </row>
    <row r="12" spans="2:16">
      <c r="P12" s="37">
        <f>(SUM(P6:P9))</f>
        <v>21.593180739351354</v>
      </c>
    </row>
    <row r="13" spans="2:16">
      <c r="F13" t="s">
        <v>9</v>
      </c>
      <c r="G13" s="37">
        <f>(D14/B14)</f>
        <v>9.0713539589197953</v>
      </c>
    </row>
    <row r="14" spans="2:16">
      <c r="B14" s="19">
        <f>(SUM(B5:B13))</f>
        <v>1.2048918000000002</v>
      </c>
      <c r="D14" s="37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11" sqref="B11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14.035238480973909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29.272066570762039</v>
      </c>
      <c r="K4" s="4">
        <f>(J4/D13-1)</f>
        <v>-0.13000753945003929</v>
      </c>
      <c r="R4" t="s">
        <v>5</v>
      </c>
      <c r="S4" t="s">
        <v>6</v>
      </c>
      <c r="T4" t="s">
        <v>7</v>
      </c>
    </row>
    <row r="5" spans="2:21">
      <c r="B5">
        <v>1.75847</v>
      </c>
      <c r="C5" s="37">
        <f>(D5/B5)</f>
        <v>16.321006329365868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8.5996400000000004E-3</v>
      </c>
      <c r="S5" s="39">
        <v>0</v>
      </c>
      <c r="T5" s="26">
        <f>(D6)</f>
        <v>0</v>
      </c>
      <c r="U5" s="37">
        <f>(R5*J3)</f>
        <v>0.12069799825052248</v>
      </c>
    </row>
    <row r="6" spans="2:21">
      <c r="B6" s="25">
        <v>8.5996400000000004E-3</v>
      </c>
      <c r="C6" s="39">
        <v>0</v>
      </c>
      <c r="D6" s="26">
        <f>(B6*C6)</f>
        <v>0</v>
      </c>
      <c r="E6" s="37">
        <f>(B6*J3)</f>
        <v>0.12069799825052248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1.6867699999999999</v>
      </c>
      <c r="S6" s="37">
        <f>(T6/R6)</f>
        <v>16.481726613586915</v>
      </c>
      <c r="T6" s="37">
        <f>(D5+12.54*-N6)</f>
        <v>27.800881999999998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0.63168800000000003</v>
      </c>
      <c r="O7" s="37">
        <f>($C$5*Params!K9)</f>
        <v>26.113610126985392</v>
      </c>
      <c r="P7" s="37">
        <f>(O7*N7)</f>
        <v>16.495654153895149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0.35169400000000001</v>
      </c>
      <c r="O8" s="37">
        <f>($C$5*Params!K10)</f>
        <v>35.906213924604913</v>
      </c>
      <c r="P8" s="37">
        <f>(O8*N8)</f>
        <v>12.628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0.35169400000000001</v>
      </c>
      <c r="O9" s="37">
        <f>($C$5*Params!K11)</f>
        <v>65.284025317463474</v>
      </c>
      <c r="P9" s="37">
        <f>(O9*N9)</f>
        <v>22.96</v>
      </c>
      <c r="R9" s="24">
        <f>(B10)</f>
        <v>0.37731999999999999</v>
      </c>
      <c r="S9" s="37">
        <f>(T9/R9)</f>
        <v>16.458178734230891</v>
      </c>
      <c r="T9" s="37">
        <f>(D10)</f>
        <v>6.21</v>
      </c>
      <c r="U9" t="str">
        <f>E10</f>
        <v>DCA4</v>
      </c>
    </row>
    <row r="10" spans="2:21">
      <c r="B10">
        <v>0.37731999999999999</v>
      </c>
      <c r="C10" s="37">
        <f>(D10/B10)</f>
        <v>16.458178734230891</v>
      </c>
      <c r="D10" s="37">
        <v>6.21</v>
      </c>
      <c r="E10" t="s">
        <v>80</v>
      </c>
    </row>
    <row r="11" spans="2:21">
      <c r="P11" s="37">
        <f>(SUM(P6:P9))</f>
        <v>53.215797153895153</v>
      </c>
    </row>
    <row r="12" spans="2:21">
      <c r="F12" t="s">
        <v>9</v>
      </c>
      <c r="G12" s="37">
        <f>(D13/B13)</f>
        <v>16.132597829757756</v>
      </c>
    </row>
    <row r="13" spans="2:21">
      <c r="B13" s="24">
        <f>(SUM(B5:B12))</f>
        <v>2.08561234</v>
      </c>
      <c r="D13" s="37">
        <f>(SUM(D5:D12))</f>
        <v>33.646345109999999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2.08561234</v>
      </c>
      <c r="T13" s="37">
        <f>(SUM(T5:T12))</f>
        <v>33.646345109999999</v>
      </c>
    </row>
    <row r="14" spans="2:21">
      <c r="M14" t="s">
        <v>11</v>
      </c>
      <c r="N14" s="24">
        <f>($B$10/5)</f>
        <v>7.5464000000000003E-2</v>
      </c>
      <c r="O14" s="37">
        <f>($C$10*Params!K8)</f>
        <v>21.395632354500158</v>
      </c>
      <c r="P14" s="37">
        <f>(O14*N14)</f>
        <v>1.6146</v>
      </c>
    </row>
    <row r="15" spans="2:21">
      <c r="N15" s="24">
        <f>($B$10/5)</f>
        <v>7.5464000000000003E-2</v>
      </c>
      <c r="O15" s="37">
        <f>($C$10*Params!K9)</f>
        <v>26.333085974769428</v>
      </c>
      <c r="P15" s="37">
        <f>(O15*N15)</f>
        <v>1.9872000000000003</v>
      </c>
    </row>
    <row r="16" spans="2:21">
      <c r="N16" s="24">
        <f>($B$10/5)</f>
        <v>7.5464000000000003E-2</v>
      </c>
      <c r="O16" s="37">
        <f>($C$10*Params!K10)</f>
        <v>36.207993215307965</v>
      </c>
      <c r="P16" s="37">
        <f>(O16*N16)</f>
        <v>2.7324000000000006</v>
      </c>
    </row>
    <row r="17" spans="14:16">
      <c r="N17" s="24">
        <f>($B$10/5)</f>
        <v>7.5464000000000003E-2</v>
      </c>
      <c r="O17" s="37">
        <f>($C$10*Params!K11)</f>
        <v>65.832714936923566</v>
      </c>
      <c r="P17" s="37">
        <f>(O17*N17)</f>
        <v>4.968</v>
      </c>
    </row>
    <row r="19" spans="14:16">
      <c r="P19" s="37">
        <f>(SUM(P14:P17))</f>
        <v>11.302200000000001</v>
      </c>
    </row>
  </sheetData>
  <conditionalFormatting sqref="C5">
    <cfRule type="cellIs" dxfId="213" priority="15" operator="lessThan">
      <formula>$J$3</formula>
    </cfRule>
    <cfRule type="cellIs" dxfId="212" priority="16" operator="greaterThan">
      <formula>$J$3</formula>
    </cfRule>
  </conditionalFormatting>
  <conditionalFormatting sqref="C9:C10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S6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S9">
    <cfRule type="cellIs" dxfId="207" priority="9" operator="lessThan">
      <formula>$J$3</formula>
    </cfRule>
    <cfRule type="cellIs" dxfId="206" priority="10" operator="greaterThan">
      <formula>$J$3</formula>
    </cfRule>
  </conditionalFormatting>
  <conditionalFormatting sqref="O7:O9">
    <cfRule type="cellIs" dxfId="205" priority="7" operator="lessThan">
      <formula>$J$3</formula>
    </cfRule>
    <cfRule type="cellIs" dxfId="204" priority="8" operator="greaterThan">
      <formula>$J$3</formula>
    </cfRule>
  </conditionalFormatting>
  <conditionalFormatting sqref="O14:O17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3">
    <cfRule type="cellIs" dxfId="201" priority="3" operator="greaterThan">
      <formula>$J$3</formula>
    </cfRule>
    <cfRule type="cellIs" dxfId="200" priority="4" operator="lessThan">
      <formula>$J$3</formula>
    </cfRule>
  </conditionalFormatting>
  <conditionalFormatting sqref="G12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7">
        <v>2.564800050103191E-3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2.450118192880649</v>
      </c>
      <c r="K4" s="4">
        <f>(J4/D13-1)</f>
        <v>-0.13489445237023989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7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7">
        <f>(T5/R5)</f>
        <v>3.3950093362756749E-3</v>
      </c>
      <c r="T5" s="38">
        <f>(D5)</f>
        <v>3</v>
      </c>
    </row>
    <row r="6" spans="2:20">
      <c r="B6" s="19">
        <v>-170.21276596000001</v>
      </c>
      <c r="C6" s="47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7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7">
        <v>0</v>
      </c>
      <c r="T6" s="38">
        <f>(SUM(D6:D11))</f>
        <v>-0.16783900000000007</v>
      </c>
    </row>
    <row r="7" spans="2:20">
      <c r="B7" s="19">
        <v>-175.57251908000001</v>
      </c>
      <c r="C7" s="47">
        <f t="shared" si="0"/>
        <v>5.0894468262020218E-3</v>
      </c>
      <c r="D7" s="37">
        <v>-0.893567</v>
      </c>
      <c r="N7" s="19">
        <f>(($B$5+$R$6)/5)</f>
        <v>191.05724773999998</v>
      </c>
      <c r="O7" s="47">
        <f>($C$5*Params!K9)</f>
        <v>5.4320149380410803E-3</v>
      </c>
      <c r="P7" s="37">
        <f>(O7*N7)</f>
        <v>1.0378258237446953</v>
      </c>
      <c r="S7" s="47"/>
    </row>
    <row r="8" spans="2:20">
      <c r="B8" s="19">
        <v>-167.78523490000001</v>
      </c>
      <c r="C8" s="47">
        <f t="shared" si="0"/>
        <v>7.2337771599710653E-3</v>
      </c>
      <c r="D8" s="37">
        <v>-1.213721</v>
      </c>
      <c r="N8" s="19">
        <f>(($B$5+$R$6)/5)</f>
        <v>191.05724773999998</v>
      </c>
      <c r="O8" s="47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7">
        <f t="shared" si="0"/>
        <v>5.7642178485542315E-3</v>
      </c>
      <c r="D9" s="37">
        <v>1.1300110000000001</v>
      </c>
      <c r="N9" s="19">
        <f>(($B$5+$R$6)/5)</f>
        <v>191.05724773999998</v>
      </c>
      <c r="O9" s="47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7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7">
        <f t="shared" si="0"/>
        <v>3.8549860588491342E-3</v>
      </c>
      <c r="D11" s="37">
        <v>0.737757</v>
      </c>
    </row>
    <row r="12" spans="2:20">
      <c r="F12" t="s">
        <v>9</v>
      </c>
      <c r="G12" s="47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197" priority="17" operator="lessThan">
      <formula>$J$3</formula>
    </cfRule>
    <cfRule type="cellIs" dxfId="196" priority="18" operator="greaterThan">
      <formula>$J$3</formula>
    </cfRule>
  </conditionalFormatting>
  <conditionalFormatting sqref="C9:C11">
    <cfRule type="cellIs" dxfId="195" priority="15" operator="lessThan">
      <formula>$J$3</formula>
    </cfRule>
    <cfRule type="cellIs" dxfId="194" priority="16" operator="greaterThan">
      <formula>$J$3</formula>
    </cfRule>
    <cfRule type="cellIs" dxfId="193" priority="13" operator="lessThan">
      <formula>$J$3</formula>
    </cfRule>
    <cfRule type="cellIs" dxfId="192" priority="14" operator="greaterThan">
      <formula>$J$3</formula>
    </cfRule>
  </conditionalFormatting>
  <conditionalFormatting sqref="O6:O9">
    <cfRule type="cellIs" dxfId="191" priority="11" operator="lessThan">
      <formula>$J$3</formula>
    </cfRule>
    <cfRule type="cellIs" dxfId="190" priority="12" operator="greaterThan">
      <formula>$J$3</formula>
    </cfRule>
    <cfRule type="cellIs" dxfId="189" priority="9" operator="lessThan">
      <formula>$J$3</formula>
    </cfRule>
    <cfRule type="cellIs" dxfId="188" priority="10" operator="greaterThan">
      <formula>$J$3</formula>
    </cfRule>
  </conditionalFormatting>
  <conditionalFormatting sqref="S5">
    <cfRule type="cellIs" dxfId="187" priority="7" operator="lessThan">
      <formula>$J$3</formula>
    </cfRule>
    <cfRule type="cellIs" dxfId="186" priority="8" operator="greaterThan">
      <formula>$J$3</formula>
    </cfRule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G12">
    <cfRule type="cellIs" dxfId="183" priority="3" operator="lessThan">
      <formula>$J$3</formula>
    </cfRule>
    <cfRule type="cellIs" dxfId="182" priority="4" operator="greaterThan">
      <formula>$J$3</formula>
    </cfRule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D11" sqref="D11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304.4351235470142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144.73838536362942</v>
      </c>
      <c r="K4" s="4">
        <f>(J4/D15-1)</f>
        <v>-4.3259888941631353E-3</v>
      </c>
      <c r="R4" t="s">
        <v>5</v>
      </c>
      <c r="S4" t="s">
        <v>6</v>
      </c>
      <c r="T4" t="s">
        <v>7</v>
      </c>
    </row>
    <row r="5" spans="2:21">
      <c r="B5" s="48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8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8">
        <v>6.6478800000000001E-3</v>
      </c>
      <c r="C6" s="37">
        <v>373</v>
      </c>
      <c r="D6" s="37">
        <f>(C6*B6)</f>
        <v>2.4796592400000002</v>
      </c>
      <c r="M6" t="s">
        <v>11</v>
      </c>
      <c r="N6" s="24">
        <f>($R$8/5)</f>
        <v>7.4289999999999995E-2</v>
      </c>
      <c r="O6" s="37">
        <f>($S$8*Params!K8)</f>
        <v>397.6120608426437</v>
      </c>
      <c r="P6" s="37">
        <f>(O6*N6)</f>
        <v>29.538599999999999</v>
      </c>
      <c r="R6" s="48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8">
        <v>2.3499999999999999E-4</v>
      </c>
      <c r="C7" s="37">
        <v>0</v>
      </c>
      <c r="D7" s="37">
        <v>0</v>
      </c>
      <c r="E7" s="37">
        <f>(B7*J3)</f>
        <v>7.154225403354833E-2</v>
      </c>
      <c r="N7" s="24">
        <f>($R$8/5)</f>
        <v>7.4289999999999995E-2</v>
      </c>
      <c r="O7" s="37">
        <f>($S$8*Params!K9)</f>
        <v>489.36869026786917</v>
      </c>
      <c r="P7" s="37">
        <f>(O7*N7)</f>
        <v>36.355199999999996</v>
      </c>
      <c r="R7" s="48">
        <f>(B7+B8+B10)</f>
        <v>6.3699000000000004E-4</v>
      </c>
      <c r="S7" s="37">
        <f>(C7)</f>
        <v>0</v>
      </c>
      <c r="T7" s="37">
        <f>(R7*S7)</f>
        <v>0</v>
      </c>
    </row>
    <row r="8" spans="2:21">
      <c r="B8" s="48">
        <v>9.4980000000000002E-5</v>
      </c>
      <c r="C8" s="37">
        <v>0</v>
      </c>
      <c r="D8" s="37">
        <v>0</v>
      </c>
      <c r="E8" s="37">
        <f>(B8*J3)</f>
        <v>2.8915248034495411E-2</v>
      </c>
      <c r="N8" s="24">
        <f>($R$8/5)</f>
        <v>7.4289999999999995E-2</v>
      </c>
      <c r="O8" s="37">
        <f>($S$8*Params!K10)</f>
        <v>672.88194911832011</v>
      </c>
      <c r="P8" s="37">
        <f>(O8*N8)</f>
        <v>49.988399999999999</v>
      </c>
      <c r="R8" s="48">
        <f>(B11)</f>
        <v>0.37145</v>
      </c>
      <c r="S8" s="37">
        <f>(C11)</f>
        <v>305.85543141741823</v>
      </c>
      <c r="T8" s="37">
        <f>(R8*S8)</f>
        <v>113.61</v>
      </c>
      <c r="U8" t="s">
        <v>10</v>
      </c>
    </row>
    <row r="9" spans="2:21">
      <c r="B9" s="48">
        <v>9.0920000000000004E-5</v>
      </c>
      <c r="C9" s="37">
        <v>276</v>
      </c>
      <c r="D9" s="37">
        <f>(B9*C9)</f>
        <v>2.5093920000000002E-2</v>
      </c>
      <c r="E9" s="37"/>
      <c r="N9" s="24">
        <f>($R$8/5)</f>
        <v>7.4289999999999995E-2</v>
      </c>
      <c r="O9" s="37">
        <f>($S$8*Params!K11)</f>
        <v>1223.4217256696729</v>
      </c>
      <c r="P9" s="37">
        <f>(O9*N9)</f>
        <v>90.887999999999991</v>
      </c>
      <c r="R9" s="48">
        <f>(B12)</f>
        <v>9.4380000000000006E-2</v>
      </c>
      <c r="S9" s="37">
        <f>(C12)</f>
        <v>304.08984954439495</v>
      </c>
      <c r="T9" s="37">
        <f>(R9*S9)</f>
        <v>28.699999999999996</v>
      </c>
      <c r="U9" t="s">
        <v>15</v>
      </c>
    </row>
    <row r="10" spans="2:21">
      <c r="B10" s="48">
        <v>3.0700999999999998E-4</v>
      </c>
      <c r="C10" s="37">
        <v>0</v>
      </c>
      <c r="D10" s="37">
        <v>0</v>
      </c>
      <c r="E10" s="37">
        <f>(B10*J3)</f>
        <v>9.3464627280168827E-2</v>
      </c>
      <c r="P10" s="37"/>
      <c r="R10" s="48"/>
    </row>
    <row r="11" spans="2:21">
      <c r="B11" s="48">
        <v>0.37145</v>
      </c>
      <c r="C11" s="37">
        <f>(D11/B11)</f>
        <v>305.85543141741823</v>
      </c>
      <c r="D11" s="37">
        <v>113.61</v>
      </c>
      <c r="E11" t="s">
        <v>10</v>
      </c>
      <c r="P11" s="37">
        <f>(SUM(P6:P9))</f>
        <v>206.77019999999999</v>
      </c>
    </row>
    <row r="12" spans="2:21">
      <c r="B12" s="48">
        <v>9.4380000000000006E-2</v>
      </c>
      <c r="C12" s="37">
        <f>(D12/B12)</f>
        <v>304.08984954439495</v>
      </c>
      <c r="D12" s="37">
        <v>28.7</v>
      </c>
      <c r="E12" t="s">
        <v>15</v>
      </c>
    </row>
    <row r="13" spans="2:21">
      <c r="B13" s="48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1.8876E-2</v>
      </c>
      <c r="O14" s="37">
        <f>($S$9*Params!K8)</f>
        <v>395.31680440771345</v>
      </c>
      <c r="P14" s="37">
        <f>(O14*N14)</f>
        <v>7.4619999999999989</v>
      </c>
    </row>
    <row r="15" spans="2:21">
      <c r="B15" s="48">
        <f>(SUM(B5:B14))</f>
        <v>0.47543261000000003</v>
      </c>
      <c r="D15" s="37">
        <f>(SUM(D5:D14))</f>
        <v>145.36724243999998</v>
      </c>
      <c r="F15" t="s">
        <v>9</v>
      </c>
      <c r="G15" s="37">
        <f>(SUM(D5:D14)/SUM(B5:B14))</f>
        <v>305.75782851748426</v>
      </c>
      <c r="N15" s="24">
        <f>($R$9/5)</f>
        <v>1.8876E-2</v>
      </c>
      <c r="O15" s="37">
        <f>($S$9*Params!K9)</f>
        <v>486.54375927103194</v>
      </c>
      <c r="P15" s="37">
        <f>(O15*N15)</f>
        <v>9.1839999999999993</v>
      </c>
    </row>
    <row r="16" spans="2:21">
      <c r="N16" s="24">
        <f>($R$9/5)</f>
        <v>1.8876E-2</v>
      </c>
      <c r="O16" s="37">
        <f>($S$9*Params!K10)</f>
        <v>668.99766899766894</v>
      </c>
      <c r="P16" s="37">
        <f>(O16*N16)</f>
        <v>12.627999999999998</v>
      </c>
    </row>
    <row r="17" spans="13:16">
      <c r="N17" s="24">
        <f>($R$9/5)</f>
        <v>1.8876E-2</v>
      </c>
      <c r="O17" s="37">
        <f>($S$9*Params!K11)</f>
        <v>1216.3593981775798</v>
      </c>
      <c r="P17" s="37">
        <f>(O17*N17)</f>
        <v>22.959999999999997</v>
      </c>
    </row>
    <row r="18" spans="13:16">
      <c r="P18" s="37"/>
    </row>
    <row r="19" spans="13:16">
      <c r="P19" s="37">
        <f>(SUM(P14:P17))</f>
        <v>52.233999999999995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5.9094599999999996E-4</v>
      </c>
      <c r="O22" s="37">
        <f>($S$5*Params!K8)</f>
        <v>323.96134165178148</v>
      </c>
      <c r="P22" s="37">
        <f>(O22*N22)</f>
        <v>0.19144365900375365</v>
      </c>
    </row>
    <row r="23" spans="13:16">
      <c r="N23" s="24">
        <f>(($R$5+$R$7)/5)</f>
        <v>5.9094599999999996E-4</v>
      </c>
      <c r="O23" s="37">
        <f>($S$5*Params!K9)</f>
        <v>398.72165126373102</v>
      </c>
      <c r="P23" s="37">
        <f>(O23*N23)</f>
        <v>0.23562296492769677</v>
      </c>
    </row>
    <row r="24" spans="13:16">
      <c r="N24" s="24">
        <f>(($R$5+$R$7)/5)</f>
        <v>5.9094599999999996E-4</v>
      </c>
      <c r="O24" s="37">
        <f>($S$5*Params!K10)</f>
        <v>548.24227048763021</v>
      </c>
      <c r="P24" s="37">
        <f>(O24*N24)</f>
        <v>0.32398157677558309</v>
      </c>
    </row>
    <row r="25" spans="13:16">
      <c r="N25" s="24">
        <f>(($R$5+$R$7)/5)</f>
        <v>5.9094599999999996E-4</v>
      </c>
      <c r="O25" s="37">
        <f>($S$5*Params!K11)</f>
        <v>996.80412815932755</v>
      </c>
      <c r="P25" s="37">
        <f>(O25*N25)</f>
        <v>0.58905741231924191</v>
      </c>
    </row>
    <row r="26" spans="13:16">
      <c r="P26" s="37"/>
    </row>
    <row r="27" spans="13:16">
      <c r="P27" s="37">
        <f>(SUM(P22:P25))</f>
        <v>1.3401056130262754</v>
      </c>
    </row>
    <row r="35" spans="18:20">
      <c r="R35" s="48">
        <f>(SUM(R5:R25))</f>
        <v>0.47543261000000003</v>
      </c>
      <c r="T35" s="37">
        <f>(SUM(T5:T25))</f>
        <v>145.36724243999998</v>
      </c>
    </row>
  </sheetData>
  <conditionalFormatting sqref="C5:C6 C9 C11:C13">
    <cfRule type="cellIs" dxfId="179" priority="9" operator="lessThan">
      <formula>$J$3</formula>
    </cfRule>
    <cfRule type="cellIs" dxfId="178" priority="10" operator="greaterThan">
      <formula>$J$3</formula>
    </cfRule>
  </conditionalFormatting>
  <conditionalFormatting sqref="O6:O9">
    <cfRule type="cellIs" dxfId="177" priority="7" operator="lessThan">
      <formula>$J$3</formula>
    </cfRule>
    <cfRule type="cellIs" dxfId="176" priority="8" operator="greaterThan">
      <formula>$J$3</formula>
    </cfRule>
  </conditionalFormatting>
  <conditionalFormatting sqref="O14:O17">
    <cfRule type="cellIs" dxfId="175" priority="5" operator="lessThan">
      <formula>$J$3</formula>
    </cfRule>
    <cfRule type="cellIs" dxfId="174" priority="6" operator="greaterThan">
      <formula>$J$3</formula>
    </cfRule>
  </conditionalFormatting>
  <conditionalFormatting sqref="O22:O2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S5:S6 S8:S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:N9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7.0764992358859635E-2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4.3350199178022892</v>
      </c>
      <c r="K4" s="4">
        <f>(J4/D13-1)</f>
        <v>-0.13299601643954218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0.14026669999999999</v>
      </c>
      <c r="C6" s="39">
        <v>0</v>
      </c>
      <c r="D6" s="26">
        <f>(B6*C6)</f>
        <v>0</v>
      </c>
      <c r="E6" s="37">
        <f>(B6*J3)</f>
        <v>9.925971953702456E-3</v>
      </c>
      <c r="M6" t="s">
        <v>11</v>
      </c>
      <c r="N6" s="29">
        <f>($B$13/5)</f>
        <v>12.251877017999998</v>
      </c>
      <c r="O6" s="37">
        <f>($C$5*Params!K8)</f>
        <v>0.10634970155367125</v>
      </c>
      <c r="P6" s="37">
        <f>(O6*N6)</f>
        <v>1.3029834643365836</v>
      </c>
    </row>
    <row r="7" spans="2:16">
      <c r="N7" s="29">
        <f>($B$13/5)</f>
        <v>12.251877017999998</v>
      </c>
      <c r="O7" s="37">
        <f>($C$5*Params!K9)</f>
        <v>0.13089194037374924</v>
      </c>
      <c r="P7" s="37">
        <f>(O7*N7)</f>
        <v>1.6036719561065644</v>
      </c>
    </row>
    <row r="8" spans="2:16">
      <c r="N8" s="29">
        <f>($B$13/5)</f>
        <v>12.251877017999998</v>
      </c>
      <c r="O8" s="37">
        <f>($C$5*Params!K10)</f>
        <v>0.17997641801390521</v>
      </c>
      <c r="P8" s="37">
        <f>(O8*N8)</f>
        <v>2.205048939646526</v>
      </c>
    </row>
    <row r="9" spans="2:16">
      <c r="N9" s="29">
        <f>($B$13/5)</f>
        <v>12.251877017999998</v>
      </c>
      <c r="O9" s="37">
        <f>($C$5*Params!K11)</f>
        <v>0.32722985093437307</v>
      </c>
      <c r="P9" s="37">
        <f>(O9*N9)</f>
        <v>4.0091798902664104</v>
      </c>
    </row>
    <row r="11" spans="2:16">
      <c r="P11" s="37">
        <f>(SUM(P6:P9))</f>
        <v>9.1208842503560845</v>
      </c>
    </row>
    <row r="12" spans="2:16">
      <c r="F12" t="s">
        <v>9</v>
      </c>
      <c r="G12" s="37">
        <f>(D13/B13)</f>
        <v>8.1620146735952165E-2</v>
      </c>
    </row>
    <row r="13" spans="2:16">
      <c r="B13" s="29">
        <f>(SUM(B5:B12))</f>
        <v>61.259385089999995</v>
      </c>
      <c r="D13" s="37">
        <f>(SUM(D5:D12))</f>
        <v>5</v>
      </c>
    </row>
  </sheetData>
  <conditionalFormatting sqref="O6:O9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C5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12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6" sqref="B6"/>
    </sheetView>
  </sheetViews>
  <sheetFormatPr baseColWidth="10" defaultColWidth="9.140625" defaultRowHeight="15"/>
  <cols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5.227155721439134</v>
      </c>
      <c r="M3" t="s">
        <v>4</v>
      </c>
      <c r="N3">
        <f>(INDEX(N6:N30,MATCH(MAX(O6,O15),O6:O30,0))/0.9)</f>
        <v>0.2123197</v>
      </c>
      <c r="O3" s="38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25.226491347250587</v>
      </c>
      <c r="K4" s="4">
        <f>(J4/D14-1)</f>
        <v>-9.6612909501151756E-2</v>
      </c>
      <c r="R4" t="s">
        <v>5</v>
      </c>
      <c r="S4" t="s">
        <v>6</v>
      </c>
      <c r="T4" t="s">
        <v>7</v>
      </c>
    </row>
    <row r="5" spans="2:21">
      <c r="B5">
        <v>4.9157000000000002</v>
      </c>
      <c r="C5" s="37">
        <f>(D5/B5)</f>
        <v>5.8384360314909367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1.2184149999999999E-2</v>
      </c>
      <c r="S5" s="39">
        <v>0</v>
      </c>
      <c r="T5" s="26">
        <f>(D6)</f>
        <v>0</v>
      </c>
      <c r="U5">
        <f>(R5*J3)</f>
        <v>6.368844938337262E-2</v>
      </c>
    </row>
    <row r="6" spans="2:21">
      <c r="B6" s="25">
        <v>1.2184149999999999E-2</v>
      </c>
      <c r="C6" s="39">
        <v>0</v>
      </c>
      <c r="D6" s="26">
        <f>(B6*C6)</f>
        <v>0</v>
      </c>
      <c r="E6" s="37">
        <f>(B6*J3)</f>
        <v>6.368844938337262E-2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4.7246122699999997</v>
      </c>
      <c r="S6" s="37">
        <f>(T6/R6)</f>
        <v>5.8840371086667798</v>
      </c>
      <c r="T6" s="37">
        <f>(D5+4.710957*-N6)</f>
        <v>27.799793920742388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1.7751922699999998</v>
      </c>
      <c r="O7" s="37">
        <f>($S$6*Params!K9)</f>
        <v>9.4144593738668476</v>
      </c>
      <c r="P7" s="37">
        <f>(O7*N7)</f>
        <v>16.712475506717468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0.98314000000000001</v>
      </c>
      <c r="O8" s="37">
        <f>($C$5*Params!K10)</f>
        <v>12.844559269280062</v>
      </c>
      <c r="P8" s="37">
        <f>(O8*N8)</f>
        <v>12.628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0.98314000000000001</v>
      </c>
      <c r="O9" s="37">
        <f>($C$5*Params!K11)</f>
        <v>23.353744125963747</v>
      </c>
      <c r="P9" s="37">
        <f>(O9*N9)</f>
        <v>22.959999999999997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53.442754478479564</v>
      </c>
    </row>
    <row r="13" spans="2:21">
      <c r="F13" t="s">
        <v>9</v>
      </c>
      <c r="G13" s="37">
        <f>(D14/B14)</f>
        <v>5.7861749148448762</v>
      </c>
      <c r="N13" s="24"/>
      <c r="P13" s="37"/>
      <c r="R13" s="24">
        <f>(SUM(R5:R12))</f>
        <v>4.8260455000000002</v>
      </c>
      <c r="T13" s="37">
        <f>(SUM(T5:T12))</f>
        <v>27.924343409999999</v>
      </c>
    </row>
    <row r="14" spans="2:21">
      <c r="B14">
        <f>(SUM(B5:B13))</f>
        <v>4.8260455000000002</v>
      </c>
      <c r="D14" s="37">
        <f>(SUM(D5:D13))</f>
        <v>27.924343409999999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63" priority="13" operator="lessThan">
      <formula>$J$3</formula>
    </cfRule>
    <cfRule type="cellIs" dxfId="162" priority="14" operator="greaterThan">
      <formula>$J$3</formula>
    </cfRule>
  </conditionalFormatting>
  <conditionalFormatting sqref="G13">
    <cfRule type="cellIs" dxfId="161" priority="11" operator="lessThan">
      <formula>$J$3</formula>
    </cfRule>
    <cfRule type="cellIs" dxfId="160" priority="12" operator="greaterThan">
      <formula>$J$3</formula>
    </cfRule>
  </conditionalFormatting>
  <conditionalFormatting sqref="S6">
    <cfRule type="cellIs" dxfId="159" priority="9" operator="lessThan">
      <formula>$J$3</formula>
    </cfRule>
    <cfRule type="cellIs" dxfId="158" priority="10" operator="greaterThan">
      <formula>$J$3</formula>
    </cfRule>
  </conditionalFormatting>
  <conditionalFormatting sqref="S8">
    <cfRule type="cellIs" dxfId="157" priority="7" operator="lessThan">
      <formula>$J$3</formula>
    </cfRule>
    <cfRule type="cellIs" dxfId="156" priority="8" operator="greaterThan">
      <formula>$J$3</formula>
    </cfRule>
  </conditionalFormatting>
  <conditionalFormatting sqref="O7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16:O18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O3">
    <cfRule type="cellIs" dxfId="151" priority="1" operator="greaterThan">
      <formula>$J$3</formula>
    </cfRule>
    <cfRule type="cellIs" dxfId="150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35.502199167805273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4.3661587947483875</v>
      </c>
      <c r="K4" s="4">
        <f>(J4/D13-1)</f>
        <v>-0.16035407793300238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2.1351E-3</v>
      </c>
      <c r="C6" s="39">
        <v>0</v>
      </c>
      <c r="D6" s="26">
        <f>(B6*C6)</f>
        <v>0</v>
      </c>
      <c r="E6" s="37">
        <f>(B6*J3)</f>
        <v>7.5800745443181036E-2</v>
      </c>
      <c r="M6" t="s">
        <v>11</v>
      </c>
      <c r="N6" s="24">
        <f>($B$13/5)</f>
        <v>2.4596554E-2</v>
      </c>
      <c r="O6" s="37">
        <f>($C$5*Params!K8)</f>
        <v>55.939</v>
      </c>
      <c r="P6" s="37">
        <f>(O6*N6)</f>
        <v>1.375906634206</v>
      </c>
    </row>
    <row r="7" spans="2:16">
      <c r="N7" s="24">
        <f>($B$13/5)</f>
        <v>2.4596554E-2</v>
      </c>
      <c r="O7" s="37">
        <f>($C$5*Params!K9)</f>
        <v>68.847999999999999</v>
      </c>
      <c r="P7" s="37">
        <f>(O7*N7)</f>
        <v>1.693423549792</v>
      </c>
    </row>
    <row r="8" spans="2:16">
      <c r="N8" s="24">
        <f>($B$13/5)</f>
        <v>2.4596554E-2</v>
      </c>
      <c r="O8" s="37">
        <f>($C$5*Params!K10)</f>
        <v>94.666000000000011</v>
      </c>
      <c r="P8" s="37">
        <f>(O8*N8)</f>
        <v>2.3284573809640001</v>
      </c>
    </row>
    <row r="9" spans="2:16">
      <c r="N9" s="24">
        <f>($B$13/5)</f>
        <v>2.4596554E-2</v>
      </c>
      <c r="O9" s="37">
        <f>($C$5*Params!K11)</f>
        <v>172.12</v>
      </c>
      <c r="P9" s="37">
        <f>(O9*N9)</f>
        <v>4.2335588744799999</v>
      </c>
    </row>
    <row r="11" spans="2:16">
      <c r="P11" s="37">
        <f>(SUM(P6:P9))</f>
        <v>9.6313464394419999</v>
      </c>
    </row>
    <row r="12" spans="2:16">
      <c r="F12" t="s">
        <v>9</v>
      </c>
      <c r="G12" s="37">
        <f>(D13/B13)</f>
        <v>42.282345730218957</v>
      </c>
    </row>
    <row r="13" spans="2:16">
      <c r="B13">
        <f>(SUM(B5:B12))</f>
        <v>0.12298277000000001</v>
      </c>
      <c r="D13" s="37">
        <f>(SUM(D5:D12))</f>
        <v>5.2</v>
      </c>
    </row>
  </sheetData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4.7761816905100893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5.6489922133754247</v>
      </c>
      <c r="K4" s="4">
        <f>(J4/D10-1)</f>
        <v>-0.10333456930548812</v>
      </c>
    </row>
    <row r="5" spans="2:16">
      <c r="B5">
        <v>1.1823300000000001</v>
      </c>
      <c r="C5" s="37">
        <f>(D5/B5)</f>
        <v>5.3284615970160605</v>
      </c>
      <c r="D5" s="37">
        <v>6.3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1.9693152346311198E-3</v>
      </c>
      <c r="M6" t="s">
        <v>11</v>
      </c>
      <c r="N6" s="24">
        <f>($B$10/5)</f>
        <v>0.23654846400000001</v>
      </c>
      <c r="O6" s="37">
        <f>($C$5*Params!K8)</f>
        <v>6.927000076120879</v>
      </c>
      <c r="P6" s="37">
        <f>(O6*N6)</f>
        <v>1.638571228134277</v>
      </c>
    </row>
    <row r="7" spans="2:16">
      <c r="N7" s="24">
        <f>($B$10/5)</f>
        <v>0.23654846400000001</v>
      </c>
      <c r="O7" s="37">
        <f>($C$5*Params!K9)</f>
        <v>8.5255385552256975</v>
      </c>
      <c r="P7" s="37">
        <f>(O7*N7)</f>
        <v>2.0167030500114178</v>
      </c>
    </row>
    <row r="8" spans="2:16">
      <c r="N8" s="24">
        <f>($B$10/5)</f>
        <v>0.23654846400000001</v>
      </c>
      <c r="O8" s="37">
        <f>($C$5*Params!K10)</f>
        <v>11.722615513435334</v>
      </c>
      <c r="P8" s="37">
        <f>(O8*N8)</f>
        <v>2.7729666937656998</v>
      </c>
    </row>
    <row r="9" spans="2:16">
      <c r="F9" t="s">
        <v>9</v>
      </c>
      <c r="G9" s="37">
        <f>(D10/B10)</f>
        <v>5.3266040230977785</v>
      </c>
      <c r="N9" s="24">
        <f>($B$10/5)</f>
        <v>0.23654846400000001</v>
      </c>
      <c r="O9" s="37">
        <f>($C$5*Params!K11)</f>
        <v>21.313846388064242</v>
      </c>
      <c r="P9" s="37">
        <f>(O9*N9)</f>
        <v>5.041757625028545</v>
      </c>
    </row>
    <row r="10" spans="2:16">
      <c r="B10">
        <f>(SUM(B5:B9))</f>
        <v>1.18274232</v>
      </c>
      <c r="D10" s="37">
        <f>(SUM(D5:D9))</f>
        <v>6.3</v>
      </c>
    </row>
    <row r="11" spans="2:16">
      <c r="P11" s="37">
        <f>(SUM(P6:P9))</f>
        <v>11.46999859693994</v>
      </c>
    </row>
    <row r="12" spans="2:16">
      <c r="P12" s="37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6:O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1.960028138823392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7.6985075195640338</v>
      </c>
      <c r="K4" s="4">
        <f>(J4/D10-1)</f>
        <v>-0.13596997535757194</v>
      </c>
    </row>
    <row r="5" spans="2:16">
      <c r="B5" s="1">
        <v>3.9178700000000002</v>
      </c>
      <c r="C5" s="37">
        <f>(D5/B5)</f>
        <v>2.2741949069264678</v>
      </c>
      <c r="D5" s="37">
        <v>8.91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9.8835699999999995E-3</v>
      </c>
      <c r="C6" s="39">
        <v>0</v>
      </c>
      <c r="D6" s="26">
        <f>(B6*C6)</f>
        <v>0</v>
      </c>
      <c r="E6" s="37">
        <f>(B6*J3)</f>
        <v>1.9372075312030713E-2</v>
      </c>
      <c r="M6" t="s">
        <v>11</v>
      </c>
      <c r="N6" s="1">
        <f>($B$10/5)</f>
        <v>0.78555071399999998</v>
      </c>
      <c r="O6" s="37">
        <f>($C$5*Params!K8)</f>
        <v>2.9564533790044081</v>
      </c>
      <c r="P6" s="37">
        <f>(O6*N6)</f>
        <v>2.3224440627846255</v>
      </c>
    </row>
    <row r="7" spans="2:16">
      <c r="N7" s="1">
        <f>($B$10/5)</f>
        <v>0.78555071399999998</v>
      </c>
      <c r="O7" s="37">
        <f>($C$5*Params!K9)</f>
        <v>3.6387118510823484</v>
      </c>
      <c r="P7" s="37">
        <f>(O7*N7)</f>
        <v>2.8583926926580006</v>
      </c>
    </row>
    <row r="8" spans="2:16">
      <c r="N8" s="1">
        <f>($B$10/5)</f>
        <v>0.78555071399999998</v>
      </c>
      <c r="O8" s="37">
        <f>($C$5*Params!K10)</f>
        <v>5.0032287952382291</v>
      </c>
      <c r="P8" s="37">
        <f>(O8*N8)</f>
        <v>3.9302899524047508</v>
      </c>
    </row>
    <row r="9" spans="2:16">
      <c r="F9" t="s">
        <v>9</v>
      </c>
      <c r="G9" s="37">
        <f>(D10/B10)</f>
        <v>2.2684722555035446</v>
      </c>
      <c r="N9" s="1">
        <f>($B$10/5)</f>
        <v>0.78555071399999998</v>
      </c>
      <c r="O9" s="37">
        <f>($C$5*Params!K11)</f>
        <v>9.096779627705871</v>
      </c>
      <c r="P9" s="37">
        <f>(O9*N9)</f>
        <v>7.1459817316450014</v>
      </c>
    </row>
    <row r="10" spans="2:16">
      <c r="B10" s="1">
        <f>(SUM(B5:B9))</f>
        <v>3.9277535700000001</v>
      </c>
      <c r="D10" s="37">
        <f>(SUM(D5:D9))</f>
        <v>8.91</v>
      </c>
    </row>
    <row r="11" spans="2:16">
      <c r="P11" s="37">
        <f>(SUM(P6:P9))</f>
        <v>16.257108439492377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D34" sqref="D3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26449.10523679202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751.56269841869732</v>
      </c>
      <c r="K4" s="4">
        <f>(J4/D37-1)</f>
        <v>0.12031680361568697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3.1442999999999998E-4</v>
      </c>
      <c r="C6" s="39">
        <v>0</v>
      </c>
      <c r="D6" s="26">
        <f>(B6*C6)</f>
        <v>0</v>
      </c>
      <c r="E6" s="37">
        <f>(B6*J3)</f>
        <v>8.3163921596045149</v>
      </c>
      <c r="I6" t="s">
        <v>11</v>
      </c>
      <c r="J6">
        <v>0.03</v>
      </c>
      <c r="R6" s="24">
        <f t="shared" si="0"/>
        <v>3.1442999999999998E-4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1.58456999999999E-3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41.910458685063269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5.4180000000000001E-3</v>
      </c>
      <c r="S19" s="37">
        <f t="shared" si="2"/>
        <v>22647.840310077518</v>
      </c>
      <c r="T19" s="37">
        <f>(D23+17438.6*B32)</f>
        <v>122.70599879999999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1.1479399999999999E-3</v>
      </c>
      <c r="S20" s="37">
        <f t="shared" si="2"/>
        <v>24220.742284439955</v>
      </c>
      <c r="T20" s="37">
        <f>(D24+17211.7*B31)</f>
        <v>27.803958897999998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5.7600000000000004E-3</v>
      </c>
      <c r="C23" s="37">
        <f t="shared" si="3"/>
        <v>22338.541666666664</v>
      </c>
      <c r="D23" s="37">
        <v>128.66999999999999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1.1999999999999999E-3</v>
      </c>
      <c r="C24" s="37">
        <f t="shared" si="3"/>
        <v>23916.666666666668</v>
      </c>
      <c r="D24" s="37">
        <v>28.7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1.5E-3</v>
      </c>
      <c r="S24" s="37">
        <f>(T24/R24)</f>
        <v>25699.999999999996</v>
      </c>
      <c r="T24" s="37">
        <f>(D34)</f>
        <v>38.549999999999997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1.5E-3</v>
      </c>
      <c r="C34" s="37">
        <f>(D34/B34)</f>
        <v>25699.999999999996</v>
      </c>
      <c r="D34" s="37">
        <v>38.549999999999997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23608.594597019997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2.7686159999999998E-2</v>
      </c>
      <c r="T36" s="37">
        <f>(SUM(T5:T25))</f>
        <v>486.76980017000005</v>
      </c>
    </row>
    <row r="37" spans="2:20">
      <c r="B37">
        <f>(SUM(B5:B36))</f>
        <v>2.8415430000000009E-2</v>
      </c>
      <c r="D37" s="37">
        <f>(SUM(D5:D36))</f>
        <v>670.84836717000019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1.9620000000000002E-3</v>
      </c>
      <c r="N50" s="37">
        <f>($S$19*Params!K16)</f>
        <v>45295.680620155035</v>
      </c>
      <c r="O50">
        <f>(N50*M50)</f>
        <v>88.870125376744184</v>
      </c>
    </row>
    <row r="51" spans="12:16">
      <c r="M51">
        <f>($B$23/5)</f>
        <v>1.152E-3</v>
      </c>
      <c r="N51" s="37">
        <f>($S$19*Params!K17)</f>
        <v>90591.361240310071</v>
      </c>
      <c r="O51">
        <f>(N51*M51)</f>
        <v>104.36124814883721</v>
      </c>
    </row>
    <row r="52" spans="12:16">
      <c r="M52">
        <f>($B$23/5)</f>
        <v>1.152E-3</v>
      </c>
      <c r="N52" s="37">
        <f>($S$19*Params!K18)</f>
        <v>181182.72248062014</v>
      </c>
      <c r="O52">
        <f>(N52*M52)</f>
        <v>208.72249629767441</v>
      </c>
    </row>
    <row r="54" spans="12:16">
      <c r="O54">
        <f>(SUM(O49:O52))</f>
        <v>409.40946982325579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4.2793999999999997E-4</v>
      </c>
      <c r="N58" s="37">
        <f>($S$20*Params!K16)</f>
        <v>48441.484568879911</v>
      </c>
      <c r="O58">
        <f>(N58*M58)</f>
        <v>20.730048906406466</v>
      </c>
    </row>
    <row r="59" spans="12:16">
      <c r="M59">
        <f>($B$24/5)</f>
        <v>2.3999999999999998E-4</v>
      </c>
      <c r="N59" s="37">
        <f>($S$20*Params!K17)</f>
        <v>96882.969137759821</v>
      </c>
      <c r="O59">
        <f>(N59*M59)</f>
        <v>23.251912593062354</v>
      </c>
    </row>
    <row r="60" spans="12:16">
      <c r="M60">
        <f>($B$24/5)</f>
        <v>2.3999999999999998E-4</v>
      </c>
      <c r="N60" s="37">
        <f>($S$20*Params!K18)</f>
        <v>193765.93827551964</v>
      </c>
      <c r="O60">
        <f>(N60*M60)</f>
        <v>46.503825186124708</v>
      </c>
    </row>
    <row r="62" spans="12:16">
      <c r="O62">
        <f>(SUM(O57:O60))</f>
        <v>91.60820028559354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3.0000000000000003E-4</v>
      </c>
      <c r="N73" s="37">
        <f>($S$24*Params!K15)</f>
        <v>38549.999999999993</v>
      </c>
      <c r="O73">
        <f>(N73*M73)</f>
        <v>11.565</v>
      </c>
    </row>
    <row r="74" spans="12:16">
      <c r="M74">
        <f>($R$24/5)</f>
        <v>3.0000000000000003E-4</v>
      </c>
      <c r="N74" s="37">
        <f>($S$24*Params!K16)</f>
        <v>51399.999999999993</v>
      </c>
      <c r="O74">
        <f>(N74*M74)</f>
        <v>15.42</v>
      </c>
    </row>
    <row r="75" spans="12:16">
      <c r="M75">
        <f>($R$24/5)</f>
        <v>3.0000000000000003E-4</v>
      </c>
      <c r="N75" s="37">
        <f>($S$24*Params!K17)</f>
        <v>102799.99999999999</v>
      </c>
      <c r="O75">
        <f>(N75*M75)</f>
        <v>30.84</v>
      </c>
    </row>
    <row r="76" spans="12:16">
      <c r="M76">
        <f>($R$24/5)</f>
        <v>3.0000000000000003E-4</v>
      </c>
      <c r="N76" s="37">
        <f>($S$24*Params!K18)</f>
        <v>205599.99999999997</v>
      </c>
      <c r="O76">
        <f>(N76*M76)</f>
        <v>61.68</v>
      </c>
    </row>
    <row r="78" spans="12:16">
      <c r="O78">
        <f>(SUM(O73:O76))</f>
        <v>119.505</v>
      </c>
    </row>
  </sheetData>
  <conditionalFormatting sqref="C5 C7:C17 C19:C20 C22:C25 C34:C35 G36 N10:N12 N20 N26:N28 N34 S5 S7:S21 S24">
    <cfRule type="cellIs" dxfId="297" priority="45" operator="lessThan">
      <formula>$J$3</formula>
    </cfRule>
    <cfRule type="cellIs" dxfId="296" priority="46" operator="greaterThan">
      <formula>$J$3</formula>
    </cfRule>
  </conditionalFormatting>
  <conditionalFormatting sqref="N35:N36">
    <cfRule type="cellIs" dxfId="295" priority="19" operator="lessThan">
      <formula>$J$3</formula>
    </cfRule>
    <cfRule type="cellIs" dxfId="294" priority="20" operator="greaterThan">
      <formula>$J$3</formula>
    </cfRule>
  </conditionalFormatting>
  <conditionalFormatting sqref="N42:N44">
    <cfRule type="cellIs" dxfId="293" priority="17" operator="lessThan">
      <formula>$J$3</formula>
    </cfRule>
    <cfRule type="cellIs" dxfId="292" priority="18" operator="greaterThan">
      <formula>$J$3</formula>
    </cfRule>
  </conditionalFormatting>
  <conditionalFormatting sqref="N50:N52">
    <cfRule type="cellIs" dxfId="291" priority="15" operator="lessThan">
      <formula>$J$3</formula>
    </cfRule>
    <cfRule type="cellIs" dxfId="290" priority="16" operator="greaterThan">
      <formula>$J$3</formula>
    </cfRule>
  </conditionalFormatting>
  <conditionalFormatting sqref="N58:N60">
    <cfRule type="cellIs" dxfId="289" priority="13" operator="lessThan">
      <formula>$J$3</formula>
    </cfRule>
    <cfRule type="cellIs" dxfId="288" priority="14" operator="greaterThan">
      <formula>$J$3</formula>
    </cfRule>
  </conditionalFormatting>
  <conditionalFormatting sqref="N66:N68">
    <cfRule type="cellIs" dxfId="287" priority="11" operator="lessThan">
      <formula>$J$3</formula>
    </cfRule>
    <cfRule type="cellIs" dxfId="286" priority="12" operator="greaterThan">
      <formula>$J$3</formula>
    </cfRule>
  </conditionalFormatting>
  <conditionalFormatting sqref="N73:N76">
    <cfRule type="cellIs" dxfId="285" priority="9" operator="lessThan">
      <formula>$J$3</formula>
    </cfRule>
    <cfRule type="cellIs" dxfId="284" priority="10" operator="greaterThan">
      <formula>$J$3</formula>
    </cfRule>
  </conditionalFormatting>
  <conditionalFormatting sqref="N4">
    <cfRule type="cellIs" dxfId="283" priority="1" operator="greaterThan">
      <formula>$J$3</formula>
    </cfRule>
    <cfRule type="cellIs" dxfId="28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6.2865103174854511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5.6753499919328325</v>
      </c>
      <c r="K4" s="4">
        <f>(J4/D10-1)</f>
        <v>-0.10342022244347038</v>
      </c>
    </row>
    <row r="5" spans="2:16">
      <c r="B5">
        <v>0.90227999999999997</v>
      </c>
      <c r="C5" s="37">
        <f>(D5/B5)</f>
        <v>7.0155605798643439</v>
      </c>
      <c r="D5" s="37">
        <v>6.33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3.1574626720602427E-3</v>
      </c>
      <c r="M6" t="s">
        <v>11</v>
      </c>
      <c r="N6" s="24">
        <f>($B$10/5)</f>
        <v>0.18055645199999998</v>
      </c>
      <c r="O6" s="37">
        <f>($C$5*Params!K8)</f>
        <v>9.1202287538236479</v>
      </c>
      <c r="P6" s="37">
        <f>(O6*N6)</f>
        <v>1.6467161452187791</v>
      </c>
    </row>
    <row r="7" spans="2:16">
      <c r="C7" s="37"/>
      <c r="D7" s="37"/>
      <c r="N7" s="24">
        <f>($B$10/5)</f>
        <v>0.18055645199999998</v>
      </c>
      <c r="O7" s="37">
        <f>($C$5*Params!K9)</f>
        <v>11.22489692778295</v>
      </c>
      <c r="P7" s="37">
        <f>(O7*N7)</f>
        <v>2.0267275633461894</v>
      </c>
    </row>
    <row r="8" spans="2:16">
      <c r="C8" s="37"/>
      <c r="D8" s="37"/>
      <c r="N8" s="24">
        <f>($B$10/5)</f>
        <v>0.18055645199999998</v>
      </c>
      <c r="O8" s="37">
        <f>($C$5*Params!K10)</f>
        <v>15.434233275701558</v>
      </c>
      <c r="P8" s="37">
        <f>(O8*N8)</f>
        <v>2.786750399601011</v>
      </c>
    </row>
    <row r="9" spans="2:16">
      <c r="C9" s="37"/>
      <c r="D9" s="37"/>
      <c r="F9" t="s">
        <v>9</v>
      </c>
      <c r="G9" s="37">
        <f>(D10/B10)</f>
        <v>7.0116574953522024</v>
      </c>
      <c r="N9" s="24">
        <f>($B$10/5)</f>
        <v>0.18055645199999998</v>
      </c>
      <c r="O9" s="37">
        <f>($C$5*Params!K11)</f>
        <v>28.062242319457376</v>
      </c>
      <c r="P9" s="37">
        <f>(O9*N9)</f>
        <v>5.066818908365474</v>
      </c>
    </row>
    <row r="10" spans="2:16">
      <c r="B10">
        <f>(SUM(B5:B9))</f>
        <v>0.90278225999999995</v>
      </c>
      <c r="C10" s="37"/>
      <c r="D10" s="37">
        <f>(SUM(D5:D9))</f>
        <v>6.33</v>
      </c>
      <c r="O10" s="37"/>
      <c r="P10" s="37"/>
    </row>
    <row r="11" spans="2:16">
      <c r="O11" s="37"/>
      <c r="P11" s="37">
        <f>(SUM(P6:P9))</f>
        <v>11.527013016531452</v>
      </c>
    </row>
  </sheetData>
  <conditionalFormatting sqref="O6:O9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C5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86.740625421133601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10.612482187993315</v>
      </c>
      <c r="K4" s="4">
        <f>(J4/D13-1)</f>
        <v>0.38099682945281432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3.9634000000000002E-4</v>
      </c>
      <c r="C6" s="39">
        <v>0</v>
      </c>
      <c r="D6" s="26">
        <f>(B6*C6)</f>
        <v>0</v>
      </c>
      <c r="E6" s="37">
        <f>(B6*J3)</f>
        <v>3.4378779479412092E-2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3.9634000000000002E-4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3.0571602000000003E-2</v>
      </c>
      <c r="O7" s="37">
        <f>($C$7*Params!K9)</f>
        <v>110.09409409409409</v>
      </c>
      <c r="P7" s="37">
        <f>(O7*N7)</f>
        <v>3.3657528271951955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3.0571602000000003E-2</v>
      </c>
      <c r="O8" s="37">
        <f>($C$7*Params!K10)</f>
        <v>151.37937937937937</v>
      </c>
      <c r="P8" s="37">
        <f>(O8*N8)</f>
        <v>4.6279101373933935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3.0571602000000003E-2</v>
      </c>
      <c r="O9" s="37">
        <f>($C$7*Params!K11)</f>
        <v>275.23523523523522</v>
      </c>
      <c r="P9" s="37">
        <f>(O9*N9)</f>
        <v>8.4143820679879884</v>
      </c>
    </row>
    <row r="10" spans="2:20">
      <c r="O10" s="37"/>
      <c r="P10" s="37"/>
    </row>
    <row r="11" spans="2:20">
      <c r="O11" s="37"/>
      <c r="P11" s="37">
        <f>(SUM(P6:P9))</f>
        <v>19.190691482576575</v>
      </c>
    </row>
    <row r="12" spans="2:20">
      <c r="F12" t="s">
        <v>9</v>
      </c>
      <c r="G12" s="37">
        <f>(D13/B13)</f>
        <v>62.810155368352596</v>
      </c>
    </row>
    <row r="13" spans="2:20">
      <c r="B13">
        <f>(SUM(B5:B12))</f>
        <v>0.12234731000000001</v>
      </c>
      <c r="D13" s="37">
        <f>(SUM(D5:D12))</f>
        <v>7.6846535500000002</v>
      </c>
    </row>
    <row r="19" spans="18:20">
      <c r="R19">
        <f>(SUM(R5:R18))</f>
        <v>0.12234731000000001</v>
      </c>
      <c r="T19" s="37">
        <f>(SUM(T5:T18))</f>
        <v>7.6846535500000002</v>
      </c>
    </row>
  </sheetData>
  <conditionalFormatting sqref="C5 C7 O7:O9 S5 S7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O3">
    <cfRule type="cellIs" dxfId="125" priority="1" operator="greaterThan">
      <formula>$J$3</formula>
    </cfRule>
    <cfRule type="cellIs" dxfId="124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0.8598145020666178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1.3911230048107659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3.4630292998051072E-2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N9" sqref="N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8.5137640121105544E-5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28.919717021946902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47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47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0.38543315018381852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5.2863804560039007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23" priority="13" operator="lessThan">
      <formula>$J$3</formula>
    </cfRule>
    <cfRule type="cellIs" dxfId="122" priority="14" operator="greaterThan">
      <formula>$J$3</formula>
    </cfRule>
  </conditionalFormatting>
  <conditionalFormatting sqref="N6">
    <cfRule type="cellIs" dxfId="121" priority="9" operator="lessThan">
      <formula>$J$3</formula>
    </cfRule>
    <cfRule type="cellIs" dxfId="120" priority="10" operator="greaterThan">
      <formula>$J$3</formula>
    </cfRule>
  </conditionalFormatting>
  <conditionalFormatting sqref="N9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S5:S9 S13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37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0.89472194806970895</v>
      </c>
      <c r="N3" s="19"/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(B18*J3)</f>
        <v>37.578419316778465</v>
      </c>
      <c r="K4" s="4">
        <f>(J4/D18-1)</f>
        <v>-3.5618323195658386E-2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7">
        <f>(T5/R5)</f>
        <v>0.8606557377049181</v>
      </c>
      <c r="T5" s="37">
        <f>D5</f>
        <v>10.5</v>
      </c>
    </row>
    <row r="6" spans="2:21">
      <c r="B6" s="36">
        <v>0.23786504999999999</v>
      </c>
      <c r="C6" s="39">
        <v>0</v>
      </c>
      <c r="D6" s="26">
        <f>(B6*C6)</f>
        <v>0</v>
      </c>
      <c r="E6" s="37">
        <f>(B6*J3)</f>
        <v>0.21282308091369873</v>
      </c>
      <c r="M6" t="s">
        <v>11</v>
      </c>
      <c r="N6" s="19">
        <f>($B$7+$R$9)/5</f>
        <v>5.6777529997777778</v>
      </c>
      <c r="O6" s="37">
        <f>($S$7*Params!K8)</f>
        <v>1.3441237905227565</v>
      </c>
      <c r="P6" s="37">
        <f>(O6*N6)</f>
        <v>7.6316028837132581</v>
      </c>
      <c r="R6" s="36">
        <f>(B6)</f>
        <v>0.23786504999999999</v>
      </c>
      <c r="S6" s="39">
        <v>0</v>
      </c>
      <c r="T6" s="26">
        <f>(D6)</f>
        <v>0</v>
      </c>
      <c r="U6" s="37">
        <f>(R6*J3)</f>
        <v>0.21282308091369873</v>
      </c>
    </row>
    <row r="7" spans="2:21">
      <c r="B7" s="19">
        <v>27.757860000000001</v>
      </c>
      <c r="C7" s="37">
        <f t="shared" ref="C7:C14" si="0">(D7/B7)</f>
        <v>1.0339413773251973</v>
      </c>
      <c r="D7" s="37">
        <v>28.7</v>
      </c>
      <c r="E7" t="s">
        <v>15</v>
      </c>
      <c r="N7" s="19">
        <f>($B$7+$R$9)/5</f>
        <v>5.6777529997777778</v>
      </c>
      <c r="O7" s="37">
        <f>($S$7*Params!K9)</f>
        <v>1.6543062037203158</v>
      </c>
      <c r="P7" s="37">
        <f>(O7*N7)</f>
        <v>9.3927420107240103</v>
      </c>
      <c r="R7" s="19">
        <f>B7</f>
        <v>27.757860000000001</v>
      </c>
      <c r="S7" s="37">
        <f>(T7/R7)</f>
        <v>1.0339413773251973</v>
      </c>
      <c r="T7" s="37">
        <f>D7</f>
        <v>28.7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($B$7+$R$9)/5</f>
        <v>5.6777529997777778</v>
      </c>
      <c r="O8" s="37">
        <f>($S$7*Params!K10)</f>
        <v>2.2746710301154343</v>
      </c>
      <c r="P8" s="37">
        <f>(O8*N8)</f>
        <v>12.915020264745515</v>
      </c>
      <c r="R8" s="19">
        <f>B8</f>
        <v>0.63003905000000004</v>
      </c>
      <c r="S8" s="37">
        <f>C8</f>
        <v>0.79360160294826165</v>
      </c>
      <c r="T8" s="38">
        <f>D8</f>
        <v>0.5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($B$7+$R$9)/5</f>
        <v>5.6777529997777778</v>
      </c>
      <c r="O9" s="37">
        <f>($C$7*Params!K11)</f>
        <v>4.1357655093007892</v>
      </c>
      <c r="P9" s="37">
        <f>(O9*N9)</f>
        <v>23.481855026810024</v>
      </c>
      <c r="R9" s="19">
        <f>SUM(B9,B12,B13,B16)</f>
        <v>0.63090499888888907</v>
      </c>
      <c r="S9" s="37">
        <v>0</v>
      </c>
      <c r="T9" s="37">
        <f>SUM(D9,D12,D13,D16)</f>
        <v>-0.16714507569935888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 s="19">
        <f>SUM(B10,B11,B14,B15,)</f>
        <v>0.54343987111111103</v>
      </c>
      <c r="S10" s="37">
        <v>0</v>
      </c>
      <c r="T10" s="37">
        <f>SUM(D10,D11,D14,D15)</f>
        <v>-0.56652009999999953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53.421220185992809</v>
      </c>
      <c r="R11" s="19"/>
      <c r="S11" s="37"/>
      <c r="T11" s="37"/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($B$5+$R$10)/5</f>
        <v>2.5486879742222222</v>
      </c>
      <c r="O14" s="37">
        <f>($C$5*Params!K8)</f>
        <v>1.1188524590163935</v>
      </c>
      <c r="P14" s="37">
        <f>(O14*N14)</f>
        <v>2.8516058072240438</v>
      </c>
      <c r="S14" s="37"/>
      <c r="T14" s="37"/>
    </row>
    <row r="15" spans="2:21">
      <c r="B15" s="19">
        <f>2.44/0.9</f>
        <v>2.7111111111111108</v>
      </c>
      <c r="C15" s="37">
        <v>0.84715200000000002</v>
      </c>
      <c r="D15" s="37">
        <f>B15*C15</f>
        <v>2.2967231999999997</v>
      </c>
      <c r="N15" s="19">
        <f>($B$5+$R$10)/5</f>
        <v>2.5486879742222222</v>
      </c>
      <c r="O15" s="37">
        <f>($C$5*Params!K9)</f>
        <v>1.377049180327869</v>
      </c>
      <c r="P15" s="37">
        <f>(O15*N15)</f>
        <v>3.5096686858142081</v>
      </c>
      <c r="S15" s="37"/>
      <c r="T15" s="37"/>
    </row>
    <row r="16" spans="2:21">
      <c r="B16" s="19">
        <f>4.11968757-B15</f>
        <v>1.4085764588888892</v>
      </c>
      <c r="C16" s="37">
        <v>0.84715200000000002</v>
      </c>
      <c r="D16" s="37">
        <f>B16*C16</f>
        <v>1.1932783643006402</v>
      </c>
      <c r="N16" s="19">
        <f>($B$5+$R$10)/5</f>
        <v>2.5486879742222222</v>
      </c>
      <c r="O16" s="37">
        <f>($C$5*Params!K10)</f>
        <v>1.8934426229508199</v>
      </c>
      <c r="P16" s="37">
        <f>(O16*N16)</f>
        <v>4.8257944429945363</v>
      </c>
      <c r="S16" s="37"/>
      <c r="T16" s="37"/>
    </row>
    <row r="17" spans="2:20">
      <c r="B17" s="19"/>
      <c r="F17" t="s">
        <v>9</v>
      </c>
      <c r="G17" s="37">
        <f>(D18/B18)</f>
        <v>0.92776746965427315</v>
      </c>
      <c r="N17" s="19">
        <f>($B$5+$R$10)/5</f>
        <v>2.5486879742222222</v>
      </c>
      <c r="O17" s="37">
        <f>($C$5*Params!K11)</f>
        <v>3.4426229508196724</v>
      </c>
      <c r="P17" s="37">
        <f>(O17*N17)</f>
        <v>8.7741717145355196</v>
      </c>
      <c r="R17">
        <f>(SUM(R5:R12))</f>
        <v>42.000108969999999</v>
      </c>
      <c r="S17" s="37"/>
      <c r="T17" s="37">
        <f>(SUM(T5:T12))</f>
        <v>38.966334824300645</v>
      </c>
    </row>
    <row r="18" spans="2:20">
      <c r="B18" s="19">
        <f>(SUM(B5:B17))</f>
        <v>42.000108970000007</v>
      </c>
      <c r="D18" s="37">
        <f>(SUM(D5:D17))</f>
        <v>38.966334824300645</v>
      </c>
      <c r="O18" s="37"/>
      <c r="P18" s="37"/>
    </row>
    <row r="19" spans="2:20">
      <c r="O19" s="37"/>
      <c r="P19" s="37"/>
    </row>
    <row r="20" spans="2:20">
      <c r="O20" s="37"/>
      <c r="P20" s="37">
        <f>(SUM(P14:P17))</f>
        <v>19.961240650568307</v>
      </c>
    </row>
    <row r="27" spans="2:20">
      <c r="H27" s="38"/>
    </row>
  </sheetData>
  <conditionalFormatting sqref="C5 C7:C8 C13:C16 O6:O9 O14:O17 S5 S7">
    <cfRule type="cellIs" dxfId="113" priority="23" operator="lessThan">
      <formula>$J$3</formula>
    </cfRule>
    <cfRule type="cellIs" dxfId="112" priority="24" operator="greaterThan">
      <formula>$J$3</formula>
    </cfRule>
  </conditionalFormatting>
  <conditionalFormatting sqref="S8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0.55227290275502217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29.490297207117266</v>
      </c>
      <c r="K4" s="4">
        <f>(J4/D10-1)</f>
        <v>-0.25510742088615146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1.1495473</v>
      </c>
      <c r="C6" s="39">
        <v>0</v>
      </c>
      <c r="D6" s="26">
        <f>(B6*C6)</f>
        <v>0</v>
      </c>
      <c r="E6" s="37">
        <f>(B6*J3)</f>
        <v>0.63486382422519827</v>
      </c>
      <c r="M6" t="s">
        <v>11</v>
      </c>
      <c r="N6" s="29">
        <f>($B$10/5)</f>
        <v>10.67961041</v>
      </c>
      <c r="O6" s="37">
        <f>($C$5*Params!K8)</f>
        <v>0.98505771545924514</v>
      </c>
      <c r="P6" s="37">
        <f>(O6*N6)</f>
        <v>10.520032632469373</v>
      </c>
    </row>
    <row r="7" spans="2:16">
      <c r="B7" s="36">
        <v>8.0475000000000002E-4</v>
      </c>
      <c r="C7" s="39">
        <v>0</v>
      </c>
      <c r="D7" s="26">
        <f>(B7*C7)</f>
        <v>0</v>
      </c>
      <c r="E7" s="37">
        <f>(B7*J4)</f>
        <v>2.3732316677427621E-2</v>
      </c>
      <c r="N7" s="29">
        <f>($B$10/5)</f>
        <v>10.67961041</v>
      </c>
      <c r="O7" s="37">
        <f>($C$5*Params!K9)</f>
        <v>1.2123787267190709</v>
      </c>
      <c r="P7" s="37">
        <f>(O7*N7)</f>
        <v>12.947732470731536</v>
      </c>
    </row>
    <row r="8" spans="2:16">
      <c r="N8" s="29">
        <f>($B$10/5)</f>
        <v>10.67961041</v>
      </c>
      <c r="O8" s="37">
        <f>($C$5*Params!K10)</f>
        <v>1.6670207492387226</v>
      </c>
      <c r="P8" s="37">
        <f>(O8*N8)</f>
        <v>17.803132147255862</v>
      </c>
    </row>
    <row r="9" spans="2:16">
      <c r="F9" t="s">
        <v>9</v>
      </c>
      <c r="G9" s="37">
        <f>(D10/B10)</f>
        <v>0.74141281339119558</v>
      </c>
      <c r="N9" s="29">
        <f>($B$10/5)</f>
        <v>10.67961041</v>
      </c>
      <c r="O9" s="37">
        <f>($C$5*Params!K11)</f>
        <v>3.0309468167976772</v>
      </c>
      <c r="P9" s="37">
        <f>(O9*N9)</f>
        <v>32.369331176828837</v>
      </c>
    </row>
    <row r="10" spans="2:16">
      <c r="B10">
        <f>(SUM(B5:B9))</f>
        <v>53.398052050000004</v>
      </c>
      <c r="D10" s="37">
        <f>(SUM(D5:D9))</f>
        <v>39.590000000000003</v>
      </c>
    </row>
    <row r="11" spans="2:16">
      <c r="P11" s="37">
        <f>(SUM(P6:P9))</f>
        <v>73.640228427285606</v>
      </c>
    </row>
  </sheetData>
  <conditionalFormatting sqref="C5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9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E8" sqref="E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7">
        <v>1.545240591758025</v>
      </c>
      <c r="N3" s="1"/>
      <c r="O3" s="50"/>
      <c r="P3" s="37"/>
    </row>
    <row r="4" spans="2:22">
      <c r="B4" t="s">
        <v>5</v>
      </c>
      <c r="C4" t="s">
        <v>6</v>
      </c>
      <c r="D4" t="s">
        <v>7</v>
      </c>
      <c r="I4" t="s">
        <v>8</v>
      </c>
      <c r="J4" s="37">
        <f>(B19*J3)</f>
        <v>26.2724438692061</v>
      </c>
      <c r="K4" s="4">
        <f>(J4/D19-1)</f>
        <v>-0.16327329396938184</v>
      </c>
      <c r="O4" s="37"/>
      <c r="P4" s="37"/>
      <c r="R4" t="s">
        <v>5</v>
      </c>
      <c r="S4" t="s">
        <v>6</v>
      </c>
      <c r="T4" t="s">
        <v>7</v>
      </c>
    </row>
    <row r="5" spans="2:22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1.79</v>
      </c>
      <c r="S5" s="37">
        <f>(T5/R5)</f>
        <v>1.6759776536312849</v>
      </c>
      <c r="T5" s="37">
        <f>(D5)</f>
        <v>3</v>
      </c>
    </row>
    <row r="6" spans="2:22">
      <c r="B6" s="1">
        <v>14.90846</v>
      </c>
      <c r="C6" s="37">
        <f>(D6/B6)</f>
        <v>1.9250814638131637</v>
      </c>
      <c r="D6" s="37">
        <v>28.7</v>
      </c>
      <c r="E6" t="s">
        <v>15</v>
      </c>
      <c r="M6" t="s">
        <v>11</v>
      </c>
      <c r="N6" s="1">
        <f>(($B$5+$R$9)/5)</f>
        <v>0.38226118247719681</v>
      </c>
      <c r="O6" s="37">
        <f>($C$5*Params!K8)</f>
        <v>2.1787709497206706</v>
      </c>
      <c r="P6" s="37">
        <f>(O6*N6)</f>
        <v>0.83285955958718871</v>
      </c>
      <c r="R6" s="1">
        <f>B6</f>
        <v>14.90846</v>
      </c>
      <c r="S6" s="37">
        <f>(T6/R6)</f>
        <v>1.9250814638131637</v>
      </c>
      <c r="T6" s="37">
        <f>D6</f>
        <v>28.7</v>
      </c>
      <c r="U6" s="37" t="str">
        <f>(E6)</f>
        <v>DCA2</v>
      </c>
    </row>
    <row r="7" spans="2:22">
      <c r="B7" s="2">
        <v>4.6589230000000002E-2</v>
      </c>
      <c r="C7" s="39">
        <v>0</v>
      </c>
      <c r="D7" s="26">
        <v>0</v>
      </c>
      <c r="E7" s="38">
        <f>B7*J3</f>
        <v>7.1991569334750732E-2</v>
      </c>
      <c r="N7" s="1">
        <f>(($B$5+$R$9)/5)</f>
        <v>0.38226118247719681</v>
      </c>
      <c r="O7" s="37">
        <f>($C$5*Params!K9)</f>
        <v>2.6815642458100561</v>
      </c>
      <c r="P7" s="37">
        <f>(O7*N7)</f>
        <v>1.0250579194919245</v>
      </c>
      <c r="R7" s="2">
        <f>(B7)</f>
        <v>4.6589230000000002E-2</v>
      </c>
      <c r="S7" s="39">
        <v>0</v>
      </c>
      <c r="T7" s="26">
        <f>(D7)</f>
        <v>0</v>
      </c>
    </row>
    <row r="8" spans="2:22">
      <c r="B8" s="1">
        <v>-0.6</v>
      </c>
      <c r="C8" s="37">
        <f t="shared" ref="C8:C17" si="0">(D8/B8)</f>
        <v>1.9313681166666667</v>
      </c>
      <c r="D8" s="37">
        <v>-1.15882087</v>
      </c>
      <c r="N8" s="1">
        <f>(($B$5+$R$9)/5)</f>
        <v>0.38226118247719681</v>
      </c>
      <c r="O8" s="37">
        <f>($C$5*Params!K10)</f>
        <v>3.6871508379888271</v>
      </c>
      <c r="P8" s="37">
        <f>(O8*N8)</f>
        <v>1.4094546393013963</v>
      </c>
      <c r="R8" s="1">
        <f>(B10+B13+B8+B17)</f>
        <v>0.13581527000000004</v>
      </c>
      <c r="S8" s="37">
        <v>0</v>
      </c>
      <c r="T8" s="37">
        <f>(D10+D13+D8+D17)</f>
        <v>-0.13482086999999998</v>
      </c>
      <c r="U8" t="s">
        <v>15</v>
      </c>
      <c r="V8" s="38">
        <f>-T8+R8*$J$3</f>
        <v>0.344688138184576</v>
      </c>
    </row>
    <row r="9" spans="2:22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(($B$5+$R$9)/5)</f>
        <v>0.38226118247719681</v>
      </c>
      <c r="O9" s="37">
        <f>($C$5*Params!K11)</f>
        <v>6.7039106145251397</v>
      </c>
      <c r="P9" s="37">
        <f>(O9*N9)</f>
        <v>2.5626447987298109</v>
      </c>
      <c r="R9" s="1">
        <f>(B12+B11+B9+B14+B15+B16)</f>
        <v>0.12130591238598404</v>
      </c>
      <c r="S9" s="37">
        <v>0</v>
      </c>
      <c r="T9" s="37">
        <f>(D12+D11+D9+D14)+D15+D16</f>
        <v>-0.16610499999999995</v>
      </c>
      <c r="U9" t="s">
        <v>81</v>
      </c>
      <c r="V9" s="38">
        <f>-T9+R9*$J$3</f>
        <v>0.35355181983906503</v>
      </c>
    </row>
    <row r="10" spans="2:22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/>
      <c r="S10" s="37"/>
      <c r="T10" s="37"/>
    </row>
    <row r="11" spans="2:22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5.8300169171103207</v>
      </c>
    </row>
    <row r="12" spans="2:22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2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2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(($B$6+$R$8)/5)</f>
        <v>3.0088550540000001</v>
      </c>
      <c r="O14" s="37">
        <f>($C$6*Params!K8)</f>
        <v>2.502605902957113</v>
      </c>
      <c r="P14" s="37">
        <f>(O14*N14)</f>
        <v>7.5299784192827435</v>
      </c>
      <c r="S14" s="37"/>
      <c r="T14" s="37"/>
    </row>
    <row r="15" spans="2:22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(($B$6+$R$8)/5)</f>
        <v>3.0088550540000001</v>
      </c>
      <c r="O15" s="37">
        <f>($C$6*Params!K9)</f>
        <v>3.0801303421010622</v>
      </c>
      <c r="P15" s="37">
        <f>(O15*N15)</f>
        <v>9.2676657468095307</v>
      </c>
      <c r="S15" s="37"/>
      <c r="T15" s="37"/>
    </row>
    <row r="16" spans="2:22">
      <c r="B16" s="1">
        <v>0.41928685653543302</v>
      </c>
      <c r="C16" s="37">
        <f t="shared" si="0"/>
        <v>1.6927408740274241</v>
      </c>
      <c r="D16" s="37">
        <v>0.70974400000000004</v>
      </c>
      <c r="N16" s="1">
        <f>(($B$6+$R$8)/5)</f>
        <v>3.0088550540000001</v>
      </c>
      <c r="O16" s="37">
        <f>($C$6*Params!K10)</f>
        <v>4.2351792203889609</v>
      </c>
      <c r="P16" s="37">
        <f>(O16*N16)</f>
        <v>12.743040401863105</v>
      </c>
      <c r="S16" s="37"/>
      <c r="T16" s="37"/>
    </row>
    <row r="17" spans="2:20">
      <c r="B17" s="1">
        <v>0.668076</v>
      </c>
      <c r="C17" s="37">
        <f t="shared" si="0"/>
        <v>1.6465192582879793</v>
      </c>
      <c r="D17" s="37">
        <v>1.1000000000000001</v>
      </c>
      <c r="N17" s="1">
        <f>(($B$6+$R$8)/5)</f>
        <v>3.0088550540000001</v>
      </c>
      <c r="O17" s="37">
        <f>($C$6*Params!K11)</f>
        <v>7.7003258552526548</v>
      </c>
      <c r="P17" s="37">
        <f>(O17*N17)</f>
        <v>23.169164367023825</v>
      </c>
      <c r="S17" s="37"/>
      <c r="T17" s="37"/>
    </row>
    <row r="18" spans="2:20">
      <c r="C18" s="37"/>
      <c r="D18" s="37"/>
      <c r="F18" t="s">
        <v>9</v>
      </c>
      <c r="G18">
        <f>(D19/B19)</f>
        <v>1.8467685812116057</v>
      </c>
      <c r="O18" s="37"/>
      <c r="P18" s="37"/>
      <c r="S18" s="37"/>
      <c r="T18" s="37"/>
    </row>
    <row r="19" spans="2:20">
      <c r="B19" s="1">
        <f>(SUM(B5:B18))</f>
        <v>17.002170412385983</v>
      </c>
      <c r="C19" s="37"/>
      <c r="D19" s="37">
        <f>(SUM(D5:D18))</f>
        <v>31.399074130000002</v>
      </c>
      <c r="O19" s="37"/>
      <c r="P19" s="37">
        <f>(SUM(P14:P17))</f>
        <v>52.709848934979206</v>
      </c>
      <c r="S19" s="37"/>
      <c r="T19" s="37"/>
    </row>
    <row r="20" spans="2:20">
      <c r="S20" s="37"/>
      <c r="T20" s="37"/>
    </row>
    <row r="21" spans="2:20">
      <c r="S21" s="37"/>
      <c r="T21" s="37"/>
    </row>
    <row r="22" spans="2:20">
      <c r="R22" s="1">
        <f>(SUM(R5:R21))</f>
        <v>17.002170412385983</v>
      </c>
      <c r="S22" s="37"/>
      <c r="T22" s="37">
        <f>(SUM(T5:T21))</f>
        <v>31.399074130000002</v>
      </c>
    </row>
  </sheetData>
  <conditionalFormatting sqref="C5:C6 C12:C14 C16:C17 O6:O9 O14:O17 S5:S6">
    <cfRule type="cellIs" dxfId="103" priority="17" operator="lessThan">
      <formula>$J$3</formula>
    </cfRule>
    <cfRule type="cellIs" dxfId="10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11" sqref="O1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1">
        <v>8.4853085014049005E-6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3.7307725847577586</v>
      </c>
      <c r="K4" s="4">
        <f>(J4/D13-1)</f>
        <v>-0.25829570879567432</v>
      </c>
    </row>
    <row r="5" spans="2:16">
      <c r="B5" s="22">
        <v>439531.68</v>
      </c>
      <c r="C5" s="51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1.2106838169804513E-3</v>
      </c>
      <c r="F6" s="37"/>
      <c r="G6" s="37"/>
      <c r="M6" t="s">
        <v>11</v>
      </c>
      <c r="N6" s="22">
        <f>($B$5/5)</f>
        <v>87906.335999999996</v>
      </c>
      <c r="O6" s="2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2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2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2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F13" sqref="F1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19.25961775813651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124.47968077520312</v>
      </c>
      <c r="K4" s="4">
        <f>(J4/D31-1)</f>
        <v>-0.27565720404050653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1.2234E-2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4.044519729208667E-2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(0.002039*6)</f>
        <v>1.2234E-2</v>
      </c>
      <c r="C13" s="37">
        <v>0</v>
      </c>
      <c r="D13" s="37">
        <f>(C13*B13)</f>
        <v>0</v>
      </c>
      <c r="E13" t="s">
        <v>82</v>
      </c>
      <c r="F13" s="38"/>
      <c r="M13" t="s">
        <v>10</v>
      </c>
      <c r="N13" t="s">
        <v>29</v>
      </c>
      <c r="O13" t="s">
        <v>1</v>
      </c>
      <c r="P13" t="s">
        <v>2</v>
      </c>
      <c r="R13" s="24">
        <f>(B17+B21+B24)</f>
        <v>4.3675800000000002</v>
      </c>
      <c r="S13" s="37">
        <f>(T13/R13)</f>
        <v>19.831331538288936</v>
      </c>
      <c r="T13" s="37">
        <f>(D17+11.97*B21+B24*12.17)</f>
        <v>86.614926999999994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0.11865875538291083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2.6598500000000001E-2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1.0164802541153897E-2</v>
      </c>
      <c r="N15" s="24">
        <f>(-B24)</f>
        <v>0.31</v>
      </c>
      <c r="O15" s="37">
        <f>C24</f>
        <v>18.399999999999999</v>
      </c>
      <c r="P15" s="37">
        <f>-D24</f>
        <v>5.7039999999999997</v>
      </c>
      <c r="Q15" t="s">
        <v>12</v>
      </c>
      <c r="R15" s="24">
        <f>B19+B22</f>
        <v>1.39927</v>
      </c>
      <c r="S15" s="37">
        <f>(T15/R15)</f>
        <v>19.86739942970263</v>
      </c>
      <c r="T15" s="37">
        <f>(D19+12.6*B22)</f>
        <v>27.799855999999998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2.384188</v>
      </c>
      <c r="O16" s="37">
        <f>($S$13*Params!K10)</f>
        <v>43.628929384235661</v>
      </c>
      <c r="P16" s="37">
        <f>(O16*N16)</f>
        <v>104.01956989074205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4.9584799999999998</v>
      </c>
      <c r="C17" s="37">
        <f>(D17/B17)</f>
        <v>18.907003759216536</v>
      </c>
      <c r="D17" s="37">
        <v>93.75</v>
      </c>
      <c r="E17" t="s">
        <v>10</v>
      </c>
      <c r="N17" s="24">
        <f>(($R$13+N14+N15)/5)</f>
        <v>0.99169599999999991</v>
      </c>
      <c r="O17" s="37">
        <f>($S$13*Params!K11)</f>
        <v>79.325326153155743</v>
      </c>
      <c r="P17" s="37">
        <f>(O17*N17)</f>
        <v>78.666608644779927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0">
        <v>2.6598500000000001E-2</v>
      </c>
      <c r="C18" s="39">
        <v>0</v>
      </c>
      <c r="D18" s="26">
        <v>0</v>
      </c>
      <c r="E18" s="38">
        <f>B18*J3</f>
        <v>0.51227694293979398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1.47071</v>
      </c>
      <c r="C19" s="37">
        <f t="shared" ref="C19:C29" si="1">(D19/B19)</f>
        <v>19.514384208987497</v>
      </c>
      <c r="D19" s="37">
        <v>28.7</v>
      </c>
      <c r="E19" t="s">
        <v>15</v>
      </c>
      <c r="O19" s="37"/>
      <c r="P19" s="37">
        <f>(SUM(P14:P17))</f>
        <v>192.59237853552196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0.51684400000000008</v>
      </c>
      <c r="O24" s="37">
        <f>($S$15*Params!K9)</f>
        <v>31.787839087524208</v>
      </c>
      <c r="P24" s="37">
        <f>(O24*N24)</f>
        <v>16.429353905352365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0.27985399999999999</v>
      </c>
      <c r="O25" s="37">
        <f>($S$15*Params!K10)</f>
        <v>43.708278745345787</v>
      </c>
      <c r="P25" s="37">
        <f>(O25*N25)</f>
        <v>12.231936639999999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0.27985399999999999</v>
      </c>
      <c r="O26" s="37">
        <f>($S$15*Params!K11)</f>
        <v>79.469597718810519</v>
      </c>
      <c r="P26" s="37">
        <f>(O26*N26)</f>
        <v>22.239884799999999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52.064278865352364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6.4632477310000009</v>
      </c>
      <c r="C31" s="37"/>
      <c r="D31" s="37">
        <f>(SUM(D5:D30))</f>
        <v>171.85189315</v>
      </c>
      <c r="E31" s="37"/>
      <c r="F31" t="s">
        <v>9</v>
      </c>
      <c r="G31" s="37">
        <f>(D31/B31)</f>
        <v>26.589092713518948</v>
      </c>
      <c r="S31" s="37"/>
      <c r="T31" s="37"/>
    </row>
    <row r="32" spans="2:21">
      <c r="S32" s="37"/>
      <c r="T32" s="37"/>
    </row>
    <row r="33" spans="18:20">
      <c r="R33" s="24">
        <f>(SUM(R5:R32))</f>
        <v>6.4632477310000018</v>
      </c>
      <c r="S33" s="37"/>
      <c r="T33" s="37">
        <f>(SUM(T5:T32))</f>
        <v>171.84953358999999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7.698541043108513E-2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0.71108237958909692</v>
      </c>
      <c r="K4" s="4">
        <f>(J4/D13-1)</f>
        <v>0.42216475917819385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0.13532783000000001</v>
      </c>
      <c r="C6" s="39">
        <v>0</v>
      </c>
      <c r="D6" s="26">
        <f>(B6*C6)</f>
        <v>0</v>
      </c>
      <c r="E6" s="37">
        <f>(B6*J3)</f>
        <v>1.0418268535298116E-2</v>
      </c>
      <c r="G6" s="37"/>
      <c r="M6" t="s">
        <v>11</v>
      </c>
      <c r="N6" s="19">
        <f>($B$13/5)</f>
        <v>1.84731724</v>
      </c>
      <c r="O6" s="35">
        <f>($C$5*Params!K8)</f>
        <v>7.1418695478700056E-2</v>
      </c>
      <c r="P6" s="37">
        <f>(O6*N6)</f>
        <v>0.13193298741611267</v>
      </c>
    </row>
    <row r="7" spans="2:16">
      <c r="C7" s="37"/>
      <c r="D7" s="37"/>
      <c r="E7" s="37"/>
      <c r="G7" s="37"/>
      <c r="N7" s="19">
        <f>($B$13/5)</f>
        <v>1.84731724</v>
      </c>
      <c r="O7" s="35">
        <f>($C$5*Params!K9)</f>
        <v>8.7899932896861599E-2</v>
      </c>
      <c r="P7" s="37">
        <f>(O7*N7)</f>
        <v>0.16237906143521558</v>
      </c>
    </row>
    <row r="8" spans="2:16">
      <c r="C8" s="37"/>
      <c r="D8" s="37"/>
      <c r="E8" s="37"/>
      <c r="G8" s="37"/>
      <c r="N8" s="19">
        <f>($B$13/5)</f>
        <v>1.84731724</v>
      </c>
      <c r="O8" s="35">
        <f>($C$5*Params!K10)</f>
        <v>0.12086240773318471</v>
      </c>
      <c r="P8" s="37">
        <f>(O8*N8)</f>
        <v>0.22327120947342144</v>
      </c>
    </row>
    <row r="9" spans="2:16">
      <c r="C9" s="37"/>
      <c r="D9" s="37"/>
      <c r="E9" s="37"/>
      <c r="G9" s="37"/>
      <c r="N9" s="19">
        <f>($B$13/5)</f>
        <v>1.84731724</v>
      </c>
      <c r="O9" s="35">
        <f>($C$5*Params!K11)</f>
        <v>0.219749832242154</v>
      </c>
      <c r="P9" s="37">
        <f>(O9*N9)</f>
        <v>0.40594765358803891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0.92353091191278858</v>
      </c>
    </row>
    <row r="12" spans="2:16">
      <c r="C12" s="37"/>
      <c r="D12" s="37"/>
      <c r="E12" s="37"/>
      <c r="F12" t="s">
        <v>9</v>
      </c>
      <c r="G12" s="37">
        <f>(D13/B13)</f>
        <v>5.4132553864976653E-2</v>
      </c>
    </row>
    <row r="13" spans="2:16">
      <c r="B13">
        <f>(SUM(B5:B12))</f>
        <v>9.2365861999999996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4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(C224)</f>
        <v>64.45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4.9776594025345462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7.174119011411225</v>
      </c>
      <c r="K4" s="4">
        <f>(J4/D10-1)</f>
        <v>-0.13040981679863939</v>
      </c>
      <c r="O4" s="37"/>
      <c r="P4" s="37"/>
    </row>
    <row r="5" spans="2:16">
      <c r="B5" s="1">
        <v>1.44085</v>
      </c>
      <c r="C5" s="37">
        <f>(D5/B5)</f>
        <v>5.7257868619217822</v>
      </c>
      <c r="D5" s="37">
        <v>8.25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2.0584612693241361E-3</v>
      </c>
      <c r="G6" s="37"/>
      <c r="H6" s="37"/>
      <c r="J6" s="37"/>
      <c r="M6" t="s">
        <v>11</v>
      </c>
      <c r="N6" s="1">
        <f>($B$5/5)</f>
        <v>0.28816999999999998</v>
      </c>
      <c r="O6" s="35">
        <f>($C$5*Params!K8)</f>
        <v>7.4435229204983173</v>
      </c>
      <c r="P6" s="37">
        <f>(O6*N6)</f>
        <v>2.145</v>
      </c>
    </row>
    <row r="7" spans="2:16">
      <c r="C7" s="37"/>
      <c r="D7" s="37"/>
      <c r="E7" s="37"/>
      <c r="G7" s="37"/>
      <c r="H7" s="37"/>
      <c r="J7" s="37"/>
      <c r="N7" s="1">
        <f>($B$5/5)</f>
        <v>0.28816999999999998</v>
      </c>
      <c r="O7" s="35">
        <f>($C$5*Params!K9)</f>
        <v>9.1612589790748515</v>
      </c>
      <c r="P7" s="37">
        <f>(O7*N7)</f>
        <v>2.6399999999999997</v>
      </c>
    </row>
    <row r="8" spans="2:16">
      <c r="C8" s="37"/>
      <c r="D8" s="37"/>
      <c r="E8" s="37"/>
      <c r="G8" s="37"/>
      <c r="H8" s="37"/>
      <c r="J8" s="37"/>
      <c r="N8" s="1">
        <f>($B$5/5)</f>
        <v>0.28816999999999998</v>
      </c>
      <c r="O8" s="35">
        <f>($C$5*Params!K10)</f>
        <v>12.596731096227922</v>
      </c>
      <c r="P8" s="37">
        <f>(O8*N8)</f>
        <v>3.63</v>
      </c>
    </row>
    <row r="9" spans="2:16">
      <c r="C9" s="37"/>
      <c r="D9" s="37"/>
      <c r="E9" s="37"/>
      <c r="F9" t="s">
        <v>9</v>
      </c>
      <c r="G9" s="37">
        <f>(D10/B10)</f>
        <v>5.724143968840008</v>
      </c>
      <c r="H9" s="37"/>
      <c r="J9" s="37"/>
      <c r="N9" s="1">
        <f>($B$5/5)</f>
        <v>0.28816999999999998</v>
      </c>
      <c r="O9" s="35">
        <f>($C$5*Params!K11)</f>
        <v>22.903147447687129</v>
      </c>
      <c r="P9" s="37">
        <f>(O9*N9)</f>
        <v>6.6</v>
      </c>
    </row>
    <row r="10" spans="2:16">
      <c r="B10" s="1">
        <f>(SUM(B5:B9))</f>
        <v>1.44126354</v>
      </c>
      <c r="C10" s="37"/>
      <c r="D10" s="37">
        <f>(SUM(D5:D9))</f>
        <v>8.25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15.014999999999999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0.46162600716126317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19.97388443610226</v>
      </c>
      <c r="K4" s="4">
        <f>(J4/D13-1)</f>
        <v>0.42190176633812859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54.028542340000001</v>
      </c>
      <c r="S5" s="37">
        <f>(T5/R5)</f>
        <v>0.35351684818376689</v>
      </c>
      <c r="T5" s="37">
        <f>(SUM(D5:D7))</f>
        <v>19.100000000000001</v>
      </c>
    </row>
    <row r="6" spans="2:20">
      <c r="B6" s="2">
        <v>0.45353086999999997</v>
      </c>
      <c r="C6" s="39">
        <v>0</v>
      </c>
      <c r="D6" s="39">
        <f>(B6*C6)</f>
        <v>0</v>
      </c>
      <c r="E6" s="37">
        <f>(B6*J3)</f>
        <v>0.20936164464247389</v>
      </c>
      <c r="M6" t="s">
        <v>11</v>
      </c>
      <c r="N6">
        <f>(-B8)</f>
        <v>10.76</v>
      </c>
      <c r="O6" s="37">
        <f>P6/N6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 s="19">
        <v>1.46219147</v>
      </c>
      <c r="C7" s="37">
        <f>(D7/B7)</f>
        <v>0.34195248040942272</v>
      </c>
      <c r="D7" s="37">
        <v>0.5</v>
      </c>
      <c r="N7" s="19">
        <f>(2*SUM(B$5:B$7)/5-N6)</f>
        <v>10.851416936000001</v>
      </c>
      <c r="O7" s="37">
        <f>($C$5*Params!K9)</f>
        <v>0.57106869288593487</v>
      </c>
      <c r="P7" s="37">
        <f>(O7*N7)</f>
        <v>6.1969044856018174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10.805708468000001</v>
      </c>
      <c r="O8" s="37">
        <f>($C$5*Params!K10)</f>
        <v>0.78521945271816052</v>
      </c>
      <c r="P8" s="37">
        <f>(O8*N8)</f>
        <v>8.4848524894749531</v>
      </c>
    </row>
    <row r="9" spans="2:20">
      <c r="N9" s="19">
        <f>(SUM(B$5:B$7)/5)</f>
        <v>10.805708468000001</v>
      </c>
      <c r="O9" s="37">
        <f>($C$5*Params!K11)</f>
        <v>1.4276717322148371</v>
      </c>
      <c r="P9" s="37">
        <f>(O9*N9)</f>
        <v>15.427004526318095</v>
      </c>
    </row>
    <row r="11" spans="2:20">
      <c r="P11" s="37">
        <f>(SUM(P6:P9))</f>
        <v>35.161458861394863</v>
      </c>
    </row>
    <row r="12" spans="2:20">
      <c r="F12" t="s">
        <v>9</v>
      </c>
      <c r="G12" s="37">
        <f>(D13/B13)</f>
        <v>0.32465393748690818</v>
      </c>
    </row>
    <row r="13" spans="2:20">
      <c r="B13">
        <f>(SUM(B5:B12))</f>
        <v>43.268542340000003</v>
      </c>
      <c r="D13" s="37">
        <f>(SUM(D5:D12))</f>
        <v>14.047302640000002</v>
      </c>
    </row>
    <row r="17" spans="18:20">
      <c r="R17">
        <f>(SUM(R5:R16))</f>
        <v>43.268542340000003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  <ignoredErrors>
    <ignoredError sqref="O6" formula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0.11556916253056421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2.9872118305713014</v>
      </c>
      <c r="K4" s="4">
        <f>(J4/D10-1)</f>
        <v>19.867558246685704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1.072896959697603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3.137492964285935</v>
      </c>
      <c r="K4" s="4">
        <f>(J4/D10-1)</f>
        <v>4.5830988095311609E-2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3.5119323242471731E-3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2.1050522351537553</v>
      </c>
      <c r="K4" s="4">
        <f>(J4/D10-1)</f>
        <v>-0.29831592161541487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0.1460771894746993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0.88870440532617567</v>
      </c>
      <c r="K4" s="4">
        <f>(J4/D9-1)</f>
        <v>-0.96921439270111076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281" priority="9" operator="lessThan">
      <formula>$J$3</formula>
    </cfRule>
    <cfRule type="cellIs" dxfId="280" priority="10" operator="greaterThan">
      <formula>$J$3</formula>
    </cfRule>
  </conditionalFormatting>
  <conditionalFormatting sqref="O11:O14">
    <cfRule type="cellIs" dxfId="279" priority="7" operator="lessThan">
      <formula>$J$3</formula>
    </cfRule>
    <cfRule type="cellIs" dxfId="278" priority="8" operator="greaterThan">
      <formula>$J$3</formula>
    </cfRule>
  </conditionalFormatting>
  <conditionalFormatting sqref="O20:O23">
    <cfRule type="cellIs" dxfId="277" priority="5" operator="lessThan">
      <formula>$J$3</formula>
    </cfRule>
    <cfRule type="cellIs" dxfId="276" priority="6" operator="greaterThan">
      <formula>$J$3</formula>
    </cfRule>
  </conditionalFormatting>
  <conditionalFormatting sqref="O29:O32">
    <cfRule type="cellIs" dxfId="275" priority="3" operator="lessThan">
      <formula>$J$3</formula>
    </cfRule>
    <cfRule type="cellIs" dxfId="274" priority="4" operator="greaterThan">
      <formula>$J$3</formula>
    </cfRule>
  </conditionalFormatting>
  <conditionalFormatting sqref="N6">
    <cfRule type="cellIs" dxfId="273" priority="1" operator="lessThan">
      <formula>$J$3</formula>
    </cfRule>
    <cfRule type="cellIs" dxfId="27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C29" sqref="C29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525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1.9720576720005161E-3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0.88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5.3883284299142158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-263.56567157008573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-187.29567157008572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7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40">
        <v>4</v>
      </c>
      <c r="D30" s="41">
        <v>0.01</v>
      </c>
      <c r="E30" s="41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525</v>
      </c>
      <c r="E34">
        <f t="shared" ref="E34:E40" si="1">C34*D34</f>
        <v>3283.35</v>
      </c>
      <c r="F34" s="29">
        <f t="shared" ref="F34:F40" si="2">E34*$N$5</f>
        <v>2889.348</v>
      </c>
      <c r="G34" s="37">
        <v>3.5</v>
      </c>
      <c r="H34" s="30">
        <f>G50</f>
        <v>1.5615590400000001</v>
      </c>
      <c r="I34" s="38">
        <f t="shared" ref="I34:I41" si="3">((F34-H34*D34)*$J$3-G34)</f>
        <v>0.58123153579462272</v>
      </c>
      <c r="J34">
        <v>1</v>
      </c>
      <c r="K34" s="42">
        <f t="shared" ref="K34:K40" si="4">I34*J34</f>
        <v>0.58123153579462272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525</v>
      </c>
      <c r="E35">
        <f t="shared" si="1"/>
        <v>507.15</v>
      </c>
      <c r="F35" s="29">
        <f t="shared" si="2"/>
        <v>446.29199999999997</v>
      </c>
      <c r="G35" s="37">
        <v>3.5</v>
      </c>
      <c r="H35" s="30">
        <f>G51</f>
        <v>0.21337130135885166</v>
      </c>
      <c r="I35" s="38">
        <f t="shared" si="3"/>
        <v>-2.8407962061580108</v>
      </c>
      <c r="J35">
        <v>1</v>
      </c>
      <c r="K35" s="42">
        <f t="shared" si="4"/>
        <v>-2.8407962061580108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525</v>
      </c>
      <c r="E36">
        <f t="shared" si="1"/>
        <v>446.77499999999998</v>
      </c>
      <c r="F36" s="29">
        <f t="shared" si="2"/>
        <v>393.16199999999998</v>
      </c>
      <c r="G36" s="37">
        <v>3.5</v>
      </c>
      <c r="H36" s="30">
        <f>G52</f>
        <v>0.18479602162162162</v>
      </c>
      <c r="I36" s="38">
        <f t="shared" si="3"/>
        <v>-2.9159867779628317</v>
      </c>
      <c r="J36">
        <v>1</v>
      </c>
      <c r="K36" s="42">
        <f t="shared" si="4"/>
        <v>-2.9159867779628317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491</v>
      </c>
      <c r="E37">
        <f t="shared" si="1"/>
        <v>417.84100000000001</v>
      </c>
      <c r="F37" s="29">
        <f t="shared" si="2"/>
        <v>367.70008000000001</v>
      </c>
      <c r="G37" s="37">
        <v>0</v>
      </c>
      <c r="H37" s="30">
        <f>G52</f>
        <v>0.18479602162162162</v>
      </c>
      <c r="I37" s="38">
        <f t="shared" si="3"/>
        <v>0.54619141337190436</v>
      </c>
      <c r="J37">
        <v>3</v>
      </c>
      <c r="K37" s="42">
        <f t="shared" si="4"/>
        <v>1.6385742401157131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433</v>
      </c>
      <c r="E38">
        <f t="shared" si="1"/>
        <v>368.483</v>
      </c>
      <c r="F38" s="29">
        <f t="shared" si="2"/>
        <v>324.26504</v>
      </c>
      <c r="G38" s="37">
        <v>0</v>
      </c>
      <c r="H38" s="30">
        <f>H37</f>
        <v>0.18479602162162162</v>
      </c>
      <c r="I38" s="38">
        <f t="shared" si="3"/>
        <v>0.48167185741351232</v>
      </c>
      <c r="J38">
        <v>1</v>
      </c>
      <c r="K38" s="42">
        <f t="shared" si="4"/>
        <v>0.48167185741351232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385</v>
      </c>
      <c r="E39">
        <f t="shared" si="1"/>
        <v>327.63499999999999</v>
      </c>
      <c r="F39" s="29">
        <f t="shared" si="2"/>
        <v>288.31880000000001</v>
      </c>
      <c r="G39" s="37">
        <v>0</v>
      </c>
      <c r="H39" s="30">
        <f>H38</f>
        <v>0.18479602162162162</v>
      </c>
      <c r="I39" s="38">
        <f t="shared" si="3"/>
        <v>0.42827636282725701</v>
      </c>
      <c r="J39">
        <v>1</v>
      </c>
      <c r="K39" s="42">
        <f t="shared" si="4"/>
        <v>0.42827636282725701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59.505600000000001</v>
      </c>
      <c r="G40" s="43">
        <v>0</v>
      </c>
      <c r="H40" s="32">
        <f>H35</f>
        <v>0.21337130135885166</v>
      </c>
      <c r="I40" s="43">
        <f t="shared" si="3"/>
        <v>8.7893839178931885E-2</v>
      </c>
      <c r="J40" s="16">
        <v>1</v>
      </c>
      <c r="K40" s="44">
        <f t="shared" si="4"/>
        <v>8.7893839178931885E-2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251</v>
      </c>
      <c r="E41">
        <f>(C41*D41)</f>
        <v>213.601</v>
      </c>
      <c r="F41" s="29">
        <f>(E41*$N$5)</f>
        <v>187.96888000000001</v>
      </c>
      <c r="G41" s="37">
        <v>0</v>
      </c>
      <c r="H41" s="29">
        <f>(H37)</f>
        <v>0.18479602162162162</v>
      </c>
      <c r="I41" s="38">
        <f t="shared" si="3"/>
        <v>0.27921394044062725</v>
      </c>
      <c r="J41">
        <v>1</v>
      </c>
      <c r="K41" s="42">
        <f>(I41*J41)</f>
        <v>0.27921394044062725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2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0.58197642991421716</v>
      </c>
      <c r="P46">
        <f>(O46/J3)</f>
        <v>295.11126280796964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5">
        <v>1.1399999999999999</v>
      </c>
      <c r="E59" s="46">
        <f t="shared" ref="E59:E66" si="6">D59/C59</f>
        <v>1.0039857823396298E-2</v>
      </c>
    </row>
    <row r="60" spans="2:7">
      <c r="B60" s="8"/>
      <c r="C60" s="19">
        <v>130.53974622000001</v>
      </c>
      <c r="D60" s="45">
        <v>1.1793119999999999</v>
      </c>
      <c r="E60" s="46">
        <f t="shared" si="6"/>
        <v>9.0341220520874389E-3</v>
      </c>
    </row>
    <row r="61" spans="2:7">
      <c r="B61" s="8"/>
      <c r="C61" s="19">
        <v>167.40487411999999</v>
      </c>
      <c r="D61" s="45">
        <v>1.05481</v>
      </c>
      <c r="E61" s="46">
        <f t="shared" si="6"/>
        <v>6.3009515436443378E-3</v>
      </c>
    </row>
    <row r="62" spans="2:7">
      <c r="B62" s="8"/>
      <c r="C62" s="19">
        <v>167.96827999999999</v>
      </c>
      <c r="D62" s="45">
        <f>1.0512-0.00017</f>
        <v>1.0510299999999999</v>
      </c>
      <c r="E62" s="46">
        <f t="shared" si="6"/>
        <v>6.2573123925541178E-3</v>
      </c>
    </row>
    <row r="63" spans="2:7">
      <c r="B63" s="8"/>
      <c r="C63" s="19">
        <v>123.66</v>
      </c>
      <c r="D63" s="45">
        <v>1.0489999999999999</v>
      </c>
      <c r="E63" s="46">
        <f t="shared" si="6"/>
        <v>8.4829370855571719E-3</v>
      </c>
    </row>
    <row r="64" spans="2:7">
      <c r="B64" s="8"/>
      <c r="C64" s="19">
        <v>149.5</v>
      </c>
      <c r="D64" s="45">
        <v>1.17</v>
      </c>
      <c r="E64" s="46">
        <f t="shared" si="6"/>
        <v>7.826086956521738E-3</v>
      </c>
    </row>
    <row r="65" spans="2:5">
      <c r="B65" s="8"/>
      <c r="C65" s="19">
        <v>170.62</v>
      </c>
      <c r="D65" s="45">
        <v>1.1579999999999999</v>
      </c>
      <c r="E65" s="46">
        <f t="shared" si="6"/>
        <v>6.7870120736138783E-3</v>
      </c>
    </row>
    <row r="66" spans="2:5">
      <c r="B66" s="8"/>
      <c r="C66" s="19">
        <v>192.66</v>
      </c>
      <c r="D66" s="45">
        <v>1.0900000000000001</v>
      </c>
      <c r="E66" s="46">
        <f t="shared" si="6"/>
        <v>5.6576352122910834E-3</v>
      </c>
    </row>
    <row r="67" spans="2:5">
      <c r="B67" s="8"/>
      <c r="C67" s="19">
        <v>257.33999999999997</v>
      </c>
      <c r="D67" s="45">
        <v>1.1299999999999999</v>
      </c>
      <c r="E67" s="46">
        <f t="shared" ref="E67:E72" si="7">(D67/C67)</f>
        <v>4.3910779513484108E-3</v>
      </c>
    </row>
    <row r="68" spans="2:5">
      <c r="B68" s="8"/>
      <c r="C68" s="19">
        <v>312.13</v>
      </c>
      <c r="D68" s="45">
        <v>0.82</v>
      </c>
      <c r="E68" s="46">
        <f t="shared" si="7"/>
        <v>2.6271104988306155E-3</v>
      </c>
    </row>
    <row r="69" spans="2:5">
      <c r="B69" s="8"/>
      <c r="C69" s="19">
        <v>352.46100000000001</v>
      </c>
      <c r="D69" s="45">
        <v>1.2074</v>
      </c>
      <c r="E69" s="46">
        <f t="shared" si="7"/>
        <v>3.4256272325165053E-3</v>
      </c>
    </row>
    <row r="70" spans="2:5">
      <c r="B70" s="8"/>
      <c r="C70" s="19">
        <v>263.04000000000002</v>
      </c>
      <c r="D70" s="45">
        <v>1.0588</v>
      </c>
      <c r="E70" s="46">
        <f t="shared" si="7"/>
        <v>4.0252433090024325E-3</v>
      </c>
    </row>
    <row r="71" spans="2:5">
      <c r="B71" s="8"/>
      <c r="C71" s="19">
        <v>359.00495999999998</v>
      </c>
      <c r="D71" s="45">
        <v>1.1194999999999999</v>
      </c>
      <c r="E71" s="46">
        <f t="shared" si="7"/>
        <v>3.1183413176241355E-3</v>
      </c>
    </row>
    <row r="72" spans="2:5">
      <c r="B72" s="8"/>
      <c r="C72" s="19">
        <v>327.91</v>
      </c>
      <c r="D72" s="45">
        <v>1.0785</v>
      </c>
      <c r="E72" s="46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71" priority="17" operator="lessThan">
      <formula>$C$5</formula>
    </cfRule>
    <cfRule type="cellIs" dxfId="270" priority="18" operator="greaterThan">
      <formula>$C$5</formula>
    </cfRule>
  </conditionalFormatting>
  <conditionalFormatting sqref="L35">
    <cfRule type="cellIs" dxfId="269" priority="15" operator="lessThan">
      <formula>$C$6</formula>
    </cfRule>
    <cfRule type="cellIs" dxfId="268" priority="16" operator="greaterThan">
      <formula>$C$6</formula>
    </cfRule>
  </conditionalFormatting>
  <conditionalFormatting sqref="L39">
    <cfRule type="cellIs" dxfId="267" priority="13" operator="lessThan">
      <formula>$C$20</formula>
    </cfRule>
    <cfRule type="cellIs" dxfId="266" priority="14" operator="greaterThan">
      <formula>$C$20</formula>
    </cfRule>
  </conditionalFormatting>
  <conditionalFormatting sqref="L38">
    <cfRule type="cellIs" dxfId="265" priority="11" operator="lessThan">
      <formula>$C$19</formula>
    </cfRule>
    <cfRule type="cellIs" dxfId="264" priority="12" operator="greaterThan">
      <formula>$C$19</formula>
    </cfRule>
  </conditionalFormatting>
  <conditionalFormatting sqref="L37">
    <cfRule type="cellIs" dxfId="263" priority="9" operator="lessThan">
      <formula>$C$17</formula>
    </cfRule>
    <cfRule type="cellIs" dxfId="262" priority="10" operator="greaterThan">
      <formula>$C$17</formula>
    </cfRule>
  </conditionalFormatting>
  <conditionalFormatting sqref="L36">
    <cfRule type="cellIs" dxfId="261" priority="7" operator="lessThan">
      <formula>$C$7</formula>
    </cfRule>
    <cfRule type="cellIs" dxfId="260" priority="8" operator="greaterThan">
      <formula>$C$7</formula>
    </cfRule>
  </conditionalFormatting>
  <conditionalFormatting sqref="L41">
    <cfRule type="cellIs" dxfId="259" priority="5" operator="lessThan">
      <formula>$C$20</formula>
    </cfRule>
    <cfRule type="cellIs" dxfId="258" priority="6" operator="greaterThan">
      <formula>$C$20</formula>
    </cfRule>
  </conditionalFormatting>
  <conditionalFormatting sqref="L42">
    <cfRule type="cellIs" dxfId="257" priority="3" operator="lessThan">
      <formula>$C$20</formula>
    </cfRule>
    <cfRule type="cellIs" dxfId="256" priority="4" operator="greaterThan">
      <formula>$C$20</formula>
    </cfRule>
  </conditionalFormatting>
  <conditionalFormatting sqref="L43:L45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8" sqref="B8"/>
    </sheetView>
  </sheetViews>
  <sheetFormatPr baseColWidth="10" defaultColWidth="9.140625" defaultRowHeight="15"/>
  <cols>
    <col min="4" max="4" width="10.28515625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0.35776394904343128</v>
      </c>
      <c r="M3" t="s">
        <v>4</v>
      </c>
      <c r="N3" s="1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28.752161173040435</v>
      </c>
      <c r="K4" s="4">
        <f>(J4/D13-1)</f>
        <v>1.9940541093155018E-2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0.27311658</v>
      </c>
      <c r="C6" s="39">
        <v>0</v>
      </c>
      <c r="D6" s="39">
        <f>(B6*C6)</f>
        <v>0</v>
      </c>
      <c r="E6" s="37">
        <f>(B6*J3)</f>
        <v>9.7711266210036229E-2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0.27311658</v>
      </c>
      <c r="S6" s="39">
        <v>0</v>
      </c>
      <c r="T6" s="39">
        <f>(D6)</f>
        <v>0</v>
      </c>
      <c r="U6" s="37">
        <f>(R6*J3)</f>
        <v>9.7711266210036229E-2</v>
      </c>
    </row>
    <row r="7" spans="2:21">
      <c r="B7" s="1">
        <v>81.217169999999996</v>
      </c>
      <c r="C7" s="37">
        <f>(D7/B7)</f>
        <v>0.35337355389260672</v>
      </c>
      <c r="D7" s="37">
        <v>28.7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78.499810623999991</v>
      </c>
      <c r="S7" s="37">
        <f>(T7/R7)</f>
        <v>0.3560930851975308</v>
      </c>
      <c r="T7" s="37">
        <f>(D7+0.274811*-N14)</f>
        <v>27.953239752522062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0.35076941706816162</v>
      </c>
    </row>
    <row r="13" spans="2:21">
      <c r="B13">
        <f>(SUM(B5:B12))</f>
        <v>80.366289699999996</v>
      </c>
      <c r="D13" s="37">
        <f>(SUM(D5:D12))</f>
        <v>28.190036589999998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80.366289699999996</v>
      </c>
      <c r="T13" s="37">
        <f>(SUM(T5:T12))</f>
        <v>28.190036589999998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30.516100254399998</v>
      </c>
      <c r="O15" s="37">
        <f>($S$7*Params!K9)</f>
        <v>0.56974893631604928</v>
      </c>
      <c r="P15" s="37">
        <f>(O15*N15)</f>
        <v>17.386515660458318</v>
      </c>
    </row>
    <row r="16" spans="2:21">
      <c r="N16" s="1">
        <f>(($B$7+R6+R5)/5)</f>
        <v>16.616729815199999</v>
      </c>
      <c r="O16" s="37">
        <f>($C$7*Params!K10)</f>
        <v>0.77742181856373482</v>
      </c>
      <c r="P16" s="37">
        <f>(O16*N16)</f>
        <v>12.918208311515016</v>
      </c>
    </row>
    <row r="17" spans="14:16">
      <c r="N17" s="1">
        <f>(($B$7+R6+R5)/5)</f>
        <v>16.616729815199999</v>
      </c>
      <c r="O17" s="37">
        <f>($C$7*Params!K11)</f>
        <v>1.4134942155704269</v>
      </c>
      <c r="P17" s="37">
        <f>(O17*N17)</f>
        <v>23.487651475481847</v>
      </c>
    </row>
    <row r="18" spans="14:16">
      <c r="N18" s="1"/>
      <c r="P18" s="37"/>
    </row>
    <row r="19" spans="14:16">
      <c r="P19" s="37">
        <f>(SUM(P14:P17))</f>
        <v>54.673215560938644</v>
      </c>
    </row>
  </sheetData>
  <conditionalFormatting sqref="C5 C7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O15:O17">
    <cfRule type="cellIs" dxfId="249" priority="9" operator="lessThan">
      <formula>$J$3</formula>
    </cfRule>
    <cfRule type="cellIs" dxfId="248" priority="10" operator="greaterThan">
      <formula>$J$3</formula>
    </cfRule>
  </conditionalFormatting>
  <conditionalFormatting sqref="S5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S7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3">
    <cfRule type="cellIs" dxfId="243" priority="3" operator="greaterThan">
      <formula>$J$3</formula>
    </cfRule>
    <cfRule type="cellIs" dxfId="242" priority="4" operator="lessThan">
      <formula>$J$3</formula>
    </cfRule>
  </conditionalFormatting>
  <conditionalFormatting sqref="G12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bestFit="1" customWidth="1"/>
    <col min="15" max="15" width="11.28515625" style="14" bestFit="1" customWidth="1"/>
  </cols>
  <sheetData>
    <row r="3" spans="2:21">
      <c r="I3" t="s">
        <v>3</v>
      </c>
      <c r="J3" s="35">
        <v>0.14849059630363329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9.3567509873027443</v>
      </c>
      <c r="K4" s="4">
        <f>(J4/D14-1)</f>
        <v>-4.7742673081700993E-2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0.26960484000000001</v>
      </c>
      <c r="C6" s="39">
        <v>0</v>
      </c>
      <c r="D6" s="39">
        <f>(B6*C6)</f>
        <v>0</v>
      </c>
      <c r="E6" s="37">
        <f>(B6*J3)</f>
        <v>4.0033783457945643E-2</v>
      </c>
      <c r="M6" t="s">
        <v>11</v>
      </c>
      <c r="N6" s="29">
        <f>($B$14/5)</f>
        <v>12.602482878</v>
      </c>
      <c r="O6" s="37">
        <f>($C$5*Params!K8)</f>
        <v>0.21940472231459929</v>
      </c>
      <c r="P6" s="37">
        <f>(O6*N6)</f>
        <v>2.7650442563220818</v>
      </c>
      <c r="R6" s="25">
        <f>(B6)</f>
        <v>0.26960484000000001</v>
      </c>
      <c r="S6" s="39">
        <v>0</v>
      </c>
      <c r="T6" s="39">
        <f>(D6)</f>
        <v>0</v>
      </c>
      <c r="U6" s="37">
        <f>(E6)</f>
        <v>4.0033783457945643E-2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12.602482878</v>
      </c>
      <c r="O7" s="37">
        <f>($C$5*Params!K9)</f>
        <v>0.27003658131027602</v>
      </c>
      <c r="P7" s="37">
        <f>(O7*N7)</f>
        <v>3.4031313923964084</v>
      </c>
      <c r="R7" s="29">
        <f>SUM(B7:B10)</f>
        <v>2.6028095500000017</v>
      </c>
      <c r="S7" s="37">
        <v>0</v>
      </c>
      <c r="T7" s="37">
        <f>SUM(D7:D10)</f>
        <v>-0.3241360000000002</v>
      </c>
      <c r="U7" s="38"/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12.602482878</v>
      </c>
      <c r="O8" s="37">
        <f>($C$5*Params!K10)</f>
        <v>0.37130029930162955</v>
      </c>
      <c r="P8" s="37">
        <f>(O8*N8)</f>
        <v>4.6793056645450619</v>
      </c>
      <c r="R8" s="29"/>
      <c r="S8" s="37"/>
      <c r="T8" s="37"/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12.602482878</v>
      </c>
      <c r="O9" s="37">
        <f>($C$5*Params!K11)</f>
        <v>0.67509145327569009</v>
      </c>
      <c r="P9" s="37">
        <f>(O9*N9)</f>
        <v>8.5078284809910212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19.355309794254573</v>
      </c>
    </row>
    <row r="13" spans="2:21">
      <c r="F13" t="s">
        <v>9</v>
      </c>
      <c r="G13" s="37">
        <f>(D14/B14)</f>
        <v>0.15593536757987411</v>
      </c>
    </row>
    <row r="14" spans="2:21">
      <c r="B14" s="29">
        <f>(SUM(B5:B13))</f>
        <v>63.012414390000004</v>
      </c>
      <c r="D14" s="37">
        <f>(SUM(D5:D13))</f>
        <v>9.8258639999999993</v>
      </c>
    </row>
    <row r="17" spans="11:20">
      <c r="N17" s="29"/>
      <c r="R17" s="29">
        <f>(SUM(R5:R16))</f>
        <v>63.012414390000004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C9:C10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O6:O9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S5 S7:S8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2023-05-26T07:52:28Z</dcterms:modified>
</cp:coreProperties>
</file>