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2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J4"/>
  <c r="K4" s="1"/>
  <c r="B13" i="31"/>
  <c r="N9"/>
  <c r="N8"/>
  <c r="C8"/>
  <c r="C7"/>
  <c r="T6"/>
  <c r="S6"/>
  <c r="R6"/>
  <c r="P6"/>
  <c r="N6"/>
  <c r="N7" s="1"/>
  <c r="E6"/>
  <c r="D6"/>
  <c r="D13" s="1"/>
  <c r="G12" s="1"/>
  <c r="T5"/>
  <c r="T17" s="1"/>
  <c r="R5"/>
  <c r="R17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C31" i="28"/>
  <c r="C30"/>
  <c r="D29"/>
  <c r="C29" s="1"/>
  <c r="O7" s="1"/>
  <c r="P7" s="1"/>
  <c r="B28"/>
  <c r="C28" s="1"/>
  <c r="C27"/>
  <c r="B26"/>
  <c r="C26" s="1"/>
  <c r="C25"/>
  <c r="C24"/>
  <c r="N23"/>
  <c r="C23"/>
  <c r="C22"/>
  <c r="O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T15"/>
  <c r="R15"/>
  <c r="N25" s="1"/>
  <c r="B15"/>
  <c r="E15" s="1"/>
  <c r="T14"/>
  <c r="S14"/>
  <c r="R14"/>
  <c r="O14"/>
  <c r="P14" s="1"/>
  <c r="N14"/>
  <c r="B14"/>
  <c r="E14" s="1"/>
  <c r="T13"/>
  <c r="S13" s="1"/>
  <c r="R13"/>
  <c r="N17" s="1"/>
  <c r="B13"/>
  <c r="D13" s="1"/>
  <c r="T12"/>
  <c r="R12"/>
  <c r="S12" s="1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N7"/>
  <c r="C7"/>
  <c r="T6"/>
  <c r="O6"/>
  <c r="P6" s="1"/>
  <c r="N6"/>
  <c r="C6"/>
  <c r="B6"/>
  <c r="R6" s="1"/>
  <c r="S5"/>
  <c r="B5"/>
  <c r="B33" s="1"/>
  <c r="J4" s="1"/>
  <c r="B13" i="27"/>
  <c r="N9"/>
  <c r="N8"/>
  <c r="N7"/>
  <c r="N6"/>
  <c r="E6"/>
  <c r="D6"/>
  <c r="D13" s="1"/>
  <c r="G12" s="1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N8"/>
  <c r="C8"/>
  <c r="T7"/>
  <c r="R7"/>
  <c r="N7"/>
  <c r="E7"/>
  <c r="U6"/>
  <c r="T6"/>
  <c r="R6"/>
  <c r="S6" s="1"/>
  <c r="N6"/>
  <c r="C6"/>
  <c r="O17" s="1"/>
  <c r="P17" s="1"/>
  <c r="T5"/>
  <c r="T22" s="1"/>
  <c r="R5"/>
  <c r="R22" s="1"/>
  <c r="C5"/>
  <c r="O9" s="1"/>
  <c r="J4"/>
  <c r="B10" i="25"/>
  <c r="N9"/>
  <c r="N8"/>
  <c r="N7"/>
  <c r="D7"/>
  <c r="N6"/>
  <c r="E6"/>
  <c r="D6"/>
  <c r="D10" s="1"/>
  <c r="G9" s="1"/>
  <c r="C5"/>
  <c r="O9" s="1"/>
  <c r="P9" s="1"/>
  <c r="J4"/>
  <c r="E7" s="1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R5"/>
  <c r="R37" s="1"/>
  <c r="D5"/>
  <c r="D13" i="22"/>
  <c r="D12"/>
  <c r="D11"/>
  <c r="D10"/>
  <c r="D9"/>
  <c r="D8"/>
  <c r="C7"/>
  <c r="B7"/>
  <c r="B15" s="1"/>
  <c r="J4" s="1"/>
  <c r="E6"/>
  <c r="D6"/>
  <c r="D5"/>
  <c r="D15" s="1"/>
  <c r="B13" i="21"/>
  <c r="N9"/>
  <c r="C9"/>
  <c r="T8"/>
  <c r="R8"/>
  <c r="N8"/>
  <c r="C8"/>
  <c r="T7"/>
  <c r="S7" s="1"/>
  <c r="R7"/>
  <c r="N7"/>
  <c r="C7"/>
  <c r="O9" s="1"/>
  <c r="P9" s="1"/>
  <c r="R6"/>
  <c r="P6"/>
  <c r="O6"/>
  <c r="N6"/>
  <c r="E6"/>
  <c r="D6"/>
  <c r="T6" s="1"/>
  <c r="T5"/>
  <c r="S5"/>
  <c r="R5"/>
  <c r="R19" s="1"/>
  <c r="C5"/>
  <c r="J4"/>
  <c r="B10" i="20"/>
  <c r="N9"/>
  <c r="N8"/>
  <c r="O7"/>
  <c r="P7" s="1"/>
  <c r="N7"/>
  <c r="N6"/>
  <c r="E6"/>
  <c r="D6"/>
  <c r="D10" s="1"/>
  <c r="C5"/>
  <c r="O9" s="1"/>
  <c r="P9" s="1"/>
  <c r="J4"/>
  <c r="B10" i="19"/>
  <c r="N9" s="1"/>
  <c r="N7"/>
  <c r="E6"/>
  <c r="D6"/>
  <c r="D10" s="1"/>
  <c r="G9" s="1"/>
  <c r="C5"/>
  <c r="O7" s="1"/>
  <c r="P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B13"/>
  <c r="G12"/>
  <c r="O9"/>
  <c r="N9"/>
  <c r="P9" s="1"/>
  <c r="O8"/>
  <c r="P8" s="1"/>
  <c r="N8"/>
  <c r="O7"/>
  <c r="N7"/>
  <c r="P7" s="1"/>
  <c r="O6"/>
  <c r="P6" s="1"/>
  <c r="P11" s="1"/>
  <c r="N6"/>
  <c r="E6"/>
  <c r="D6"/>
  <c r="K4"/>
  <c r="J4"/>
  <c r="C10" i="16"/>
  <c r="D9"/>
  <c r="B9"/>
  <c r="D8"/>
  <c r="C8" s="1"/>
  <c r="B8"/>
  <c r="B14" s="1"/>
  <c r="T7"/>
  <c r="S7"/>
  <c r="R7"/>
  <c r="C7"/>
  <c r="T6"/>
  <c r="S6" s="1"/>
  <c r="R6"/>
  <c r="E6"/>
  <c r="D6"/>
  <c r="D14" s="1"/>
  <c r="G13" s="1"/>
  <c r="T5"/>
  <c r="R5"/>
  <c r="C5"/>
  <c r="O9" s="1"/>
  <c r="B13" i="15"/>
  <c r="N9"/>
  <c r="N8"/>
  <c r="N7"/>
  <c r="N6"/>
  <c r="E6"/>
  <c r="D6"/>
  <c r="D13" s="1"/>
  <c r="G12" s="1"/>
  <c r="C5"/>
  <c r="O9" s="1"/>
  <c r="P9" s="1"/>
  <c r="J4"/>
  <c r="K4" s="1"/>
  <c r="B15" i="14"/>
  <c r="C13"/>
  <c r="C12"/>
  <c r="C11"/>
  <c r="E10"/>
  <c r="S9"/>
  <c r="O16" s="1"/>
  <c r="R9"/>
  <c r="N17" s="1"/>
  <c r="D9"/>
  <c r="S8"/>
  <c r="O9" s="1"/>
  <c r="R8"/>
  <c r="O8"/>
  <c r="E8"/>
  <c r="S7"/>
  <c r="R7"/>
  <c r="T7" s="1"/>
  <c r="O7"/>
  <c r="E7"/>
  <c r="S6"/>
  <c r="R6"/>
  <c r="T6" s="1"/>
  <c r="O6"/>
  <c r="D6"/>
  <c r="R5"/>
  <c r="N24" s="1"/>
  <c r="D5"/>
  <c r="J4"/>
  <c r="R15" i="13"/>
  <c r="D13"/>
  <c r="B13"/>
  <c r="G12" s="1"/>
  <c r="C11"/>
  <c r="C10"/>
  <c r="O9"/>
  <c r="C9"/>
  <c r="O8"/>
  <c r="C8"/>
  <c r="O7"/>
  <c r="C7"/>
  <c r="T6"/>
  <c r="R6"/>
  <c r="O6"/>
  <c r="C6"/>
  <c r="T5"/>
  <c r="T15" s="1"/>
  <c r="S5"/>
  <c r="R5"/>
  <c r="C5"/>
  <c r="J4"/>
  <c r="K4" s="1"/>
  <c r="N17" i="12"/>
  <c r="O16"/>
  <c r="P16" s="1"/>
  <c r="N16"/>
  <c r="N15"/>
  <c r="O14"/>
  <c r="P14" s="1"/>
  <c r="N14"/>
  <c r="D13"/>
  <c r="B13"/>
  <c r="G12"/>
  <c r="C11"/>
  <c r="C10"/>
  <c r="O17" s="1"/>
  <c r="P17" s="1"/>
  <c r="N9"/>
  <c r="C9"/>
  <c r="U8"/>
  <c r="T8"/>
  <c r="S8"/>
  <c r="R8"/>
  <c r="N8"/>
  <c r="C8"/>
  <c r="T7"/>
  <c r="R7"/>
  <c r="N7"/>
  <c r="C7"/>
  <c r="T6"/>
  <c r="R6"/>
  <c r="O6"/>
  <c r="P6" s="1"/>
  <c r="N6"/>
  <c r="E6"/>
  <c r="D6"/>
  <c r="T5"/>
  <c r="R5"/>
  <c r="R13" s="1"/>
  <c r="C5"/>
  <c r="O9" s="1"/>
  <c r="P9" s="1"/>
  <c r="K4"/>
  <c r="J4"/>
  <c r="D14" i="11"/>
  <c r="B14"/>
  <c r="G13"/>
  <c r="N9"/>
  <c r="N8"/>
  <c r="N7"/>
  <c r="D7"/>
  <c r="N6"/>
  <c r="E6"/>
  <c r="D6"/>
  <c r="C5"/>
  <c r="J4"/>
  <c r="B14" i="10"/>
  <c r="D12"/>
  <c r="C11"/>
  <c r="C10"/>
  <c r="C9"/>
  <c r="C8"/>
  <c r="R7"/>
  <c r="R14" s="1"/>
  <c r="C7"/>
  <c r="T6"/>
  <c r="S6"/>
  <c r="R6"/>
  <c r="E6"/>
  <c r="D6"/>
  <c r="T5"/>
  <c r="R5"/>
  <c r="C5"/>
  <c r="O6" s="1"/>
  <c r="J4"/>
  <c r="B14" i="9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8"/>
  <c r="N9"/>
  <c r="C9"/>
  <c r="T8"/>
  <c r="R8"/>
  <c r="N8"/>
  <c r="C8"/>
  <c r="T7"/>
  <c r="R7"/>
  <c r="N7"/>
  <c r="C7"/>
  <c r="R6"/>
  <c r="U6" s="1"/>
  <c r="O6"/>
  <c r="N6"/>
  <c r="P6" s="1"/>
  <c r="E6"/>
  <c r="D6"/>
  <c r="D13" s="1"/>
  <c r="G12" s="1"/>
  <c r="T5"/>
  <c r="S5"/>
  <c r="R5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I40" s="1"/>
  <c r="K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D9"/>
  <c r="B9"/>
  <c r="G8"/>
  <c r="D7"/>
  <c r="P6"/>
  <c r="N6"/>
  <c r="O6" s="1"/>
  <c r="D6"/>
  <c r="D5"/>
  <c r="J4"/>
  <c r="K4" s="1"/>
  <c r="D228" i="3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M73"/>
  <c r="M68"/>
  <c r="M67"/>
  <c r="M66"/>
  <c r="N65"/>
  <c r="O65" s="1"/>
  <c r="M65"/>
  <c r="M60"/>
  <c r="M59"/>
  <c r="N57"/>
  <c r="M52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N25"/>
  <c r="O25" s="1"/>
  <c r="M25"/>
  <c r="C25"/>
  <c r="N68" s="1"/>
  <c r="O68" s="1"/>
  <c r="T24"/>
  <c r="S24"/>
  <c r="N75" s="1"/>
  <c r="O75" s="1"/>
  <c r="R24"/>
  <c r="M76" s="1"/>
  <c r="C24"/>
  <c r="T23"/>
  <c r="R23"/>
  <c r="C23"/>
  <c r="C22"/>
  <c r="N43" s="1"/>
  <c r="O43" s="1"/>
  <c r="R21"/>
  <c r="C21"/>
  <c r="M20"/>
  <c r="C20"/>
  <c r="N36" s="1"/>
  <c r="O36" s="1"/>
  <c r="T19"/>
  <c r="S19"/>
  <c r="N52" s="1"/>
  <c r="O52" s="1"/>
  <c r="R19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7" l="1"/>
  <c r="P37" s="1"/>
  <c r="O36"/>
  <c r="O35"/>
  <c r="O34"/>
  <c r="O29"/>
  <c r="P29" s="1"/>
  <c r="O28"/>
  <c r="O27"/>
  <c r="O26"/>
  <c r="O22" i="2"/>
  <c r="O46"/>
  <c r="O9"/>
  <c r="O14" s="1"/>
  <c r="N4"/>
  <c r="H36" i="5"/>
  <c r="I36" s="1"/>
  <c r="K36" s="1"/>
  <c r="H37"/>
  <c r="N6" i="9"/>
  <c r="J4"/>
  <c r="K4" s="1"/>
  <c r="S6" i="12"/>
  <c r="T13"/>
  <c r="D15" i="14"/>
  <c r="T5"/>
  <c r="G15"/>
  <c r="P6" i="9"/>
  <c r="N9" i="10"/>
  <c r="D14"/>
  <c r="G13" s="1"/>
  <c r="N6"/>
  <c r="P6" s="1"/>
  <c r="O7"/>
  <c r="U5" i="12"/>
  <c r="E228" i="3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D74" i="5"/>
  <c r="E62"/>
  <c r="O9" i="8"/>
  <c r="P9" s="1"/>
  <c r="O8"/>
  <c r="P8" s="1"/>
  <c r="S5" i="9"/>
  <c r="C12" i="10"/>
  <c r="T7"/>
  <c r="O9" i="11"/>
  <c r="P9" s="1"/>
  <c r="O7"/>
  <c r="P7" s="1"/>
  <c r="O8"/>
  <c r="P8" s="1"/>
  <c r="N8" i="14"/>
  <c r="N6"/>
  <c r="P6" s="1"/>
  <c r="P11" s="1"/>
  <c r="N9"/>
  <c r="T8"/>
  <c r="N7"/>
  <c r="P7" s="1"/>
  <c r="N9" i="16"/>
  <c r="N8"/>
  <c r="N6"/>
  <c r="J4"/>
  <c r="K4" s="1"/>
  <c r="N7"/>
  <c r="G9" i="18"/>
  <c r="K4"/>
  <c r="G9" i="20"/>
  <c r="K4"/>
  <c r="N26" i="1"/>
  <c r="N27"/>
  <c r="N28"/>
  <c r="B39"/>
  <c r="B42" s="1"/>
  <c r="N34" i="2"/>
  <c r="O34" s="1"/>
  <c r="O38" s="1"/>
  <c r="N51"/>
  <c r="O51" s="1"/>
  <c r="N67"/>
  <c r="O67" s="1"/>
  <c r="N74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I35" i="5"/>
  <c r="K35" s="1"/>
  <c r="M38"/>
  <c r="M46" s="1"/>
  <c r="T6" i="8"/>
  <c r="T13" s="1"/>
  <c r="O3" i="1"/>
  <c r="T5"/>
  <c r="N6"/>
  <c r="R19"/>
  <c r="N19" s="1"/>
  <c r="T19"/>
  <c r="S19" s="1"/>
  <c r="R21"/>
  <c r="N34"/>
  <c r="N35"/>
  <c r="N36"/>
  <c r="T15" i="2"/>
  <c r="S15" s="1"/>
  <c r="N26"/>
  <c r="O26" s="1"/>
  <c r="O30" s="1"/>
  <c r="N27"/>
  <c r="O27" s="1"/>
  <c r="D30"/>
  <c r="T21" s="1"/>
  <c r="S21" s="1"/>
  <c r="B31"/>
  <c r="N35"/>
  <c r="O35" s="1"/>
  <c r="N50"/>
  <c r="O50" s="1"/>
  <c r="O54" s="1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P35" i="4"/>
  <c r="I37" i="5"/>
  <c r="K37" s="1"/>
  <c r="M39"/>
  <c r="K4" i="8"/>
  <c r="R13"/>
  <c r="S7"/>
  <c r="O7" s="1"/>
  <c r="P7" s="1"/>
  <c r="P11" s="1"/>
  <c r="T14" i="10"/>
  <c r="O8"/>
  <c r="O9"/>
  <c r="P9" s="1"/>
  <c r="O6" i="11"/>
  <c r="P6" s="1"/>
  <c r="P12" s="1"/>
  <c r="E7"/>
  <c r="K4"/>
  <c r="N9" i="13"/>
  <c r="P9" s="1"/>
  <c r="N8"/>
  <c r="P8" s="1"/>
  <c r="N7"/>
  <c r="P7" s="1"/>
  <c r="N6"/>
  <c r="P6" s="1"/>
  <c r="O7" i="16"/>
  <c r="P7" s="1"/>
  <c r="O6"/>
  <c r="P6" s="1"/>
  <c r="T19" i="21"/>
  <c r="S6"/>
  <c r="R9" i="24"/>
  <c r="D16"/>
  <c r="T9" s="1"/>
  <c r="O16" i="28"/>
  <c r="O17"/>
  <c r="P17" s="1"/>
  <c r="O15"/>
  <c r="P23"/>
  <c r="N3"/>
  <c r="O3"/>
  <c r="P6" i="32"/>
  <c r="T6" i="9"/>
  <c r="T17" s="1"/>
  <c r="O7"/>
  <c r="P7" s="1"/>
  <c r="O8"/>
  <c r="P8" s="1"/>
  <c r="U5" i="10"/>
  <c r="N7"/>
  <c r="N8"/>
  <c r="K4" i="14"/>
  <c r="P8"/>
  <c r="P9"/>
  <c r="P9" i="16"/>
  <c r="D37" i="23"/>
  <c r="G37" s="1"/>
  <c r="T21"/>
  <c r="S21" s="1"/>
  <c r="R17" i="24"/>
  <c r="P9" i="26"/>
  <c r="O14" i="14"/>
  <c r="O15"/>
  <c r="N16"/>
  <c r="P16" s="1"/>
  <c r="O17"/>
  <c r="P17" s="1"/>
  <c r="N23"/>
  <c r="N25"/>
  <c r="R35"/>
  <c r="O6" i="15"/>
  <c r="P6" s="1"/>
  <c r="O8"/>
  <c r="P8" s="1"/>
  <c r="U5" i="16"/>
  <c r="O8"/>
  <c r="P8" s="1"/>
  <c r="R8"/>
  <c r="R13" s="1"/>
  <c r="T8"/>
  <c r="S8" s="1"/>
  <c r="O6" i="19"/>
  <c r="O8"/>
  <c r="P8" s="1"/>
  <c r="O9"/>
  <c r="P9" s="1"/>
  <c r="O7" i="21"/>
  <c r="P7" s="1"/>
  <c r="P11" s="1"/>
  <c r="D13"/>
  <c r="G12" s="1"/>
  <c r="O8" i="24"/>
  <c r="O14"/>
  <c r="N15"/>
  <c r="P15" s="1"/>
  <c r="O16"/>
  <c r="O17"/>
  <c r="P17" s="1"/>
  <c r="B18"/>
  <c r="J4" s="1"/>
  <c r="K4" i="25"/>
  <c r="O7"/>
  <c r="P7" s="1"/>
  <c r="S5" i="26"/>
  <c r="O6"/>
  <c r="P6" s="1"/>
  <c r="O7"/>
  <c r="P7" s="1"/>
  <c r="O8"/>
  <c r="P8" s="1"/>
  <c r="V8"/>
  <c r="O14"/>
  <c r="O15"/>
  <c r="O16"/>
  <c r="D19"/>
  <c r="G18" s="1"/>
  <c r="O6" i="27"/>
  <c r="P6" s="1"/>
  <c r="O8"/>
  <c r="P8" s="1"/>
  <c r="R5" i="28"/>
  <c r="N16"/>
  <c r="N26"/>
  <c r="O8" i="29"/>
  <c r="P8" s="1"/>
  <c r="O7" i="30"/>
  <c r="P7" s="1"/>
  <c r="O6" i="31"/>
  <c r="O9"/>
  <c r="P9" s="1"/>
  <c r="S6" i="32"/>
  <c r="O7"/>
  <c r="P7" s="1"/>
  <c r="O9"/>
  <c r="P9" s="1"/>
  <c r="O7" i="33"/>
  <c r="P7" s="1"/>
  <c r="O6" i="34"/>
  <c r="P6" s="1"/>
  <c r="O8"/>
  <c r="P8" s="1"/>
  <c r="O9"/>
  <c r="P9" s="1"/>
  <c r="O7" i="12"/>
  <c r="P7" s="1"/>
  <c r="P11" s="1"/>
  <c r="O8"/>
  <c r="P8" s="1"/>
  <c r="O15"/>
  <c r="P15" s="1"/>
  <c r="P19" s="1"/>
  <c r="T9" i="14"/>
  <c r="N14"/>
  <c r="N15"/>
  <c r="N22"/>
  <c r="O7" i="15"/>
  <c r="P7" s="1"/>
  <c r="O6" i="18"/>
  <c r="P6" s="1"/>
  <c r="P11" s="1"/>
  <c r="O8"/>
  <c r="P8" s="1"/>
  <c r="N6" i="19"/>
  <c r="N8"/>
  <c r="O6" i="20"/>
  <c r="P6" s="1"/>
  <c r="P11" s="1"/>
  <c r="O8"/>
  <c r="P8" s="1"/>
  <c r="O8" i="21"/>
  <c r="P8" s="1"/>
  <c r="S5" i="24"/>
  <c r="T6"/>
  <c r="T17" s="1"/>
  <c r="N14"/>
  <c r="D15"/>
  <c r="T10" s="1"/>
  <c r="N16"/>
  <c r="O6" i="25"/>
  <c r="P6" s="1"/>
  <c r="P11" s="1"/>
  <c r="O8"/>
  <c r="P8" s="1"/>
  <c r="C9" i="26"/>
  <c r="N14"/>
  <c r="N15"/>
  <c r="N16"/>
  <c r="O7" i="27"/>
  <c r="P7" s="1"/>
  <c r="D5" i="28"/>
  <c r="D33" s="1"/>
  <c r="G33" s="1"/>
  <c r="N9"/>
  <c r="P9" s="1"/>
  <c r="P11" s="1"/>
  <c r="N15"/>
  <c r="S15"/>
  <c r="N24"/>
  <c r="O6" i="29"/>
  <c r="P6" s="1"/>
  <c r="P11" s="1"/>
  <c r="O7"/>
  <c r="P7" s="1"/>
  <c r="O6" i="30"/>
  <c r="P6" s="1"/>
  <c r="P11" s="1"/>
  <c r="O8"/>
  <c r="P8" s="1"/>
  <c r="S5" i="31"/>
  <c r="O7"/>
  <c r="P7" s="1"/>
  <c r="P11" s="1"/>
  <c r="S5" i="32"/>
  <c r="T5" s="1"/>
  <c r="T35" s="1"/>
  <c r="W35" s="1"/>
  <c r="O6" i="33"/>
  <c r="P6" s="1"/>
  <c r="O8"/>
  <c r="P8" s="1"/>
  <c r="J12" i="1" l="1"/>
  <c r="J13" s="1"/>
  <c r="J4"/>
  <c r="P12" i="13"/>
  <c r="O26" i="28"/>
  <c r="P26" s="1"/>
  <c r="O25"/>
  <c r="P25" s="1"/>
  <c r="O24"/>
  <c r="P24" s="1"/>
  <c r="O3" i="31"/>
  <c r="N3"/>
  <c r="R35" i="28"/>
  <c r="T5"/>
  <c r="T35" s="1"/>
  <c r="W35" s="1"/>
  <c r="O21" i="1"/>
  <c r="P21" s="1"/>
  <c r="O19"/>
  <c r="P19" s="1"/>
  <c r="P23" s="1"/>
  <c r="O20"/>
  <c r="P20" s="1"/>
  <c r="O6"/>
  <c r="P6" s="1"/>
  <c r="T35" i="14"/>
  <c r="S5"/>
  <c r="P15" i="26"/>
  <c r="P14" i="14"/>
  <c r="D18" i="24"/>
  <c r="G17" s="1"/>
  <c r="T13" i="16"/>
  <c r="N3" i="32"/>
  <c r="O3"/>
  <c r="P11" i="33"/>
  <c r="P11" i="34"/>
  <c r="P11" i="27"/>
  <c r="P16" i="26"/>
  <c r="P14"/>
  <c r="P19" s="1"/>
  <c r="P11"/>
  <c r="K4" i="24"/>
  <c r="P16"/>
  <c r="P14"/>
  <c r="P20" s="1"/>
  <c r="P6" i="19"/>
  <c r="P11" s="1"/>
  <c r="P11" i="15"/>
  <c r="P15" i="14"/>
  <c r="K4" i="28"/>
  <c r="T37" i="23"/>
  <c r="P11" i="32"/>
  <c r="P3" i="28"/>
  <c r="P28"/>
  <c r="P12" i="16"/>
  <c r="K4" i="26"/>
  <c r="P8" i="10"/>
  <c r="P12" i="9"/>
  <c r="K14" i="5"/>
  <c r="P27" i="1"/>
  <c r="P35"/>
  <c r="N8" i="24"/>
  <c r="P8" s="1"/>
  <c r="N6"/>
  <c r="P6" s="1"/>
  <c r="N9"/>
  <c r="P9" s="1"/>
  <c r="N7"/>
  <c r="P7" s="1"/>
  <c r="R22" i="2"/>
  <c r="M57"/>
  <c r="O57" s="1"/>
  <c r="D31"/>
  <c r="T22"/>
  <c r="T20"/>
  <c r="T36" s="1"/>
  <c r="R20"/>
  <c r="D39" i="1"/>
  <c r="D42" s="1"/>
  <c r="T22"/>
  <c r="T18"/>
  <c r="S18" s="1"/>
  <c r="R18"/>
  <c r="N10"/>
  <c r="P10" s="1"/>
  <c r="R22"/>
  <c r="H41" i="5"/>
  <c r="I41" s="1"/>
  <c r="K41" s="1"/>
  <c r="H38"/>
  <c r="M4" i="2"/>
  <c r="O4" s="1"/>
  <c r="P15" i="28"/>
  <c r="P16"/>
  <c r="K4" i="21"/>
  <c r="T32" i="1"/>
  <c r="O74" i="2"/>
  <c r="O78" s="1"/>
  <c r="P7" i="10"/>
  <c r="P11" s="1"/>
  <c r="K4"/>
  <c r="B37" i="2"/>
  <c r="D37"/>
  <c r="G36" s="1"/>
  <c r="P26" i="1"/>
  <c r="P28"/>
  <c r="P34"/>
  <c r="P36"/>
  <c r="J4" i="2" l="1"/>
  <c r="K4" s="1"/>
  <c r="J7"/>
  <c r="J8" s="1"/>
  <c r="H39" i="5"/>
  <c r="I39" s="1"/>
  <c r="K39" s="1"/>
  <c r="I38"/>
  <c r="K38" s="1"/>
  <c r="N11" i="1"/>
  <c r="R32"/>
  <c r="M58" i="2"/>
  <c r="R36"/>
  <c r="P39" i="1"/>
  <c r="P31"/>
  <c r="P11" i="24"/>
  <c r="P3" i="32"/>
  <c r="P19" i="14"/>
  <c r="O12" i="1"/>
  <c r="P12" s="1"/>
  <c r="O11"/>
  <c r="P11" s="1"/>
  <c r="O13"/>
  <c r="P13" s="1"/>
  <c r="G7"/>
  <c r="I42"/>
  <c r="O25" i="14"/>
  <c r="P25" s="1"/>
  <c r="O23"/>
  <c r="P23" s="1"/>
  <c r="O24"/>
  <c r="P24" s="1"/>
  <c r="O22"/>
  <c r="P22" s="1"/>
  <c r="P19" i="28"/>
  <c r="P15" i="1"/>
  <c r="S20" i="2"/>
  <c r="N3" i="1"/>
  <c r="P3" s="1"/>
  <c r="P3" i="31"/>
  <c r="K4" i="1"/>
  <c r="P27" i="14" l="1"/>
  <c r="N59" i="2"/>
  <c r="O59" s="1"/>
  <c r="N60"/>
  <c r="O60" s="1"/>
  <c r="N58"/>
  <c r="O58" s="1"/>
  <c r="O62" s="1"/>
  <c r="J13" i="5"/>
  <c r="O46" l="1"/>
  <c r="P46" s="1"/>
  <c r="J15"/>
  <c r="J16" s="1"/>
</calcChain>
</file>

<file path=xl/sharedStrings.xml><?xml version="1.0" encoding="utf-8"?>
<sst xmlns="http://schemas.openxmlformats.org/spreadsheetml/2006/main" count="690" uniqueCount="87">
  <si>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</si>
  <si>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</si>
  <si>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</si>
  <si>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</si>
  <si>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</si>
  <si>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</si>
  <si>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</si>
  <si>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</si>
  <si>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</si>
  <si>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</si>
  <si>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</si>
  <si>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</si>
  <si>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</si>
  <si>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</si>
  <si>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</si>
  <si>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</si>
  <si>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</si>
  <si>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</si>
  <si>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</si>
  <si>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</si>
  <si>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</si>
  <si>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</si>
  <si>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</si>
  <si>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</si>
  <si>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</si>
  <si>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</si>
  <si>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</si>
  <si>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</si>
  <si>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</si>
  <si>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</si>
  <si>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</si>
  <si>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</si>
  <si>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</si>
  <si>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</si>
  <si>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</si>
  <si>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</si>
  <si>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</si>
  <si>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</si>
  <si>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</si>
  <si>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</si>
  <si>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</si>
  <si>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</si>
  <si>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</si>
  <si>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</si>
  <si>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</si>
  <si>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</si>
  <si>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</si>
  <si>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</si>
  <si>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</si>
  <si>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</si>
  <si>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</si>
  <si>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</si>
  <si>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</si>
  <si>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</si>
  <si>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</si>
  <si>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</si>
  <si>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</si>
  <si>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</si>
  <si>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</si>
  <si>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</si>
  <si>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</si>
  <si>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</si>
  <si>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</si>
  <si>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</si>
  <si>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</si>
  <si>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</si>
  <si>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</si>
  <si>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</si>
  <si>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</si>
  <si>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</si>
  <si>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</si>
  <si>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</si>
  <si>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</si>
  <si>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</si>
  <si>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</si>
  <si>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</si>
  <si>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</si>
  <si>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</si>
  <si>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</si>
  <si>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</si>
  <si>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</si>
  <si>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</si>
  <si>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</si>
  <si>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NFT Burn</t>
  </si>
  <si>
    <t>DCA2*</t>
  </si>
  <si>
    <t>Ph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</si>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</sst>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</c:numCache>
            </c:numRef>
          </c:val>
        </c:ser>
        <c:marker val="1"/>
        <c:axId val="80541184"/>
        <c:axId val="80543104"/>
      </c:lineChart>
      <c:dateAx>
        <c:axId val="80541184"/>
        <c:scaling>
          <c:orientation val="minMax"/>
        </c:scaling>
        <c:axPos val="b"/>
        <c:numFmt formatCode="dd/mm/yy;@" sourceLinked="1"/>
        <c:majorTickMark val="none"/>
        <c:tickLblPos val="nextTo"/>
        <c:crossAx val="80543104"/>
        <c:crosses val="autoZero"/>
        <c:lblOffset val="100"/>
      </c:dateAx>
      <c:valAx>
        <c:axId val="8054310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0541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1739.5517347702371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860.14536107108347</v>
      </c>
      <c r="K4" s="4">
        <f>(J4/D42-1)</f>
        <v>-0.38024467029953291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2806.8362649030819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4.02295E-3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3.2239180000000006E-2</v>
      </c>
      <c r="O11" s="39">
        <f>($S$18*Params!K16)</f>
        <v>3244.5971875893979</v>
      </c>
      <c r="P11" s="23">
        <f>(O11*N11)</f>
        <v>104.60315275818839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4.02295E-3</v>
      </c>
      <c r="C12" s="40">
        <v>0</v>
      </c>
      <c r="D12" s="26">
        <f t="shared" si="0"/>
        <v>0</v>
      </c>
      <c r="E12" s="38">
        <f>(B12*J3)</f>
        <v>6.9981296513939251</v>
      </c>
      <c r="I12" t="s">
        <v>13</v>
      </c>
      <c r="J12">
        <f>(J11-B42)</f>
        <v>5.5362000000000466E-3</v>
      </c>
      <c r="N12">
        <f>($B$35/5)</f>
        <v>1.8442090000000001E-2</v>
      </c>
      <c r="O12" s="39">
        <f>($S$18*Params!K17)</f>
        <v>6489.1943751787958</v>
      </c>
      <c r="P12" s="23">
        <f>(O12*N12)</f>
        <v>119.67430669454113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9.6305063140350669</v>
      </c>
      <c r="N13">
        <f>($B$35/5)</f>
        <v>1.8442090000000001E-2</v>
      </c>
      <c r="O13" s="39">
        <f>($S$18*Params!K18)</f>
        <v>12978.388750357592</v>
      </c>
      <c r="P13" s="23">
        <f>(O13*N13)</f>
        <v>239.34861338908226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471.08129784181176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8.7565450000000003E-2</v>
      </c>
      <c r="S18" s="39">
        <f>(T18/R18)</f>
        <v>1622.2985937946989</v>
      </c>
      <c r="T18" s="23">
        <f>(D35+1283.68*B39)</f>
        <v>142.05730640000002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6.5396999999999999E-3</v>
      </c>
      <c r="O19" s="39">
        <f>($S$19*Params!K16)</f>
        <v>3332.5952575868555</v>
      </c>
      <c r="P19" s="23">
        <f>(O19*N19)</f>
        <v>21.794173206040757</v>
      </c>
      <c r="R19" s="24">
        <f>(B36+B38)</f>
        <v>1.7406749999999999E-2</v>
      </c>
      <c r="S19" s="39">
        <f>(T19/R19)</f>
        <v>1666.2976287934277</v>
      </c>
      <c r="T19" s="23">
        <f>(D36+1269.75*B38)</f>
        <v>29.004826249999997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3.6223499999999999E-3</v>
      </c>
      <c r="O20" s="39">
        <f>($S$19*Params!K17)</f>
        <v>6665.190515173711</v>
      </c>
      <c r="P20" s="23">
        <f>(O20*N20)</f>
        <v>24.143652862639492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3.6223499999999999E-3</v>
      </c>
      <c r="O21" s="39">
        <f>($S$19*Params!K18)</f>
        <v>13330.381030347422</v>
      </c>
      <c r="P21" s="23">
        <f>(O21*N21)</f>
        <v>48.287305725278983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95.356656793959232</v>
      </c>
      <c r="R23" s="24">
        <f>(B40)</f>
        <v>3.2702080000000001E-2</v>
      </c>
      <c r="S23" s="39">
        <f>(T23/R23)</f>
        <v>1827.1009061197331</v>
      </c>
      <c r="T23" s="23">
        <f>(D40)</f>
        <v>59.75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0.49446380000000001</v>
      </c>
      <c r="T32" s="23">
        <f>(SUM(T5:T31))</f>
        <v>1387.8789255217841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6.5404160000000003E-3</v>
      </c>
      <c r="O34" s="39">
        <f>($S$23*Params!K15)</f>
        <v>2740.6513591795997</v>
      </c>
      <c r="P34" s="23">
        <f>(O34*N34)</f>
        <v>17.925000000000001</v>
      </c>
    </row>
    <row r="35" spans="2:16">
      <c r="B35" s="24">
        <v>9.2210449999999999E-2</v>
      </c>
      <c r="C35" s="39">
        <f>(D35/B35)</f>
        <v>1605.2410545659413</v>
      </c>
      <c r="D35" s="23">
        <v>148.02000000000001</v>
      </c>
      <c r="E35" t="s">
        <v>10</v>
      </c>
      <c r="N35">
        <f>($R$23/5)</f>
        <v>6.5404160000000003E-3</v>
      </c>
      <c r="O35" s="39">
        <f>($S$23*Params!K16)</f>
        <v>3654.2018122394661</v>
      </c>
      <c r="P35" s="23">
        <f>(O35*N35)</f>
        <v>23.900000000000002</v>
      </c>
    </row>
    <row r="36" spans="2:16">
      <c r="B36" s="24">
        <v>1.8111749999999999E-2</v>
      </c>
      <c r="C36" s="39">
        <f>(D36/B36)</f>
        <v>1650.8620094689911</v>
      </c>
      <c r="D36" s="23">
        <v>29.9</v>
      </c>
      <c r="E36" t="s">
        <v>15</v>
      </c>
      <c r="N36">
        <f>($R$23/5)</f>
        <v>6.5404160000000003E-3</v>
      </c>
      <c r="O36" s="39">
        <f>($S$23*Params!K17)</f>
        <v>7308.4036244789322</v>
      </c>
      <c r="P36" s="23">
        <f>(O36*N36)</f>
        <v>47.800000000000004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6.5404160000000003E-3</v>
      </c>
      <c r="O37" s="39">
        <f>($S$23*Params!K18)</f>
        <v>14616.807248957864</v>
      </c>
      <c r="P37" s="23">
        <f>(O37*N37)</f>
        <v>95.600000000000009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185.22500000000002</v>
      </c>
    </row>
    <row r="40" spans="2:16">
      <c r="B40" s="24">
        <v>3.2702080000000001E-2</v>
      </c>
      <c r="C40" s="39">
        <f>(D40/B40)</f>
        <v>1827.1009061197331</v>
      </c>
      <c r="D40" s="23">
        <v>59.75</v>
      </c>
      <c r="E40" t="s">
        <v>18</v>
      </c>
    </row>
    <row r="42" spans="2:16">
      <c r="B42">
        <f>(SUM(B5:B41))</f>
        <v>0.49446379999999995</v>
      </c>
      <c r="D42" s="23">
        <f>(SUM(D5:D41))</f>
        <v>1387.8789255217844</v>
      </c>
      <c r="H42" t="s">
        <v>9</v>
      </c>
      <c r="I42" s="39">
        <f>D42/B42</f>
        <v>2806.8362649030819</v>
      </c>
    </row>
  </sheetData>
  <conditionalFormatting sqref="C5:C7 C11 C18:C24">
    <cfRule type="cellIs" dxfId="289" priority="37" operator="lessThan">
      <formula>$J$3</formula>
    </cfRule>
    <cfRule type="cellIs" dxfId="288" priority="38" operator="greaterThan">
      <formula>$J$3</formula>
    </cfRule>
  </conditionalFormatting>
  <conditionalFormatting sqref="C25">
    <cfRule type="cellIs" dxfId="287" priority="35" operator="lessThan">
      <formula>$J$3</formula>
    </cfRule>
    <cfRule type="cellIs" dxfId="286" priority="36" operator="greaterThan">
      <formula>$J$3</formula>
    </cfRule>
  </conditionalFormatting>
  <conditionalFormatting sqref="C27">
    <cfRule type="cellIs" dxfId="285" priority="33" operator="lessThan">
      <formula>$J$3</formula>
    </cfRule>
    <cfRule type="cellIs" dxfId="284" priority="34" operator="greaterThan">
      <formula>$J$3</formula>
    </cfRule>
  </conditionalFormatting>
  <conditionalFormatting sqref="C29">
    <cfRule type="cellIs" dxfId="283" priority="31" operator="lessThan">
      <formula>$J$3</formula>
    </cfRule>
    <cfRule type="cellIs" dxfId="282" priority="32" operator="greaterThan">
      <formula>$J$3</formula>
    </cfRule>
  </conditionalFormatting>
  <conditionalFormatting sqref="C31">
    <cfRule type="cellIs" dxfId="281" priority="29" operator="lessThan">
      <formula>$J$3</formula>
    </cfRule>
    <cfRule type="cellIs" dxfId="280" priority="30" operator="greaterThan">
      <formula>$J$3</formula>
    </cfRule>
  </conditionalFormatting>
  <conditionalFormatting sqref="C33">
    <cfRule type="cellIs" dxfId="279" priority="27" operator="lessThan">
      <formula>$J$3</formula>
    </cfRule>
    <cfRule type="cellIs" dxfId="278" priority="28" operator="greaterThan">
      <formula>$J$3</formula>
    </cfRule>
  </conditionalFormatting>
  <conditionalFormatting sqref="C35:C37">
    <cfRule type="cellIs" dxfId="277" priority="25" operator="lessThan">
      <formula>$J$3</formula>
    </cfRule>
    <cfRule type="cellIs" dxfId="276" priority="26" operator="greaterThan">
      <formula>$J$3</formula>
    </cfRule>
  </conditionalFormatting>
  <conditionalFormatting sqref="C40">
    <cfRule type="cellIs" dxfId="275" priority="23" operator="lessThan">
      <formula>$J$3</formula>
    </cfRule>
    <cfRule type="cellIs" dxfId="274" priority="24" operator="greaterThan">
      <formula>$J$3</formula>
    </cfRule>
  </conditionalFormatting>
  <conditionalFormatting sqref="I42">
    <cfRule type="cellIs" dxfId="273" priority="21" operator="lessThan">
      <formula>$J$3</formula>
    </cfRule>
    <cfRule type="cellIs" dxfId="272" priority="22" operator="greaterThan">
      <formula>$J$3</formula>
    </cfRule>
  </conditionalFormatting>
  <conditionalFormatting sqref="O11:O13">
    <cfRule type="cellIs" dxfId="271" priority="19" operator="lessThan">
      <formula>$J$3</formula>
    </cfRule>
    <cfRule type="cellIs" dxfId="270" priority="20" operator="greaterThan">
      <formula>$J$3</formula>
    </cfRule>
  </conditionalFormatting>
  <conditionalFormatting sqref="O19:O21">
    <cfRule type="cellIs" dxfId="269" priority="17" operator="lessThan">
      <formula>$J$3</formula>
    </cfRule>
    <cfRule type="cellIs" dxfId="268" priority="18" operator="greaterThan">
      <formula>$J$3</formula>
    </cfRule>
  </conditionalFormatting>
  <conditionalFormatting sqref="O26:O29">
    <cfRule type="cellIs" dxfId="267" priority="15" operator="lessThan">
      <formula>$J$3</formula>
    </cfRule>
    <cfRule type="cellIs" dxfId="266" priority="16" operator="greaterThan">
      <formula>$J$3</formula>
    </cfRule>
  </conditionalFormatting>
  <conditionalFormatting sqref="O34:O37">
    <cfRule type="cellIs" dxfId="265" priority="13" operator="lessThan">
      <formula>$J$3</formula>
    </cfRule>
    <cfRule type="cellIs" dxfId="264" priority="14" operator="greaterThan">
      <formula>$J$3</formula>
    </cfRule>
  </conditionalFormatting>
  <conditionalFormatting sqref="N6">
    <cfRule type="cellIs" dxfId="263" priority="11" operator="lessThan">
      <formula>$J$3</formula>
    </cfRule>
    <cfRule type="cellIs" dxfId="262" priority="12" operator="greaterThan">
      <formula>$J$3</formula>
    </cfRule>
  </conditionalFormatting>
  <conditionalFormatting sqref="O3">
    <cfRule type="cellIs" dxfId="261" priority="9" operator="greaterThan">
      <formula>$J$3</formula>
    </cfRule>
    <cfRule type="cellIs" dxfId="260" priority="10" operator="lessThan">
      <formula>$J$3</formula>
    </cfRule>
  </conditionalFormatting>
  <conditionalFormatting sqref="S5:S7">
    <cfRule type="cellIs" dxfId="259" priority="7" operator="lessThan">
      <formula>$J$3</formula>
    </cfRule>
    <cfRule type="cellIs" dxfId="258" priority="8" operator="greaterThan">
      <formula>$J$3</formula>
    </cfRule>
  </conditionalFormatting>
  <conditionalFormatting sqref="S10:S15">
    <cfRule type="cellIs" dxfId="257" priority="5" operator="lessThan">
      <formula>$J$3</formula>
    </cfRule>
    <cfRule type="cellIs" dxfId="256" priority="6" operator="greaterThan">
      <formula>$J$3</formula>
    </cfRule>
  </conditionalFormatting>
  <conditionalFormatting sqref="S18:S20">
    <cfRule type="cellIs" dxfId="255" priority="3" operator="lessThan">
      <formula>$J$3</formula>
    </cfRule>
    <cfRule type="cellIs" dxfId="254" priority="4" operator="greaterThan">
      <formula>$J$3</formula>
    </cfRule>
  </conditionalFormatting>
  <conditionalFormatting sqref="S23">
    <cfRule type="cellIs" dxfId="253" priority="1" operator="lessThan">
      <formula>$J$3</formula>
    </cfRule>
    <cfRule type="cellIs" dxfId="252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2.3230500709179309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16.434221916818426</v>
      </c>
      <c r="K4" s="4">
        <f>(J4/D14-1)</f>
        <v>-0.42357135274261215</v>
      </c>
      <c r="R4" t="s">
        <v>5</v>
      </c>
      <c r="S4" t="s">
        <v>6</v>
      </c>
      <c r="T4" t="s">
        <v>7</v>
      </c>
    </row>
    <row r="5" spans="2:21">
      <c r="B5" s="29">
        <v>6.6847200000000004</v>
      </c>
      <c r="C5" s="38">
        <f>(D5/B5)</f>
        <v>4.2933735444416516</v>
      </c>
      <c r="D5" s="38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0.32375397</v>
      </c>
      <c r="S5" s="40">
        <v>0</v>
      </c>
      <c r="T5" s="26">
        <f>(D6)</f>
        <v>0</v>
      </c>
      <c r="U5" s="38">
        <f>(R5*J3)</f>
        <v>0.75209668296846166</v>
      </c>
    </row>
    <row r="6" spans="2:21">
      <c r="B6" s="36">
        <v>0.32375397</v>
      </c>
      <c r="C6" s="40">
        <v>0</v>
      </c>
      <c r="D6" s="26">
        <f>(B6*C6)</f>
        <v>0</v>
      </c>
      <c r="E6" s="38">
        <f>(B6*J3)</f>
        <v>0.75209668296846166</v>
      </c>
      <c r="M6" t="s">
        <v>11</v>
      </c>
      <c r="N6" s="29">
        <f>(SUM(R5:R7)/5)</f>
        <v>1.4148831420000001</v>
      </c>
      <c r="O6" s="38">
        <f>($C$5*Params!K8)</f>
        <v>5.5813856077741475</v>
      </c>
      <c r="P6" s="38">
        <f>(O6*N6)</f>
        <v>7.8970084054410661</v>
      </c>
      <c r="R6" s="29">
        <f>(B5)</f>
        <v>6.6847200000000004</v>
      </c>
      <c r="S6" s="38">
        <f>(T6/R6)</f>
        <v>4.2933735444416516</v>
      </c>
      <c r="T6" s="38">
        <f>(D5)</f>
        <v>28.7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1.4148831420000001</v>
      </c>
      <c r="O7" s="38">
        <f>($C$5*Params!K9)</f>
        <v>6.8693976711066433</v>
      </c>
      <c r="P7" s="38">
        <f>(O7*N7)</f>
        <v>9.71939496054285</v>
      </c>
      <c r="R7" s="29">
        <f>(SUM(B7:B12))</f>
        <v>6.5941739999999971E-2</v>
      </c>
      <c r="S7" s="38">
        <v>0</v>
      </c>
      <c r="T7" s="38">
        <f>(SUM(D7:D12))</f>
        <v>-0.18958158999999997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1.4148831420000001</v>
      </c>
      <c r="O8" s="38">
        <f>($C$5*Params!K10)</f>
        <v>9.445421797771635</v>
      </c>
      <c r="P8" s="38">
        <f>(O8*N8)</f>
        <v>13.36416807074642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1.4148831420000001</v>
      </c>
      <c r="O9" s="38">
        <f>($C$5*Params!K11)</f>
        <v>17.173494177766607</v>
      </c>
      <c r="P9" s="38">
        <f>(O9*N9)</f>
        <v>24.298487401357125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55.279058838087465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4.0300739423185519</v>
      </c>
    </row>
    <row r="14" spans="2:21">
      <c r="B14" s="29">
        <f>(SUM(B5:B13))</f>
        <v>7.0744157100000011</v>
      </c>
      <c r="D14" s="38">
        <f>(SUM(D5:D13))</f>
        <v>28.51041841</v>
      </c>
      <c r="R14" s="29">
        <f>(SUM(R5:R13))</f>
        <v>7.0744157100000002</v>
      </c>
      <c r="T14" s="38">
        <f>(SUM(T5:T13))</f>
        <v>28.51041841</v>
      </c>
    </row>
    <row r="22" spans="4:4">
      <c r="D22" s="29"/>
    </row>
  </sheetData>
  <conditionalFormatting sqref="C5 C7:C12">
    <cfRule type="cellIs" dxfId="189" priority="7" operator="lessThan">
      <formula>$J$3</formula>
    </cfRule>
    <cfRule type="cellIs" dxfId="188" priority="8" operator="greaterThan">
      <formula>$J$3</formula>
    </cfRule>
  </conditionalFormatting>
  <conditionalFormatting sqref="O6:O9">
    <cfRule type="cellIs" dxfId="187" priority="5" operator="lessThan">
      <formula>$J$3</formula>
    </cfRule>
    <cfRule type="cellIs" dxfId="186" priority="6" operator="greaterThan">
      <formula>$J$3</formula>
    </cfRule>
  </conditionalFormatting>
  <conditionalFormatting sqref="S6:S7">
    <cfRule type="cellIs" dxfId="185" priority="3" operator="lessThan">
      <formula>$J$3</formula>
    </cfRule>
    <cfRule type="cellIs" dxfId="184" priority="4" operator="greaterThan">
      <formula>$J$3</formula>
    </cfRule>
  </conditionalFormatting>
  <conditionalFormatting sqref="G13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8.4325451654182739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10.162773656492009</v>
      </c>
      <c r="K4" s="4">
        <f>(J4/D14-1)</f>
        <v>-7.0194541949495926E-2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0.74152488194438293</v>
      </c>
      <c r="M6" t="s">
        <v>11</v>
      </c>
      <c r="N6" s="1">
        <f>(SUM($B$5:$B$7)/5)</f>
        <v>0.24103692200000001</v>
      </c>
      <c r="O6" s="38">
        <f>($C$5*Params!K8)</f>
        <v>12.800900900900901</v>
      </c>
      <c r="P6" s="38">
        <f>(O6*N6)</f>
        <v>3.0854897519801803</v>
      </c>
    </row>
    <row r="7" spans="2:16">
      <c r="B7" s="36">
        <v>7.2485400000000004E-3</v>
      </c>
      <c r="C7" s="40">
        <v>0</v>
      </c>
      <c r="D7" s="26">
        <f>(C7*B7)</f>
        <v>0</v>
      </c>
      <c r="E7" s="38">
        <f>(B7*J4)</f>
        <v>7.3665271360028595E-2</v>
      </c>
      <c r="N7" s="1">
        <f>(SUM($B$5:$B$7)/5)</f>
        <v>0.24103692200000001</v>
      </c>
      <c r="O7" s="38">
        <f>($C$5*Params!K9)</f>
        <v>15.754954954954954</v>
      </c>
      <c r="P7" s="38">
        <f>(O7*N7)</f>
        <v>3.7975258485909911</v>
      </c>
    </row>
    <row r="8" spans="2:16">
      <c r="N8" s="1">
        <f>(SUM($B$5:$B$7)/5)</f>
        <v>0.24103692200000001</v>
      </c>
      <c r="O8" s="38">
        <f>($C$5*Params!K10)</f>
        <v>21.663063063063063</v>
      </c>
      <c r="P8" s="38">
        <f>(O8*N8)</f>
        <v>5.2215980418126131</v>
      </c>
    </row>
    <row r="9" spans="2:16">
      <c r="N9" s="1">
        <f>(SUM($B$5:$B$7)/5)</f>
        <v>0.24103692200000001</v>
      </c>
      <c r="O9" s="38">
        <f>($C$5*Params!K11)</f>
        <v>39.387387387387385</v>
      </c>
      <c r="P9" s="38">
        <f>(O9*N9)</f>
        <v>9.4938146214774779</v>
      </c>
    </row>
    <row r="12" spans="2:16">
      <c r="P12" s="38">
        <f>(SUM(P6:P9))</f>
        <v>21.598428263861265</v>
      </c>
    </row>
    <row r="13" spans="2:16">
      <c r="F13" t="s">
        <v>9</v>
      </c>
      <c r="G13" s="38">
        <f>(D14/B14)</f>
        <v>9.0691499952028085</v>
      </c>
    </row>
    <row r="14" spans="2:16">
      <c r="B14" s="19">
        <f>(SUM(B5:B13))</f>
        <v>1.2051846100000001</v>
      </c>
      <c r="D14" s="38">
        <f>(SUM(D5:D13))</f>
        <v>10.93</v>
      </c>
    </row>
  </sheetData>
  <conditionalFormatting sqref="C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O6:O9">
    <cfRule type="cellIs" dxfId="179" priority="3" operator="lessThan">
      <formula>$J$3</formula>
    </cfRule>
    <cfRule type="cellIs" dxfId="178" priority="4" operator="greaterThan">
      <formula>$J$3</formula>
    </cfRule>
  </conditionalFormatting>
  <conditionalFormatting sqref="G13">
    <cfRule type="cellIs" dxfId="177" priority="1" operator="lessThan">
      <formula>$J$3</formula>
    </cfRule>
    <cfRule type="cellIs" dxfId="17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U19"/>
  <sheetViews>
    <sheetView workbookViewId="0">
      <selection activeCell="R25" sqref="R25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1">
      <c r="I3" t="s">
        <v>3</v>
      </c>
      <c r="J3" s="38">
        <v>11.419175292550211</v>
      </c>
      <c r="N3" s="24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24.858605498905746</v>
      </c>
      <c r="K4" s="4">
        <f>(J4/D13-1)</f>
        <v>-0.28374464611247152</v>
      </c>
      <c r="R4" t="s">
        <v>5</v>
      </c>
      <c r="S4" t="s">
        <v>6</v>
      </c>
      <c r="T4" t="s">
        <v>7</v>
      </c>
    </row>
    <row r="5" spans="2:21">
      <c r="B5">
        <v>1.75847</v>
      </c>
      <c r="C5" s="38">
        <f>(D5/B5)</f>
        <v>16.321006329365868</v>
      </c>
      <c r="D5" s="38">
        <v>28.7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8.8306800000000005E-3</v>
      </c>
      <c r="S5" s="40">
        <v>0</v>
      </c>
      <c r="T5" s="26">
        <f>(D6)</f>
        <v>0</v>
      </c>
      <c r="U5" s="38">
        <f>(R5*J3)</f>
        <v>0.1008390828724173</v>
      </c>
    </row>
    <row r="6" spans="2:21">
      <c r="B6" s="25">
        <v>8.8306800000000005E-3</v>
      </c>
      <c r="C6" s="40">
        <v>0</v>
      </c>
      <c r="D6" s="26">
        <f>(B6*C6)</f>
        <v>0</v>
      </c>
      <c r="E6" s="38">
        <f>(B6*J3)</f>
        <v>0.1008390828724173</v>
      </c>
      <c r="M6" t="s">
        <v>11</v>
      </c>
      <c r="N6" s="24">
        <f>($B$5+$R$7)/5</f>
        <v>0.358153416</v>
      </c>
      <c r="O6" s="38">
        <f>(C7)</f>
        <v>15.79</v>
      </c>
      <c r="P6" s="38">
        <f>(O6*N6)</f>
        <v>5.6552424386399993</v>
      </c>
      <c r="R6" s="24">
        <f>B5</f>
        <v>1.75847</v>
      </c>
      <c r="S6" s="38">
        <f>(T6/R6)</f>
        <v>16.321006329365868</v>
      </c>
      <c r="T6" s="38">
        <f>D5</f>
        <v>28.7</v>
      </c>
      <c r="U6" t="s">
        <v>15</v>
      </c>
    </row>
    <row r="7" spans="2:21">
      <c r="B7" s="24">
        <v>-7.17E-2</v>
      </c>
      <c r="C7" s="38">
        <f>(D7/B7)</f>
        <v>15.79</v>
      </c>
      <c r="D7" s="38">
        <v>-1.1321429999999999</v>
      </c>
      <c r="N7" s="24">
        <f>($B$5+$R$7)/5</f>
        <v>0.358153416</v>
      </c>
      <c r="O7" s="38">
        <f>($C$5*Params!K9)</f>
        <v>26.113610126985392</v>
      </c>
      <c r="P7" s="38">
        <f>(O7*N7)</f>
        <v>9.3526786710720113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</row>
    <row r="8" spans="2:21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0.358153416</v>
      </c>
      <c r="O8" s="38">
        <f>($C$5*Params!K10)</f>
        <v>35.906213924604913</v>
      </c>
      <c r="P8" s="38">
        <f>(O8*N8)</f>
        <v>12.859933172724016</v>
      </c>
      <c r="R8" s="24">
        <f>(B10)</f>
        <v>0.37731999999999999</v>
      </c>
      <c r="S8" s="38">
        <f>(T8/R8)</f>
        <v>16.458178734230891</v>
      </c>
      <c r="T8" s="38">
        <f>(D10)</f>
        <v>6.21</v>
      </c>
      <c r="U8" t="str">
        <f>E10</f>
        <v>DCA4</v>
      </c>
    </row>
    <row r="9" spans="2:21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0.358153416</v>
      </c>
      <c r="O9" s="38">
        <f>($C$5*Params!K11)</f>
        <v>65.284025317463474</v>
      </c>
      <c r="P9" s="38">
        <f>(O9*N9)</f>
        <v>23.381696677680029</v>
      </c>
    </row>
    <row r="10" spans="2:21">
      <c r="B10">
        <v>0.37731999999999999</v>
      </c>
      <c r="C10" s="38">
        <f>(D10/B10)</f>
        <v>16.458178734230891</v>
      </c>
      <c r="D10" s="38">
        <v>6.21</v>
      </c>
      <c r="E10" t="s">
        <v>81</v>
      </c>
    </row>
    <row r="11" spans="2:21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51.249550960116053</v>
      </c>
    </row>
    <row r="12" spans="2:21">
      <c r="F12" t="s">
        <v>9</v>
      </c>
      <c r="G12" s="38">
        <f>(D13/B13)</f>
        <v>15.942882982405363</v>
      </c>
    </row>
    <row r="13" spans="2:21">
      <c r="B13" s="24">
        <f>(SUM(B5:B12))</f>
        <v>2.1769177599999998</v>
      </c>
      <c r="D13" s="38">
        <f>(SUM(D5:D12))</f>
        <v>34.706345110000001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2.1769177599999998</v>
      </c>
      <c r="T13" s="38">
        <f>(SUM(T5:T12))</f>
        <v>34.706345110000001</v>
      </c>
    </row>
    <row r="14" spans="2:21">
      <c r="M14" t="s">
        <v>11</v>
      </c>
      <c r="N14" s="24">
        <f>($B$10)/5</f>
        <v>7.5464000000000003E-2</v>
      </c>
      <c r="O14" s="38">
        <f>($C$10*Params!K8)</f>
        <v>21.395632354500158</v>
      </c>
      <c r="P14" s="38">
        <f>(O14*N14)</f>
        <v>1.6146</v>
      </c>
    </row>
    <row r="15" spans="2:21">
      <c r="N15" s="24">
        <f>($B$10)/5</f>
        <v>7.5464000000000003E-2</v>
      </c>
      <c r="O15" s="38">
        <f>($C$10*Params!K9)</f>
        <v>26.333085974769428</v>
      </c>
      <c r="P15" s="38">
        <f>(O15*N15)</f>
        <v>1.9872000000000003</v>
      </c>
    </row>
    <row r="16" spans="2:21">
      <c r="N16" s="24">
        <f>($B$10)/5</f>
        <v>7.5464000000000003E-2</v>
      </c>
      <c r="O16" s="38">
        <f>($C$10*Params!K10)</f>
        <v>36.207993215307965</v>
      </c>
      <c r="P16" s="38">
        <f>(O16*N16)</f>
        <v>2.7324000000000006</v>
      </c>
    </row>
    <row r="17" spans="14:16">
      <c r="N17" s="24">
        <f>($B$10)/5</f>
        <v>7.5464000000000003E-2</v>
      </c>
      <c r="O17" s="38">
        <f>($C$10*Params!K11)</f>
        <v>65.832714936923566</v>
      </c>
      <c r="P17" s="38">
        <f>(O17*N17)</f>
        <v>4.968</v>
      </c>
    </row>
    <row r="19" spans="14:16">
      <c r="P19" s="38">
        <f>(SUM(P14:P17))</f>
        <v>11.302200000000001</v>
      </c>
    </row>
  </sheetData>
  <conditionalFormatting sqref="C5 C9:C11 G12 O6:O9 O14:O17 S6">
    <cfRule type="cellIs" dxfId="175" priority="17" operator="lessThan">
      <formula>$J$3</formula>
    </cfRule>
    <cfRule type="cellIs" dxfId="174" priority="18" operator="greaterThan">
      <formula>$J$3</formula>
    </cfRule>
  </conditionalFormatting>
  <conditionalFormatting sqref="S8">
    <cfRule type="cellIs" dxfId="173" priority="11" operator="lessThan">
      <formula>$J$3</formula>
    </cfRule>
    <cfRule type="cellIs" dxfId="172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9">
        <v>1.97221986068624E-3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1.8840344926043964</v>
      </c>
      <c r="K4" s="4">
        <f>(J4/D13-1)</f>
        <v>-0.33477140155365592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9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49">
        <f>(T5/R5)</f>
        <v>3.3950093362756749E-3</v>
      </c>
      <c r="T5" s="39">
        <f>(D5)</f>
        <v>3</v>
      </c>
    </row>
    <row r="6" spans="2:20">
      <c r="B6" s="19">
        <v>-170.21276596000001</v>
      </c>
      <c r="C6" s="49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49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49">
        <v>0</v>
      </c>
      <c r="T6" s="39">
        <f>(SUM(D6:D11))</f>
        <v>-0.16783900000000007</v>
      </c>
    </row>
    <row r="7" spans="2:20">
      <c r="B7" s="19">
        <v>-175.57251908000001</v>
      </c>
      <c r="C7" s="49">
        <f t="shared" si="0"/>
        <v>5.0894468262020218E-3</v>
      </c>
      <c r="D7" s="38">
        <v>-0.893567</v>
      </c>
      <c r="N7" s="19">
        <f>(($B$5+$R$6)/5)</f>
        <v>191.05724773999998</v>
      </c>
      <c r="O7" s="49">
        <f>($C$5*Params!K9)</f>
        <v>5.4320149380410803E-3</v>
      </c>
      <c r="P7" s="38">
        <f>(O7*N7)</f>
        <v>1.0378258237446953</v>
      </c>
      <c r="S7" s="49"/>
    </row>
    <row r="8" spans="2:20">
      <c r="B8" s="19">
        <v>-167.78523490000001</v>
      </c>
      <c r="C8" s="49">
        <f t="shared" si="0"/>
        <v>7.2337771599710653E-3</v>
      </c>
      <c r="D8" s="38">
        <v>-1.213721</v>
      </c>
      <c r="N8" s="19">
        <f>(($B$5+$R$6)/5)</f>
        <v>191.05724773999998</v>
      </c>
      <c r="O8" s="49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49">
        <f t="shared" si="0"/>
        <v>5.7642178485542315E-3</v>
      </c>
      <c r="D9" s="38">
        <v>1.1300110000000001</v>
      </c>
      <c r="N9" s="19">
        <f>(($B$5+$R$6)/5)</f>
        <v>191.05724773999998</v>
      </c>
      <c r="O9" s="49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49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49">
        <f t="shared" si="0"/>
        <v>3.8549860588491342E-3</v>
      </c>
      <c r="D11" s="38">
        <v>0.737757</v>
      </c>
    </row>
    <row r="12" spans="2:20">
      <c r="F12" t="s">
        <v>9</v>
      </c>
      <c r="G12" s="49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C9:C11">
    <cfRule type="cellIs" dxfId="169" priority="15" operator="lessThan">
      <formula>$J$3</formula>
    </cfRule>
    <cfRule type="cellIs" dxfId="168" priority="16" operator="greaterThan">
      <formula>$J$3</formula>
    </cfRule>
    <cfRule type="cellIs" dxfId="167" priority="13" operator="lessThan">
      <formula>$J$3</formula>
    </cfRule>
    <cfRule type="cellIs" dxfId="166" priority="14" operator="greaterThan">
      <formula>$J$3</formula>
    </cfRule>
  </conditionalFormatting>
  <conditionalFormatting sqref="O6:O9">
    <cfRule type="cellIs" dxfId="165" priority="11" operator="lessThan">
      <formula>$J$3</formula>
    </cfRule>
    <cfRule type="cellIs" dxfId="164" priority="12" operator="greaterThan">
      <formula>$J$3</formula>
    </cfRule>
    <cfRule type="cellIs" dxfId="163" priority="9" operator="lessThan">
      <formula>$J$3</formula>
    </cfRule>
    <cfRule type="cellIs" dxfId="162" priority="10" operator="greaterThan">
      <formula>$J$3</formula>
    </cfRule>
  </conditionalFormatting>
  <conditionalFormatting sqref="S5">
    <cfRule type="cellIs" dxfId="161" priority="7" operator="lessThan">
      <formula>$J$3</formula>
    </cfRule>
    <cfRule type="cellIs" dxfId="160" priority="8" operator="greaterThan">
      <formula>$J$3</formula>
    </cfRule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G12">
    <cfRule type="cellIs" dxfId="157" priority="3" operator="lessThan">
      <formula>$J$3</formula>
    </cfRule>
    <cfRule type="cellIs" dxfId="156" priority="4" operator="greaterThan">
      <formula>$J$3</formula>
    </cfRule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B11" sqref="B11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225.03755590526231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109.33845494718007</v>
      </c>
      <c r="K4" s="4">
        <f>(J4/D15-1)</f>
        <v>-0.26379958885008181</v>
      </c>
      <c r="R4" t="s">
        <v>5</v>
      </c>
      <c r="S4" t="s">
        <v>6</v>
      </c>
      <c r="T4" t="s">
        <v>7</v>
      </c>
    </row>
    <row r="5" spans="2:21">
      <c r="B5" s="50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0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0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7.6305999999999999E-2</v>
      </c>
      <c r="O6" s="38">
        <f>($S$8*Params!K8)</f>
        <v>397.84027468351115</v>
      </c>
      <c r="P6" s="38">
        <f>(O6*N6)</f>
        <v>30.357600000000001</v>
      </c>
      <c r="R6" s="50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0">
        <v>2.3499999999999999E-4</v>
      </c>
      <c r="C7" s="38">
        <v>0</v>
      </c>
      <c r="D7" s="38">
        <v>0</v>
      </c>
      <c r="E7" s="38">
        <f>(B7*J3)</f>
        <v>5.2883825637736644E-2</v>
      </c>
      <c r="N7" s="24">
        <f>($R$8/5)</f>
        <v>7.6305999999999999E-2</v>
      </c>
      <c r="O7" s="38">
        <f>($S$8*Params!K9)</f>
        <v>489.6495688412445</v>
      </c>
      <c r="P7" s="38">
        <f>(O7*N7)</f>
        <v>37.363199999999999</v>
      </c>
      <c r="R7" s="50">
        <f>(B7+B8+B10)</f>
        <v>9.9197E-4</v>
      </c>
      <c r="S7" s="38">
        <f>(C7)</f>
        <v>0</v>
      </c>
      <c r="T7" s="38">
        <f>(R7*S7)</f>
        <v>0</v>
      </c>
    </row>
    <row r="8" spans="2:21">
      <c r="B8" s="50">
        <v>9.4980000000000002E-5</v>
      </c>
      <c r="C8" s="38">
        <v>0</v>
      </c>
      <c r="D8" s="38">
        <v>0</v>
      </c>
      <c r="E8" s="38">
        <f>(B8*J3)</f>
        <v>2.1374067059881815E-2</v>
      </c>
      <c r="N8" s="24">
        <f>($R$8/5)</f>
        <v>7.6305999999999999E-2</v>
      </c>
      <c r="O8" s="38">
        <f>($S$8*Params!K10)</f>
        <v>673.26815715671125</v>
      </c>
      <c r="P8" s="38">
        <f>(O8*N8)</f>
        <v>51.374400000000009</v>
      </c>
      <c r="R8" s="50">
        <f>(B11)</f>
        <v>0.38152999999999998</v>
      </c>
      <c r="S8" s="38">
        <f>(C11)</f>
        <v>306.03098052577781</v>
      </c>
      <c r="T8" s="38">
        <f>(R8*S8)</f>
        <v>116.76</v>
      </c>
      <c r="U8" t="s">
        <v>10</v>
      </c>
    </row>
    <row r="9" spans="2:21">
      <c r="B9" s="50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7.6305999999999999E-2</v>
      </c>
      <c r="O9" s="38">
        <f>($S$8*Params!K11)</f>
        <v>1224.1239221031112</v>
      </c>
      <c r="P9" s="38">
        <f>(O9*N9)</f>
        <v>93.408000000000001</v>
      </c>
      <c r="R9" s="50">
        <f>(B12)</f>
        <v>9.4380000000000006E-2</v>
      </c>
      <c r="S9" s="38">
        <f>(C12)</f>
        <v>304.08984954439495</v>
      </c>
      <c r="T9" s="38">
        <f>(R9*S9)</f>
        <v>28.699999999999996</v>
      </c>
      <c r="U9" t="s">
        <v>15</v>
      </c>
    </row>
    <row r="10" spans="2:21">
      <c r="B10" s="50">
        <v>6.6199E-4</v>
      </c>
      <c r="C10" s="38">
        <v>0</v>
      </c>
      <c r="D10" s="38">
        <v>0</v>
      </c>
      <c r="E10" s="38">
        <f>(B10*J3)</f>
        <v>0.14897261163372461</v>
      </c>
      <c r="P10" s="38"/>
      <c r="R10" s="50"/>
    </row>
    <row r="11" spans="2:21">
      <c r="B11" s="50">
        <v>0.38152999999999998</v>
      </c>
      <c r="C11" s="38">
        <f>(D11/B11)</f>
        <v>306.03098052577781</v>
      </c>
      <c r="D11" s="38">
        <v>116.76</v>
      </c>
      <c r="E11" t="s">
        <v>10</v>
      </c>
      <c r="P11" s="38">
        <f>(SUM(P6:P9))</f>
        <v>212.50319999999999</v>
      </c>
    </row>
    <row r="12" spans="2:21">
      <c r="B12" s="50">
        <v>9.4380000000000006E-2</v>
      </c>
      <c r="C12" s="38">
        <f>(D12/B12)</f>
        <v>304.08984954439495</v>
      </c>
      <c r="D12" s="38">
        <v>28.7</v>
      </c>
      <c r="E12" t="s">
        <v>15</v>
      </c>
    </row>
    <row r="13" spans="2:21">
      <c r="B13" s="50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 s="24">
        <f>($R$9/5)</f>
        <v>1.8876E-2</v>
      </c>
      <c r="O14" s="38">
        <f>($S$9*Params!K8)</f>
        <v>395.31680440771345</v>
      </c>
      <c r="P14" s="38">
        <f>(O14*N14)</f>
        <v>7.4619999999999989</v>
      </c>
    </row>
    <row r="15" spans="2:21">
      <c r="B15" s="50">
        <f>(SUM(B5:B14))</f>
        <v>0.48586759000000002</v>
      </c>
      <c r="D15" s="38">
        <f>(SUM(D5:D14))</f>
        <v>148.51724243999999</v>
      </c>
      <c r="F15" t="s">
        <v>9</v>
      </c>
      <c r="G15" s="38">
        <f>(SUM(D5:D14)/SUM(B5:B14))</f>
        <v>305.67431435383452</v>
      </c>
      <c r="N15" s="24">
        <f>($R$9/5)</f>
        <v>1.8876E-2</v>
      </c>
      <c r="O15" s="38">
        <f>($S$9*Params!K9)</f>
        <v>486.54375927103194</v>
      </c>
      <c r="P15" s="38">
        <f>(O15*N15)</f>
        <v>9.1839999999999993</v>
      </c>
    </row>
    <row r="16" spans="2:21">
      <c r="N16" s="24">
        <f>($R$9/5)</f>
        <v>1.8876E-2</v>
      </c>
      <c r="O16" s="38">
        <f>($S$9*Params!K10)</f>
        <v>668.99766899766894</v>
      </c>
      <c r="P16" s="38">
        <f>(O16*N16)</f>
        <v>12.627999999999998</v>
      </c>
    </row>
    <row r="17" spans="13:16">
      <c r="N17" s="24">
        <f>($R$9/5)</f>
        <v>1.8876E-2</v>
      </c>
      <c r="O17" s="38">
        <f>($S$9*Params!K11)</f>
        <v>1216.3593981775798</v>
      </c>
      <c r="P17" s="38">
        <f>(O17*N17)</f>
        <v>22.959999999999997</v>
      </c>
    </row>
    <row r="18" spans="13:16">
      <c r="P18" s="38"/>
    </row>
    <row r="19" spans="13:16">
      <c r="P19" s="38">
        <f>(SUM(P14:P17))</f>
        <v>52.233999999999995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 s="24">
        <f>(($R$5+$R$7)/5)</f>
        <v>6.61942E-4</v>
      </c>
      <c r="O22" s="38">
        <f>($S$5*Params!K8)</f>
        <v>323.96134165178148</v>
      </c>
      <c r="P22" s="38">
        <f>(O22*N22)</f>
        <v>0.21444361841566353</v>
      </c>
    </row>
    <row r="23" spans="13:16">
      <c r="N23" s="24">
        <f>(($R$5+$R$7)/5)</f>
        <v>6.61942E-4</v>
      </c>
      <c r="O23" s="38">
        <f>($S$5*Params!K9)</f>
        <v>398.72165126373102</v>
      </c>
      <c r="P23" s="38">
        <f>(O23*N23)</f>
        <v>0.26393060728081663</v>
      </c>
    </row>
    <row r="24" spans="13:16">
      <c r="N24" s="24">
        <f>(($R$5+$R$7)/5)</f>
        <v>6.61942E-4</v>
      </c>
      <c r="O24" s="38">
        <f>($S$5*Params!K10)</f>
        <v>548.24227048763021</v>
      </c>
      <c r="P24" s="38">
        <f>(O24*N24)</f>
        <v>0.36290458501112294</v>
      </c>
    </row>
    <row r="25" spans="13:16">
      <c r="N25" s="24">
        <f>(($R$5+$R$7)/5)</f>
        <v>6.61942E-4</v>
      </c>
      <c r="O25" s="38">
        <f>($S$5*Params!K11)</f>
        <v>996.80412815932755</v>
      </c>
      <c r="P25" s="38">
        <f>(O25*N25)</f>
        <v>0.65982651820204163</v>
      </c>
    </row>
    <row r="26" spans="13:16">
      <c r="P26" s="38"/>
    </row>
    <row r="27" spans="13:16">
      <c r="P27" s="38">
        <f>(SUM(P22:P25))</f>
        <v>1.5011053289096448</v>
      </c>
    </row>
    <row r="35" spans="18:20">
      <c r="R35" s="50">
        <f>(SUM(R5:R25))</f>
        <v>0.48586759000000002</v>
      </c>
      <c r="T35" s="38">
        <f>(SUM(T5:T25))</f>
        <v>148.51724243999999</v>
      </c>
    </row>
  </sheetData>
  <conditionalFormatting sqref="C5:C6 C9 C11:C13">
    <cfRule type="cellIs" dxfId="153" priority="9" operator="lessThan">
      <formula>$J$3</formula>
    </cfRule>
    <cfRule type="cellIs" dxfId="152" priority="10" operator="greaterThan">
      <formula>$J$3</formula>
    </cfRule>
  </conditionalFormatting>
  <conditionalFormatting sqref="O6:O9">
    <cfRule type="cellIs" dxfId="151" priority="7" operator="lessThan">
      <formula>$J$3</formula>
    </cfRule>
    <cfRule type="cellIs" dxfId="150" priority="8" operator="greaterThan">
      <formula>$J$3</formula>
    </cfRule>
  </conditionalFormatting>
  <conditionalFormatting sqref="O14:O17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O22:O2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S5:S6 S8:S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6.0851266728957673E-2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3.7298771497430554</v>
      </c>
      <c r="K4" s="4">
        <f>(J4/D13-1)</f>
        <v>-0.2540245700513889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25">
        <v>0.17586115999999999</v>
      </c>
      <c r="C6" s="40">
        <v>0</v>
      </c>
      <c r="D6" s="26">
        <f>(B6*C6)</f>
        <v>0</v>
      </c>
      <c r="E6" s="38">
        <f>(B6*J3)</f>
        <v>1.0701374354423901E-2</v>
      </c>
      <c r="M6" t="s">
        <v>11</v>
      </c>
      <c r="N6" s="29">
        <f>($B$13/5)</f>
        <v>12.258995909999999</v>
      </c>
      <c r="O6" s="38">
        <f>($C$5*Params!K8)</f>
        <v>0.10634970155367125</v>
      </c>
      <c r="P6" s="38">
        <f>(O6*N6)</f>
        <v>1.3037405563761764</v>
      </c>
    </row>
    <row r="7" spans="2:16">
      <c r="N7" s="29">
        <f>($B$13/5)</f>
        <v>12.258995909999999</v>
      </c>
      <c r="O7" s="38">
        <f>($C$5*Params!K9)</f>
        <v>0.13089194037374924</v>
      </c>
      <c r="P7" s="38">
        <f>(O7*N7)</f>
        <v>1.6046037616937556</v>
      </c>
    </row>
    <row r="8" spans="2:16">
      <c r="N8" s="29">
        <f>($B$13/5)</f>
        <v>12.258995909999999</v>
      </c>
      <c r="O8" s="38">
        <f>($C$5*Params!K10)</f>
        <v>0.17997641801390521</v>
      </c>
      <c r="P8" s="38">
        <f>(O8*N8)</f>
        <v>2.2063301723289142</v>
      </c>
    </row>
    <row r="9" spans="2:16">
      <c r="N9" s="29">
        <f>($B$13/5)</f>
        <v>12.258995909999999</v>
      </c>
      <c r="O9" s="38">
        <f>($C$5*Params!K11)</f>
        <v>0.32722985093437307</v>
      </c>
      <c r="P9" s="38">
        <f>(O9*N9)</f>
        <v>4.0115094042343893</v>
      </c>
    </row>
    <row r="11" spans="2:16">
      <c r="P11" s="38">
        <f>(SUM(P6:P9))</f>
        <v>9.1261838946332361</v>
      </c>
    </row>
    <row r="12" spans="2:16">
      <c r="F12" t="s">
        <v>9</v>
      </c>
      <c r="G12" s="38">
        <f>(D13/B13)</f>
        <v>8.1572749297050717E-2</v>
      </c>
    </row>
    <row r="13" spans="2:16">
      <c r="B13" s="29">
        <f>(SUM(B5:B12))</f>
        <v>61.294979549999994</v>
      </c>
      <c r="D13" s="38">
        <f>(SUM(D5:D12))</f>
        <v>5</v>
      </c>
    </row>
  </sheetData>
  <conditionalFormatting sqref="O6:O9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C5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12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14" max="15" width="11.28515625" style="14" bestFit="1" customWidth="1"/>
  </cols>
  <sheetData>
    <row r="3" spans="2:21">
      <c r="I3" t="s">
        <v>3</v>
      </c>
      <c r="J3" s="38">
        <v>4.4944798607934482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23.573167131258199</v>
      </c>
      <c r="K4" s="4">
        <f>(J4/D14-1)</f>
        <v>-0.2192853207249722</v>
      </c>
      <c r="R4" t="s">
        <v>5</v>
      </c>
      <c r="S4" t="s">
        <v>6</v>
      </c>
      <c r="T4" t="s">
        <v>7</v>
      </c>
    </row>
    <row r="5" spans="2:21">
      <c r="B5">
        <v>5.1384347400000001</v>
      </c>
      <c r="C5" s="38">
        <f>(D5/B5)</f>
        <v>5.8188926225420934</v>
      </c>
      <c r="D5" s="38">
        <v>29.9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1.8699319999999998E-2</v>
      </c>
      <c r="S5" s="40">
        <v>0</v>
      </c>
      <c r="T5" s="26">
        <f>(D6)</f>
        <v>0</v>
      </c>
      <c r="U5">
        <f>(R5*J3)</f>
        <v>8.4043717150532132E-2</v>
      </c>
    </row>
    <row r="6" spans="2:21">
      <c r="B6" s="25">
        <v>1.8699319999999998E-2</v>
      </c>
      <c r="C6" s="40">
        <v>0</v>
      </c>
      <c r="D6" s="26">
        <f>(B6*C6)</f>
        <v>0</v>
      </c>
      <c r="E6" s="38">
        <f>(B6*J3)</f>
        <v>8.4043717150532132E-2</v>
      </c>
      <c r="M6" t="s">
        <v>11</v>
      </c>
      <c r="N6" s="24">
        <f>($B$14/5)</f>
        <v>1.048983102</v>
      </c>
      <c r="O6" s="38">
        <f>($S$6*Params!K8)</f>
        <v>7.5645604093047218</v>
      </c>
      <c r="P6" s="38">
        <f>(O6*N6)</f>
        <v>7.9350960434188567</v>
      </c>
      <c r="R6" s="24">
        <f>B5</f>
        <v>5.1384347400000001</v>
      </c>
      <c r="S6" s="38">
        <f>(T6/R6)</f>
        <v>5.8188926225420934</v>
      </c>
      <c r="T6" s="38">
        <f>D5</f>
        <v>29.9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1.048983102</v>
      </c>
      <c r="O7" s="38">
        <f>($S$6*Params!K9)</f>
        <v>9.3102281960673494</v>
      </c>
      <c r="P7" s="38">
        <f>(O7*N7)</f>
        <v>9.7662720534385929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1.048983102</v>
      </c>
      <c r="O8" s="38">
        <f>($C$5*Params!K10)</f>
        <v>12.801563769592606</v>
      </c>
      <c r="P8" s="38">
        <f>(O8*N8)</f>
        <v>13.428624073478066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1.048983102</v>
      </c>
      <c r="O9" s="38">
        <f>($C$5*Params!K11)</f>
        <v>23.275570490168374</v>
      </c>
      <c r="P9" s="38">
        <f>(O9*N9)</f>
        <v>24.415680133596481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55.545672303931994</v>
      </c>
    </row>
    <row r="13" spans="2:21">
      <c r="F13" t="s">
        <v>9</v>
      </c>
      <c r="G13" s="38">
        <f>(D14/B14)</f>
        <v>5.7568788958432613</v>
      </c>
      <c r="N13" s="24"/>
      <c r="P13" s="38"/>
      <c r="R13" s="24">
        <f>(SUM(R5:R12))</f>
        <v>5.2449155099999993</v>
      </c>
      <c r="T13" s="38">
        <f>(SUM(T5:T12))</f>
        <v>30.194343409999998</v>
      </c>
    </row>
    <row r="14" spans="2:21">
      <c r="B14">
        <f>(SUM(B5:B13))</f>
        <v>5.2449155100000002</v>
      </c>
      <c r="D14" s="38">
        <f>(SUM(D5:D13))</f>
        <v>30.194343409999998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7" priority="15" operator="lessThan">
      <formula>$J$3</formula>
    </cfRule>
    <cfRule type="cellIs" dxfId="136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29.673775133345931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3.6539402420703206</v>
      </c>
      <c r="K4" s="4">
        <f>(J4/D13-1)</f>
        <v>-0.29731918421724601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2.2893499999999999E-3</v>
      </c>
      <c r="C6" s="40">
        <v>0</v>
      </c>
      <c r="D6" s="26">
        <f>(B6*C6)</f>
        <v>0</v>
      </c>
      <c r="E6" s="38">
        <f>(B6*J3)</f>
        <v>6.7933657101525505E-2</v>
      </c>
      <c r="M6" t="s">
        <v>11</v>
      </c>
      <c r="N6" s="24">
        <f>($B$13/5)</f>
        <v>2.4627403999999999E-2</v>
      </c>
      <c r="O6" s="38">
        <f>($C$5*Params!K8)</f>
        <v>55.939</v>
      </c>
      <c r="P6" s="38">
        <f>(O6*N6)</f>
        <v>1.3776323523559999</v>
      </c>
    </row>
    <row r="7" spans="2:16">
      <c r="N7" s="24">
        <f>($B$13/5)</f>
        <v>2.4627403999999999E-2</v>
      </c>
      <c r="O7" s="38">
        <f>($C$5*Params!K9)</f>
        <v>68.847999999999999</v>
      </c>
      <c r="P7" s="38">
        <f>(O7*N7)</f>
        <v>1.6955475105919999</v>
      </c>
    </row>
    <row r="8" spans="2:16">
      <c r="N8" s="24">
        <f>($B$13/5)</f>
        <v>2.4627403999999999E-2</v>
      </c>
      <c r="O8" s="38">
        <f>($C$5*Params!K10)</f>
        <v>94.666000000000011</v>
      </c>
      <c r="P8" s="38">
        <f>(O8*N8)</f>
        <v>2.3313778270640002</v>
      </c>
    </row>
    <row r="9" spans="2:16">
      <c r="N9" s="24">
        <f>($B$13/5)</f>
        <v>2.4627403999999999E-2</v>
      </c>
      <c r="O9" s="38">
        <f>($C$5*Params!K11)</f>
        <v>172.12</v>
      </c>
      <c r="P9" s="38">
        <f>(O9*N9)</f>
        <v>4.2388687764799995</v>
      </c>
    </row>
    <row r="11" spans="2:16">
      <c r="P11" s="38">
        <f>(SUM(P6:P9))</f>
        <v>9.6434264664919986</v>
      </c>
    </row>
    <row r="12" spans="2:16">
      <c r="F12" t="s">
        <v>9</v>
      </c>
      <c r="G12" s="38">
        <f>(D13/B13)</f>
        <v>42.229379921651507</v>
      </c>
    </row>
    <row r="13" spans="2:16">
      <c r="B13">
        <f>(SUM(B5:B12))</f>
        <v>0.12313702</v>
      </c>
      <c r="D13" s="38">
        <f>(SUM(D5:D12))</f>
        <v>5.2</v>
      </c>
    </row>
  </sheetData>
  <conditionalFormatting sqref="C5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O6:O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3.6078144137398152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4.2671147898360688</v>
      </c>
      <c r="K4" s="4">
        <f>(J4/D10-1)</f>
        <v>-0.32268019208951282</v>
      </c>
    </row>
    <row r="5" spans="2:16">
      <c r="B5" s="1">
        <v>1.1823300000000001</v>
      </c>
      <c r="C5" s="38">
        <f>(D5/B5)</f>
        <v>5.3284615970160605</v>
      </c>
      <c r="D5" s="38">
        <v>6.3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4.1231999999999998E-4</v>
      </c>
      <c r="C6" s="40">
        <v>0</v>
      </c>
      <c r="D6" s="26">
        <f>(B6*C6)</f>
        <v>0</v>
      </c>
      <c r="E6" s="38">
        <f>(B6*J3)</f>
        <v>1.4875740390732006E-3</v>
      </c>
      <c r="M6" t="s">
        <v>11</v>
      </c>
      <c r="N6" s="24">
        <f>($B$10/5)</f>
        <v>0.23654846400000001</v>
      </c>
      <c r="O6" s="38">
        <f>($C$5*Params!K8)</f>
        <v>6.927000076120879</v>
      </c>
      <c r="P6" s="38">
        <f>(O6*N6)</f>
        <v>1.638571228134277</v>
      </c>
    </row>
    <row r="7" spans="2:16">
      <c r="N7" s="24">
        <f>($B$10/5)</f>
        <v>0.23654846400000001</v>
      </c>
      <c r="O7" s="38">
        <f>($C$5*Params!K9)</f>
        <v>8.5255385552256975</v>
      </c>
      <c r="P7" s="38">
        <f>(O7*N7)</f>
        <v>2.0167030500114178</v>
      </c>
    </row>
    <row r="8" spans="2:16">
      <c r="N8" s="24">
        <f>($B$10/5)</f>
        <v>0.23654846400000001</v>
      </c>
      <c r="O8" s="38">
        <f>($C$5*Params!K10)</f>
        <v>11.722615513435334</v>
      </c>
      <c r="P8" s="38">
        <f>(O8*N8)</f>
        <v>2.7729666937656998</v>
      </c>
    </row>
    <row r="9" spans="2:16">
      <c r="F9" t="s">
        <v>9</v>
      </c>
      <c r="G9" s="38">
        <f>(D10/B10)</f>
        <v>5.3266040230977785</v>
      </c>
      <c r="N9" s="24">
        <f>($B$10/5)</f>
        <v>0.23654846400000001</v>
      </c>
      <c r="O9" s="38">
        <f>($C$5*Params!K11)</f>
        <v>21.313846388064242</v>
      </c>
      <c r="P9" s="38">
        <f>(O9*N9)</f>
        <v>5.041757625028545</v>
      </c>
    </row>
    <row r="10" spans="2:16">
      <c r="B10">
        <f>(SUM(B5:B9))</f>
        <v>1.18274232</v>
      </c>
      <c r="D10" s="38">
        <f>(SUM(D5:D9))</f>
        <v>6.3</v>
      </c>
    </row>
    <row r="11" spans="2:16">
      <c r="P11" s="38">
        <f>(SUM(P6:P9))</f>
        <v>11.46999859693994</v>
      </c>
    </row>
    <row r="12" spans="2:16">
      <c r="P12" s="38"/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1.8152052647311749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7.1296789588306675</v>
      </c>
      <c r="K4" s="4">
        <f>(J4/D10-1)</f>
        <v>-0.19981156466546945</v>
      </c>
    </row>
    <row r="5" spans="2:16">
      <c r="B5" s="1">
        <v>3.9178700000000002</v>
      </c>
      <c r="C5" s="38">
        <f>(D5/B5)</f>
        <v>2.2741949069264678</v>
      </c>
      <c r="D5" s="38">
        <v>8.91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9.8835699999999995E-3</v>
      </c>
      <c r="C6" s="40">
        <v>0</v>
      </c>
      <c r="D6" s="26">
        <f>(B6*C6)</f>
        <v>0</v>
      </c>
      <c r="E6" s="38">
        <f>(B6*J3)</f>
        <v>1.7940708298339096E-2</v>
      </c>
      <c r="M6" t="s">
        <v>11</v>
      </c>
      <c r="N6" s="1">
        <f>($B$10/5)</f>
        <v>0.78555071399999998</v>
      </c>
      <c r="O6" s="38">
        <f>($C$5*Params!K8)</f>
        <v>2.9564533790044081</v>
      </c>
      <c r="P6" s="38">
        <f>(O6*N6)</f>
        <v>2.3224440627846255</v>
      </c>
    </row>
    <row r="7" spans="2:16">
      <c r="N7" s="1">
        <f>($B$10/5)</f>
        <v>0.78555071399999998</v>
      </c>
      <c r="O7" s="38">
        <f>($C$5*Params!K9)</f>
        <v>3.6387118510823484</v>
      </c>
      <c r="P7" s="38">
        <f>(O7*N7)</f>
        <v>2.8583926926580006</v>
      </c>
    </row>
    <row r="8" spans="2:16">
      <c r="N8" s="1">
        <f>($B$10/5)</f>
        <v>0.78555071399999998</v>
      </c>
      <c r="O8" s="38">
        <f>($C$5*Params!K10)</f>
        <v>5.0032287952382291</v>
      </c>
      <c r="P8" s="38">
        <f>(O8*N8)</f>
        <v>3.9302899524047508</v>
      </c>
    </row>
    <row r="9" spans="2:16">
      <c r="F9" t="s">
        <v>9</v>
      </c>
      <c r="G9" s="38">
        <f>(D10/B10)</f>
        <v>2.2684722555035446</v>
      </c>
      <c r="N9" s="1">
        <f>($B$10/5)</f>
        <v>0.78555071399999998</v>
      </c>
      <c r="O9" s="38">
        <f>($C$5*Params!K11)</f>
        <v>9.096779627705871</v>
      </c>
      <c r="P9" s="38">
        <f>(O9*N9)</f>
        <v>7.1459817316450014</v>
      </c>
    </row>
    <row r="10" spans="2:16">
      <c r="B10" s="1">
        <f>(SUM(B5:B9))</f>
        <v>3.9277535700000001</v>
      </c>
      <c r="D10" s="38">
        <f>(SUM(D5:D9))</f>
        <v>8.91</v>
      </c>
    </row>
    <row r="11" spans="2:16">
      <c r="P11" s="38">
        <f>(SUM(P6:P9))</f>
        <v>16.257108439492377</v>
      </c>
    </row>
  </sheetData>
  <conditionalFormatting sqref="C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9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3" sqref="J3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25811.533910164821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737.9262010730414</v>
      </c>
      <c r="K4" s="4">
        <f>(J4/D37-1)</f>
        <v>9.298376024544841E-2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3.1767999999999998E-4</v>
      </c>
      <c r="C6" s="40">
        <v>0</v>
      </c>
      <c r="D6" s="26">
        <f>(B6*C6)</f>
        <v>0</v>
      </c>
      <c r="E6" s="38">
        <f>(B6*J3)</f>
        <v>8.1998080925811596</v>
      </c>
      <c r="I6" t="s">
        <v>11</v>
      </c>
      <c r="J6">
        <v>0.03</v>
      </c>
      <c r="R6" s="24">
        <f t="shared" si="0"/>
        <v>3.1767999999999998E-4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1.4109899999999904E-3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>
        <f>(J7*J3)</f>
        <v>36.419816231903212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>
        <f>(N19*M19)</f>
        <v>4.2212113439999994</v>
      </c>
      <c r="P19" t="s">
        <v>12</v>
      </c>
      <c r="R19" s="24">
        <f>(B23+B32)</f>
        <v>5.5088799999999999E-3</v>
      </c>
      <c r="S19" s="38">
        <f t="shared" si="2"/>
        <v>22709.87910428254</v>
      </c>
      <c r="T19" s="38">
        <f>(D23+17438.6*B32)</f>
        <v>125.10599879999999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>
        <f>(N20*M20)</f>
        <v>16.576000000000001</v>
      </c>
      <c r="R20" s="24">
        <f>(B24+B31)</f>
        <v>1.1990199999999999E-3</v>
      </c>
      <c r="S20" s="38">
        <f t="shared" si="2"/>
        <v>24189.720686894296</v>
      </c>
      <c r="T20" s="38">
        <f>(D24+17211.7*B31)</f>
        <v>29.003958897999997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5.8508800000000001E-3</v>
      </c>
      <c r="C23" s="38">
        <f t="shared" si="3"/>
        <v>22401.758367971997</v>
      </c>
      <c r="D23" s="38">
        <v>131.07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1.2510799999999999E-3</v>
      </c>
      <c r="C24" s="38">
        <f t="shared" si="3"/>
        <v>23899.350960769894</v>
      </c>
      <c r="D24" s="38">
        <v>29.9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1.52837E-3</v>
      </c>
      <c r="S24" s="38">
        <f>(T24/R24)</f>
        <v>25680.954219200848</v>
      </c>
      <c r="T24" s="38">
        <f>(D34)</f>
        <v>39.25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>
        <f>(N33*M33)</f>
        <v>3.9007043000000006</v>
      </c>
      <c r="P33" t="s">
        <v>12</v>
      </c>
    </row>
    <row r="34" spans="2:20">
      <c r="B34" s="24">
        <v>1.52837E-3</v>
      </c>
      <c r="C34" s="38">
        <f>(D34/B34)</f>
        <v>25680.954219200848</v>
      </c>
      <c r="D34" s="38">
        <v>39.25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>
        <f>(N35*M35)</f>
        <v>12.479999999999999</v>
      </c>
    </row>
    <row r="36" spans="2:20">
      <c r="F36" t="s">
        <v>9</v>
      </c>
      <c r="G36" s="39">
        <f>(D37/B37)</f>
        <v>23615.660953981966</v>
      </c>
      <c r="M36">
        <f>($B$20/5)</f>
        <v>1.8266000000000002E-4</v>
      </c>
      <c r="N36" s="38">
        <f>($C$20*Params!K18)</f>
        <v>136647.32289499615</v>
      </c>
      <c r="O36">
        <f>(N36*M36)</f>
        <v>24.959999999999997</v>
      </c>
      <c r="R36">
        <f>(SUM(R5:R25))</f>
        <v>2.7859739999999997E-2</v>
      </c>
      <c r="T36" s="38">
        <f>(SUM(T5:T25))</f>
        <v>491.06980017000006</v>
      </c>
    </row>
    <row r="37" spans="2:20">
      <c r="B37">
        <f>(SUM(B5:B36))</f>
        <v>2.8589010000000008E-2</v>
      </c>
      <c r="D37" s="38">
        <f>(SUM(D5:D36))</f>
        <v>675.14836717000014</v>
      </c>
    </row>
    <row r="38" spans="2:20">
      <c r="O38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>
        <f>(N44*M44)</f>
        <v>15.808000000000002</v>
      </c>
    </row>
    <row r="46" spans="2:20">
      <c r="O46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>
        <f>(N49*M49)</f>
        <v>7.4555999999999996</v>
      </c>
      <c r="P49" t="s">
        <v>12</v>
      </c>
    </row>
    <row r="50" spans="12:16">
      <c r="M50">
        <f>(2*($R$19+M49)/5-M49)</f>
        <v>1.9983520000000001E-3</v>
      </c>
      <c r="N50" s="38">
        <f>($S$19*Params!K16)</f>
        <v>45419.758208565079</v>
      </c>
      <c r="O50">
        <f>(N50*M50)</f>
        <v>90.764664655602445</v>
      </c>
    </row>
    <row r="51" spans="12:16">
      <c r="M51">
        <f>($B$23/5)</f>
        <v>1.170176E-3</v>
      </c>
      <c r="N51" s="38">
        <f>($S$19*Params!K17)</f>
        <v>90839.516417130159</v>
      </c>
      <c r="O51">
        <f>(N51*M51)</f>
        <v>106.29822196293171</v>
      </c>
    </row>
    <row r="52" spans="12:16">
      <c r="M52">
        <f>($B$23/5)</f>
        <v>1.170176E-3</v>
      </c>
      <c r="N52" s="38">
        <f>($S$19*Params!K18)</f>
        <v>181679.03283426032</v>
      </c>
      <c r="O52">
        <f>(N52*M52)</f>
        <v>212.59644392586341</v>
      </c>
    </row>
    <row r="54" spans="12:16">
      <c r="O54">
        <f>(SUM(O49:O52))</f>
        <v>417.11493054439757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>
        <f>(N57*M57)</f>
        <v>1.1224136</v>
      </c>
      <c r="P57" t="s">
        <v>12</v>
      </c>
    </row>
    <row r="58" spans="12:16">
      <c r="M58">
        <f>(2*($R$20+M57)/5-M57)</f>
        <v>4.48372E-4</v>
      </c>
      <c r="N58" s="38">
        <f>($S$20*Params!K16)</f>
        <v>48379.441373788592</v>
      </c>
      <c r="O58">
        <f>(N58*M58)</f>
        <v>21.691986887648337</v>
      </c>
    </row>
    <row r="59" spans="12:16">
      <c r="M59">
        <f>($B$24/5)</f>
        <v>2.5021599999999999E-4</v>
      </c>
      <c r="N59" s="38">
        <f>($S$20*Params!K17)</f>
        <v>96758.882747577183</v>
      </c>
      <c r="O59">
        <f>(N59*M59)</f>
        <v>24.210620605567772</v>
      </c>
    </row>
    <row r="60" spans="12:16">
      <c r="M60">
        <f>($B$24/5)</f>
        <v>2.5021599999999999E-4</v>
      </c>
      <c r="N60" s="38">
        <f>($S$20*Params!K18)</f>
        <v>193517.76549515437</v>
      </c>
      <c r="O60">
        <f>(N60*M60)</f>
        <v>48.421241211135545</v>
      </c>
    </row>
    <row r="62" spans="12:16">
      <c r="O62">
        <f>(SUM(O57:O60))</f>
        <v>95.446262304351649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>
        <f>(N68*M68)</f>
        <v>0.79999999999999993</v>
      </c>
    </row>
    <row r="70" spans="12:16">
      <c r="O70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3.0567400000000003E-4</v>
      </c>
      <c r="N73" s="38">
        <f>($S$24*Params!K15)</f>
        <v>38521.431328801271</v>
      </c>
      <c r="O73">
        <f>(N73*M73)</f>
        <v>11.775</v>
      </c>
    </row>
    <row r="74" spans="12:16">
      <c r="M74">
        <f>($R$24/5)</f>
        <v>3.0567400000000003E-4</v>
      </c>
      <c r="N74" s="38">
        <f>($S$24*Params!K16)</f>
        <v>51361.908438401697</v>
      </c>
      <c r="O74">
        <f>(N74*M74)</f>
        <v>15.700000000000001</v>
      </c>
    </row>
    <row r="75" spans="12:16">
      <c r="M75">
        <f>($R$24/5)</f>
        <v>3.0567400000000003E-4</v>
      </c>
      <c r="N75" s="38">
        <f>($S$24*Params!K17)</f>
        <v>102723.81687680339</v>
      </c>
      <c r="O75">
        <f>(N75*M75)</f>
        <v>31.400000000000002</v>
      </c>
    </row>
    <row r="76" spans="12:16">
      <c r="M76">
        <f>($R$24/5)</f>
        <v>3.0567400000000003E-4</v>
      </c>
      <c r="N76" s="38">
        <f>($S$24*Params!K18)</f>
        <v>205447.63375360679</v>
      </c>
      <c r="O76">
        <f>(N76*M76)</f>
        <v>62.800000000000004</v>
      </c>
    </row>
    <row r="78" spans="12:16">
      <c r="O78">
        <f>(SUM(O73:O76))</f>
        <v>121.67500000000001</v>
      </c>
    </row>
  </sheetData>
  <conditionalFormatting sqref="C5 C7:C17 C19:C20 C22:C25 C34:C35 G36 N10:N12 N20 N26:N28 N34 S5 S7:S21 S24">
    <cfRule type="cellIs" dxfId="251" priority="45" operator="lessThan">
      <formula>$J$3</formula>
    </cfRule>
    <cfRule type="cellIs" dxfId="250" priority="46" operator="greaterThan">
      <formula>$J$3</formula>
    </cfRule>
  </conditionalFormatting>
  <conditionalFormatting sqref="N35:N36">
    <cfRule type="cellIs" dxfId="249" priority="19" operator="lessThan">
      <formula>$J$3</formula>
    </cfRule>
    <cfRule type="cellIs" dxfId="248" priority="20" operator="greaterThan">
      <formula>$J$3</formula>
    </cfRule>
  </conditionalFormatting>
  <conditionalFormatting sqref="N42:N44">
    <cfRule type="cellIs" dxfId="247" priority="17" operator="lessThan">
      <formula>$J$3</formula>
    </cfRule>
    <cfRule type="cellIs" dxfId="246" priority="18" operator="greaterThan">
      <formula>$J$3</formula>
    </cfRule>
  </conditionalFormatting>
  <conditionalFormatting sqref="N50:N52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N58:N60">
    <cfRule type="cellIs" dxfId="243" priority="13" operator="lessThan">
      <formula>$J$3</formula>
    </cfRule>
    <cfRule type="cellIs" dxfId="242" priority="14" operator="greaterThan">
      <formula>$J$3</formula>
    </cfRule>
  </conditionalFormatting>
  <conditionalFormatting sqref="N66:N68">
    <cfRule type="cellIs" dxfId="241" priority="11" operator="lessThan">
      <formula>$J$3</formula>
    </cfRule>
    <cfRule type="cellIs" dxfId="240" priority="12" operator="greaterThan">
      <formula>$J$3</formula>
    </cfRule>
  </conditionalFormatting>
  <conditionalFormatting sqref="N73:N76">
    <cfRule type="cellIs" dxfId="239" priority="9" operator="lessThan">
      <formula>$J$3</formula>
    </cfRule>
    <cfRule type="cellIs" dxfId="238" priority="10" operator="greaterThan">
      <formula>$J$3</formula>
    </cfRule>
  </conditionalFormatting>
  <conditionalFormatting sqref="N4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5.096159431415427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4.6007223288135339</v>
      </c>
      <c r="K4" s="4">
        <f>(J4/D10-1)</f>
        <v>-0.27318762577985245</v>
      </c>
    </row>
    <row r="5" spans="2:16">
      <c r="B5" s="1">
        <v>0.90227999999999997</v>
      </c>
      <c r="C5" s="38">
        <f>(D5/B5)</f>
        <v>7.0155605798643439</v>
      </c>
      <c r="D5" s="38">
        <v>6.33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5.0226000000000003E-4</v>
      </c>
      <c r="C6" s="40">
        <v>0</v>
      </c>
      <c r="D6" s="26">
        <f>(B6*C6)</f>
        <v>0</v>
      </c>
      <c r="E6" s="38">
        <f>(B6*J3)</f>
        <v>2.5595970360227124E-3</v>
      </c>
      <c r="M6" t="s">
        <v>11</v>
      </c>
      <c r="N6" s="24">
        <f>($B$10/5)</f>
        <v>0.18055645199999998</v>
      </c>
      <c r="O6" s="38">
        <f>($C$5*Params!K8)</f>
        <v>9.1202287538236479</v>
      </c>
      <c r="P6" s="38">
        <f>(O6*N6)</f>
        <v>1.6467161452187791</v>
      </c>
    </row>
    <row r="7" spans="2:16">
      <c r="C7" s="38"/>
      <c r="D7" s="38"/>
      <c r="N7" s="24">
        <f>($B$10/5)</f>
        <v>0.18055645199999998</v>
      </c>
      <c r="O7" s="38">
        <f>($C$5*Params!K9)</f>
        <v>11.22489692778295</v>
      </c>
      <c r="P7" s="38">
        <f>(O7*N7)</f>
        <v>2.0267275633461894</v>
      </c>
    </row>
    <row r="8" spans="2:16">
      <c r="C8" s="38"/>
      <c r="D8" s="38"/>
      <c r="N8" s="24">
        <f>($B$10/5)</f>
        <v>0.18055645199999998</v>
      </c>
      <c r="O8" s="38">
        <f>($C$5*Params!K10)</f>
        <v>15.434233275701558</v>
      </c>
      <c r="P8" s="38">
        <f>(O8*N8)</f>
        <v>2.786750399601011</v>
      </c>
    </row>
    <row r="9" spans="2:16">
      <c r="C9" s="38"/>
      <c r="D9" s="38"/>
      <c r="F9" t="s">
        <v>9</v>
      </c>
      <c r="G9" s="38">
        <f>(D10/B10)</f>
        <v>7.0116574953522024</v>
      </c>
      <c r="N9" s="24">
        <f>($B$10/5)</f>
        <v>0.18055645199999998</v>
      </c>
      <c r="O9" s="38">
        <f>($C$5*Params!K11)</f>
        <v>28.062242319457376</v>
      </c>
      <c r="P9" s="38">
        <f>(O9*N9)</f>
        <v>5.066818908365474</v>
      </c>
    </row>
    <row r="10" spans="2:16">
      <c r="B10">
        <f>(SUM(B5:B9))</f>
        <v>0.90278225999999995</v>
      </c>
      <c r="C10" s="38"/>
      <c r="D10" s="38">
        <f>(SUM(D5:D9))</f>
        <v>6.33</v>
      </c>
      <c r="O10" s="38"/>
      <c r="P10" s="38"/>
    </row>
    <row r="11" spans="2:16">
      <c r="O11" s="38"/>
      <c r="P11" s="38">
        <f>(SUM(P6:P9))</f>
        <v>11.527013016531452</v>
      </c>
    </row>
  </sheetData>
  <conditionalFormatting sqref="O6:O9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C5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9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L28" sqref="L2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20">
      <c r="I3" t="s">
        <v>3</v>
      </c>
      <c r="J3" s="38">
        <v>76.419623580965634</v>
      </c>
      <c r="O3" s="39"/>
      <c r="P3" s="38"/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11.940340746636316</v>
      </c>
      <c r="K4" s="4">
        <f>(J4/D13-1)</f>
        <v>0.1587328665344907</v>
      </c>
      <c r="O4" s="38"/>
      <c r="P4" s="38"/>
      <c r="R4" t="s">
        <v>5</v>
      </c>
      <c r="S4" t="s">
        <v>6</v>
      </c>
      <c r="T4" t="s">
        <v>7</v>
      </c>
    </row>
    <row r="5" spans="2:20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0">
      <c r="B6" s="2">
        <v>4.6076E-4</v>
      </c>
      <c r="C6" s="40">
        <v>0</v>
      </c>
      <c r="D6" s="26">
        <f>(B6*C6)</f>
        <v>0</v>
      </c>
      <c r="E6" s="38">
        <f>(B6*J3)</f>
        <v>3.5211105761165727E-2</v>
      </c>
      <c r="M6" t="s">
        <v>11</v>
      </c>
      <c r="N6">
        <f>(SUM($B$5:$B$9)/5)</f>
        <v>3.1249409999999998E-2</v>
      </c>
      <c r="O6" s="38">
        <f>(C8)</f>
        <v>91.202314270075746</v>
      </c>
      <c r="P6" s="38">
        <f>(-D8)</f>
        <v>2.7826464500000001</v>
      </c>
      <c r="R6" s="2">
        <f>(B6)</f>
        <v>4.6076E-4</v>
      </c>
      <c r="S6" s="40">
        <f>(T6/R6)</f>
        <v>0</v>
      </c>
      <c r="T6" s="26">
        <f>(D6)</f>
        <v>0</v>
      </c>
    </row>
    <row r="7" spans="2:20">
      <c r="B7" s="1">
        <v>0.14485500000000001</v>
      </c>
      <c r="C7" s="38">
        <f>(D7/B7)</f>
        <v>68.808808808808806</v>
      </c>
      <c r="D7" s="38">
        <v>9.9672999999999998</v>
      </c>
      <c r="N7">
        <f>(SUM($B$5:$B$9)/5)</f>
        <v>3.1249409999999998E-2</v>
      </c>
      <c r="O7" s="38">
        <f>($C$7*Params!K9)</f>
        <v>110.09409409409409</v>
      </c>
      <c r="P7" s="38">
        <f>(O7*N7)</f>
        <v>3.4403754849249246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0">
      <c r="B8" s="1">
        <v>-3.0510700000000002E-2</v>
      </c>
      <c r="C8" s="38">
        <f>(D8/B8)</f>
        <v>91.202314270075746</v>
      </c>
      <c r="D8" s="38">
        <v>-2.7826464500000001</v>
      </c>
      <c r="N8">
        <f>(SUM($B$5:$B$9)/5)</f>
        <v>3.1249409999999998E-2</v>
      </c>
      <c r="O8" s="38">
        <f>($C$7*Params!K10)</f>
        <v>151.37937937937937</v>
      </c>
      <c r="P8" s="38">
        <f>(O8*N8)</f>
        <v>4.7305162917717709</v>
      </c>
      <c r="R8" s="1">
        <f>(B8+B9)</f>
        <v>3.3246200000000004E-3</v>
      </c>
      <c r="S8" s="38">
        <v>0</v>
      </c>
      <c r="T8" s="38">
        <f>(D8+D9)</f>
        <v>-0.16264645</v>
      </c>
    </row>
    <row r="9" spans="2:20">
      <c r="B9" s="1">
        <v>3.3835320000000002E-2</v>
      </c>
      <c r="C9" s="38">
        <f>(D9/B9)</f>
        <v>77.433876789106762</v>
      </c>
      <c r="D9" s="38">
        <v>2.62</v>
      </c>
      <c r="N9">
        <f>(SUM($B$5:$B$9)/5)</f>
        <v>3.1249409999999998E-2</v>
      </c>
      <c r="O9" s="38">
        <f>($C$7*Params!K11)</f>
        <v>275.23523523523522</v>
      </c>
      <c r="P9" s="38">
        <f>(O9*N9)</f>
        <v>8.6009387123123116</v>
      </c>
      <c r="R9" s="24"/>
      <c r="S9" s="38"/>
      <c r="T9" s="38"/>
    </row>
    <row r="10" spans="2:20">
      <c r="O10" s="38"/>
      <c r="P10" s="38"/>
    </row>
    <row r="11" spans="2:20">
      <c r="O11" s="38"/>
      <c r="P11" s="38">
        <f>(SUM(P6:P9))</f>
        <v>19.554476939009007</v>
      </c>
    </row>
    <row r="12" spans="2:20">
      <c r="F12" t="s">
        <v>9</v>
      </c>
      <c r="G12" s="38">
        <f>(D13/B13)</f>
        <v>65.951027875406297</v>
      </c>
    </row>
    <row r="13" spans="2:20">
      <c r="B13">
        <f>(SUM(B5:B12))</f>
        <v>0.15624705</v>
      </c>
      <c r="D13" s="38">
        <f>(SUM(D5:D12))</f>
        <v>10.304653550000001</v>
      </c>
    </row>
    <row r="19" spans="18:20">
      <c r="R19">
        <f>(SUM(R5:R18))</f>
        <v>0.15624705</v>
      </c>
      <c r="T19" s="38">
        <f>(SUM(T5:T18))</f>
        <v>10.304653549999999</v>
      </c>
    </row>
  </sheetData>
  <conditionalFormatting sqref="C5 C7 O7:O9 S5 S7">
    <cfRule type="cellIs" dxfId="113" priority="11" operator="lessThan">
      <formula>$J$3</formula>
    </cfRule>
    <cfRule type="cellIs" dxfId="112" priority="12" operator="greaterThan">
      <formula>$J$3</formula>
    </cfRule>
  </conditionalFormatting>
  <conditionalFormatting sqref="O6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5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0.59259871251016394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(B15*J3)</f>
        <v>1.1459157867562699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2">
        <v>4.1664930000000003E-2</v>
      </c>
      <c r="C6" s="40">
        <v>0</v>
      </c>
      <c r="D6" s="26">
        <f>(B6*C6)</f>
        <v>0</v>
      </c>
      <c r="E6" s="38">
        <f>(B6*J3)</f>
        <v>2.4690583874826106E-2</v>
      </c>
    </row>
    <row r="7" spans="2:10">
      <c r="B7" s="50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3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5" spans="2:10">
      <c r="B15">
        <f>(SUM(B5:B14))</f>
        <v>1.9337129200000005</v>
      </c>
      <c r="D15" s="38">
        <f>(SUM(D5:D14))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N9" sqref="N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8.6521372328441523E-5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29.389745834272301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49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49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4527.1768119899998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4527.1768119899998</v>
      </c>
      <c r="C18" s="40">
        <v>0</v>
      </c>
      <c r="D18" s="26">
        <f>(B18*C18)</f>
        <v>0</v>
      </c>
      <c r="E18" s="38">
        <f>(B18*J3)</f>
        <v>0.39169755054687366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5.3722993854785583</v>
      </c>
    </row>
    <row r="37" spans="2:20">
      <c r="B37">
        <f>(SUM(B5:B36))</f>
        <v>339681.91954592045</v>
      </c>
      <c r="D37" s="38">
        <f>(SUM(D5:D36))</f>
        <v>-21.780357561799917</v>
      </c>
      <c r="F37" t="s">
        <v>9</v>
      </c>
      <c r="G37" s="28">
        <f>(D37/B37)</f>
        <v>-6.4119861283507337E-5</v>
      </c>
      <c r="R37">
        <f>(SUM(R5:R36))</f>
        <v>339681.91954592045</v>
      </c>
      <c r="T37">
        <f>(SUM(T5:T36))</f>
        <v>-21.78035756179991</v>
      </c>
    </row>
  </sheetData>
  <conditionalFormatting sqref="C5:C9 C14:C16 C25:C26 C28 C30 C32 C35">
    <cfRule type="cellIs" dxfId="109" priority="13" operator="lessThan">
      <formula>$J$3</formula>
    </cfRule>
    <cfRule type="cellIs" dxfId="108" priority="14" operator="greaterThan">
      <formula>$J$3</formula>
    </cfRule>
  </conditionalFormatting>
  <conditionalFormatting sqref="N6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N9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S5:S9 S13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37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0.63382882966713239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26.620879914347132</v>
      </c>
      <c r="K4" s="4">
        <f>(J4/D18-1)</f>
        <v>-0.31682361108939849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0.23786504999999999</v>
      </c>
      <c r="C6" s="40">
        <v>0</v>
      </c>
      <c r="D6" s="26">
        <f>(B6*C6)</f>
        <v>0</v>
      </c>
      <c r="E6" s="38">
        <f>(B6*J3)</f>
        <v>0.15076572626021392</v>
      </c>
      <c r="M6" t="s">
        <v>11</v>
      </c>
      <c r="N6" s="19">
        <f>($B$7+$R$9)/5</f>
        <v>5.6777529997777778</v>
      </c>
      <c r="O6" s="38">
        <f>($S$7*Params!K8)</f>
        <v>1.3441237905227565</v>
      </c>
      <c r="P6" s="38">
        <f>(O6*N6)</f>
        <v>7.6316028837132581</v>
      </c>
      <c r="R6" s="36">
        <f>(B6)</f>
        <v>0.23786504999999999</v>
      </c>
      <c r="S6" s="40">
        <v>0</v>
      </c>
      <c r="T6" s="26">
        <f>(D6)</f>
        <v>0</v>
      </c>
      <c r="U6" s="38">
        <f>(R6*J3)</f>
        <v>0.15076572626021392</v>
      </c>
    </row>
    <row r="7" spans="2:21">
      <c r="B7" s="19">
        <v>27.757860000000001</v>
      </c>
      <c r="C7" s="38">
        <f t="shared" ref="C7:C14" si="0">(D7/B7)</f>
        <v>1.0339413773251973</v>
      </c>
      <c r="D7" s="38">
        <v>28.7</v>
      </c>
      <c r="E7" t="s">
        <v>15</v>
      </c>
      <c r="N7" s="19">
        <f>($B$7+$R$9)/5</f>
        <v>5.6777529997777778</v>
      </c>
      <c r="O7" s="38">
        <f>($S$7*Params!K9)</f>
        <v>1.6543062037203158</v>
      </c>
      <c r="P7" s="38">
        <f>(O7*N7)</f>
        <v>9.3927420107240103</v>
      </c>
      <c r="R7" s="19">
        <f>B7</f>
        <v>27.757860000000001</v>
      </c>
      <c r="S7" s="38">
        <f>(T7/R7)</f>
        <v>1.0339413773251973</v>
      </c>
      <c r="T7" s="38">
        <f>D7</f>
        <v>28.7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5.6777529997777778</v>
      </c>
      <c r="O8" s="38">
        <f>($S$7*Params!K10)</f>
        <v>2.2746710301154343</v>
      </c>
      <c r="P8" s="38">
        <f>(O8*N8)</f>
        <v>12.915020264745515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5.6777529997777778</v>
      </c>
      <c r="O9" s="38">
        <f>($C$7*Params!K11)</f>
        <v>4.1357655093007892</v>
      </c>
      <c r="P9" s="38">
        <f>(O9*N9)</f>
        <v>23.481855026810024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53.421220185992809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0.92776746965427315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42.000108969999999</v>
      </c>
      <c r="S17" s="38"/>
      <c r="T17" s="38">
        <f>(SUM(T5:T12))</f>
        <v>38.966334824300645</v>
      </c>
    </row>
    <row r="18" spans="2:20">
      <c r="B18" s="19">
        <f>(SUM(B5:B17))</f>
        <v>42.000108970000007</v>
      </c>
      <c r="D18" s="38">
        <f>(SUM(D5:D17))</f>
        <v>38.966334824300645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9" priority="23" operator="lessThan">
      <formula>$J$3</formula>
    </cfRule>
    <cfRule type="cellIs" dxfId="98" priority="24" operator="greaterThan">
      <formula>$J$3</formula>
    </cfRule>
  </conditionalFormatting>
  <conditionalFormatting sqref="S8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: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0.41359889485165441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22.180465613683062</v>
      </c>
      <c r="K4" s="4">
        <f>(J4/D10-1)</f>
        <v>-0.43974575363265822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1.3794567600000001</v>
      </c>
      <c r="C6" s="40">
        <v>0</v>
      </c>
      <c r="D6" s="26">
        <f>(B6*C6)</f>
        <v>0</v>
      </c>
      <c r="E6" s="38">
        <f>(B6*J3)</f>
        <v>0.57054179143164385</v>
      </c>
      <c r="M6" t="s">
        <v>11</v>
      </c>
      <c r="N6" s="29">
        <f>($B$10/5)</f>
        <v>10.725592302000001</v>
      </c>
      <c r="O6" s="38">
        <f>($C$5*Params!K8)</f>
        <v>0.98505771545924514</v>
      </c>
      <c r="P6" s="38">
        <f>(O6*N6)</f>
        <v>10.565327449955387</v>
      </c>
    </row>
    <row r="7" spans="2:16">
      <c r="B7" s="36">
        <v>8.0475000000000002E-4</v>
      </c>
      <c r="C7" s="40">
        <v>0</v>
      </c>
      <c r="D7" s="26">
        <f>(B7*C7)</f>
        <v>0</v>
      </c>
      <c r="E7" s="38">
        <f>(B7*J4)</f>
        <v>1.7849729702611443E-2</v>
      </c>
      <c r="N7" s="29">
        <f>($B$10/5)</f>
        <v>10.725592302000001</v>
      </c>
      <c r="O7" s="38">
        <f>($C$5*Params!K9)</f>
        <v>1.2123787267190709</v>
      </c>
      <c r="P7" s="38">
        <f>(O7*N7)</f>
        <v>13.003479938406629</v>
      </c>
    </row>
    <row r="8" spans="2:16">
      <c r="N8" s="29">
        <f>($B$10/5)</f>
        <v>10.725592302000001</v>
      </c>
      <c r="O8" s="38">
        <f>($C$5*Params!K10)</f>
        <v>1.6670207492387226</v>
      </c>
      <c r="P8" s="38">
        <f>(O8*N8)</f>
        <v>17.879784915309116</v>
      </c>
    </row>
    <row r="9" spans="2:16">
      <c r="F9" t="s">
        <v>9</v>
      </c>
      <c r="G9" s="38">
        <f>(D10/B10)</f>
        <v>0.73823428833142679</v>
      </c>
      <c r="N9" s="29">
        <f>($B$10/5)</f>
        <v>10.725592302000001</v>
      </c>
      <c r="O9" s="38">
        <f>($C$5*Params!K11)</f>
        <v>3.0309468167976772</v>
      </c>
      <c r="P9" s="38">
        <f>(O9*N9)</f>
        <v>32.508699846016576</v>
      </c>
    </row>
    <row r="10" spans="2:16">
      <c r="B10" s="29">
        <f>(SUM(B5:B9))</f>
        <v>53.627961510000006</v>
      </c>
      <c r="D10" s="38">
        <f>(SUM(D5:D9))</f>
        <v>39.590000000000003</v>
      </c>
    </row>
    <row r="11" spans="2:16">
      <c r="P11" s="38">
        <f>(SUM(P6:P9))</f>
        <v>73.957292149687703</v>
      </c>
    </row>
  </sheetData>
  <conditionalFormatting sqref="C5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G9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E8" sqref="E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1.1913417040491381</v>
      </c>
      <c r="N3" s="1"/>
      <c r="O3" s="52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20.255394671625755</v>
      </c>
      <c r="K4" s="4">
        <f>(J4/D19-1)</f>
        <v>-0.35490471509563093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14.90846</v>
      </c>
      <c r="C6" s="38">
        <f>(D6/B6)</f>
        <v>1.9250814638131637</v>
      </c>
      <c r="D6" s="38">
        <v>28.7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14.90846</v>
      </c>
      <c r="S6" s="38">
        <f>(T6/R6)</f>
        <v>1.9250814638131637</v>
      </c>
      <c r="T6" s="38">
        <f>D6</f>
        <v>28.7</v>
      </c>
      <c r="U6" s="38" t="str">
        <f>(E6)</f>
        <v>DCA2</v>
      </c>
    </row>
    <row r="7" spans="2:22">
      <c r="B7" s="2">
        <v>4.6589230000000002E-2</v>
      </c>
      <c r="C7" s="40">
        <v>0</v>
      </c>
      <c r="D7" s="26">
        <v>0</v>
      </c>
      <c r="E7" s="39">
        <f>B7*J3</f>
        <v>5.5503692658537225E-2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4.6589230000000002E-2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0.29662326519769378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0.31062179237315363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3.0088550540000001</v>
      </c>
      <c r="O14" s="38">
        <f>($C$6*Params!K8)</f>
        <v>2.502605902957113</v>
      </c>
      <c r="P14" s="38">
        <f>(O14*N14)</f>
        <v>7.5299784192827435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3.0088550540000001</v>
      </c>
      <c r="O15" s="38">
        <f>($C$6*Params!K9)</f>
        <v>3.0801303421010622</v>
      </c>
      <c r="P15" s="38">
        <f>(O15*N15)</f>
        <v>9.2676657468095307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3.0088550540000001</v>
      </c>
      <c r="O16" s="38">
        <f>($C$6*Params!K10)</f>
        <v>4.2351792203889609</v>
      </c>
      <c r="P16" s="38">
        <f>(O16*N16)</f>
        <v>12.743040401863105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3.0088550540000001</v>
      </c>
      <c r="O17" s="38">
        <f>($C$6*Params!K11)</f>
        <v>7.7003258552526548</v>
      </c>
      <c r="P17" s="38">
        <f>(O17*N17)</f>
        <v>23.169164367023825</v>
      </c>
      <c r="S17" s="38"/>
      <c r="T17" s="38"/>
    </row>
    <row r="18" spans="2:20">
      <c r="C18" s="38"/>
      <c r="D18" s="38"/>
      <c r="F18" t="s">
        <v>9</v>
      </c>
      <c r="G18">
        <f>(D19/B19)</f>
        <v>1.8467685812116057</v>
      </c>
      <c r="O18" s="38"/>
      <c r="P18" s="38"/>
      <c r="S18" s="38"/>
      <c r="T18" s="38"/>
    </row>
    <row r="19" spans="2:20">
      <c r="B19" s="1">
        <f>(SUM(B5:B18))</f>
        <v>17.002170412385983</v>
      </c>
      <c r="C19" s="38"/>
      <c r="D19" s="38">
        <f>(SUM(D5:D18))</f>
        <v>31.399074130000002</v>
      </c>
      <c r="O19" s="38"/>
      <c r="P19" s="38">
        <f>(SUM(P14:P17))</f>
        <v>52.709848934979206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17.002170412385983</v>
      </c>
      <c r="S22" s="38"/>
      <c r="T22" s="38">
        <f>(SUM(T5:T21))</f>
        <v>31.399074130000002</v>
      </c>
    </row>
  </sheetData>
  <conditionalFormatting sqref="C5:C6 C12:C14 C16:C17 O6:O9 O14:O17 S5:S6">
    <cfRule type="cellIs" dxfId="89" priority="17" operator="lessThan">
      <formula>$J$3</formula>
    </cfRule>
    <cfRule type="cellIs" dxfId="8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O11" sqref="O1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3">
        <v>6.5735330017604624E-6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2.8902139154879101</v>
      </c>
      <c r="K4" s="4">
        <f>(J4/D13-1)</f>
        <v>-0.42540478817337779</v>
      </c>
    </row>
    <row r="5" spans="2:16">
      <c r="B5" s="22">
        <v>439531.68</v>
      </c>
      <c r="C5" s="53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142.68</v>
      </c>
      <c r="C6" s="40">
        <v>0</v>
      </c>
      <c r="D6" s="26">
        <f>(B6*C6)</f>
        <v>0</v>
      </c>
      <c r="E6" s="38">
        <f>(B6*J3)</f>
        <v>9.3791168869118279E-4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1.1440285032768344E-5</v>
      </c>
    </row>
    <row r="13" spans="2:16">
      <c r="B13">
        <f>(SUM(B5:B12))</f>
        <v>439674.36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7" priority="5" operator="lessThan">
      <formula>$J$3</formula>
    </cfRule>
    <cfRule type="cellIs" dxfId="86" priority="6" operator="greaterThan">
      <formula>$J$3</formula>
    </cfRule>
  </conditionalFormatting>
  <conditionalFormatting sqref="J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6:O9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G41" sqref="G41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15.19031345245609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(B33*J3)</f>
        <v>107.47191352701698</v>
      </c>
      <c r="K4" s="4">
        <f>(J4/D33-1)</f>
        <v>-0.41066682479207972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0.10553971600000001</v>
      </c>
      <c r="O7" s="38">
        <f>(C29)</f>
        <v>22.114333333333335</v>
      </c>
      <c r="P7" s="38">
        <f>(O7*N7)</f>
        <v>2.3339404595293334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0.10553971600000001</v>
      </c>
      <c r="O8" s="38">
        <f>($C$16*Params!K10)</f>
        <v>28.255152590055655</v>
      </c>
      <c r="P8" s="38">
        <f>(O8*N8)</f>
        <v>2.9820407798911384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0.10553971600000001</v>
      </c>
      <c r="O9" s="38">
        <f>($C$16*Params!K11)</f>
        <v>51.373004709192095</v>
      </c>
      <c r="P9" s="38">
        <f>(O9*N9)</f>
        <v>5.4218923270747963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12.330478632441654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3.1899658250157788E-2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83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4.8267499999999997</v>
      </c>
      <c r="S13" s="38">
        <f>(T13/R13)</f>
        <v>19.34793121665717</v>
      </c>
      <c r="T13" s="38">
        <f>(D17+11.97*B21)</f>
        <v>93.387626999999995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9.3587718654657592E-2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2.6598500000000001E-2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8.0171132533104691E-3</v>
      </c>
      <c r="N15" s="24">
        <f>(2*($R$13+N14+$R$21)/5-N14)</f>
        <v>1.777101048</v>
      </c>
      <c r="O15" s="38">
        <f>($S$13*Params!K9)</f>
        <v>30.956689946651473</v>
      </c>
      <c r="P15" s="38">
        <f>(O15*N15)</f>
        <v>55.013166146805396</v>
      </c>
      <c r="R15" s="24">
        <f>B19+B22</f>
        <v>1.39927</v>
      </c>
      <c r="S15" s="38">
        <f>(T15/R15)</f>
        <v>19.86739942970263</v>
      </c>
      <c r="T15" s="38">
        <f>(D19+12.6*B22)</f>
        <v>27.799855999999998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1.029000524</v>
      </c>
      <c r="O16" s="38">
        <f>($S$13*Params!K10)</f>
        <v>42.565448676645779</v>
      </c>
      <c r="P16" s="38">
        <f>(O16*N16)</f>
        <v>43.79986899256361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5.1076499999999996</v>
      </c>
      <c r="C17" s="38">
        <f>(D17/B17)</f>
        <v>18.942174972834867</v>
      </c>
      <c r="D17" s="38">
        <v>96.75</v>
      </c>
      <c r="E17" t="s">
        <v>10</v>
      </c>
      <c r="N17" s="24">
        <f>(($R$13+N14+$R$21)/5)</f>
        <v>1.029000524</v>
      </c>
      <c r="O17" s="38">
        <f>($S$13*Params!K11)</f>
        <v>77.391724866628678</v>
      </c>
      <c r="P17" s="38">
        <f>(O17*N17)</f>
        <v>79.636125441024731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0">
        <v>2.6598500000000001E-2</v>
      </c>
      <c r="C18" s="40">
        <v>0</v>
      </c>
      <c r="D18" s="26">
        <v>0</v>
      </c>
      <c r="E18" s="39">
        <f>B18*J3</f>
        <v>0.40403955236515332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1.47071</v>
      </c>
      <c r="C19" s="38">
        <f t="shared" ref="C19:C31" si="1">(D19/B19)</f>
        <v>19.514384208987497</v>
      </c>
      <c r="D19" s="38">
        <v>28.7</v>
      </c>
      <c r="E19" t="s">
        <v>15</v>
      </c>
      <c r="O19" s="38"/>
      <c r="P19" s="38">
        <f>(SUM(P14:P17))</f>
        <v>182.65136058039371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84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(B28+B25+B29+B30)</f>
        <v>2.2895579999999999E-2</v>
      </c>
      <c r="S20" s="38">
        <v>0</v>
      </c>
      <c r="T20" s="38">
        <f>(D28+D25+D29+D30)</f>
        <v>-0.24566200000000027</v>
      </c>
      <c r="U20" t="s">
        <v>85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</f>
        <v>3.7352620000000003E-2</v>
      </c>
      <c r="S21" s="38">
        <v>0</v>
      </c>
      <c r="T21" s="38">
        <f>D31+D24</f>
        <v>-0.32399999999999984</v>
      </c>
      <c r="U21" t="s">
        <v>86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S23" s="38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0.51939777200000004</v>
      </c>
      <c r="O24" s="38">
        <f>($S$15*Params!K9)</f>
        <v>31.787839087524208</v>
      </c>
      <c r="P24" s="38">
        <f>(O24*N24)</f>
        <v>16.510532798754589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0.29541888599999999</v>
      </c>
      <c r="O25" s="38">
        <f>($S$15*Params!K10)</f>
        <v>43.708278745345787</v>
      </c>
      <c r="P25" s="38">
        <f>(O25*N25)</f>
        <v>12.912251015927529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0.29541888599999999</v>
      </c>
      <c r="O26" s="38">
        <f>($S$15*Params!K11)</f>
        <v>79.469597718810519</v>
      </c>
      <c r="P26" s="38">
        <f>(O26*N26)</f>
        <v>23.476820028959143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54.062707363641266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C32" s="38"/>
      <c r="D32" s="38"/>
      <c r="E32" s="38"/>
      <c r="S32" s="38"/>
      <c r="T32" s="38"/>
    </row>
    <row r="33" spans="2:23">
      <c r="B33" s="24">
        <f>(SUM(B5:B32))</f>
        <v>7.0750293510000004</v>
      </c>
      <c r="C33" s="38"/>
      <c r="D33" s="38">
        <f>(SUM(D5:D32))</f>
        <v>182.36189314999999</v>
      </c>
      <c r="E33" s="38"/>
      <c r="F33" t="s">
        <v>9</v>
      </c>
      <c r="G33" s="38">
        <f>(D33/B33)</f>
        <v>25.775425670032668</v>
      </c>
      <c r="S33" s="38"/>
      <c r="T33" s="38"/>
    </row>
    <row r="34" spans="2:23">
      <c r="M34" s="24"/>
      <c r="S34" s="38"/>
      <c r="T34" s="38"/>
    </row>
    <row r="35" spans="2:23">
      <c r="R35" s="24">
        <f>(SUM(R5:R34))</f>
        <v>7.0750293510000004</v>
      </c>
      <c r="S35" s="38"/>
      <c r="T35" s="38">
        <f>(SUM(T5:T34))</f>
        <v>182.35953358999998</v>
      </c>
      <c r="V35" t="s">
        <v>9</v>
      </c>
      <c r="W35" s="38">
        <f>(T35/R35)</f>
        <v>25.775092164702453</v>
      </c>
    </row>
    <row r="37" spans="2:23">
      <c r="N37" s="24"/>
    </row>
  </sheetData>
  <conditionalFormatting sqref="C5 C8:C10 S5">
    <cfRule type="cellIs" dxfId="81" priority="85" operator="lessThan">
      <formula>$J$3</formula>
    </cfRule>
    <cfRule type="cellIs" dxfId="80" priority="86" operator="greaterThan">
      <formula>$J$3</formula>
    </cfRule>
  </conditionalFormatting>
  <conditionalFormatting sqref="C16:C17">
    <cfRule type="cellIs" dxfId="79" priority="69" operator="lessThan">
      <formula>$J$3</formula>
    </cfRule>
    <cfRule type="cellIs" dxfId="78" priority="70" operator="greaterThan">
      <formula>$J$3</formula>
    </cfRule>
    <cfRule type="cellIs" dxfId="77" priority="71" operator="lessThan">
      <formula>$J$3</formula>
    </cfRule>
    <cfRule type="cellIs" dxfId="76" priority="72" operator="greaterThan">
      <formula>$J$3</formula>
    </cfRule>
    <cfRule type="cellIs" dxfId="75" priority="79" operator="lessThan">
      <formula>$J$3</formula>
    </cfRule>
    <cfRule type="cellIs" dxfId="74" priority="80" operator="greaterThan">
      <formula>$J$3</formula>
    </cfRule>
  </conditionalFormatting>
  <conditionalFormatting sqref="C19:C20 G33">
    <cfRule type="cellIs" dxfId="73" priority="63" operator="lessThan">
      <formula>$J$3</formula>
    </cfRule>
    <cfRule type="cellIs" dxfId="72" priority="64" operator="greaterThan">
      <formula>$J$3</formula>
    </cfRule>
    <cfRule type="cellIs" dxfId="71" priority="65" operator="lessThan">
      <formula>$J$3</formula>
    </cfRule>
    <cfRule type="cellIs" dxfId="70" priority="66" operator="greaterThan">
      <formula>$J$3</formula>
    </cfRule>
    <cfRule type="cellIs" dxfId="69" priority="67" operator="lessThan">
      <formula>$J$3</formula>
    </cfRule>
    <cfRule type="cellIs" dxfId="68" priority="68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</conditionalFormatting>
  <conditionalFormatting sqref="C27:C28 C30:C31">
    <cfRule type="cellIs" dxfId="65" priority="55" operator="lessThan">
      <formula>$J$3</formula>
    </cfRule>
    <cfRule type="cellIs" dxfId="64" priority="56" operator="greaterThan">
      <formula>$J$3</formula>
    </cfRule>
    <cfRule type="cellIs" dxfId="63" priority="57" operator="lessThan">
      <formula>$J$3</formula>
    </cfRule>
    <cfRule type="cellIs" dxfId="62" priority="58" operator="greaterThan">
      <formula>$J$3</formula>
    </cfRule>
    <cfRule type="cellIs" dxfId="61" priority="59" operator="lessThan">
      <formula>$J$3</formula>
    </cfRule>
    <cfRule type="cellIs" dxfId="60" priority="60" operator="greaterThan">
      <formula>$J$3</formula>
    </cfRule>
    <cfRule type="cellIs" dxfId="59" priority="61" operator="lessThan">
      <formula>$J$3</formula>
    </cfRule>
    <cfRule type="cellIs" dxfId="58" priority="62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</conditionalFormatting>
  <conditionalFormatting sqref="O7:O9 O15:O17 O24:O26 S12:S13 S15:S16">
    <cfRule type="cellIs" dxfId="55" priority="49" operator="lessThan">
      <formula>$J$3</formula>
    </cfRule>
    <cfRule type="cellIs" dxfId="54" priority="50" operator="greaterThan">
      <formula>$J$3</formula>
    </cfRule>
    <cfRule type="cellIs" dxfId="53" priority="51" operator="lessThan">
      <formula>$J$3</formula>
    </cfRule>
    <cfRule type="cellIs" dxfId="52" priority="52" operator="greaterThan">
      <formula>$J$3</formula>
    </cfRule>
  </conditionalFormatting>
  <conditionalFormatting sqref="O3">
    <cfRule type="cellIs" dxfId="51" priority="31" operator="greaterThan">
      <formula>$J$3</formula>
    </cfRule>
    <cfRule type="cellIs" dxfId="50" priority="32" operator="lessThan">
      <formula>$J$3</formula>
    </cfRule>
  </conditionalFormatting>
  <conditionalFormatting sqref="W35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7" sqref="Q7: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6.9704966533280954E-2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0.64437913508941225</v>
      </c>
      <c r="K4" s="4">
        <f>(J4/D13-1)</f>
        <v>0.28875827017882449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0.14312072000000001</v>
      </c>
      <c r="C6" s="40">
        <v>0</v>
      </c>
      <c r="D6" s="26">
        <f>(B6*C6)</f>
        <v>0</v>
      </c>
      <c r="E6" s="38">
        <f>(B6*J3)</f>
        <v>9.9762249978190744E-3</v>
      </c>
      <c r="G6" s="38"/>
      <c r="M6" t="s">
        <v>11</v>
      </c>
      <c r="N6" s="19">
        <f>($B$13/5)</f>
        <v>1.8488758180000002</v>
      </c>
      <c r="O6" s="35">
        <f>($C$5*Params!K8)</f>
        <v>7.1418695478700056E-2</v>
      </c>
      <c r="P6" s="38">
        <f>(O6*N6)</f>
        <v>0.13204429902367448</v>
      </c>
      <c r="Q6" s="38">
        <f>N6*$J$3</f>
        <v>0.12887582701788247</v>
      </c>
    </row>
    <row r="7" spans="2:17">
      <c r="C7" s="38"/>
      <c r="D7" s="38"/>
      <c r="E7" s="38"/>
      <c r="G7" s="38"/>
      <c r="N7" s="19">
        <f>($B$13/5)</f>
        <v>1.8488758180000002</v>
      </c>
      <c r="O7" s="35">
        <f>($C$5*Params!K9)</f>
        <v>8.7899932896861599E-2</v>
      </c>
      <c r="P7" s="38">
        <f>(O7*N7)</f>
        <v>0.16251606033683011</v>
      </c>
      <c r="Q7" s="38"/>
    </row>
    <row r="8" spans="2:17">
      <c r="C8" s="38"/>
      <c r="D8" s="38"/>
      <c r="E8" s="38"/>
      <c r="G8" s="38"/>
      <c r="N8" s="19">
        <f>($B$13/5)</f>
        <v>1.8488758180000002</v>
      </c>
      <c r="O8" s="35">
        <f>($C$5*Params!K10)</f>
        <v>0.12086240773318471</v>
      </c>
      <c r="P8" s="38">
        <f>(O8*N8)</f>
        <v>0.22345958296314145</v>
      </c>
      <c r="Q8" s="38"/>
    </row>
    <row r="9" spans="2:17">
      <c r="C9" s="38"/>
      <c r="D9" s="38"/>
      <c r="E9" s="38"/>
      <c r="G9" s="38"/>
      <c r="N9" s="19">
        <f>($B$13/5)</f>
        <v>1.8488758180000002</v>
      </c>
      <c r="O9" s="35">
        <f>($C$5*Params!K11)</f>
        <v>0.219749832242154</v>
      </c>
      <c r="P9" s="38">
        <f>(O9*N9)</f>
        <v>0.40629015084207531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0.92431009316572132</v>
      </c>
    </row>
    <row r="12" spans="2:17">
      <c r="C12" s="38"/>
      <c r="D12" s="38"/>
      <c r="E12" s="38"/>
      <c r="F12" t="s">
        <v>9</v>
      </c>
      <c r="G12" s="38">
        <f>(D13/B13)</f>
        <v>5.4086920833965928E-2</v>
      </c>
    </row>
    <row r="13" spans="2:17">
      <c r="B13">
        <f>(SUM(B5:B12))</f>
        <v>9.2443790900000007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41" priority="7" operator="lessThan">
      <formula>$J$3</formula>
    </cfRule>
    <cfRule type="cellIs" dxfId="40" priority="8" operator="greaterThan">
      <formula>$J$3</formula>
    </cfRule>
  </conditionalFormatting>
  <conditionalFormatting sqref="O6:O9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1" operator="lessThan">
      <formula>$J$3</formula>
    </cfRule>
    <cfRule type="cellIs" dxfId="3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8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(C228)</f>
        <v>62.31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4.0646624820989432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5.8582498378551096</v>
      </c>
      <c r="K4" s="4">
        <f>(J4/D10-1)</f>
        <v>-0.28990911056301705</v>
      </c>
      <c r="O4" s="38"/>
      <c r="P4" s="38"/>
    </row>
    <row r="5" spans="2:16">
      <c r="B5" s="1">
        <v>1.44085</v>
      </c>
      <c r="C5" s="38">
        <f>(D5/B5)</f>
        <v>5.7257868619217822</v>
      </c>
      <c r="D5" s="38">
        <v>8.25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4.1354E-4</v>
      </c>
      <c r="C6" s="40">
        <v>0</v>
      </c>
      <c r="D6" s="40">
        <f>(B6*C6)</f>
        <v>0</v>
      </c>
      <c r="E6" s="38">
        <f>(B6*J3)</f>
        <v>1.6809005228471969E-3</v>
      </c>
      <c r="G6" s="38"/>
      <c r="H6" s="38"/>
      <c r="J6" s="38"/>
      <c r="M6" t="s">
        <v>11</v>
      </c>
      <c r="N6" s="1">
        <f>($B$5/5)</f>
        <v>0.28816999999999998</v>
      </c>
      <c r="O6" s="35">
        <f>($C$5*Params!K8)</f>
        <v>7.4435229204983173</v>
      </c>
      <c r="P6" s="38">
        <f>(O6*N6)</f>
        <v>2.145</v>
      </c>
    </row>
    <row r="7" spans="2:16">
      <c r="C7" s="38"/>
      <c r="D7" s="38"/>
      <c r="E7" s="38"/>
      <c r="G7" s="38"/>
      <c r="H7" s="38"/>
      <c r="J7" s="38"/>
      <c r="N7" s="1">
        <f>($B$5/5)</f>
        <v>0.28816999999999998</v>
      </c>
      <c r="O7" s="35">
        <f>($C$5*Params!K9)</f>
        <v>9.1612589790748515</v>
      </c>
      <c r="P7" s="38">
        <f>(O7*N7)</f>
        <v>2.6399999999999997</v>
      </c>
    </row>
    <row r="8" spans="2:16">
      <c r="C8" s="38"/>
      <c r="D8" s="38"/>
      <c r="E8" s="38"/>
      <c r="G8" s="38"/>
      <c r="H8" s="38"/>
      <c r="J8" s="38"/>
      <c r="N8" s="1">
        <f>($B$5/5)</f>
        <v>0.28816999999999998</v>
      </c>
      <c r="O8" s="35">
        <f>($C$5*Params!K10)</f>
        <v>12.596731096227922</v>
      </c>
      <c r="P8" s="38">
        <f>(O8*N8)</f>
        <v>3.63</v>
      </c>
    </row>
    <row r="9" spans="2:16">
      <c r="C9" s="38"/>
      <c r="D9" s="38"/>
      <c r="E9" s="38"/>
      <c r="F9" t="s">
        <v>9</v>
      </c>
      <c r="G9" s="38">
        <f>(D10/B10)</f>
        <v>5.724143968840008</v>
      </c>
      <c r="H9" s="38"/>
      <c r="J9" s="38"/>
      <c r="N9" s="1">
        <f>($B$5/5)</f>
        <v>0.28816999999999998</v>
      </c>
      <c r="O9" s="35">
        <f>($C$5*Params!K11)</f>
        <v>22.903147447687129</v>
      </c>
      <c r="P9" s="38">
        <f>(O9*N9)</f>
        <v>6.6</v>
      </c>
    </row>
    <row r="10" spans="2:16">
      <c r="B10" s="1">
        <f>(SUM(B5:B9))</f>
        <v>1.44126354</v>
      </c>
      <c r="C10" s="38"/>
      <c r="D10" s="38">
        <f>(SUM(D5:D9))</f>
        <v>8.25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15.014999999999999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5" priority="5" operator="lessThan">
      <formula>$J$3</formula>
    </cfRule>
    <cfRule type="cellIs" dxfId="34" priority="6" operator="greaterThan">
      <formula>$J$3</formula>
    </cfRule>
  </conditionalFormatting>
  <conditionalFormatting sqref="O6:O9">
    <cfRule type="cellIs" dxfId="33" priority="3" operator="lessThan">
      <formula>$J$3</formula>
    </cfRule>
    <cfRule type="cellIs" dxfId="32" priority="4" operator="greaterThan">
      <formula>$J$3</formula>
    </cfRule>
  </conditionalFormatting>
  <conditionalFormatting sqref="G9"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V30" sqref="V3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0.51558845647737195</v>
      </c>
      <c r="M3" t="s">
        <v>4</v>
      </c>
      <c r="N3" s="19">
        <f>(INDEX(N5:N13,MATCH(MAX(O6),O5:O13,0))/0.9)</f>
        <v>11.955555555555556</v>
      </c>
      <c r="O3" s="39">
        <f>(MAX(O6)*0.85)</f>
        <v>0.39914430817843866</v>
      </c>
      <c r="P3" s="38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22.324416601507853</v>
      </c>
      <c r="K4" s="4">
        <f>(J4/D13-1)</f>
        <v>0.58923155381721393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54.058906950000001</v>
      </c>
      <c r="S5" s="38">
        <f>(T5/R5)</f>
        <v>0.35331827958833711</v>
      </c>
      <c r="T5" s="38">
        <f>(SUM(D5:D7))</f>
        <v>19.100000000000001</v>
      </c>
    </row>
    <row r="6" spans="2:20">
      <c r="B6" s="2">
        <v>0.48389547999999999</v>
      </c>
      <c r="C6" s="40">
        <v>0</v>
      </c>
      <c r="D6" s="40">
        <f>(B6*C6)</f>
        <v>0</v>
      </c>
      <c r="E6" s="38">
        <f>(B6*J3)</f>
        <v>0.249490923629577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10.863562780000001</v>
      </c>
      <c r="O7" s="38">
        <f>($C$5*Params!K9)</f>
        <v>0.57106869288593487</v>
      </c>
      <c r="P7" s="38">
        <f>(O7*N7)</f>
        <v>6.2038405968588934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10.81178139</v>
      </c>
      <c r="O8" s="38">
        <f>($C$5*Params!K10)</f>
        <v>0.78521945271816052</v>
      </c>
      <c r="P8" s="38">
        <f>(O8*N8)</f>
        <v>8.4896210659641937</v>
      </c>
    </row>
    <row r="9" spans="2:20">
      <c r="N9" s="19">
        <f>(SUM(B$5:B$7)/5)</f>
        <v>10.81178139</v>
      </c>
      <c r="O9" s="38">
        <f>($C$5*Params!K11)</f>
        <v>1.4276717322148371</v>
      </c>
      <c r="P9" s="38">
        <f>(O9*N9)</f>
        <v>15.43567466538944</v>
      </c>
    </row>
    <row r="11" spans="2:20">
      <c r="P11" s="38">
        <f>(SUM(P6:P9))</f>
        <v>35.181833688212528</v>
      </c>
    </row>
    <row r="12" spans="2:20">
      <c r="F12" t="s">
        <v>9</v>
      </c>
      <c r="G12" s="38">
        <f>(D13/B13)</f>
        <v>0.32442626452952528</v>
      </c>
    </row>
    <row r="13" spans="2:20">
      <c r="B13">
        <f>(SUM(B5:B12))</f>
        <v>43.298906950000003</v>
      </c>
      <c r="D13" s="38">
        <f>(SUM(D5:D12))</f>
        <v>14.047302640000002</v>
      </c>
    </row>
    <row r="17" spans="18:20">
      <c r="R17">
        <f>(SUM(R5:R16))</f>
        <v>43.298906950000003</v>
      </c>
      <c r="T17" s="38">
        <f>(SUM(T5:T16))</f>
        <v>14.047302640000002</v>
      </c>
    </row>
  </sheetData>
  <conditionalFormatting sqref="C5 C7 G12 O7:O9 S5">
    <cfRule type="cellIs" dxfId="29" priority="11" operator="lessThan">
      <formula>$J$3</formula>
    </cfRule>
    <cfRule type="cellIs" dxfId="28" priority="12" operator="greaterThan">
      <formula>$J$3</formula>
    </cfRule>
  </conditionalFormatting>
  <conditionalFormatting sqref="O3">
    <cfRule type="cellIs" dxfId="27" priority="5" operator="greaterThan">
      <formula>$J$3</formula>
    </cfRule>
    <cfRule type="cellIs" dxfId="2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9.7109566338552819E-2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3.9703233301366909</v>
      </c>
      <c r="K4" s="4">
        <f>(J4/D11-1)</f>
        <v>1.3460914051037167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tabSelected="1"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0.7925381403411087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2.3176343420241707</v>
      </c>
      <c r="K4" s="4">
        <f>(J4/D10-1)</f>
        <v>-0.22745521932527646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3.0470586940043302E-3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1.8264069811861954</v>
      </c>
      <c r="K4" s="4">
        <f>(J4/D10-1)</f>
        <v>-0.39119767293793484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L27" sqref="L27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0.17363332254716329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1.0563504077124322</v>
      </c>
      <c r="K4" s="4">
        <f>(J4/D9-1)</f>
        <v>-0.96340696791086489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5" priority="9" operator="lessThan">
      <formula>$J$3</formula>
    </cfRule>
    <cfRule type="cellIs" dxfId="234" priority="10" operator="greaterThan">
      <formula>$J$3</formula>
    </cfRule>
  </conditionalFormatting>
  <conditionalFormatting sqref="O11:O14">
    <cfRule type="cellIs" dxfId="233" priority="7" operator="lessThan">
      <formula>$J$3</formula>
    </cfRule>
    <cfRule type="cellIs" dxfId="232" priority="8" operator="greaterThan">
      <formula>$J$3</formula>
    </cfRule>
  </conditionalFormatting>
  <conditionalFormatting sqref="O20:O23">
    <cfRule type="cellIs" dxfId="231" priority="5" operator="lessThan">
      <formula>$J$3</formula>
    </cfRule>
    <cfRule type="cellIs" dxfId="230" priority="6" operator="greaterThan">
      <formula>$J$3</formula>
    </cfRule>
  </conditionalFormatting>
  <conditionalFormatting sqref="O29:O32">
    <cfRule type="cellIs" dxfId="229" priority="3" operator="lessThan">
      <formula>$J$3</formula>
    </cfRule>
    <cfRule type="cellIs" dxfId="228" priority="4" operator="greaterThan">
      <formula>$J$3</formula>
    </cfRule>
  </conditionalFormatting>
  <conditionalFormatting sqref="N6">
    <cfRule type="cellIs" dxfId="227" priority="1" operator="lessThan">
      <formula>$J$3</formula>
    </cfRule>
    <cfRule type="cellIs" dxfId="22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C29" sqref="C29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542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1.550580347607371E-3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0.88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5.4887230889340763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-42.303999999999931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-263.46527691106587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-187.19527691106586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1">
        <v>4</v>
      </c>
      <c r="D30" s="42">
        <v>0.01</v>
      </c>
      <c r="E30" s="42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542</v>
      </c>
      <c r="E34">
        <f t="shared" ref="E34:E40" si="1">C34*D34</f>
        <v>3389.6679999999997</v>
      </c>
      <c r="F34" s="29">
        <f t="shared" ref="F34:F40" si="2">E34*$N$5</f>
        <v>2982.9078399999999</v>
      </c>
      <c r="G34" s="38">
        <v>3.5</v>
      </c>
      <c r="H34" s="30">
        <f>G50</f>
        <v>1.5615590400000001</v>
      </c>
      <c r="I34" s="39">
        <f t="shared" ref="I34:I41" si="3">((F34-H34*D34)*$J$3-G34)</f>
        <v>-0.1871186599785748</v>
      </c>
      <c r="J34">
        <v>1</v>
      </c>
      <c r="K34" s="43">
        <f t="shared" ref="K34:K40" si="4">I34*J34</f>
        <v>-0.1871186599785748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542</v>
      </c>
      <c r="E35">
        <f t="shared" si="1"/>
        <v>523.572</v>
      </c>
      <c r="F35" s="29">
        <f t="shared" si="2"/>
        <v>460.74336</v>
      </c>
      <c r="G35" s="38">
        <v>3.5</v>
      </c>
      <c r="H35" s="30">
        <f>G51</f>
        <v>0.21337130135885166</v>
      </c>
      <c r="I35" s="39">
        <f t="shared" si="3"/>
        <v>-2.9649007465671131</v>
      </c>
      <c r="J35">
        <v>1</v>
      </c>
      <c r="K35" s="43">
        <f t="shared" si="4"/>
        <v>-2.9649007465671131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542</v>
      </c>
      <c r="E36">
        <f t="shared" si="1"/>
        <v>461.24199999999996</v>
      </c>
      <c r="F36" s="29">
        <f t="shared" si="2"/>
        <v>405.89295999999996</v>
      </c>
      <c r="G36" s="38">
        <v>3.5</v>
      </c>
      <c r="H36" s="30">
        <f>G52</f>
        <v>0.18479602162162162</v>
      </c>
      <c r="I36" s="39">
        <f t="shared" si="3"/>
        <v>-3.0259356180496573</v>
      </c>
      <c r="J36">
        <v>1</v>
      </c>
      <c r="K36" s="43">
        <f t="shared" si="4"/>
        <v>-3.0259356180496573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508</v>
      </c>
      <c r="E37">
        <f t="shared" si="1"/>
        <v>432.30799999999999</v>
      </c>
      <c r="F37" s="29">
        <f t="shared" si="2"/>
        <v>380.43104</v>
      </c>
      <c r="G37" s="38">
        <v>0</v>
      </c>
      <c r="H37" s="30">
        <f>G52</f>
        <v>0.18479602162162162</v>
      </c>
      <c r="I37" s="39">
        <f t="shared" si="3"/>
        <v>0.44432602588703685</v>
      </c>
      <c r="J37">
        <v>3</v>
      </c>
      <c r="K37" s="43">
        <f t="shared" si="4"/>
        <v>1.3329780776611106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450</v>
      </c>
      <c r="E38">
        <f t="shared" si="1"/>
        <v>382.95</v>
      </c>
      <c r="F38" s="29">
        <f t="shared" si="2"/>
        <v>336.99599999999998</v>
      </c>
      <c r="G38" s="38">
        <v>0</v>
      </c>
      <c r="H38" s="30">
        <f>H37</f>
        <v>0.18479602162162162</v>
      </c>
      <c r="I38" s="39">
        <f t="shared" si="3"/>
        <v>0.39359588907316262</v>
      </c>
      <c r="J38">
        <v>1</v>
      </c>
      <c r="K38" s="43">
        <f t="shared" si="4"/>
        <v>0.39359588907316262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402</v>
      </c>
      <c r="E39">
        <f t="shared" si="1"/>
        <v>342.10199999999998</v>
      </c>
      <c r="F39" s="29">
        <f t="shared" si="2"/>
        <v>301.04975999999999</v>
      </c>
      <c r="G39" s="38">
        <v>0</v>
      </c>
      <c r="H39" s="30">
        <f>H38</f>
        <v>0.18479602162162162</v>
      </c>
      <c r="I39" s="39">
        <f t="shared" si="3"/>
        <v>0.35161232757202521</v>
      </c>
      <c r="J39">
        <v>1</v>
      </c>
      <c r="K39" s="43">
        <f t="shared" si="4"/>
        <v>0.35161232757202521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59.505600000000001</v>
      </c>
      <c r="G40" s="44">
        <v>0</v>
      </c>
      <c r="H40" s="32">
        <f>H35</f>
        <v>0.21337130135885166</v>
      </c>
      <c r="I40" s="44">
        <f t="shared" si="3"/>
        <v>6.9108759668454006E-2</v>
      </c>
      <c r="J40" s="16">
        <v>1</v>
      </c>
      <c r="K40" s="45">
        <f t="shared" si="4"/>
        <v>6.9108759668454006E-2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268</v>
      </c>
      <c r="E41">
        <f>(C41*D41)</f>
        <v>228.06799999999998</v>
      </c>
      <c r="F41" s="29">
        <f>(E41*$N$5)</f>
        <v>200.69983999999999</v>
      </c>
      <c r="G41" s="38">
        <v>0</v>
      </c>
      <c r="H41" s="29">
        <f>(H37)</f>
        <v>0.18479602162162162</v>
      </c>
      <c r="I41" s="39">
        <f t="shared" si="3"/>
        <v>0.23440821838135018</v>
      </c>
      <c r="J41">
        <v>1</v>
      </c>
      <c r="K41" s="43">
        <f>(I41*J41)</f>
        <v>0.23440821838135018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3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0.68237108893407772</v>
      </c>
      <c r="P46">
        <f>(O46/J3)</f>
        <v>440.07464043189572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6">
        <v>1.1399999999999999</v>
      </c>
      <c r="E59" s="47">
        <f t="shared" ref="E59:E66" si="6">D59/C59</f>
        <v>1.0039857823396298E-2</v>
      </c>
    </row>
    <row r="60" spans="2:7">
      <c r="B60" s="8"/>
      <c r="C60" s="19">
        <v>130.53974622000001</v>
      </c>
      <c r="D60" s="46">
        <v>1.1793119999999999</v>
      </c>
      <c r="E60" s="47">
        <f t="shared" si="6"/>
        <v>9.0341220520874389E-3</v>
      </c>
    </row>
    <row r="61" spans="2:7">
      <c r="B61" s="8"/>
      <c r="C61" s="19">
        <v>167.40487411999999</v>
      </c>
      <c r="D61" s="46">
        <v>1.05481</v>
      </c>
      <c r="E61" s="47">
        <f t="shared" si="6"/>
        <v>6.3009515436443378E-3</v>
      </c>
    </row>
    <row r="62" spans="2:7">
      <c r="B62" s="8"/>
      <c r="C62" s="19">
        <v>167.96827999999999</v>
      </c>
      <c r="D62" s="46">
        <f>1.0512-0.00017</f>
        <v>1.0510299999999999</v>
      </c>
      <c r="E62" s="47">
        <f t="shared" si="6"/>
        <v>6.2573123925541178E-3</v>
      </c>
    </row>
    <row r="63" spans="2:7">
      <c r="B63" s="8"/>
      <c r="C63" s="19">
        <v>123.66</v>
      </c>
      <c r="D63" s="46">
        <v>1.0489999999999999</v>
      </c>
      <c r="E63" s="47">
        <f t="shared" si="6"/>
        <v>8.4829370855571719E-3</v>
      </c>
    </row>
    <row r="64" spans="2:7">
      <c r="B64" s="8"/>
      <c r="C64" s="19">
        <v>149.5</v>
      </c>
      <c r="D64" s="46">
        <v>1.17</v>
      </c>
      <c r="E64" s="47">
        <f t="shared" si="6"/>
        <v>7.826086956521738E-3</v>
      </c>
    </row>
    <row r="65" spans="2:5">
      <c r="B65" s="8"/>
      <c r="C65" s="19">
        <v>170.62</v>
      </c>
      <c r="D65" s="46">
        <v>1.1579999999999999</v>
      </c>
      <c r="E65" s="47">
        <f t="shared" si="6"/>
        <v>6.7870120736138783E-3</v>
      </c>
    </row>
    <row r="66" spans="2:5">
      <c r="B66" s="8"/>
      <c r="C66" s="19">
        <v>192.66</v>
      </c>
      <c r="D66" s="46">
        <v>1.0900000000000001</v>
      </c>
      <c r="E66" s="47">
        <f t="shared" si="6"/>
        <v>5.6576352122910834E-3</v>
      </c>
    </row>
    <row r="67" spans="2:5">
      <c r="B67" s="8"/>
      <c r="C67" s="19">
        <v>257.33999999999997</v>
      </c>
      <c r="D67" s="46">
        <v>1.1299999999999999</v>
      </c>
      <c r="E67" s="47">
        <f t="shared" ref="E67:E72" si="7">(D67/C67)</f>
        <v>4.3910779513484108E-3</v>
      </c>
    </row>
    <row r="68" spans="2:5">
      <c r="B68" s="8"/>
      <c r="C68" s="19">
        <v>312.13</v>
      </c>
      <c r="D68" s="46">
        <v>0.82</v>
      </c>
      <c r="E68" s="47">
        <f t="shared" si="7"/>
        <v>2.6271104988306155E-3</v>
      </c>
    </row>
    <row r="69" spans="2:5">
      <c r="B69" s="8"/>
      <c r="C69" s="19">
        <v>352.46100000000001</v>
      </c>
      <c r="D69" s="46">
        <v>1.2074</v>
      </c>
      <c r="E69" s="47">
        <f t="shared" si="7"/>
        <v>3.4256272325165053E-3</v>
      </c>
    </row>
    <row r="70" spans="2:5">
      <c r="B70" s="8"/>
      <c r="C70" s="19">
        <v>263.04000000000002</v>
      </c>
      <c r="D70" s="46">
        <v>1.0588</v>
      </c>
      <c r="E70" s="47">
        <f t="shared" si="7"/>
        <v>4.0252433090024325E-3</v>
      </c>
    </row>
    <row r="71" spans="2:5">
      <c r="B71" s="8"/>
      <c r="C71" s="19">
        <v>359.00495999999998</v>
      </c>
      <c r="D71" s="46">
        <v>1.1194999999999999</v>
      </c>
      <c r="E71" s="47">
        <f t="shared" si="7"/>
        <v>3.1183413176241355E-3</v>
      </c>
    </row>
    <row r="72" spans="2:5">
      <c r="B72" s="8"/>
      <c r="C72" s="19">
        <v>327.91</v>
      </c>
      <c r="D72" s="46">
        <v>1.0785</v>
      </c>
      <c r="E72" s="47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5" priority="17" operator="lessThan">
      <formula>$C$5</formula>
    </cfRule>
    <cfRule type="cellIs" dxfId="224" priority="18" operator="greaterThan">
      <formula>$C$5</formula>
    </cfRule>
  </conditionalFormatting>
  <conditionalFormatting sqref="L35">
    <cfRule type="cellIs" dxfId="223" priority="15" operator="lessThan">
      <formula>$C$6</formula>
    </cfRule>
    <cfRule type="cellIs" dxfId="222" priority="16" operator="greaterThan">
      <formula>$C$6</formula>
    </cfRule>
  </conditionalFormatting>
  <conditionalFormatting sqref="L39">
    <cfRule type="cellIs" dxfId="221" priority="13" operator="lessThan">
      <formula>$C$20</formula>
    </cfRule>
    <cfRule type="cellIs" dxfId="220" priority="14" operator="greaterThan">
      <formula>$C$20</formula>
    </cfRule>
  </conditionalFormatting>
  <conditionalFormatting sqref="L38">
    <cfRule type="cellIs" dxfId="219" priority="11" operator="lessThan">
      <formula>$C$19</formula>
    </cfRule>
    <cfRule type="cellIs" dxfId="218" priority="12" operator="greaterThan">
      <formula>$C$19</formula>
    </cfRule>
  </conditionalFormatting>
  <conditionalFormatting sqref="L37">
    <cfRule type="cellIs" dxfId="217" priority="9" operator="lessThan">
      <formula>$C$17</formula>
    </cfRule>
    <cfRule type="cellIs" dxfId="216" priority="10" operator="greaterThan">
      <formula>$C$17</formula>
    </cfRule>
  </conditionalFormatting>
  <conditionalFormatting sqref="L36">
    <cfRule type="cellIs" dxfId="215" priority="7" operator="lessThan">
      <formula>$C$7</formula>
    </cfRule>
    <cfRule type="cellIs" dxfId="214" priority="8" operator="greaterThan">
      <formula>$C$7</formula>
    </cfRule>
  </conditionalFormatting>
  <conditionalFormatting sqref="L41">
    <cfRule type="cellIs" dxfId="213" priority="5" operator="lessThan">
      <formula>$C$20</formula>
    </cfRule>
    <cfRule type="cellIs" dxfId="212" priority="6" operator="greaterThan">
      <formula>$C$20</formula>
    </cfRule>
  </conditionalFormatting>
  <conditionalFormatting sqref="L42">
    <cfRule type="cellIs" dxfId="211" priority="3" operator="lessThan">
      <formula>$C$20</formula>
    </cfRule>
    <cfRule type="cellIs" dxfId="210" priority="4" operator="greaterThan">
      <formula>$C$20</formula>
    </cfRule>
  </conditionalFormatting>
  <conditionalFormatting sqref="L43:L45">
    <cfRule type="cellIs" dxfId="209" priority="1" operator="lessThan">
      <formula>$C$7</formula>
    </cfRule>
    <cfRule type="cellIs" dxfId="208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(-60/3)</f>
        <v>-20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8" sqref="B8:D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0.27935335643940662</v>
      </c>
      <c r="N3" s="1"/>
      <c r="O3" s="48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23.531046737718253</v>
      </c>
      <c r="K4" s="4">
        <f>(J4/D13-1)</f>
        <v>-0.19386717227413197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0.37742688000000002</v>
      </c>
      <c r="C6" s="40">
        <v>0</v>
      </c>
      <c r="D6" s="40">
        <f>(B6*C6)</f>
        <v>0</v>
      </c>
      <c r="E6" s="38">
        <f>(B6*J3)</f>
        <v>0.10543546573845315</v>
      </c>
      <c r="M6" t="s">
        <v>11</v>
      </c>
      <c r="N6" s="1">
        <f>($B$13/5)</f>
        <v>16.846797215999999</v>
      </c>
      <c r="O6" s="38">
        <f>(C8)</f>
        <v>0.3241529704400295</v>
      </c>
      <c r="P6" s="38">
        <f>(O6*N6)</f>
        <v>5.4609393599672185</v>
      </c>
      <c r="R6" s="2">
        <f>(B6)</f>
        <v>0.37742688000000002</v>
      </c>
      <c r="S6" s="40">
        <v>0</v>
      </c>
      <c r="T6" s="40">
        <f>(D6)</f>
        <v>0</v>
      </c>
      <c r="U6" s="38">
        <f>(R6*J3)</f>
        <v>0.10543546573845315</v>
      </c>
    </row>
    <row r="7" spans="2:21">
      <c r="B7" s="1">
        <v>81.217169999999996</v>
      </c>
      <c r="C7" s="38">
        <f>(D7/B7)</f>
        <v>0.35337355389260672</v>
      </c>
      <c r="D7" s="38">
        <v>28.7</v>
      </c>
      <c r="E7" t="s">
        <v>15</v>
      </c>
      <c r="N7" s="1">
        <f>($B$13/5)</f>
        <v>16.846797215999999</v>
      </c>
      <c r="O7" s="38">
        <f>($S$7*Params!K9)</f>
        <v>0.56539768622817077</v>
      </c>
      <c r="P7" s="38">
        <f>(O7*N7)</f>
        <v>9.525140166281588</v>
      </c>
      <c r="R7" s="29">
        <f>B7</f>
        <v>81.217169999999996</v>
      </c>
      <c r="S7" s="38">
        <f>(T7/R7)</f>
        <v>0.35337355389260672</v>
      </c>
      <c r="T7" s="38">
        <f>D7</f>
        <v>28.7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16.846797215999999</v>
      </c>
      <c r="O8" s="38">
        <f>($C$7*Params!K10)</f>
        <v>0.77742181856373482</v>
      </c>
      <c r="P8" s="38">
        <f>(O8*N8)</f>
        <v>13.097067728637183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16.846797215999999</v>
      </c>
      <c r="O9" s="38">
        <f>($C$7*Params!K11)</f>
        <v>1.4134942155704269</v>
      </c>
      <c r="P9" s="38">
        <f>(O9*N9)</f>
        <v>23.81285041570397</v>
      </c>
    </row>
    <row r="10" spans="2:21">
      <c r="N10" s="1"/>
      <c r="P10" s="38"/>
    </row>
    <row r="11" spans="2:21">
      <c r="P11" s="38">
        <f>(SUM(P6:P9))</f>
        <v>51.895997670589963</v>
      </c>
    </row>
    <row r="12" spans="2:21">
      <c r="F12" t="s">
        <v>9</v>
      </c>
      <c r="G12" s="35">
        <f>(D13/B13)</f>
        <v>0.34653514511680816</v>
      </c>
    </row>
    <row r="13" spans="2:21">
      <c r="B13" s="1">
        <f>(SUM(B5:B12))</f>
        <v>84.233986079999994</v>
      </c>
      <c r="D13" s="38">
        <f>(SUM(D5:D12))</f>
        <v>29.190036589999998</v>
      </c>
      <c r="R13" s="1">
        <f>(SUM(R5:R12))</f>
        <v>84.233986079999994</v>
      </c>
      <c r="T13" s="38">
        <f>(SUM(T5:T12))</f>
        <v>29.190036589999998</v>
      </c>
    </row>
  </sheetData>
  <conditionalFormatting sqref="C5 C7 G12 S5 S7">
    <cfRule type="cellIs" dxfId="207" priority="15" operator="lessThan">
      <formula>$J$3</formula>
    </cfRule>
    <cfRule type="cellIs" dxfId="206" priority="16" operator="greaterThan">
      <formula>$J$3</formula>
    </cfRule>
  </conditionalFormatting>
  <conditionalFormatting sqref="O7:O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6">
    <cfRule type="cellIs" dxfId="203" priority="1" operator="lessThan">
      <formula>$J$3</formula>
    </cfRule>
    <cfRule type="cellIs" dxfId="202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0.1099016701452485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6.9258437808341133</v>
      </c>
      <c r="K4" s="4">
        <f>(J4/D14-1)</f>
        <v>-0.2951414979044984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0.27573941000000002</v>
      </c>
      <c r="C6" s="40">
        <v>0</v>
      </c>
      <c r="D6" s="40">
        <f>(B6*C6)</f>
        <v>0</v>
      </c>
      <c r="E6" s="38">
        <f>(B6*J3)</f>
        <v>3.0304221683865439E-2</v>
      </c>
      <c r="M6" t="s">
        <v>11</v>
      </c>
      <c r="N6" s="29">
        <f>($B$14/5)</f>
        <v>12.603709792</v>
      </c>
      <c r="O6" s="38">
        <f>($C$5*Params!K8)</f>
        <v>0.21940472231459929</v>
      </c>
      <c r="P6" s="38">
        <f>(O6*N6)</f>
        <v>2.7653134470475558</v>
      </c>
      <c r="R6" s="25">
        <f>(B6)</f>
        <v>0.27573941000000002</v>
      </c>
      <c r="S6" s="40">
        <v>0</v>
      </c>
      <c r="T6" s="40">
        <f>(D6)</f>
        <v>0</v>
      </c>
      <c r="U6" s="38">
        <f>(E6)</f>
        <v>3.0304221683865439E-2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12.603709792</v>
      </c>
      <c r="O7" s="38">
        <f>($C$5*Params!K9)</f>
        <v>0.27003658131027602</v>
      </c>
      <c r="P7" s="38">
        <f>(O7*N7)</f>
        <v>3.4034627040585304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12.603709792</v>
      </c>
      <c r="O8" s="38">
        <f>($C$5*Params!K10)</f>
        <v>0.37130029930162955</v>
      </c>
      <c r="P8" s="38">
        <f>(O8*N8)</f>
        <v>4.6797612180804791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12.603709792</v>
      </c>
      <c r="O9" s="38">
        <f>($C$5*Params!K11)</f>
        <v>0.67509145327569009</v>
      </c>
      <c r="P9" s="38">
        <f>(O9*N9)</f>
        <v>8.5086567601463265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19.357194129332893</v>
      </c>
    </row>
    <row r="13" spans="2:21">
      <c r="F13" t="s">
        <v>9</v>
      </c>
      <c r="G13" s="38">
        <f>(D14/B14)</f>
        <v>0.15592018797888865</v>
      </c>
    </row>
    <row r="14" spans="2:21">
      <c r="B14" s="29">
        <f>(SUM(B5:B13))</f>
        <v>63.018548960000004</v>
      </c>
      <c r="D14" s="38">
        <f>(SUM(D5:D13))</f>
        <v>9.8258639999999993</v>
      </c>
    </row>
    <row r="17" spans="11:20">
      <c r="N17" s="29"/>
      <c r="R17" s="29">
        <f>(SUM(R5:R16))</f>
        <v>63.018548960000004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1" priority="13" operator="lessThan">
      <formula>$J$3</formula>
    </cfRule>
    <cfRule type="cellIs" dxfId="200" priority="14" operator="greaterThan">
      <formula>$J$3</formula>
    </cfRule>
  </conditionalFormatting>
  <conditionalFormatting sqref="C9:C10">
    <cfRule type="cellIs" dxfId="199" priority="11" operator="lessThan">
      <formula>$J$3</formula>
    </cfRule>
    <cfRule type="cellIs" dxfId="198" priority="12" operator="greaterThan">
      <formula>$J$3</formula>
    </cfRule>
  </conditionalFormatting>
  <conditionalFormatting sqref="O6:O9">
    <cfRule type="cellIs" dxfId="197" priority="9" operator="lessThan">
      <formula>$J$3</formula>
    </cfRule>
    <cfRule type="cellIs" dxfId="196" priority="10" operator="greaterThan">
      <formula>$J$3</formula>
    </cfRule>
  </conditionalFormatting>
  <conditionalFormatting sqref="S5 S7:S8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O6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2023-06-12T07:40:39Z</dcterms:modified>
</cp:coreProperties>
</file>