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47" activeTab="7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EI" sheetId="27" r:id="rId27"/>
    <sheet name="SHIB" sheetId="28" r:id="rId28"/>
    <sheet name="SOL" sheetId="29" r:id="rId29"/>
    <sheet name="TRX" sheetId="30" r:id="rId30"/>
    <sheet name="UNI" sheetId="31" r:id="rId31"/>
    <sheet name="XRP" sheetId="32" r:id="rId32"/>
    <sheet name="GRT" sheetId="33" r:id="rId33"/>
    <sheet name="KAVA" sheetId="34" r:id="rId34"/>
    <sheet name="SHPING" sheetId="35" r:id="rId35"/>
    <sheet name="Params" sheetId="36" r:id="rId36"/>
  </sheets>
  <calcPr calcId="124519"/>
</workbook>
</file>

<file path=xl/calcChain.xml><?xml version="1.0" encoding="utf-8"?>
<calcChain xmlns="http://schemas.openxmlformats.org/spreadsheetml/2006/main">
  <c r="N26" i="36"/>
  <c r="N25"/>
  <c r="N24"/>
  <c r="N23"/>
  <c r="N27" s="1"/>
  <c r="O27" s="1"/>
  <c r="P27" s="1"/>
  <c r="N22"/>
  <c r="N19"/>
  <c r="N18"/>
  <c r="N17"/>
  <c r="N16"/>
  <c r="N20" s="1"/>
  <c r="O20" s="1"/>
  <c r="P20" s="1"/>
  <c r="N15"/>
  <c r="N12"/>
  <c r="N11"/>
  <c r="N10"/>
  <c r="N9"/>
  <c r="N13" s="1"/>
  <c r="O13" s="1"/>
  <c r="P13" s="1"/>
  <c r="N8"/>
  <c r="D10" i="35"/>
  <c r="B10"/>
  <c r="O9"/>
  <c r="P9" s="1"/>
  <c r="N9"/>
  <c r="G9"/>
  <c r="N8"/>
  <c r="N7"/>
  <c r="N6"/>
  <c r="C5"/>
  <c r="O7" s="1"/>
  <c r="P7" s="1"/>
  <c r="J4"/>
  <c r="K4" s="1"/>
  <c r="D10" i="34"/>
  <c r="G9" s="1"/>
  <c r="B10"/>
  <c r="N9"/>
  <c r="N8"/>
  <c r="O7"/>
  <c r="P7" s="1"/>
  <c r="N7"/>
  <c r="N6"/>
  <c r="C5"/>
  <c r="O9" s="1"/>
  <c r="K4"/>
  <c r="J4"/>
  <c r="B14" i="33"/>
  <c r="J4" s="1"/>
  <c r="C12"/>
  <c r="D11"/>
  <c r="C10"/>
  <c r="T9"/>
  <c r="S9"/>
  <c r="R9"/>
  <c r="C9"/>
  <c r="T8"/>
  <c r="R8"/>
  <c r="C8"/>
  <c r="T7"/>
  <c r="S7"/>
  <c r="R7"/>
  <c r="P7"/>
  <c r="N7"/>
  <c r="N9" s="1"/>
  <c r="C7"/>
  <c r="T6"/>
  <c r="R6"/>
  <c r="R33" s="1"/>
  <c r="N6"/>
  <c r="C6"/>
  <c r="S6" s="1"/>
  <c r="R5"/>
  <c r="C5"/>
  <c r="D14" i="32"/>
  <c r="B14"/>
  <c r="G13"/>
  <c r="C12"/>
  <c r="C11"/>
  <c r="C10"/>
  <c r="O9"/>
  <c r="P9" s="1"/>
  <c r="N9"/>
  <c r="C9"/>
  <c r="T8"/>
  <c r="S8"/>
  <c r="R8"/>
  <c r="N8"/>
  <c r="C8"/>
  <c r="T7"/>
  <c r="R7"/>
  <c r="N7"/>
  <c r="C7"/>
  <c r="T6"/>
  <c r="S6"/>
  <c r="R6"/>
  <c r="P6"/>
  <c r="O6"/>
  <c r="N6"/>
  <c r="E6"/>
  <c r="D6"/>
  <c r="T5"/>
  <c r="R5"/>
  <c r="R18" s="1"/>
  <c r="C5"/>
  <c r="O8" s="1"/>
  <c r="K4"/>
  <c r="J4"/>
  <c r="D10" i="31"/>
  <c r="B10"/>
  <c r="N9"/>
  <c r="N8"/>
  <c r="O7"/>
  <c r="P7" s="1"/>
  <c r="N7"/>
  <c r="N6"/>
  <c r="E6"/>
  <c r="D6"/>
  <c r="C5"/>
  <c r="O9" s="1"/>
  <c r="P9" s="1"/>
  <c r="J4"/>
  <c r="D13" i="30"/>
  <c r="B13"/>
  <c r="G12"/>
  <c r="Q9"/>
  <c r="N9"/>
  <c r="O8"/>
  <c r="P8" s="1"/>
  <c r="N8"/>
  <c r="Q7"/>
  <c r="N7"/>
  <c r="Q6"/>
  <c r="Q8" s="1"/>
  <c r="N6"/>
  <c r="E6"/>
  <c r="D6"/>
  <c r="C5"/>
  <c r="J4"/>
  <c r="K4" s="1"/>
  <c r="D41" i="29"/>
  <c r="C41"/>
  <c r="S28" s="1"/>
  <c r="C40"/>
  <c r="N39"/>
  <c r="D39"/>
  <c r="C39"/>
  <c r="D38"/>
  <c r="C38"/>
  <c r="O8" s="1"/>
  <c r="C37"/>
  <c r="C36"/>
  <c r="C35"/>
  <c r="C34"/>
  <c r="B34"/>
  <c r="D33"/>
  <c r="C32"/>
  <c r="C31"/>
  <c r="C30"/>
  <c r="D29"/>
  <c r="C29"/>
  <c r="T28"/>
  <c r="R28"/>
  <c r="B28"/>
  <c r="R27"/>
  <c r="C27"/>
  <c r="T26"/>
  <c r="B26"/>
  <c r="T25"/>
  <c r="R25"/>
  <c r="O25"/>
  <c r="P25" s="1"/>
  <c r="T27" s="1"/>
  <c r="N25"/>
  <c r="C25"/>
  <c r="T24"/>
  <c r="S24"/>
  <c r="R24"/>
  <c r="N24"/>
  <c r="C24"/>
  <c r="T23"/>
  <c r="R23"/>
  <c r="P23"/>
  <c r="N23"/>
  <c r="C23"/>
  <c r="T22"/>
  <c r="R22"/>
  <c r="C22"/>
  <c r="O23" s="1"/>
  <c r="T21"/>
  <c r="R21"/>
  <c r="V21" s="1"/>
  <c r="C21"/>
  <c r="C20"/>
  <c r="T19"/>
  <c r="C19"/>
  <c r="T18"/>
  <c r="R18"/>
  <c r="E18"/>
  <c r="T17"/>
  <c r="R17"/>
  <c r="C17"/>
  <c r="T16"/>
  <c r="R16"/>
  <c r="O16"/>
  <c r="N16"/>
  <c r="R26" s="1"/>
  <c r="C16"/>
  <c r="O9" s="1"/>
  <c r="T15"/>
  <c r="S15"/>
  <c r="R15"/>
  <c r="O15"/>
  <c r="N15"/>
  <c r="P15" s="1"/>
  <c r="B15"/>
  <c r="E15" s="1"/>
  <c r="T14"/>
  <c r="S14"/>
  <c r="R14"/>
  <c r="O14"/>
  <c r="N14"/>
  <c r="B14"/>
  <c r="T13"/>
  <c r="S13"/>
  <c r="O17" s="1"/>
  <c r="R13"/>
  <c r="D13"/>
  <c r="B13"/>
  <c r="T12"/>
  <c r="R12"/>
  <c r="E12"/>
  <c r="T11"/>
  <c r="S11"/>
  <c r="R11"/>
  <c r="C11"/>
  <c r="T10"/>
  <c r="S10"/>
  <c r="C10"/>
  <c r="U9"/>
  <c r="S9"/>
  <c r="R9"/>
  <c r="B9"/>
  <c r="C9" s="1"/>
  <c r="R8"/>
  <c r="T8" s="1"/>
  <c r="P8"/>
  <c r="C8"/>
  <c r="B8"/>
  <c r="T7"/>
  <c r="R7"/>
  <c r="P7"/>
  <c r="O7" s="1"/>
  <c r="N7"/>
  <c r="C7"/>
  <c r="T6"/>
  <c r="O6"/>
  <c r="N6"/>
  <c r="P6" s="1"/>
  <c r="B6"/>
  <c r="S5"/>
  <c r="D5"/>
  <c r="B5"/>
  <c r="R5" s="1"/>
  <c r="B13" i="28"/>
  <c r="J4" s="1"/>
  <c r="K4" s="1"/>
  <c r="O9"/>
  <c r="P9" s="1"/>
  <c r="N9"/>
  <c r="N8"/>
  <c r="O7"/>
  <c r="P7" s="1"/>
  <c r="N7"/>
  <c r="N6"/>
  <c r="E6"/>
  <c r="D6"/>
  <c r="D13" s="1"/>
  <c r="C5"/>
  <c r="O8" s="1"/>
  <c r="P8" s="1"/>
  <c r="B14" i="27"/>
  <c r="N9"/>
  <c r="O8"/>
  <c r="P8" s="1"/>
  <c r="N8"/>
  <c r="N7"/>
  <c r="T6"/>
  <c r="T17" s="1"/>
  <c r="R6"/>
  <c r="N6"/>
  <c r="E6"/>
  <c r="U6" s="1"/>
  <c r="D6"/>
  <c r="D14" s="1"/>
  <c r="G13" s="1"/>
  <c r="T5"/>
  <c r="S5"/>
  <c r="R5"/>
  <c r="R17" s="1"/>
  <c r="C5"/>
  <c r="J4"/>
  <c r="B21" i="26"/>
  <c r="J4" s="1"/>
  <c r="C19"/>
  <c r="E18"/>
  <c r="C18"/>
  <c r="N17"/>
  <c r="C17"/>
  <c r="C16"/>
  <c r="N15"/>
  <c r="C15"/>
  <c r="P14"/>
  <c r="N14"/>
  <c r="C14"/>
  <c r="C13"/>
  <c r="C12"/>
  <c r="T11"/>
  <c r="R11"/>
  <c r="C11"/>
  <c r="T10"/>
  <c r="R10"/>
  <c r="C10"/>
  <c r="R9"/>
  <c r="O9"/>
  <c r="D9"/>
  <c r="T8"/>
  <c r="R8"/>
  <c r="N16" s="1"/>
  <c r="C8"/>
  <c r="T7"/>
  <c r="R7"/>
  <c r="E7"/>
  <c r="U6"/>
  <c r="T6"/>
  <c r="S6" s="1"/>
  <c r="O15" s="1"/>
  <c r="R6"/>
  <c r="R24" s="1"/>
  <c r="P6"/>
  <c r="O6"/>
  <c r="N6"/>
  <c r="C6"/>
  <c r="T5"/>
  <c r="S5"/>
  <c r="R5"/>
  <c r="C5"/>
  <c r="O8" s="1"/>
  <c r="B10" i="25"/>
  <c r="O9"/>
  <c r="N7"/>
  <c r="E7"/>
  <c r="D7"/>
  <c r="E6"/>
  <c r="D6"/>
  <c r="C5"/>
  <c r="J4"/>
  <c r="N17" i="24"/>
  <c r="N16"/>
  <c r="B16"/>
  <c r="D16" s="1"/>
  <c r="T9" s="1"/>
  <c r="D15"/>
  <c r="T10" s="1"/>
  <c r="B15"/>
  <c r="N14"/>
  <c r="C14"/>
  <c r="C13"/>
  <c r="C12"/>
  <c r="C11"/>
  <c r="R10"/>
  <c r="N15" s="1"/>
  <c r="C10"/>
  <c r="C9"/>
  <c r="T8"/>
  <c r="S8"/>
  <c r="R8"/>
  <c r="C8"/>
  <c r="T7"/>
  <c r="R7"/>
  <c r="C7"/>
  <c r="O9" s="1"/>
  <c r="R6"/>
  <c r="U6" s="1"/>
  <c r="E6"/>
  <c r="D6"/>
  <c r="T6" s="1"/>
  <c r="T17" s="1"/>
  <c r="T5"/>
  <c r="S5"/>
  <c r="R5"/>
  <c r="C5"/>
  <c r="E37" i="23"/>
  <c r="C37"/>
  <c r="E36"/>
  <c r="C36"/>
  <c r="C35"/>
  <c r="B35"/>
  <c r="C34"/>
  <c r="C33"/>
  <c r="C32"/>
  <c r="B32"/>
  <c r="C31"/>
  <c r="C30"/>
  <c r="C29"/>
  <c r="C28"/>
  <c r="T27"/>
  <c r="S27" s="1"/>
  <c r="R27"/>
  <c r="C27"/>
  <c r="T26"/>
  <c r="R26"/>
  <c r="B26"/>
  <c r="D26" s="1"/>
  <c r="T25"/>
  <c r="R25"/>
  <c r="B25"/>
  <c r="T24"/>
  <c r="R24"/>
  <c r="C24"/>
  <c r="T23"/>
  <c r="R23"/>
  <c r="C23"/>
  <c r="T22"/>
  <c r="R22"/>
  <c r="C22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R14"/>
  <c r="T14" s="1"/>
  <c r="C14"/>
  <c r="T13"/>
  <c r="S13" s="1"/>
  <c r="R13"/>
  <c r="C13"/>
  <c r="S12"/>
  <c r="R12"/>
  <c r="O12"/>
  <c r="N12"/>
  <c r="P12" s="1"/>
  <c r="C12"/>
  <c r="S11"/>
  <c r="R11"/>
  <c r="C11"/>
  <c r="R10"/>
  <c r="S10" s="1"/>
  <c r="C10"/>
  <c r="C9"/>
  <c r="B9"/>
  <c r="S8"/>
  <c r="R8"/>
  <c r="C8"/>
  <c r="R7"/>
  <c r="T7" s="1"/>
  <c r="D7"/>
  <c r="T6"/>
  <c r="R6"/>
  <c r="N6"/>
  <c r="O6" s="1"/>
  <c r="P6" s="1"/>
  <c r="D6"/>
  <c r="T5"/>
  <c r="R5"/>
  <c r="D5"/>
  <c r="D20" i="22"/>
  <c r="D19"/>
  <c r="D18"/>
  <c r="D17"/>
  <c r="D16"/>
  <c r="D15"/>
  <c r="D14"/>
  <c r="D13"/>
  <c r="D12"/>
  <c r="D11"/>
  <c r="D10"/>
  <c r="D9"/>
  <c r="D8"/>
  <c r="C7"/>
  <c r="N12" s="1"/>
  <c r="B7"/>
  <c r="B22" s="1"/>
  <c r="J4" s="1"/>
  <c r="O6"/>
  <c r="N6"/>
  <c r="P6" s="1"/>
  <c r="E6"/>
  <c r="D6"/>
  <c r="D22" s="1"/>
  <c r="D5"/>
  <c r="R21" i="21"/>
  <c r="B15"/>
  <c r="C13"/>
  <c r="C12"/>
  <c r="C11"/>
  <c r="C10"/>
  <c r="C9"/>
  <c r="T8"/>
  <c r="R8"/>
  <c r="U8" s="1"/>
  <c r="N8"/>
  <c r="C8"/>
  <c r="T7"/>
  <c r="S7" s="1"/>
  <c r="R7"/>
  <c r="O7"/>
  <c r="C7"/>
  <c r="R6"/>
  <c r="N6"/>
  <c r="E6"/>
  <c r="D6"/>
  <c r="T5"/>
  <c r="S5"/>
  <c r="R5"/>
  <c r="N9" s="1"/>
  <c r="C5"/>
  <c r="J4"/>
  <c r="D11" i="20"/>
  <c r="B11"/>
  <c r="G10"/>
  <c r="R9"/>
  <c r="R22" s="1"/>
  <c r="O9"/>
  <c r="D9"/>
  <c r="T8"/>
  <c r="R8"/>
  <c r="P8"/>
  <c r="O8" s="1"/>
  <c r="N8"/>
  <c r="C8"/>
  <c r="T7"/>
  <c r="R7"/>
  <c r="P7"/>
  <c r="O7"/>
  <c r="N7"/>
  <c r="D7"/>
  <c r="C7"/>
  <c r="S6"/>
  <c r="R6"/>
  <c r="P6"/>
  <c r="N6"/>
  <c r="E6"/>
  <c r="D6"/>
  <c r="T6" s="1"/>
  <c r="T5"/>
  <c r="S5"/>
  <c r="R5"/>
  <c r="C5"/>
  <c r="J4"/>
  <c r="K4" s="1"/>
  <c r="B10" i="19"/>
  <c r="O9"/>
  <c r="N7"/>
  <c r="E6"/>
  <c r="D6"/>
  <c r="D10" s="1"/>
  <c r="G9" s="1"/>
  <c r="C5"/>
  <c r="J4"/>
  <c r="K4" s="1"/>
  <c r="R23" i="18"/>
  <c r="B11"/>
  <c r="T9"/>
  <c r="R9"/>
  <c r="O9"/>
  <c r="P9" s="1"/>
  <c r="C9"/>
  <c r="T8"/>
  <c r="R8"/>
  <c r="P8"/>
  <c r="O8"/>
  <c r="N8"/>
  <c r="C8"/>
  <c r="T7"/>
  <c r="R7"/>
  <c r="P7"/>
  <c r="O7"/>
  <c r="N7"/>
  <c r="C7"/>
  <c r="S6"/>
  <c r="R6"/>
  <c r="P6"/>
  <c r="N6"/>
  <c r="N9" s="1"/>
  <c r="E6"/>
  <c r="D6"/>
  <c r="T6" s="1"/>
  <c r="T5"/>
  <c r="T23" s="1"/>
  <c r="S5"/>
  <c r="R5"/>
  <c r="C5"/>
  <c r="J4"/>
  <c r="D13" i="17"/>
  <c r="K4" s="1"/>
  <c r="B13"/>
  <c r="G12"/>
  <c r="O9"/>
  <c r="N9"/>
  <c r="P9" s="1"/>
  <c r="O8"/>
  <c r="P8" s="1"/>
  <c r="N8"/>
  <c r="O7"/>
  <c r="N7"/>
  <c r="P7" s="1"/>
  <c r="D7"/>
  <c r="C7"/>
  <c r="P6"/>
  <c r="O6"/>
  <c r="N6"/>
  <c r="E6"/>
  <c r="D6"/>
  <c r="J4"/>
  <c r="D11" i="16"/>
  <c r="C11"/>
  <c r="O6" s="1"/>
  <c r="C10"/>
  <c r="T9"/>
  <c r="R9"/>
  <c r="B9"/>
  <c r="D9" s="1"/>
  <c r="D8" s="1"/>
  <c r="T8" s="1"/>
  <c r="C8"/>
  <c r="B8"/>
  <c r="T7"/>
  <c r="S7" s="1"/>
  <c r="R7"/>
  <c r="O7"/>
  <c r="C7"/>
  <c r="T6"/>
  <c r="S6"/>
  <c r="R6"/>
  <c r="P6"/>
  <c r="N6"/>
  <c r="E6"/>
  <c r="D6"/>
  <c r="R5"/>
  <c r="U5" s="1"/>
  <c r="C5"/>
  <c r="D13" i="15"/>
  <c r="B13"/>
  <c r="G12"/>
  <c r="N9"/>
  <c r="N8"/>
  <c r="N7"/>
  <c r="N6"/>
  <c r="E6"/>
  <c r="D6"/>
  <c r="C5"/>
  <c r="J4"/>
  <c r="K4" s="1"/>
  <c r="G17" i="14"/>
  <c r="B17"/>
  <c r="O16"/>
  <c r="N15"/>
  <c r="C15"/>
  <c r="D14"/>
  <c r="C14"/>
  <c r="C13"/>
  <c r="C12"/>
  <c r="S9" s="1"/>
  <c r="C11"/>
  <c r="S8" s="1"/>
  <c r="T10"/>
  <c r="R10"/>
  <c r="E10"/>
  <c r="T9"/>
  <c r="R9"/>
  <c r="O9"/>
  <c r="D9"/>
  <c r="R8"/>
  <c r="J8"/>
  <c r="J9" s="1"/>
  <c r="E8"/>
  <c r="S7"/>
  <c r="R7"/>
  <c r="T7" s="1"/>
  <c r="O7"/>
  <c r="E7"/>
  <c r="S6"/>
  <c r="R6"/>
  <c r="T6" s="1"/>
  <c r="N6"/>
  <c r="D6"/>
  <c r="T5"/>
  <c r="R5"/>
  <c r="D5"/>
  <c r="D17" s="1"/>
  <c r="K4"/>
  <c r="J4"/>
  <c r="D13" i="13"/>
  <c r="G12" s="1"/>
  <c r="B13"/>
  <c r="C11"/>
  <c r="C10"/>
  <c r="N9"/>
  <c r="C9"/>
  <c r="N8"/>
  <c r="C8"/>
  <c r="N7"/>
  <c r="C7"/>
  <c r="T6"/>
  <c r="R6"/>
  <c r="N6"/>
  <c r="C6"/>
  <c r="T5"/>
  <c r="R5"/>
  <c r="R15" s="1"/>
  <c r="C5"/>
  <c r="O9" s="1"/>
  <c r="P9" s="1"/>
  <c r="K4"/>
  <c r="J4"/>
  <c r="P22" i="12"/>
  <c r="N22"/>
  <c r="O21"/>
  <c r="N21"/>
  <c r="P20"/>
  <c r="O20"/>
  <c r="N20"/>
  <c r="N23" s="1"/>
  <c r="B19"/>
  <c r="J4" s="1"/>
  <c r="K4" s="1"/>
  <c r="C17"/>
  <c r="C16"/>
  <c r="O22" s="1"/>
  <c r="C15"/>
  <c r="T14"/>
  <c r="R14"/>
  <c r="D14"/>
  <c r="P21" s="1"/>
  <c r="C14"/>
  <c r="T13"/>
  <c r="R13"/>
  <c r="C13"/>
  <c r="T12"/>
  <c r="R12"/>
  <c r="C12"/>
  <c r="T11"/>
  <c r="R11"/>
  <c r="C11"/>
  <c r="T10"/>
  <c r="R10"/>
  <c r="C10"/>
  <c r="T9"/>
  <c r="R9"/>
  <c r="C9"/>
  <c r="U8"/>
  <c r="T8"/>
  <c r="S8"/>
  <c r="O23" s="1"/>
  <c r="P23" s="1"/>
  <c r="R8"/>
  <c r="P8"/>
  <c r="N8"/>
  <c r="C8"/>
  <c r="T7"/>
  <c r="R7"/>
  <c r="R19" s="1"/>
  <c r="P7"/>
  <c r="O7"/>
  <c r="N7"/>
  <c r="C7"/>
  <c r="T6"/>
  <c r="S6"/>
  <c r="O9" s="1"/>
  <c r="R6"/>
  <c r="E6"/>
  <c r="D6"/>
  <c r="D19" s="1"/>
  <c r="T5"/>
  <c r="T19" s="1"/>
  <c r="R5"/>
  <c r="U5" s="1"/>
  <c r="C5"/>
  <c r="O6" s="1"/>
  <c r="B14" i="11"/>
  <c r="N9"/>
  <c r="O8"/>
  <c r="P8" s="1"/>
  <c r="N8"/>
  <c r="N7"/>
  <c r="D7"/>
  <c r="D14" s="1"/>
  <c r="G13" s="1"/>
  <c r="N6"/>
  <c r="E6"/>
  <c r="D6"/>
  <c r="C5"/>
  <c r="J4"/>
  <c r="B14" i="10"/>
  <c r="J4" s="1"/>
  <c r="K4" s="1"/>
  <c r="D12"/>
  <c r="C12" s="1"/>
  <c r="C11"/>
  <c r="C10"/>
  <c r="O9"/>
  <c r="C9"/>
  <c r="O8"/>
  <c r="C8"/>
  <c r="T7"/>
  <c r="U7" s="1"/>
  <c r="R7"/>
  <c r="N7"/>
  <c r="C7"/>
  <c r="T6"/>
  <c r="S6" s="1"/>
  <c r="R6"/>
  <c r="O6"/>
  <c r="E6"/>
  <c r="D6"/>
  <c r="D14" s="1"/>
  <c r="G13" s="1"/>
  <c r="T5"/>
  <c r="T14" s="1"/>
  <c r="R5"/>
  <c r="C5"/>
  <c r="O7" s="1"/>
  <c r="P7" s="1"/>
  <c r="B14" i="9"/>
  <c r="C10"/>
  <c r="N9"/>
  <c r="C9"/>
  <c r="O8"/>
  <c r="P8" s="1"/>
  <c r="N8"/>
  <c r="C8"/>
  <c r="T7"/>
  <c r="R7"/>
  <c r="N7"/>
  <c r="C7"/>
  <c r="T6"/>
  <c r="T17" s="1"/>
  <c r="R6"/>
  <c r="P6"/>
  <c r="N6"/>
  <c r="E6"/>
  <c r="U6" s="1"/>
  <c r="D6"/>
  <c r="D14" s="1"/>
  <c r="G13" s="1"/>
  <c r="T5"/>
  <c r="S5"/>
  <c r="R5"/>
  <c r="R17" s="1"/>
  <c r="C5"/>
  <c r="O6" s="1"/>
  <c r="J4"/>
  <c r="B13" i="8"/>
  <c r="C11"/>
  <c r="C10"/>
  <c r="T9"/>
  <c r="R9"/>
  <c r="O9"/>
  <c r="C9"/>
  <c r="T8"/>
  <c r="R8"/>
  <c r="O8"/>
  <c r="C8"/>
  <c r="T7"/>
  <c r="S7"/>
  <c r="O7" s="1"/>
  <c r="R7"/>
  <c r="P7"/>
  <c r="N7"/>
  <c r="C7"/>
  <c r="U6"/>
  <c r="R6"/>
  <c r="P6"/>
  <c r="O6"/>
  <c r="O3" s="1"/>
  <c r="N6"/>
  <c r="E6"/>
  <c r="D6"/>
  <c r="D13" s="1"/>
  <c r="G12" s="1"/>
  <c r="T5"/>
  <c r="R5"/>
  <c r="R13" s="1"/>
  <c r="C5"/>
  <c r="N3"/>
  <c r="P3" s="1"/>
  <c r="E6" i="7"/>
  <c r="C6"/>
  <c r="E5"/>
  <c r="E9" s="1"/>
  <c r="C5"/>
  <c r="C4" i="6"/>
  <c r="C77" i="5"/>
  <c r="E74"/>
  <c r="E73"/>
  <c r="E72"/>
  <c r="E71"/>
  <c r="E70"/>
  <c r="E69"/>
  <c r="E68"/>
  <c r="E67"/>
  <c r="E66"/>
  <c r="E65"/>
  <c r="E64"/>
  <c r="E63"/>
  <c r="D63"/>
  <c r="D77" s="1"/>
  <c r="E62"/>
  <c r="E61"/>
  <c r="E60"/>
  <c r="E53"/>
  <c r="D53"/>
  <c r="C53"/>
  <c r="G53" s="1"/>
  <c r="H37" s="1"/>
  <c r="E52"/>
  <c r="D52"/>
  <c r="C52"/>
  <c r="G52" s="1"/>
  <c r="F51"/>
  <c r="E51"/>
  <c r="D51"/>
  <c r="C51"/>
  <c r="G51" s="1"/>
  <c r="H35" s="1"/>
  <c r="M46"/>
  <c r="M45"/>
  <c r="M44"/>
  <c r="M43"/>
  <c r="M42"/>
  <c r="E42"/>
  <c r="F42" s="1"/>
  <c r="D42"/>
  <c r="M41"/>
  <c r="F41"/>
  <c r="I41" s="1"/>
  <c r="K41" s="1"/>
  <c r="E41"/>
  <c r="M40"/>
  <c r="E40"/>
  <c r="F40" s="1"/>
  <c r="D40"/>
  <c r="E39"/>
  <c r="F39" s="1"/>
  <c r="D39"/>
  <c r="M38"/>
  <c r="L38"/>
  <c r="L39" s="1"/>
  <c r="L40" s="1"/>
  <c r="H38"/>
  <c r="H42" s="1"/>
  <c r="E38"/>
  <c r="F38" s="1"/>
  <c r="I38" s="1"/>
  <c r="K38" s="1"/>
  <c r="D38"/>
  <c r="M37"/>
  <c r="F37"/>
  <c r="I37" s="1"/>
  <c r="K37" s="1"/>
  <c r="D37"/>
  <c r="E37" s="1"/>
  <c r="M36"/>
  <c r="H36"/>
  <c r="H41" s="1"/>
  <c r="E36"/>
  <c r="F36" s="1"/>
  <c r="D36"/>
  <c r="M35"/>
  <c r="D35"/>
  <c r="E35" s="1"/>
  <c r="F35" s="1"/>
  <c r="I35" s="1"/>
  <c r="K35" s="1"/>
  <c r="D31"/>
  <c r="E31" s="1"/>
  <c r="E30"/>
  <c r="E29"/>
  <c r="E28"/>
  <c r="E27"/>
  <c r="E26"/>
  <c r="E25"/>
  <c r="E24"/>
  <c r="E23"/>
  <c r="E22"/>
  <c r="E21"/>
  <c r="E20"/>
  <c r="E19"/>
  <c r="E18"/>
  <c r="E17"/>
  <c r="E16"/>
  <c r="D16"/>
  <c r="E15"/>
  <c r="E14"/>
  <c r="D14"/>
  <c r="E13"/>
  <c r="D12"/>
  <c r="E12" s="1"/>
  <c r="E11"/>
  <c r="E10"/>
  <c r="D10"/>
  <c r="E9"/>
  <c r="J14" s="1"/>
  <c r="E8"/>
  <c r="E7"/>
  <c r="E6"/>
  <c r="E5"/>
  <c r="J12" s="1"/>
  <c r="O32" i="4"/>
  <c r="N32"/>
  <c r="P32" s="1"/>
  <c r="O31"/>
  <c r="P31" s="1"/>
  <c r="N31"/>
  <c r="O30"/>
  <c r="N30"/>
  <c r="P30" s="1"/>
  <c r="O29"/>
  <c r="P29" s="1"/>
  <c r="N29"/>
  <c r="O23"/>
  <c r="P23" s="1"/>
  <c r="N23"/>
  <c r="O22"/>
  <c r="N22"/>
  <c r="P22" s="1"/>
  <c r="O21"/>
  <c r="P21" s="1"/>
  <c r="N21"/>
  <c r="O20"/>
  <c r="N20"/>
  <c r="P20" s="1"/>
  <c r="P26" s="1"/>
  <c r="O14"/>
  <c r="N14"/>
  <c r="P14" s="1"/>
  <c r="O13"/>
  <c r="P13" s="1"/>
  <c r="N13"/>
  <c r="O12"/>
  <c r="N12"/>
  <c r="P12" s="1"/>
  <c r="O11"/>
  <c r="P11" s="1"/>
  <c r="N11"/>
  <c r="D9"/>
  <c r="B9"/>
  <c r="G8"/>
  <c r="D7"/>
  <c r="P6"/>
  <c r="N6"/>
  <c r="O6" s="1"/>
  <c r="D6"/>
  <c r="D5"/>
  <c r="J4"/>
  <c r="K4" s="1"/>
  <c r="D234" i="3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Y2"/>
  <c r="M68" i="2"/>
  <c r="N67"/>
  <c r="O67" s="1"/>
  <c r="M67"/>
  <c r="M66"/>
  <c r="N65"/>
  <c r="O65" s="1"/>
  <c r="M65"/>
  <c r="M60"/>
  <c r="M59"/>
  <c r="N57"/>
  <c r="M52"/>
  <c r="M51"/>
  <c r="N49"/>
  <c r="O49" s="1"/>
  <c r="M49"/>
  <c r="M44"/>
  <c r="M43"/>
  <c r="M42"/>
  <c r="N41"/>
  <c r="M41"/>
  <c r="O41" s="1"/>
  <c r="N36"/>
  <c r="O36" s="1"/>
  <c r="M36"/>
  <c r="D36"/>
  <c r="N35"/>
  <c r="O35" s="1"/>
  <c r="M35"/>
  <c r="C35"/>
  <c r="B35"/>
  <c r="O34"/>
  <c r="M34"/>
  <c r="C34"/>
  <c r="N33"/>
  <c r="M33"/>
  <c r="O33" s="1"/>
  <c r="O38" s="1"/>
  <c r="D33"/>
  <c r="C33"/>
  <c r="B33"/>
  <c r="C32"/>
  <c r="B31"/>
  <c r="D30"/>
  <c r="T21" s="1"/>
  <c r="B30"/>
  <c r="B38" s="1"/>
  <c r="J7" s="1"/>
  <c r="J8" s="1"/>
  <c r="D29"/>
  <c r="T18" s="1"/>
  <c r="M28"/>
  <c r="D28"/>
  <c r="T17" s="1"/>
  <c r="S17" s="1"/>
  <c r="M27"/>
  <c r="D27"/>
  <c r="M26"/>
  <c r="D26"/>
  <c r="C26" s="1"/>
  <c r="N9" s="1"/>
  <c r="N25"/>
  <c r="M25"/>
  <c r="O25" s="1"/>
  <c r="C25"/>
  <c r="N68" s="1"/>
  <c r="O68" s="1"/>
  <c r="T24"/>
  <c r="R24"/>
  <c r="C24"/>
  <c r="T23"/>
  <c r="R23"/>
  <c r="C23"/>
  <c r="C22"/>
  <c r="N43" s="1"/>
  <c r="O43" s="1"/>
  <c r="S21"/>
  <c r="R21"/>
  <c r="C21"/>
  <c r="N18" s="1"/>
  <c r="M20"/>
  <c r="C20"/>
  <c r="N34" s="1"/>
  <c r="T19"/>
  <c r="S19" s="1"/>
  <c r="R19"/>
  <c r="M50" s="1"/>
  <c r="N19"/>
  <c r="O19" s="1"/>
  <c r="M19"/>
  <c r="C19"/>
  <c r="N27" s="1"/>
  <c r="O27" s="1"/>
  <c r="S18"/>
  <c r="R18"/>
  <c r="M18"/>
  <c r="O18" s="1"/>
  <c r="D18"/>
  <c r="C18"/>
  <c r="N17" s="1"/>
  <c r="O17" s="1"/>
  <c r="R17"/>
  <c r="M17"/>
  <c r="C17"/>
  <c r="N20" s="1"/>
  <c r="O20" s="1"/>
  <c r="T16"/>
  <c r="S16" s="1"/>
  <c r="R16"/>
  <c r="D16"/>
  <c r="T15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M9"/>
  <c r="C9"/>
  <c r="R8"/>
  <c r="S8" s="1"/>
  <c r="C8"/>
  <c r="R7"/>
  <c r="S7" s="1"/>
  <c r="C7"/>
  <c r="R6"/>
  <c r="T6" s="1"/>
  <c r="E6"/>
  <c r="D6"/>
  <c r="R5"/>
  <c r="D5"/>
  <c r="D41" i="1"/>
  <c r="C40"/>
  <c r="B39"/>
  <c r="B38"/>
  <c r="C37"/>
  <c r="S20" s="1"/>
  <c r="C36"/>
  <c r="C35"/>
  <c r="C34"/>
  <c r="D33"/>
  <c r="D32"/>
  <c r="D31"/>
  <c r="D30"/>
  <c r="D29"/>
  <c r="C28"/>
  <c r="D27"/>
  <c r="D26"/>
  <c r="D25"/>
  <c r="D24"/>
  <c r="T23"/>
  <c r="R23"/>
  <c r="D23"/>
  <c r="B23"/>
  <c r="B43" s="1"/>
  <c r="D22"/>
  <c r="N21"/>
  <c r="D21"/>
  <c r="T20"/>
  <c r="R20"/>
  <c r="N28" s="1"/>
  <c r="N20"/>
  <c r="C20"/>
  <c r="C19"/>
  <c r="D19" s="1"/>
  <c r="O18"/>
  <c r="N18"/>
  <c r="P18" s="1"/>
  <c r="C18"/>
  <c r="D18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T10"/>
  <c r="S10" s="1"/>
  <c r="R10"/>
  <c r="O10"/>
  <c r="D10"/>
  <c r="R9"/>
  <c r="T9" s="1"/>
  <c r="D9"/>
  <c r="R8"/>
  <c r="D8"/>
  <c r="T8" s="1"/>
  <c r="R7"/>
  <c r="T7" s="1"/>
  <c r="D7"/>
  <c r="R6"/>
  <c r="T6" s="1"/>
  <c r="D6"/>
  <c r="R5"/>
  <c r="D5"/>
  <c r="O9" i="2" l="1"/>
  <c r="O14" s="1"/>
  <c r="N4"/>
  <c r="J12" i="1"/>
  <c r="J13" s="1"/>
  <c r="J4"/>
  <c r="P10"/>
  <c r="K4" i="26"/>
  <c r="O22" i="2"/>
  <c r="P25" i="12"/>
  <c r="N37" i="1"/>
  <c r="N36"/>
  <c r="N35"/>
  <c r="N34"/>
  <c r="D39"/>
  <c r="T22"/>
  <c r="T18"/>
  <c r="R18"/>
  <c r="N11" s="1"/>
  <c r="N52" i="2"/>
  <c r="O52" s="1"/>
  <c r="N50"/>
  <c r="O50" s="1"/>
  <c r="O54" s="1"/>
  <c r="M76"/>
  <c r="M74"/>
  <c r="D31"/>
  <c r="D38" s="1"/>
  <c r="G37" s="1"/>
  <c r="T22"/>
  <c r="T20"/>
  <c r="R20"/>
  <c r="E234" i="3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N9" i="8"/>
  <c r="N8"/>
  <c r="J4"/>
  <c r="K4" s="1"/>
  <c r="E7" i="11"/>
  <c r="K4"/>
  <c r="T37" i="14"/>
  <c r="S5"/>
  <c r="D14" i="16"/>
  <c r="G13" s="1"/>
  <c r="T5"/>
  <c r="T13" s="1"/>
  <c r="D25" i="23"/>
  <c r="T21" s="1"/>
  <c r="S21" s="1"/>
  <c r="R21"/>
  <c r="O17" i="24"/>
  <c r="P17" s="1"/>
  <c r="O16"/>
  <c r="P16" s="1"/>
  <c r="O14"/>
  <c r="P14" s="1"/>
  <c r="P20" s="1"/>
  <c r="O15"/>
  <c r="P15" s="1"/>
  <c r="O14" i="26"/>
  <c r="O3" s="1"/>
  <c r="C28" i="29"/>
  <c r="R20"/>
  <c r="C33"/>
  <c r="T20"/>
  <c r="V20" s="1"/>
  <c r="O29" i="1"/>
  <c r="O28"/>
  <c r="P28" s="1"/>
  <c r="O27"/>
  <c r="P27" s="1"/>
  <c r="O26"/>
  <c r="D38"/>
  <c r="T21" s="1"/>
  <c r="R21"/>
  <c r="T19"/>
  <c r="S19" s="1"/>
  <c r="R19"/>
  <c r="N19" s="1"/>
  <c r="T5" i="2"/>
  <c r="T13" i="8"/>
  <c r="S5"/>
  <c r="N9" i="10"/>
  <c r="N8"/>
  <c r="N6"/>
  <c r="O9" i="11"/>
  <c r="P9" s="1"/>
  <c r="O7"/>
  <c r="P7" s="1"/>
  <c r="N24" i="14"/>
  <c r="N22"/>
  <c r="R37"/>
  <c r="N25"/>
  <c r="N9"/>
  <c r="N8"/>
  <c r="T8"/>
  <c r="N7"/>
  <c r="P7" s="1"/>
  <c r="O8"/>
  <c r="O6"/>
  <c r="P6" s="1"/>
  <c r="N3" i="16"/>
  <c r="O3"/>
  <c r="P3" s="1"/>
  <c r="O3" i="17"/>
  <c r="N3"/>
  <c r="P11" i="18"/>
  <c r="O6"/>
  <c r="O7" i="19"/>
  <c r="P7" s="1"/>
  <c r="O6"/>
  <c r="P6" s="1"/>
  <c r="O6" i="20"/>
  <c r="O7" i="25"/>
  <c r="P7" s="1"/>
  <c r="O6"/>
  <c r="T5" i="29"/>
  <c r="T43" s="1"/>
  <c r="C26"/>
  <c r="R19"/>
  <c r="V19" s="1"/>
  <c r="O9" i="30"/>
  <c r="P9" s="1"/>
  <c r="O7"/>
  <c r="P7" s="1"/>
  <c r="G9" i="31"/>
  <c r="K4"/>
  <c r="O9" i="33"/>
  <c r="P9" s="1"/>
  <c r="O7"/>
  <c r="O8"/>
  <c r="N27" i="1"/>
  <c r="N29"/>
  <c r="N26" i="2"/>
  <c r="O26" s="1"/>
  <c r="O30" s="1"/>
  <c r="N28"/>
  <c r="O28" s="1"/>
  <c r="N51"/>
  <c r="O51" s="1"/>
  <c r="M73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P17" i="4"/>
  <c r="I39" i="5"/>
  <c r="K39" s="1"/>
  <c r="I42"/>
  <c r="K42" s="1"/>
  <c r="P8" i="8"/>
  <c r="P11" s="1"/>
  <c r="P9"/>
  <c r="K4" i="9"/>
  <c r="P6" i="10"/>
  <c r="V7" i="12"/>
  <c r="N3"/>
  <c r="S8" i="16"/>
  <c r="B14"/>
  <c r="P9" i="19"/>
  <c r="T21" i="21"/>
  <c r="D39" i="23"/>
  <c r="P8" i="26"/>
  <c r="B43" i="29"/>
  <c r="J4" s="1"/>
  <c r="K4" s="1"/>
  <c r="O3" i="1"/>
  <c r="D43"/>
  <c r="T5"/>
  <c r="N6"/>
  <c r="N10"/>
  <c r="R22"/>
  <c r="R32" s="1"/>
  <c r="C23"/>
  <c r="S23"/>
  <c r="N26"/>
  <c r="J4" i="2"/>
  <c r="S15"/>
  <c r="R22"/>
  <c r="R37" s="1"/>
  <c r="S24"/>
  <c r="N42"/>
  <c r="O42" s="1"/>
  <c r="O46" s="1"/>
  <c r="N44"/>
  <c r="O44" s="1"/>
  <c r="M57"/>
  <c r="O57" s="1"/>
  <c r="M75"/>
  <c r="P35" i="4"/>
  <c r="I36" i="5"/>
  <c r="K36" s="1"/>
  <c r="J13" s="1"/>
  <c r="H39"/>
  <c r="H40" s="1"/>
  <c r="M39"/>
  <c r="K14" s="1"/>
  <c r="I40"/>
  <c r="K40" s="1"/>
  <c r="O7" i="9"/>
  <c r="P7" s="1"/>
  <c r="P12" s="1"/>
  <c r="O9"/>
  <c r="P9" s="1"/>
  <c r="U5" i="10"/>
  <c r="P8"/>
  <c r="P9"/>
  <c r="R14"/>
  <c r="O6" i="11"/>
  <c r="P6" s="1"/>
  <c r="P12" s="1"/>
  <c r="G18" i="12"/>
  <c r="N6"/>
  <c r="P6" s="1"/>
  <c r="O8"/>
  <c r="O3" s="1"/>
  <c r="N9"/>
  <c r="P9" s="1"/>
  <c r="S5" i="13"/>
  <c r="T15"/>
  <c r="P9" i="14"/>
  <c r="N23"/>
  <c r="K4" i="18"/>
  <c r="O8" i="19"/>
  <c r="R9" i="24"/>
  <c r="D18"/>
  <c r="O8" i="25"/>
  <c r="P8" s="1"/>
  <c r="P15" i="26"/>
  <c r="P19" s="1"/>
  <c r="V8"/>
  <c r="K4" i="27"/>
  <c r="N17" i="29"/>
  <c r="P17" s="1"/>
  <c r="P14"/>
  <c r="O6" i="30"/>
  <c r="P6" s="1"/>
  <c r="P11" s="1"/>
  <c r="P8" i="32"/>
  <c r="S5" i="33"/>
  <c r="P9" i="34"/>
  <c r="N17" i="14"/>
  <c r="N16"/>
  <c r="P16" s="1"/>
  <c r="O15"/>
  <c r="P15" s="1"/>
  <c r="O14"/>
  <c r="P14" s="1"/>
  <c r="O9" i="15"/>
  <c r="P9" s="1"/>
  <c r="O7"/>
  <c r="P7" s="1"/>
  <c r="O9" i="16"/>
  <c r="O8"/>
  <c r="N9" i="19"/>
  <c r="N8"/>
  <c r="N6"/>
  <c r="T9" i="20"/>
  <c r="T22" s="1"/>
  <c r="C9"/>
  <c r="D15" i="21"/>
  <c r="G14" s="1"/>
  <c r="T6"/>
  <c r="S6" s="1"/>
  <c r="O8"/>
  <c r="P8" s="1"/>
  <c r="O6"/>
  <c r="P6" s="1"/>
  <c r="N9" i="25"/>
  <c r="P9" s="1"/>
  <c r="N8"/>
  <c r="N6"/>
  <c r="O17" i="26"/>
  <c r="P17" s="1"/>
  <c r="O16"/>
  <c r="P16" s="1"/>
  <c r="D21"/>
  <c r="G20" s="1"/>
  <c r="T9"/>
  <c r="V9" s="1"/>
  <c r="C9"/>
  <c r="N9"/>
  <c r="P9" s="1"/>
  <c r="N8"/>
  <c r="N7"/>
  <c r="O9" i="27"/>
  <c r="P9" s="1"/>
  <c r="O7"/>
  <c r="P7" s="1"/>
  <c r="O6"/>
  <c r="P6" s="1"/>
  <c r="R6" i="29"/>
  <c r="R43" s="1"/>
  <c r="C6"/>
  <c r="E14"/>
  <c r="R10"/>
  <c r="O26"/>
  <c r="O24"/>
  <c r="P24" s="1"/>
  <c r="P16"/>
  <c r="O3"/>
  <c r="D14" i="33"/>
  <c r="G13" s="1"/>
  <c r="C11"/>
  <c r="N66" i="2"/>
  <c r="O66" s="1"/>
  <c r="O70" s="1"/>
  <c r="T6" i="8"/>
  <c r="O6" i="13"/>
  <c r="P6" s="1"/>
  <c r="O7"/>
  <c r="P7" s="1"/>
  <c r="O8"/>
  <c r="P8" s="1"/>
  <c r="N14" i="14"/>
  <c r="O17"/>
  <c r="P17" s="1"/>
  <c r="O6" i="15"/>
  <c r="P6" s="1"/>
  <c r="O8"/>
  <c r="P8" s="1"/>
  <c r="R8" i="16"/>
  <c r="R13" s="1"/>
  <c r="P11" i="17"/>
  <c r="D11" i="18"/>
  <c r="G10" s="1"/>
  <c r="N9" i="20"/>
  <c r="P9" s="1"/>
  <c r="P11" s="1"/>
  <c r="O9" i="21"/>
  <c r="P9" s="1"/>
  <c r="B39" i="23"/>
  <c r="S26"/>
  <c r="R17" i="24"/>
  <c r="S7"/>
  <c r="B18"/>
  <c r="J4" s="1"/>
  <c r="K4" s="1"/>
  <c r="D10" i="25"/>
  <c r="G9" s="1"/>
  <c r="O7" i="26"/>
  <c r="P7" s="1"/>
  <c r="S10"/>
  <c r="G12" i="28"/>
  <c r="D43" i="29"/>
  <c r="S12"/>
  <c r="S16"/>
  <c r="S22"/>
  <c r="S5" i="32"/>
  <c r="T18"/>
  <c r="T5" i="33"/>
  <c r="T33" s="1"/>
  <c r="W33" s="1"/>
  <c r="O6"/>
  <c r="N8"/>
  <c r="S8"/>
  <c r="O6" i="35"/>
  <c r="P6" s="1"/>
  <c r="P11" s="1"/>
  <c r="O8"/>
  <c r="P8" s="1"/>
  <c r="N7" i="21"/>
  <c r="P7" s="1"/>
  <c r="O12" i="22"/>
  <c r="P12" s="1"/>
  <c r="R9" i="23"/>
  <c r="O6" i="28"/>
  <c r="P6" s="1"/>
  <c r="P11" s="1"/>
  <c r="O6" i="31"/>
  <c r="P6" s="1"/>
  <c r="P11" s="1"/>
  <c r="O8"/>
  <c r="P8" s="1"/>
  <c r="O7" i="32"/>
  <c r="O6" i="34"/>
  <c r="P6" s="1"/>
  <c r="O8"/>
  <c r="P8" s="1"/>
  <c r="O47" i="5" l="1"/>
  <c r="P47" s="1"/>
  <c r="J15"/>
  <c r="P11" i="12"/>
  <c r="N3" i="32"/>
  <c r="P7"/>
  <c r="P11" s="1"/>
  <c r="R39" i="23"/>
  <c r="S9"/>
  <c r="O9"/>
  <c r="P9" s="1"/>
  <c r="J4"/>
  <c r="N9" i="24"/>
  <c r="P9" s="1"/>
  <c r="N7"/>
  <c r="N8"/>
  <c r="N6"/>
  <c r="O37" i="1"/>
  <c r="P37" s="1"/>
  <c r="O36"/>
  <c r="P36" s="1"/>
  <c r="O35"/>
  <c r="P35" s="1"/>
  <c r="O34"/>
  <c r="P34" s="1"/>
  <c r="P6"/>
  <c r="O6"/>
  <c r="N3" s="1"/>
  <c r="G42"/>
  <c r="G7"/>
  <c r="N3" i="20"/>
  <c r="O3"/>
  <c r="N3" i="18"/>
  <c r="O3"/>
  <c r="O21" i="1"/>
  <c r="P21" s="1"/>
  <c r="O19"/>
  <c r="P19" s="1"/>
  <c r="O20"/>
  <c r="P20" s="1"/>
  <c r="P6" i="33"/>
  <c r="N3"/>
  <c r="O3"/>
  <c r="O8" i="24"/>
  <c r="P8" s="1"/>
  <c r="O6"/>
  <c r="P6" s="1"/>
  <c r="O7"/>
  <c r="P7" s="1"/>
  <c r="N75" i="2"/>
  <c r="O75" s="1"/>
  <c r="N73"/>
  <c r="O73" s="1"/>
  <c r="N76"/>
  <c r="O76" s="1"/>
  <c r="N74"/>
  <c r="O74" s="1"/>
  <c r="N7" i="16"/>
  <c r="P7" s="1"/>
  <c r="N9"/>
  <c r="P9" s="1"/>
  <c r="N8"/>
  <c r="J4"/>
  <c r="K4" s="1"/>
  <c r="N8" i="29"/>
  <c r="N9"/>
  <c r="O25" i="14"/>
  <c r="P25" s="1"/>
  <c r="O23"/>
  <c r="P23" s="1"/>
  <c r="O22"/>
  <c r="P22" s="1"/>
  <c r="O24"/>
  <c r="P24" s="1"/>
  <c r="M4" i="2"/>
  <c r="O4" s="1"/>
  <c r="O3" i="32"/>
  <c r="P11" i="26"/>
  <c r="P12" i="13"/>
  <c r="P26" i="29"/>
  <c r="P28" s="1"/>
  <c r="P8" i="16"/>
  <c r="P19" i="14"/>
  <c r="P19" i="29"/>
  <c r="K4" i="2"/>
  <c r="G39" i="23"/>
  <c r="P11" i="10"/>
  <c r="W43" i="29"/>
  <c r="P6" i="25"/>
  <c r="P11" s="1"/>
  <c r="P29" i="1"/>
  <c r="M58" i="2"/>
  <c r="M47" i="5"/>
  <c r="P11" i="34"/>
  <c r="G43" i="29"/>
  <c r="N3" i="26"/>
  <c r="P3" s="1"/>
  <c r="K4" i="25"/>
  <c r="P11" i="15"/>
  <c r="P12" i="27"/>
  <c r="P11" i="21"/>
  <c r="K4" i="33"/>
  <c r="N26" i="29"/>
  <c r="T24" i="26"/>
  <c r="G17" i="24"/>
  <c r="P8" i="19"/>
  <c r="P11" s="1"/>
  <c r="P3" i="12"/>
  <c r="T32" i="1"/>
  <c r="P3"/>
  <c r="T39" i="23"/>
  <c r="K4" i="21"/>
  <c r="P8" i="33"/>
  <c r="P3" i="17"/>
  <c r="P8" i="14"/>
  <c r="P11" s="1"/>
  <c r="T37" i="2"/>
  <c r="P26" i="1"/>
  <c r="P31" s="1"/>
  <c r="S20" i="2"/>
  <c r="S18" i="1"/>
  <c r="K4"/>
  <c r="O12" l="1"/>
  <c r="P12" s="1"/>
  <c r="O11"/>
  <c r="P11" s="1"/>
  <c r="O13"/>
  <c r="P13" s="1"/>
  <c r="P9" i="29"/>
  <c r="P11" s="1"/>
  <c r="N3"/>
  <c r="P3" s="1"/>
  <c r="N59" i="2"/>
  <c r="O59" s="1"/>
  <c r="N60"/>
  <c r="O60" s="1"/>
  <c r="N58"/>
  <c r="O58" s="1"/>
  <c r="O78"/>
  <c r="P3" i="32"/>
  <c r="P27" i="14"/>
  <c r="P12" i="16"/>
  <c r="P11" i="24"/>
  <c r="P3" i="33"/>
  <c r="P13"/>
  <c r="P23" i="1"/>
  <c r="P3" i="18"/>
  <c r="P3" i="20"/>
  <c r="P39" i="1"/>
  <c r="J16" i="5"/>
  <c r="O62" i="2" l="1"/>
  <c r="P15" i="1"/>
</calcChain>
</file>

<file path=xl/sharedStrings.xml><?xml version="1.0" encoding="utf-8"?>
<sst xmlns="http://schemas.openxmlformats.org/spreadsheetml/2006/main" count="795" uniqueCount="99">
  <si>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</si>
  <si>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</si>
  <si>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</si>
  <si>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</si>
  <si>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</si>
  <si>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</si>
  <si>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</si>
  <si>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</si>
  <si>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</si>
  <si>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</si>
  <si>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</si>
  <si>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</si>
  <si>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</si>
  <si>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</si>
  <si>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</si>
  <si>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</si>
  <si>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</si>
  <si>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</si>
  <si>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</si>
  <si>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0.00108507 BTC 0.05319 ratio</t>
  </si>
  <si>
    <t>15.6</t>
  </si>
  <si>
    <t>105</t>
  </si>
  <si>
    <t>43.5</t>
  </si>
  <si>
    <t xml:space="preserve"> 0.05319 ratio</t>
  </si>
  <si>
    <t>0.0203796 eth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</si>
  <si>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</si>
  <si>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</si>
  <si>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</si>
  <si>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</si>
  <si>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</si>
  <si>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</si>
  <si>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</si>
  <si>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</si>
  <si>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</si>
  <si>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</si>
  <si>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</si>
  <si>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</si>
  <si>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</si>
  <si>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</si>
  <si>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</si>
  <si>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</si>
  <si>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</si>
  <si>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</si>
  <si>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</si>
  <si>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</si>
  <si>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</si>
  <si>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</si>
  <si>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</si>
  <si>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</si>
  <si>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</si>
  <si>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</si>
  <si>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</si>
  <si>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</si>
  <si>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</si>
  <si>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</si>
  <si>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</si>
  <si>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</si>
  <si>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</si>
  <si>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</si>
  <si>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</si>
  <si>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</si>
  <si>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</si>
  <si>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</si>
  <si>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</si>
  <si>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</si>
  <si>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</si>
  <si>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</si>
  <si>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</si>
  <si>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</si>
  <si>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</si>
  <si>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</si>
  <si>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</si>
  <si>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</si>
  <si>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</si>
  <si>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</si>
  <si>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</si>
  <si>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</si>
  <si>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</si>
  <si>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</si>
  <si>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</si>
  <si>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</si>
  <si>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</si>
  <si>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</si>
  <si>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</si>
  <si>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</si>
  <si>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</si>
  <si>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Learn 1/5</t>
  </si>
  <si>
    <t>Ph</t>
  </si>
  <si>
    <t>NFT Burn</t>
  </si>
  <si>
    <t>DCA2*</t>
  </si>
  <si>
    <t>Ph*</t>
  </si>
  <si>
    <t>DCA1*</t>
  </si>
  <si>
    <t>Ph 2/5</t>
  </si>
  <si>
    <t>DCA1 2/5</t>
  </si>
  <si>
    <t>Ph 3/5</t>
  </si>
  <si>
    <t>DCA2 2/5</t>
  </si>
  <si>
    <t>DCA1 3/5</t>
  </si>
  <si>
    <t>DCA2 3/5</t>
  </si>
  <si>
    <t>Ph 4/5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</si>
</sst>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3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171" fontId="0" fillId="0" borderId="0" xfId="0" applyNumberFormat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7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  <c:pt idx="201">
                  <c:v>61.82</c:v>
                </c:pt>
                <c:pt idx="202">
                  <c:v>62.55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  <c:pt idx="201">
                  <c:v>12.704099999999999</c:v>
                </c:pt>
                <c:pt idx="202">
                  <c:v>12.331799999999999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  <c:pt idx="201">
                  <c:v>184.97728039391504</c:v>
                </c:pt>
                <c:pt idx="202">
                  <c:v>210.32939306997136</c:v>
                </c:pt>
              </c:numCache>
            </c:numRef>
          </c:val>
        </c:ser>
        <c:marker val="1"/>
        <c:axId val="76699904"/>
        <c:axId val="76722560"/>
      </c:lineChart>
      <c:dateAx>
        <c:axId val="76699904"/>
        <c:scaling>
          <c:orientation val="minMax"/>
        </c:scaling>
        <c:axPos val="b"/>
        <c:numFmt formatCode="dd/mm/yy;@" sourceLinked="1"/>
        <c:majorTickMark val="none"/>
        <c:tickLblPos val="nextTo"/>
        <c:crossAx val="76722560"/>
        <c:crosses val="autoZero"/>
        <c:lblOffset val="100"/>
      </c:dateAx>
      <c:valAx>
        <c:axId val="76722560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669990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3"/>
  <sheetViews>
    <sheetView topLeftCell="A10" workbookViewId="0">
      <selection activeCell="B35" sqref="B35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2234.4169075957238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(B43*J3)</f>
        <v>1255.9018841243374</v>
      </c>
      <c r="K4" s="4">
        <f>(J4/D43-1)</f>
        <v>-0.17309731101355696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(D43/B43)</f>
        <v>2702.1521847201984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6.4645500000000003E-3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4.0281843999999997E-2</v>
      </c>
      <c r="O11" s="39">
        <f>($S$18*Params!K16)</f>
        <v>3353.0931343316297</v>
      </c>
      <c r="P11" s="23">
        <f>(O11*N11)</f>
        <v>135.06877455461773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6.4645500000000003E-3</v>
      </c>
      <c r="C12" s="40">
        <v>0</v>
      </c>
      <c r="D12" s="26">
        <f t="shared" si="0"/>
        <v>0</v>
      </c>
      <c r="E12" s="38">
        <f>(B12*J3)</f>
        <v>14.444499819997937</v>
      </c>
      <c r="I12" t="s">
        <v>13</v>
      </c>
      <c r="J12">
        <f>(J11-B43)</f>
        <v>3.792857999999999E-2</v>
      </c>
      <c r="N12">
        <f>($B$35/5)</f>
        <v>2.2463422E-2</v>
      </c>
      <c r="O12" s="39">
        <f>($S$18*Params!K17)</f>
        <v>6706.1862686632594</v>
      </c>
      <c r="P12" s="23">
        <f>(O12*N12)</f>
        <v>150.64389216358816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84.748260433097002</v>
      </c>
      <c r="N13">
        <f>($B$35/5)</f>
        <v>2.2463422E-2</v>
      </c>
      <c r="O13" s="39">
        <f>($S$18*Params!K18)</f>
        <v>13412.372537326519</v>
      </c>
      <c r="P13" s="23">
        <f>(O13*N13)</f>
        <v>301.28778432717633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594.45567604538223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0.10767211</v>
      </c>
      <c r="S18" s="39">
        <f>(T18/R18)</f>
        <v>1676.5465671658148</v>
      </c>
      <c r="T18" s="23">
        <f>(D35+1283.68*B39)</f>
        <v>180.5173064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8.4845959999999988E-3</v>
      </c>
      <c r="O19" s="39">
        <f>($S$19*Params!K16)</f>
        <v>3431.2132027541443</v>
      </c>
      <c r="P19" s="23">
        <f>(O19*N19)</f>
        <v>29.112457815234997</v>
      </c>
      <c r="R19" s="24">
        <f>(B36+B38)</f>
        <v>2.2268989999999999E-2</v>
      </c>
      <c r="S19" s="39">
        <f>(T19/R19)</f>
        <v>1715.6066013770721</v>
      </c>
      <c r="T19" s="23">
        <f>(D36+1269.75*B38)</f>
        <v>38.204826250000004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4.5947979999999998E-3</v>
      </c>
      <c r="O20" s="39">
        <f>($S$19*Params!K17)</f>
        <v>6862.4264055082886</v>
      </c>
      <c r="P20" s="23">
        <f>(O20*N20)</f>
        <v>31.531463123176671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4.5947979999999998E-3</v>
      </c>
      <c r="O21" s="39">
        <f>($S$19*Params!K18)</f>
        <v>13724.852811016577</v>
      </c>
      <c r="P21" s="23">
        <f>(O21*N21)</f>
        <v>63.062926246353342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124.83837218476501</v>
      </c>
      <c r="R23" s="24">
        <f>(B40)</f>
        <v>5.25196E-2</v>
      </c>
      <c r="S23" s="39">
        <f>(T23/R23)</f>
        <v>1840.265348555587</v>
      </c>
      <c r="T23" s="23">
        <f>(D40)</f>
        <v>96.65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0.54169182000000005</v>
      </c>
      <c r="T32" s="23">
        <f>(SUM(T5:T31))</f>
        <v>1472.4389255217843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1.050392E-2</v>
      </c>
      <c r="O34" s="39">
        <f>($S$23*Params!K15)</f>
        <v>2760.3980228333803</v>
      </c>
      <c r="P34" s="23">
        <f>(O34*N34)</f>
        <v>28.995000000000001</v>
      </c>
    </row>
    <row r="35" spans="2:16">
      <c r="B35" s="24">
        <v>0.11231711</v>
      </c>
      <c r="C35" s="39">
        <f>(D35/B35)</f>
        <v>1660.2991298476252</v>
      </c>
      <c r="D35" s="23">
        <v>186.48</v>
      </c>
      <c r="E35" t="s">
        <v>10</v>
      </c>
      <c r="N35">
        <f>($R$23/5)</f>
        <v>1.050392E-2</v>
      </c>
      <c r="O35" s="39">
        <f>($S$23*Params!K16)</f>
        <v>3680.530697111174</v>
      </c>
      <c r="P35" s="23">
        <f>(O35*N35)</f>
        <v>38.660000000000004</v>
      </c>
    </row>
    <row r="36" spans="2:16">
      <c r="B36" s="24">
        <v>2.297399E-2</v>
      </c>
      <c r="C36" s="39">
        <f>(D36/B36)</f>
        <v>1701.9246547944001</v>
      </c>
      <c r="D36" s="23">
        <v>39.1</v>
      </c>
      <c r="E36" t="s">
        <v>15</v>
      </c>
      <c r="N36">
        <f>($R$23/5)</f>
        <v>1.050392E-2</v>
      </c>
      <c r="O36" s="39">
        <f>($S$23*Params!K17)</f>
        <v>7361.0613942223481</v>
      </c>
      <c r="P36" s="23">
        <f>(O36*N36)</f>
        <v>77.320000000000007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1.050392E-2</v>
      </c>
      <c r="O37" s="39">
        <f>($S$23*Params!K18)</f>
        <v>14722.122788444696</v>
      </c>
      <c r="P37" s="23">
        <f>(O37*N37)</f>
        <v>154.64000000000001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299.61500000000001</v>
      </c>
    </row>
    <row r="40" spans="2:16">
      <c r="B40" s="24">
        <v>5.25196E-2</v>
      </c>
      <c r="C40" s="39">
        <f>(D40/B40)</f>
        <v>1840.265348555587</v>
      </c>
      <c r="D40" s="23">
        <v>96.65</v>
      </c>
      <c r="E40" t="s">
        <v>18</v>
      </c>
    </row>
    <row r="41" spans="2:16">
      <c r="B41" s="24">
        <v>2.0379600000000001E-2</v>
      </c>
      <c r="C41" s="39">
        <v>2275</v>
      </c>
      <c r="D41" s="23">
        <f>C41*B41</f>
        <v>46.363590000000002</v>
      </c>
      <c r="E41" t="s">
        <v>19</v>
      </c>
    </row>
    <row r="42" spans="2:16">
      <c r="F42" t="s">
        <v>9</v>
      </c>
      <c r="G42" s="39">
        <f>D43/B43</f>
        <v>2702.1521847201984</v>
      </c>
    </row>
    <row r="43" spans="2:16">
      <c r="B43">
        <f>(SUM(B5:B42))</f>
        <v>0.56207141999999999</v>
      </c>
      <c r="D43" s="23">
        <f>(SUM(D5:D42))</f>
        <v>1518.8025155217842</v>
      </c>
    </row>
  </sheetData>
  <conditionalFormatting sqref="C5:C7 C11 C18:C25 C27 C29 C31 C33 C35:C37 C40:C41 N6 O11:O13 O19:O21 O26:O29 O34:O37 S5:S7 S10:S15 S18:S20 S23">
    <cfRule type="cellIs" dxfId="273" priority="37" operator="lessThan">
      <formula>$J$3</formula>
    </cfRule>
    <cfRule type="cellIs" dxfId="272" priority="38" operator="greaterThan">
      <formula>$J$3</formula>
    </cfRule>
  </conditionalFormatting>
  <conditionalFormatting sqref="G42">
    <cfRule type="cellIs" dxfId="271" priority="21" operator="lessThan">
      <formula>$J$3</formula>
    </cfRule>
    <cfRule type="cellIs" dxfId="270" priority="22" operator="greaterThan">
      <formula>$J$3</formula>
    </cfRule>
  </conditionalFormatting>
  <conditionalFormatting sqref="O3">
    <cfRule type="cellIs" dxfId="269" priority="9" operator="greaterThan">
      <formula>$J$3</formula>
    </cfRule>
    <cfRule type="cellIs" dxfId="268" priority="10" operator="lessThan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1.746388987490558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23.35039927842919</v>
      </c>
      <c r="K4" s="4">
        <f>(J4/D14-1)</f>
        <v>-0.39989339018703229</v>
      </c>
      <c r="R4" t="s">
        <v>5</v>
      </c>
      <c r="S4" t="s">
        <v>6</v>
      </c>
      <c r="T4" t="s">
        <v>7</v>
      </c>
    </row>
    <row r="5" spans="2:21">
      <c r="B5" s="29">
        <v>12.72825003</v>
      </c>
      <c r="C5" s="38">
        <f>(D5/B5)</f>
        <v>3.0719069713309208</v>
      </c>
      <c r="D5" s="38">
        <v>39.1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0">
        <f>(B6)</f>
        <v>0.57648306000000005</v>
      </c>
      <c r="S5" s="40">
        <v>0</v>
      </c>
      <c r="T5" s="26">
        <f>(D6)</f>
        <v>0</v>
      </c>
      <c r="U5" s="38">
        <f>(R5*J3)</f>
        <v>1.0067636674588587</v>
      </c>
    </row>
    <row r="6" spans="2:21">
      <c r="B6" s="36">
        <v>0.57648306000000005</v>
      </c>
      <c r="C6" s="40">
        <v>0</v>
      </c>
      <c r="D6" s="26">
        <f>(B6*C6)</f>
        <v>0</v>
      </c>
      <c r="E6" s="38">
        <f>(B6*J3)</f>
        <v>1.0067636674588587</v>
      </c>
      <c r="M6" t="s">
        <v>11</v>
      </c>
      <c r="N6" s="29">
        <f>(SUM(R5:R7)/5)</f>
        <v>2.6741349659999996</v>
      </c>
      <c r="O6" s="38">
        <f>($C$5*Params!K8)</f>
        <v>3.9934790627301973</v>
      </c>
      <c r="P6" s="38">
        <f>(O6*N6)</f>
        <v>10.679101997635726</v>
      </c>
      <c r="R6" s="29">
        <f>(B5)</f>
        <v>12.72825003</v>
      </c>
      <c r="S6" s="38">
        <f>(T6/R6)</f>
        <v>3.0719069713309208</v>
      </c>
      <c r="T6" s="38">
        <f>(D5)</f>
        <v>39.1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2.6741349659999996</v>
      </c>
      <c r="O7" s="38">
        <f>($C$5*Params!K9)</f>
        <v>4.9150511541294737</v>
      </c>
      <c r="P7" s="38">
        <f>(O7*N7)</f>
        <v>13.14351015093628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0.30474151855196552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2.6741349659999996</v>
      </c>
      <c r="O8" s="38">
        <f>($C$5*Params!K10)</f>
        <v>6.7581953369280265</v>
      </c>
      <c r="P8" s="38">
        <f>(O8*N8)</f>
        <v>18.072326457537383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2.6741349659999996</v>
      </c>
      <c r="O9" s="38">
        <f>($C$5*Params!K11)</f>
        <v>15.359534856654605</v>
      </c>
      <c r="P9" s="38">
        <f>(O9*N9)</f>
        <v>41.073469221675872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82.968407827785256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2.9101312315737471</v>
      </c>
    </row>
    <row r="14" spans="2:21">
      <c r="B14" s="29">
        <f>(SUM(B5:B13))</f>
        <v>13.37067483</v>
      </c>
      <c r="D14" s="38">
        <f>(SUM(D5:D13))</f>
        <v>38.910418410000005</v>
      </c>
      <c r="R14" s="29">
        <f>(SUM(R5:R13))</f>
        <v>13.370674829999999</v>
      </c>
      <c r="T14" s="38">
        <f>(SUM(T5:T13))</f>
        <v>38.910418409999998</v>
      </c>
    </row>
    <row r="22" spans="4:4">
      <c r="D22" s="29"/>
    </row>
  </sheetData>
  <conditionalFormatting sqref="C5 C7:C12">
    <cfRule type="cellIs" dxfId="205" priority="7" operator="lessThan">
      <formula>$J$3</formula>
    </cfRule>
    <cfRule type="cellIs" dxfId="204" priority="8" operator="greaterThan">
      <formula>$J$3</formula>
    </cfRule>
  </conditionalFormatting>
  <conditionalFormatting sqref="O6:O9">
    <cfRule type="cellIs" dxfId="203" priority="5" operator="lessThan">
      <formula>$J$3</formula>
    </cfRule>
    <cfRule type="cellIs" dxfId="202" priority="6" operator="greaterThan">
      <formula>$J$3</formula>
    </cfRule>
  </conditionalFormatting>
  <conditionalFormatting sqref="S6:S7">
    <cfRule type="cellIs" dxfId="201" priority="3" operator="lessThan">
      <formula>$J$3</formula>
    </cfRule>
    <cfRule type="cellIs" dxfId="200" priority="4" operator="greaterThan">
      <formula>$J$3</formula>
    </cfRule>
  </conditionalFormatting>
  <conditionalFormatting sqref="G13">
    <cfRule type="cellIs" dxfId="199" priority="1" operator="lessThan">
      <formula>$J$3</formula>
    </cfRule>
    <cfRule type="cellIs" dxfId="198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I41" sqref="I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11.697049984400779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14.315571011011713</v>
      </c>
      <c r="K4" s="4">
        <f>(J4/D14-1)</f>
        <v>0.30975032122705515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32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1.0285926062217658</v>
      </c>
      <c r="M6" t="s">
        <v>11</v>
      </c>
      <c r="N6" s="1">
        <f>(SUM($B$5:$B$7)/5)</f>
        <v>0.24477233200000001</v>
      </c>
      <c r="O6" s="38">
        <f>($C$5*Params!K8)</f>
        <v>12.800900900900901</v>
      </c>
      <c r="P6" s="38">
        <f>(O6*N6)</f>
        <v>3.1333063652144144</v>
      </c>
    </row>
    <row r="7" spans="2:16">
      <c r="B7" s="36">
        <v>2.5925589999999998E-2</v>
      </c>
      <c r="C7" s="40">
        <v>0</v>
      </c>
      <c r="D7" s="26">
        <f>(C7*B7)</f>
        <v>0</v>
      </c>
      <c r="E7" s="38">
        <f>(B7*J4)</f>
        <v>0.3711396246473751</v>
      </c>
      <c r="N7" s="1">
        <f>(SUM($B$5:$B$7)/5)</f>
        <v>0.24477233200000001</v>
      </c>
      <c r="O7" s="38">
        <f>($C$5*Params!K9)</f>
        <v>15.754954954954954</v>
      </c>
      <c r="P7" s="38">
        <f>(O7*N7)</f>
        <v>3.856377064879279</v>
      </c>
    </row>
    <row r="8" spans="2:16">
      <c r="N8" s="1">
        <f>(SUM($B$5:$B$7)/5)</f>
        <v>0.24477233200000001</v>
      </c>
      <c r="O8" s="38">
        <f>($C$5*Params!K10)</f>
        <v>21.663063063063063</v>
      </c>
      <c r="P8" s="38">
        <f>(O8*N8)</f>
        <v>5.3025184642090091</v>
      </c>
    </row>
    <row r="9" spans="2:16">
      <c r="N9" s="1">
        <f>(SUM($B$5:$B$7)/5)</f>
        <v>0.24477233200000001</v>
      </c>
      <c r="O9" s="38">
        <f>($C$5*Params!K11)</f>
        <v>49.234234234234229</v>
      </c>
      <c r="P9" s="38">
        <f>(O9*N9)</f>
        <v>12.051178327747747</v>
      </c>
    </row>
    <row r="12" spans="2:16">
      <c r="P12" s="38">
        <f>(SUM(P6:P9))</f>
        <v>24.343380222050449</v>
      </c>
    </row>
    <row r="13" spans="2:16">
      <c r="F13" t="s">
        <v>9</v>
      </c>
      <c r="G13" s="38">
        <f>(D14/B14)</f>
        <v>8.930747940906981</v>
      </c>
    </row>
    <row r="14" spans="2:16">
      <c r="B14" s="19">
        <f>(SUM(B5:B13))</f>
        <v>1.2238616600000001</v>
      </c>
      <c r="D14" s="38">
        <f>(SUM(D5:D13))</f>
        <v>10.93</v>
      </c>
    </row>
  </sheetData>
  <conditionalFormatting sqref="C5">
    <cfRule type="cellIs" dxfId="197" priority="5" operator="lessThan">
      <formula>$J$3</formula>
    </cfRule>
    <cfRule type="cellIs" dxfId="196" priority="6" operator="greaterThan">
      <formula>$J$3</formula>
    </cfRule>
  </conditionalFormatting>
  <conditionalFormatting sqref="O6:O9">
    <cfRule type="cellIs" dxfId="195" priority="3" operator="lessThan">
      <formula>$J$3</formula>
    </cfRule>
    <cfRule type="cellIs" dxfId="194" priority="4" operator="greaterThan">
      <formula>$J$3</formula>
    </cfRule>
  </conditionalFormatting>
  <conditionalFormatting sqref="G13">
    <cfRule type="cellIs" dxfId="193" priority="1" operator="lessThan">
      <formula>$J$3</formula>
    </cfRule>
    <cfRule type="cellIs" dxfId="192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2:V25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38">
        <v>42.767012972384727</v>
      </c>
      <c r="M3" t="s">
        <v>4</v>
      </c>
      <c r="N3" s="24">
        <f>(INDEX(N5:N23,MATCH(MAX(O20:O22,O6:O7),O5:O23,0))/0.9)</f>
        <v>0.15333333333333335</v>
      </c>
      <c r="O3" s="39">
        <f>(MAX(O20:O22,O6:O8)*0.85)</f>
        <v>30.745020976430972</v>
      </c>
      <c r="P3" s="35">
        <f>(O3*N3)</f>
        <v>4.7142365497194163</v>
      </c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57.634391526590299</v>
      </c>
      <c r="K4" s="4">
        <f>(J4/D19-1)</f>
        <v>-28.68124494354613</v>
      </c>
      <c r="R4" t="s">
        <v>5</v>
      </c>
      <c r="S4" t="s">
        <v>6</v>
      </c>
      <c r="T4" t="s">
        <v>7</v>
      </c>
    </row>
    <row r="5" spans="2:22">
      <c r="B5" s="24">
        <v>2.5085399800000001</v>
      </c>
      <c r="C5" s="38">
        <f>(D5/B5)</f>
        <v>15.586755766993994</v>
      </c>
      <c r="D5" s="38">
        <v>39.1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5">
        <f>(B6)</f>
        <v>1.5727080000000001E-2</v>
      </c>
      <c r="S5" s="40">
        <v>0</v>
      </c>
      <c r="T5" s="26">
        <f>(D6)</f>
        <v>0</v>
      </c>
      <c r="U5" s="38">
        <f>(R5*J3)</f>
        <v>0.67260023437773242</v>
      </c>
    </row>
    <row r="6" spans="2:22">
      <c r="B6" s="25">
        <v>1.5727080000000001E-2</v>
      </c>
      <c r="C6" s="40">
        <v>0</v>
      </c>
      <c r="D6" s="26">
        <f>(B6*C6)</f>
        <v>0</v>
      </c>
      <c r="E6" s="38">
        <f>(B6*J3)</f>
        <v>0.67260023437773242</v>
      </c>
      <c r="M6" t="s">
        <v>11</v>
      </c>
      <c r="N6" s="24">
        <f>($B$5+$R$7)/5</f>
        <v>0.50816741200000004</v>
      </c>
      <c r="O6" s="38">
        <f>($C$5*Params!K8)</f>
        <v>20.262782497092193</v>
      </c>
      <c r="P6" s="38">
        <f>(O6*N6)</f>
        <v>10.296885741466237</v>
      </c>
      <c r="Q6" t="s">
        <v>12</v>
      </c>
      <c r="R6" s="24">
        <f>B5+B13+B15+B17</f>
        <v>1.0102399800000001</v>
      </c>
      <c r="S6" s="38">
        <f>(T6/R6)</f>
        <v>16.204202292607743</v>
      </c>
      <c r="T6" s="38">
        <f>D5-(-B13-B15)*15.13+B17*15.25</f>
        <v>16.370133000000003</v>
      </c>
      <c r="U6" t="s">
        <v>15</v>
      </c>
    </row>
    <row r="7" spans="2:22">
      <c r="B7" s="24">
        <v>-7.17E-2</v>
      </c>
      <c r="C7" s="38">
        <f t="shared" ref="C7:C17" si="0">(D7/B7)</f>
        <v>15.79</v>
      </c>
      <c r="D7" s="38">
        <v>-1.1321429999999999</v>
      </c>
      <c r="N7" s="24">
        <f>-B15</f>
        <v>0.49669999999999997</v>
      </c>
      <c r="O7" s="38">
        <f>P7/N7</f>
        <v>24.414971270384541</v>
      </c>
      <c r="P7" s="38">
        <f>-D15</f>
        <v>12.126916230000001</v>
      </c>
      <c r="Q7" t="s">
        <v>12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83</v>
      </c>
      <c r="V7" s="39">
        <f>-T7+R7*J3</f>
        <v>1.5849045293301467</v>
      </c>
    </row>
    <row r="8" spans="2:22">
      <c r="B8">
        <v>-0.114356</v>
      </c>
      <c r="C8" s="38">
        <f t="shared" si="0"/>
        <v>20.563082741613908</v>
      </c>
      <c r="D8" s="38">
        <v>-2.3515118899999998</v>
      </c>
      <c r="N8" s="24">
        <f>-B17</f>
        <v>0.50490000000000002</v>
      </c>
      <c r="O8" s="38">
        <f>P8/N8</f>
        <v>36.170612913448203</v>
      </c>
      <c r="P8" s="38">
        <f>-D17</f>
        <v>18.262542459999999</v>
      </c>
      <c r="Q8" t="s">
        <v>12</v>
      </c>
      <c r="R8" s="24">
        <f>(B10)+B12+B14+B16</f>
        <v>0.28937245</v>
      </c>
      <c r="S8" s="38">
        <f>(T8/R8)</f>
        <v>15.368169983009782</v>
      </c>
      <c r="T8" s="38">
        <f>(D10)-(-B12-B14-B16)*14.31</f>
        <v>4.4471249999999989</v>
      </c>
      <c r="U8" t="str">
        <f>E10</f>
        <v>DCA4</v>
      </c>
    </row>
    <row r="9" spans="2:22">
      <c r="B9" s="24">
        <v>0.12727869999999999</v>
      </c>
      <c r="C9" s="38">
        <f t="shared" si="0"/>
        <v>17.442038612902241</v>
      </c>
      <c r="D9" s="38">
        <v>2.2200000000000002</v>
      </c>
      <c r="N9" s="24">
        <f>4*($B$5+$R$7+R5)/5-N6-N7-N8</f>
        <v>0.53548390000000035</v>
      </c>
      <c r="O9" s="38">
        <f>($S$6*Params!K11)</f>
        <v>81.021011463038718</v>
      </c>
      <c r="P9" s="38">
        <f>(O9*N9)</f>
        <v>43.385447200172706</v>
      </c>
      <c r="R9" s="24">
        <f t="shared" ref="R9:R14" si="1">B12-B12</f>
        <v>0</v>
      </c>
      <c r="S9" s="39">
        <v>0</v>
      </c>
      <c r="T9" s="39">
        <f>D12-B12*14.31</f>
        <v>-0.58156317999999962</v>
      </c>
    </row>
    <row r="10" spans="2:22">
      <c r="B10" s="24">
        <v>0.70187244999999998</v>
      </c>
      <c r="C10" s="38">
        <f t="shared" si="0"/>
        <v>14.746269069258952</v>
      </c>
      <c r="D10" s="38">
        <v>10.35</v>
      </c>
      <c r="E10" t="s">
        <v>84</v>
      </c>
      <c r="R10" s="24">
        <f t="shared" si="1"/>
        <v>0</v>
      </c>
      <c r="S10" s="39">
        <v>0</v>
      </c>
      <c r="T10" s="39">
        <f>D13-B13*15.13</f>
        <v>-3.3300066700000004</v>
      </c>
    </row>
    <row r="11" spans="2:22">
      <c r="B11" s="24">
        <v>9.1074379999999996E-2</v>
      </c>
      <c r="C11" s="38">
        <f t="shared" si="0"/>
        <v>11.638838496622212</v>
      </c>
      <c r="D11" s="38">
        <v>1.06</v>
      </c>
      <c r="P11" s="38">
        <f>(SUM(P6:P9))</f>
        <v>84.071791631638945</v>
      </c>
      <c r="R11" s="24">
        <f t="shared" si="1"/>
        <v>0</v>
      </c>
      <c r="S11" s="39">
        <v>0</v>
      </c>
      <c r="T11" s="39">
        <f>D14-B14*14.31</f>
        <v>-1.1646581099999997</v>
      </c>
    </row>
    <row r="12" spans="2:22">
      <c r="B12" s="24">
        <v>-0.13750000000000001</v>
      </c>
      <c r="C12" s="38">
        <f t="shared" si="0"/>
        <v>18.539550399999996</v>
      </c>
      <c r="D12" s="38">
        <v>-2.5491881799999998</v>
      </c>
      <c r="P12" s="38"/>
      <c r="R12" s="24">
        <f t="shared" si="1"/>
        <v>0</v>
      </c>
      <c r="S12" s="39">
        <v>0</v>
      </c>
      <c r="T12" s="39">
        <f>D15-B15*15.13</f>
        <v>-4.611845230000001</v>
      </c>
    </row>
    <row r="13" spans="2:22">
      <c r="B13" s="24">
        <v>-0.49669999999999997</v>
      </c>
      <c r="C13" s="38">
        <f t="shared" si="0"/>
        <v>21.834261465673446</v>
      </c>
      <c r="D13" s="38">
        <v>-10.84507767</v>
      </c>
      <c r="P13" s="38"/>
      <c r="R13" s="24">
        <f t="shared" si="1"/>
        <v>0</v>
      </c>
      <c r="S13" s="39">
        <v>0</v>
      </c>
      <c r="T13" s="39">
        <f>D16-B16*14.31</f>
        <v>-2.4447861399999997</v>
      </c>
    </row>
    <row r="14" spans="2:22">
      <c r="B14" s="24">
        <v>-0.13700000000000001</v>
      </c>
      <c r="C14" s="38">
        <f t="shared" si="0"/>
        <v>22.811154087591238</v>
      </c>
      <c r="D14" s="38">
        <f>-3.12512811</f>
        <v>-3.1251281099999999</v>
      </c>
      <c r="P14" s="38"/>
      <c r="R14" s="24">
        <f t="shared" si="1"/>
        <v>0</v>
      </c>
      <c r="T14" s="39">
        <f>D17-B17*15.25</f>
        <v>-10.562817459999998</v>
      </c>
    </row>
    <row r="15" spans="2:22">
      <c r="B15" s="24">
        <v>-0.49669999999999997</v>
      </c>
      <c r="C15" s="38">
        <f t="shared" si="0"/>
        <v>24.414971270384541</v>
      </c>
      <c r="D15" s="38">
        <v>-12.126916230000001</v>
      </c>
      <c r="P15" s="38"/>
    </row>
    <row r="16" spans="2:22">
      <c r="B16" s="24">
        <v>-0.13800000000000001</v>
      </c>
      <c r="C16" s="38">
        <f t="shared" si="0"/>
        <v>32.025841594202895</v>
      </c>
      <c r="D16" s="38">
        <v>-4.4195661399999997</v>
      </c>
      <c r="P16" s="38"/>
    </row>
    <row r="17" spans="2:20">
      <c r="B17" s="24">
        <v>-0.50490000000000002</v>
      </c>
      <c r="C17" s="38">
        <f t="shared" si="0"/>
        <v>36.170612913448203</v>
      </c>
      <c r="D17" s="38">
        <v>-18.262542459999999</v>
      </c>
      <c r="P17" s="38"/>
    </row>
    <row r="18" spans="2:20">
      <c r="F18" t="s">
        <v>9</v>
      </c>
      <c r="G18" s="38">
        <f>(D19/B19)</f>
        <v>-1.5449815591605405</v>
      </c>
    </row>
    <row r="19" spans="2:20">
      <c r="B19" s="24">
        <f>(SUM(B5:B18))</f>
        <v>1.3476365899999996</v>
      </c>
      <c r="D19" s="38">
        <f>(SUM(D5:D18))</f>
        <v>-2.0820736799999935</v>
      </c>
      <c r="M19" t="s">
        <v>84</v>
      </c>
      <c r="N19" t="s">
        <v>32</v>
      </c>
      <c r="O19" t="s">
        <v>1</v>
      </c>
      <c r="P19" t="s">
        <v>2</v>
      </c>
      <c r="R19" s="24">
        <f>(SUM(R5:R18))</f>
        <v>1.34763659</v>
      </c>
      <c r="T19" s="38">
        <f>(SUM(T5:T18))</f>
        <v>-2.0820736799999953</v>
      </c>
    </row>
    <row r="20" spans="2:20">
      <c r="M20" t="s">
        <v>11</v>
      </c>
      <c r="N20" s="24">
        <f>-B12</f>
        <v>0.13750000000000001</v>
      </c>
      <c r="O20" s="38">
        <f>18.6</f>
        <v>18.600000000000001</v>
      </c>
      <c r="P20" s="38">
        <f>-D12</f>
        <v>2.5491881799999998</v>
      </c>
      <c r="Q20" t="s">
        <v>12</v>
      </c>
    </row>
    <row r="21" spans="2:20">
      <c r="N21" s="24">
        <f>-B14</f>
        <v>0.13700000000000001</v>
      </c>
      <c r="O21" s="38">
        <f>C14</f>
        <v>22.811154087591238</v>
      </c>
      <c r="P21" s="38">
        <f>-D14</f>
        <v>3.1251281099999999</v>
      </c>
      <c r="Q21" t="s">
        <v>12</v>
      </c>
    </row>
    <row r="22" spans="2:20">
      <c r="N22" s="24">
        <f>-B16</f>
        <v>0.13800000000000001</v>
      </c>
      <c r="O22" s="38">
        <f>C16</f>
        <v>32.025841594202895</v>
      </c>
      <c r="P22" s="38">
        <f>-D16</f>
        <v>4.4195661399999997</v>
      </c>
      <c r="Q22" t="s">
        <v>12</v>
      </c>
    </row>
    <row r="23" spans="2:20">
      <c r="N23" s="24">
        <f>4*($B$10)/5-N20-N21-N22</f>
        <v>0.14899795999999993</v>
      </c>
      <c r="O23" s="38">
        <f>($S$8*Params!K11)</f>
        <v>76.840849915048906</v>
      </c>
      <c r="P23" s="38">
        <f>(O23*N23)</f>
        <v>11.449129882008455</v>
      </c>
    </row>
    <row r="25" spans="2:20">
      <c r="P25" s="38">
        <f>(SUM(P20:P23))</f>
        <v>21.543012312008457</v>
      </c>
    </row>
  </sheetData>
  <conditionalFormatting sqref="C5 C9:C11 G18 O9 O23 S6">
    <cfRule type="cellIs" dxfId="191" priority="19" operator="lessThan">
      <formula>$J$3</formula>
    </cfRule>
    <cfRule type="cellIs" dxfId="190" priority="20" operator="greaterThan">
      <formula>$J$3</formula>
    </cfRule>
  </conditionalFormatting>
  <conditionalFormatting sqref="S8">
    <cfRule type="cellIs" dxfId="189" priority="13" operator="lessThan">
      <formula>$J$3</formula>
    </cfRule>
    <cfRule type="cellIs" dxfId="188" priority="14" operator="greaterThan">
      <formula>$J$3</formula>
    </cfRule>
  </conditionalFormatting>
  <conditionalFormatting sqref="O3">
    <cfRule type="cellIs" dxfId="187" priority="1" operator="greaterThan">
      <formula>$J$3</formula>
    </cfRule>
    <cfRule type="cellIs" dxfId="186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R6" sqref="R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48">
        <v>3.9367964408963136E-3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3.7607674645513862</v>
      </c>
      <c r="K4" s="4">
        <f>(J4/D13-1)</f>
        <v>0.32787912288580556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48">
        <f t="shared" ref="C5:C11" si="0">(D5/B5)</f>
        <v>3.3950093362756749E-3</v>
      </c>
      <c r="D5" s="38">
        <v>3</v>
      </c>
      <c r="E5" t="s">
        <v>85</v>
      </c>
      <c r="N5" t="s">
        <v>32</v>
      </c>
      <c r="O5" t="s">
        <v>1</v>
      </c>
      <c r="P5" t="s">
        <v>2</v>
      </c>
      <c r="R5" s="19">
        <f>(B5)</f>
        <v>883.65</v>
      </c>
      <c r="S5" s="48">
        <f>(T5/R5)</f>
        <v>3.3950093362756749E-3</v>
      </c>
      <c r="T5" s="39">
        <f>(D5)</f>
        <v>3</v>
      </c>
    </row>
    <row r="6" spans="2:20">
      <c r="B6" s="19">
        <v>-170.21276596000001</v>
      </c>
      <c r="C6" s="48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48">
        <f>($C$5*Params!K8)</f>
        <v>4.4135121371583772E-3</v>
      </c>
      <c r="P6" s="38">
        <f>(O6*N6)</f>
        <v>0.84323348179256485</v>
      </c>
      <c r="R6" s="19">
        <f>(SUM(B6:B11))</f>
        <v>71.63623869999995</v>
      </c>
      <c r="S6" s="48">
        <v>0</v>
      </c>
      <c r="T6" s="39">
        <f>(SUM(D6:D11))</f>
        <v>-0.16783900000000007</v>
      </c>
    </row>
    <row r="7" spans="2:20">
      <c r="B7" s="19">
        <v>-175.57251908000001</v>
      </c>
      <c r="C7" s="48">
        <f t="shared" si="0"/>
        <v>5.0894468262020218E-3</v>
      </c>
      <c r="D7" s="38">
        <v>-0.893567</v>
      </c>
      <c r="N7" s="19">
        <f>(($B$5+$R$6)/5)</f>
        <v>191.05724773999998</v>
      </c>
      <c r="O7" s="48">
        <f>($C$5*Params!K9)</f>
        <v>5.4320149380410803E-3</v>
      </c>
      <c r="P7" s="38">
        <f>(O7*N7)</f>
        <v>1.0378258237446953</v>
      </c>
      <c r="S7" s="48"/>
    </row>
    <row r="8" spans="2:20">
      <c r="B8" s="19">
        <v>-167.78523490000001</v>
      </c>
      <c r="C8" s="48">
        <f t="shared" si="0"/>
        <v>7.2337771599710653E-3</v>
      </c>
      <c r="D8" s="38">
        <v>-1.213721</v>
      </c>
      <c r="N8" s="19">
        <f>(($B$5+$R$6)/5)</f>
        <v>191.05724773999998</v>
      </c>
      <c r="O8" s="48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48">
        <f t="shared" si="0"/>
        <v>5.7642178485542315E-3</v>
      </c>
      <c r="D9" s="38">
        <v>1.1300110000000001</v>
      </c>
      <c r="N9" s="19">
        <f>(($B$5+$R$6)/5)</f>
        <v>191.05724773999998</v>
      </c>
      <c r="O9" s="48">
        <f>($C$5*Params!K11)</f>
        <v>1.6975046681378374E-2</v>
      </c>
      <c r="P9" s="38">
        <f>(O9*N9)</f>
        <v>3.2432056992021727</v>
      </c>
    </row>
    <row r="10" spans="2:20">
      <c r="B10" s="19">
        <v>197.79050007999999</v>
      </c>
      <c r="C10" s="48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48">
        <f t="shared" si="0"/>
        <v>3.8549860588491342E-3</v>
      </c>
      <c r="D11" s="38">
        <v>0.737757</v>
      </c>
    </row>
    <row r="12" spans="2:20">
      <c r="F12" t="s">
        <v>9</v>
      </c>
      <c r="G12" s="48">
        <f>(D13/B13)</f>
        <v>2.9647250062495851E-3</v>
      </c>
      <c r="P12" s="38">
        <f>(SUM(P6:P9))</f>
        <v>6.5512755123883881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85" priority="17" operator="lessThan">
      <formula>$J$3</formula>
    </cfRule>
    <cfRule type="cellIs" dxfId="184" priority="18" operator="greaterThan">
      <formula>$J$3</formula>
    </cfRule>
  </conditionalFormatting>
  <conditionalFormatting sqref="C9:C11">
    <cfRule type="cellIs" dxfId="183" priority="15" operator="lessThan">
      <formula>$J$3</formula>
    </cfRule>
    <cfRule type="cellIs" dxfId="182" priority="16" operator="greaterThan">
      <formula>$J$3</formula>
    </cfRule>
    <cfRule type="cellIs" dxfId="181" priority="13" operator="lessThan">
      <formula>$J$3</formula>
    </cfRule>
    <cfRule type="cellIs" dxfId="180" priority="14" operator="greaterThan">
      <formula>$J$3</formula>
    </cfRule>
  </conditionalFormatting>
  <conditionalFormatting sqref="O6:O9">
    <cfRule type="cellIs" dxfId="179" priority="11" operator="lessThan">
      <formula>$J$3</formula>
    </cfRule>
    <cfRule type="cellIs" dxfId="178" priority="12" operator="greaterThan">
      <formula>$J$3</formula>
    </cfRule>
    <cfRule type="cellIs" dxfId="177" priority="9" operator="lessThan">
      <formula>$J$3</formula>
    </cfRule>
    <cfRule type="cellIs" dxfId="176" priority="10" operator="greaterThan">
      <formula>$J$3</formula>
    </cfRule>
  </conditionalFormatting>
  <conditionalFormatting sqref="S5">
    <cfRule type="cellIs" dxfId="175" priority="7" operator="lessThan">
      <formula>$J$3</formula>
    </cfRule>
    <cfRule type="cellIs" dxfId="174" priority="8" operator="greaterThan">
      <formula>$J$3</formula>
    </cfRule>
    <cfRule type="cellIs" dxfId="173" priority="5" operator="lessThan">
      <formula>$J$3</formula>
    </cfRule>
    <cfRule type="cellIs" dxfId="172" priority="6" operator="greaterThan">
      <formula>$J$3</formula>
    </cfRule>
  </conditionalFormatting>
  <conditionalFormatting sqref="G12">
    <cfRule type="cellIs" dxfId="171" priority="3" operator="lessThan">
      <formula>$J$3</formula>
    </cfRule>
    <cfRule type="cellIs" dxfId="170" priority="4" operator="greaterThan">
      <formula>$J$3</formula>
    </cfRule>
    <cfRule type="cellIs" dxfId="169" priority="1" operator="lessThan">
      <formula>$J$3</formula>
    </cfRule>
    <cfRule type="cellIs" dxfId="168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1" sqref="B11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245.2477121019449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173.04461276440307</v>
      </c>
      <c r="K4" s="4">
        <f>(J4/D17-1)</f>
        <v>-0.12227716432492919</v>
      </c>
      <c r="R4" t="s">
        <v>5</v>
      </c>
      <c r="S4" t="s">
        <v>6</v>
      </c>
      <c r="T4" t="s">
        <v>7</v>
      </c>
    </row>
    <row r="5" spans="2:21">
      <c r="B5" s="49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32</v>
      </c>
      <c r="O5" t="s">
        <v>1</v>
      </c>
      <c r="P5" t="s">
        <v>2</v>
      </c>
      <c r="R5" s="49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49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0.11123455600000001</v>
      </c>
      <c r="O6" s="38">
        <f>($S$8*Params!K8)</f>
        <v>369.47331367061867</v>
      </c>
      <c r="P6" s="38">
        <f>(O6*N6)</f>
        <v>41.098199999999999</v>
      </c>
      <c r="R6" s="49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49">
        <v>2.3499999999999999E-4</v>
      </c>
      <c r="C7" s="38">
        <v>0</v>
      </c>
      <c r="D7" s="38">
        <v>0</v>
      </c>
      <c r="E7" s="38">
        <f>(B7*J3)</f>
        <v>5.7633212343957047E-2</v>
      </c>
      <c r="I7" t="s">
        <v>11</v>
      </c>
      <c r="J7">
        <v>1</v>
      </c>
      <c r="N7" s="24">
        <f>($R$8/5)</f>
        <v>0.11123455600000001</v>
      </c>
      <c r="O7" s="38">
        <f>($S$8*Params!K9)</f>
        <v>454.7363860561461</v>
      </c>
      <c r="P7" s="38">
        <f>(O7*N7)</f>
        <v>50.582400000000007</v>
      </c>
      <c r="R7" s="49">
        <f>(B7+B8+B10)</f>
        <v>2.57084E-3</v>
      </c>
      <c r="S7" s="38">
        <f>(C7)</f>
        <v>0</v>
      </c>
      <c r="T7" s="38">
        <f>(R7*S7)</f>
        <v>0</v>
      </c>
    </row>
    <row r="8" spans="2:21">
      <c r="B8" s="49">
        <v>9.4980000000000002E-5</v>
      </c>
      <c r="C8" s="38">
        <v>0</v>
      </c>
      <c r="D8" s="38">
        <v>0</v>
      </c>
      <c r="E8" s="38">
        <f>(B8*J3)</f>
        <v>2.3293627695442728E-2</v>
      </c>
      <c r="I8" t="s">
        <v>13</v>
      </c>
      <c r="J8" s="49">
        <f>(J7-B17)</f>
        <v>0.29440886000000011</v>
      </c>
      <c r="N8" s="24">
        <f>($R$8/5)</f>
        <v>0.11123455600000001</v>
      </c>
      <c r="O8" s="38">
        <f>($S$8*Params!K10)</f>
        <v>625.26253082720086</v>
      </c>
      <c r="P8" s="38">
        <f>(O8*N8)</f>
        <v>69.55080000000001</v>
      </c>
      <c r="R8" s="49">
        <f>(B11)</f>
        <v>0.55617278000000003</v>
      </c>
      <c r="S8" s="38">
        <f>(C11)</f>
        <v>284.21024128509129</v>
      </c>
      <c r="T8" s="38">
        <f>(R8*S8)</f>
        <v>158.07</v>
      </c>
      <c r="U8" t="s">
        <v>10</v>
      </c>
    </row>
    <row r="9" spans="2:21">
      <c r="B9" s="49">
        <v>9.0920000000000004E-5</v>
      </c>
      <c r="C9" s="38">
        <v>276</v>
      </c>
      <c r="D9" s="38">
        <f>(B9*C9)</f>
        <v>2.5093920000000002E-2</v>
      </c>
      <c r="E9" s="38"/>
      <c r="I9" t="s">
        <v>14</v>
      </c>
      <c r="J9" s="41">
        <f>(J8*J3)</f>
        <v>72.203099337541829</v>
      </c>
      <c r="N9" s="24">
        <f>($R$8/5)</f>
        <v>0.11123455600000001</v>
      </c>
      <c r="O9" s="38">
        <f>($S$8*Params!K11)</f>
        <v>1421.0512064254565</v>
      </c>
      <c r="P9" s="38">
        <f>(O9*N9)</f>
        <v>158.07000000000002</v>
      </c>
      <c r="R9" s="49">
        <f>(B12)</f>
        <v>0.13710316</v>
      </c>
      <c r="S9" s="38">
        <f>(C12)</f>
        <v>285.18671633826676</v>
      </c>
      <c r="T9" s="38">
        <f>(R9*S9)</f>
        <v>39.1</v>
      </c>
      <c r="U9" t="s">
        <v>15</v>
      </c>
    </row>
    <row r="10" spans="2:21">
      <c r="B10" s="50">
        <v>2.2408599999999999E-3</v>
      </c>
      <c r="C10" s="40">
        <v>0</v>
      </c>
      <c r="D10" s="26">
        <v>0</v>
      </c>
      <c r="E10" s="38">
        <f>(B10*J3)</f>
        <v>0.54956578814076418</v>
      </c>
      <c r="P10" s="38"/>
      <c r="R10" s="49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49">
        <v>0.55617278000000003</v>
      </c>
      <c r="C11" s="38">
        <f>(D11/B11)</f>
        <v>284.21024128509129</v>
      </c>
      <c r="D11" s="38">
        <v>158.07</v>
      </c>
      <c r="E11" t="s">
        <v>10</v>
      </c>
      <c r="P11" s="38">
        <f>(SUM(P6:P9))</f>
        <v>319.30140000000006</v>
      </c>
    </row>
    <row r="12" spans="2:21">
      <c r="B12" s="49">
        <v>0.13710316</v>
      </c>
      <c r="C12" s="38">
        <f>(D12/B12)</f>
        <v>285.18671633826676</v>
      </c>
      <c r="D12" s="38">
        <v>39.1</v>
      </c>
      <c r="E12" t="s">
        <v>15</v>
      </c>
    </row>
    <row r="13" spans="2:21">
      <c r="B13" s="49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32</v>
      </c>
      <c r="O13" t="s">
        <v>1</v>
      </c>
      <c r="P13" t="s">
        <v>2</v>
      </c>
    </row>
    <row r="14" spans="2:21">
      <c r="B14" s="49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2.7420632E-2</v>
      </c>
      <c r="O14" s="38">
        <f>($S$9*Params!K8)</f>
        <v>370.74273123974683</v>
      </c>
      <c r="P14" s="38">
        <f>(O14*N14)</f>
        <v>10.166000000000002</v>
      </c>
    </row>
    <row r="15" spans="2:21">
      <c r="B15" s="49">
        <v>-0.29399999999999998</v>
      </c>
      <c r="C15" s="38">
        <f>(D15/B15)</f>
        <v>244.75500000000002</v>
      </c>
      <c r="D15" s="38">
        <v>-71.957970000000003</v>
      </c>
      <c r="N15" s="24">
        <f>($R$9/5)</f>
        <v>2.7420632E-2</v>
      </c>
      <c r="O15" s="38">
        <f>($S$9*Params!K9)</f>
        <v>456.29874614122684</v>
      </c>
      <c r="P15" s="38">
        <f>(O15*N15)</f>
        <v>12.512000000000002</v>
      </c>
    </row>
    <row r="16" spans="2:21">
      <c r="N16" s="24">
        <f>($R$9/5)</f>
        <v>2.7420632E-2</v>
      </c>
      <c r="O16" s="38">
        <f>($S$9*Params!K10)</f>
        <v>627.41077594418698</v>
      </c>
      <c r="P16" s="38">
        <f>(O16*N16)</f>
        <v>17.204000000000004</v>
      </c>
    </row>
    <row r="17" spans="2:16">
      <c r="B17" s="49">
        <f>(SUM(B5:B16))</f>
        <v>0.70559113999999989</v>
      </c>
      <c r="D17" s="38">
        <f>(SUM(D5:D16))</f>
        <v>197.15177244</v>
      </c>
      <c r="F17" t="s">
        <v>9</v>
      </c>
      <c r="G17" s="38">
        <f>(SUM(D5:D16)/SUM(B5:B16))</f>
        <v>279.4136168433181</v>
      </c>
      <c r="N17" s="24">
        <f>($R$9/5)</f>
        <v>2.7420632E-2</v>
      </c>
      <c r="O17" s="38">
        <f>($S$9*Params!K11)</f>
        <v>1425.9335816913338</v>
      </c>
      <c r="P17" s="38">
        <f>(O17*N17)</f>
        <v>39.1</v>
      </c>
    </row>
    <row r="18" spans="2:16">
      <c r="P18" s="38"/>
    </row>
    <row r="19" spans="2:16">
      <c r="P19" s="38">
        <f>(SUM(P14:P17))</f>
        <v>78.981999999999999</v>
      </c>
    </row>
    <row r="21" spans="2:16">
      <c r="N21" t="s">
        <v>32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9.77716E-4</v>
      </c>
      <c r="O22" s="38">
        <f>($S$5*Params!K8)</f>
        <v>323.96134165178148</v>
      </c>
      <c r="P22" s="38">
        <f>(O22*N22)</f>
        <v>0.31674218711441321</v>
      </c>
    </row>
    <row r="23" spans="2:16">
      <c r="N23" s="24">
        <f>(($R$5+$R$7)/5)</f>
        <v>9.77716E-4</v>
      </c>
      <c r="O23" s="38">
        <f>($S$5*Params!K9)</f>
        <v>398.72165126373102</v>
      </c>
      <c r="P23" s="38">
        <f>(O23*N23)</f>
        <v>0.38983653798697004</v>
      </c>
    </row>
    <row r="24" spans="2:16">
      <c r="N24" s="24">
        <f>(($R$5+$R$7)/5)</f>
        <v>9.77716E-4</v>
      </c>
      <c r="O24" s="38">
        <f>($S$5*Params!K10)</f>
        <v>548.24227048763021</v>
      </c>
      <c r="P24" s="38">
        <f>(O24*N24)</f>
        <v>0.53602523973208382</v>
      </c>
    </row>
    <row r="25" spans="2:16">
      <c r="N25" s="24">
        <f>(($R$5+$R$7)/5)</f>
        <v>9.77716E-4</v>
      </c>
      <c r="O25" s="38">
        <f>($S$5*Params!K11)</f>
        <v>1246.0051601991595</v>
      </c>
      <c r="P25" s="38">
        <f>(O25*N25)</f>
        <v>1.2182391812092814</v>
      </c>
    </row>
    <row r="26" spans="2:16">
      <c r="P26" s="38"/>
    </row>
    <row r="27" spans="2:16">
      <c r="P27" s="38">
        <f>(SUM(P22:P25))</f>
        <v>2.4608431460427487</v>
      </c>
    </row>
    <row r="37" spans="18:20">
      <c r="R37" s="49">
        <f>(SUM(R5:R27))</f>
        <v>0.70559114000000001</v>
      </c>
      <c r="T37" s="38">
        <f>(SUM(T5:T27))</f>
        <v>197.15177244</v>
      </c>
    </row>
  </sheetData>
  <conditionalFormatting sqref="C5:C6 C9 C11:C14 O6:O9 O14 S5:S6 S8:S9">
    <cfRule type="cellIs" dxfId="167" priority="11" operator="lessThan">
      <formula>$J$3</formula>
    </cfRule>
    <cfRule type="cellIs" dxfId="166" priority="12" operator="greaterThan">
      <formula>$J$3</formula>
    </cfRule>
  </conditionalFormatting>
  <conditionalFormatting sqref="O15:O17">
    <cfRule type="cellIs" dxfId="165" priority="7" operator="lessThan">
      <formula>$J$3</formula>
    </cfRule>
    <cfRule type="cellIs" dxfId="164" priority="8" operator="greaterThan">
      <formula>$J$3</formula>
    </cfRule>
  </conditionalFormatting>
  <conditionalFormatting sqref="O22:O25">
    <cfRule type="cellIs" dxfId="163" priority="5" operator="lessThan">
      <formula>$J$3</formula>
    </cfRule>
    <cfRule type="cellIs" dxfId="162" priority="6" operator="greaterThan">
      <formula>$J$3</formula>
    </cfRule>
  </conditionalFormatting>
  <conditionalFormatting sqref="G17">
    <cfRule type="cellIs" dxfId="161" priority="1" operator="lessThan">
      <formula>$J$3</formula>
    </cfRule>
    <cfRule type="cellIs" dxfId="160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N6" sqref="N6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1">
        <v>9.5136480281388533E-2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5.840793977944335</v>
      </c>
      <c r="K4" s="4">
        <f>(J4/D13-1)</f>
        <v>0.16815879558886704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32</v>
      </c>
      <c r="O5" t="s">
        <v>1</v>
      </c>
      <c r="P5" t="s">
        <v>2</v>
      </c>
    </row>
    <row r="6" spans="2:16">
      <c r="B6" s="36">
        <v>0.27472297000000001</v>
      </c>
      <c r="C6" s="40">
        <v>0</v>
      </c>
      <c r="D6" s="26">
        <f>(B6*C6)</f>
        <v>0</v>
      </c>
      <c r="E6" s="38">
        <f>(B6*J3)</f>
        <v>2.6136176418249495E-2</v>
      </c>
      <c r="M6" t="s">
        <v>11</v>
      </c>
      <c r="N6" s="29">
        <f>($B$13/5)</f>
        <v>12.278768271999999</v>
      </c>
      <c r="O6" s="38">
        <f>($C$5*Params!K8)</f>
        <v>0.10634970155367125</v>
      </c>
      <c r="P6" s="38">
        <f>(O6*N6)</f>
        <v>1.3058433411738875</v>
      </c>
    </row>
    <row r="7" spans="2:16">
      <c r="N7" s="29">
        <f>($B$13/5)</f>
        <v>12.278768271999999</v>
      </c>
      <c r="O7" s="38">
        <f>($C$5*Params!K9)</f>
        <v>0.13089194037374924</v>
      </c>
      <c r="P7" s="38">
        <f>(O7*N7)</f>
        <v>1.6071918045217077</v>
      </c>
    </row>
    <row r="8" spans="2:16">
      <c r="N8" s="29">
        <f>($B$13/5)</f>
        <v>12.278768271999999</v>
      </c>
      <c r="O8" s="38">
        <f>($C$5*Params!K10)</f>
        <v>0.17997641801390521</v>
      </c>
      <c r="P8" s="38">
        <f>(O8*N8)</f>
        <v>2.2098887312173483</v>
      </c>
    </row>
    <row r="9" spans="2:16">
      <c r="N9" s="29">
        <f>($B$13/5)</f>
        <v>12.278768271999999</v>
      </c>
      <c r="O9" s="38">
        <f>($C$5*Params!K11)</f>
        <v>0.40903731366796636</v>
      </c>
      <c r="P9" s="38">
        <f>(O9*N9)</f>
        <v>5.0224743891303367</v>
      </c>
    </row>
    <row r="11" spans="2:16">
      <c r="P11" s="38">
        <f>(SUM(P6:P9))</f>
        <v>10.14539826604328</v>
      </c>
    </row>
    <row r="12" spans="2:16">
      <c r="F12" t="s">
        <v>9</v>
      </c>
      <c r="G12" s="38">
        <f>(D13/B13)</f>
        <v>8.1441393619289898E-2</v>
      </c>
    </row>
    <row r="13" spans="2:16">
      <c r="B13" s="29">
        <f>(SUM(B5:B12))</f>
        <v>61.393841359999996</v>
      </c>
      <c r="D13" s="38">
        <f>(SUM(D5:D12))</f>
        <v>5</v>
      </c>
    </row>
  </sheetData>
  <conditionalFormatting sqref="O6:O9">
    <cfRule type="cellIs" dxfId="159" priority="5" operator="lessThan">
      <formula>$J$3</formula>
    </cfRule>
    <cfRule type="cellIs" dxfId="158" priority="6" operator="greaterThan">
      <formula>$J$3</formula>
    </cfRule>
  </conditionalFormatting>
  <conditionalFormatting sqref="C5">
    <cfRule type="cellIs" dxfId="157" priority="3" operator="lessThan">
      <formula>$J$3</formula>
    </cfRule>
    <cfRule type="cellIs" dxfId="156" priority="4" operator="greaterThan">
      <formula>$J$3</formula>
    </cfRule>
  </conditionalFormatting>
  <conditionalFormatting sqref="G12">
    <cfRule type="cellIs" dxfId="155" priority="1" operator="lessThan">
      <formula>$J$3</formula>
    </cfRule>
    <cfRule type="cellIs" dxfId="154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2:U27"/>
  <sheetViews>
    <sheetView workbookViewId="0">
      <selection activeCell="B5" sqref="B5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7.0591541297301426</v>
      </c>
      <c r="M3" t="s">
        <v>4</v>
      </c>
      <c r="N3" s="24">
        <f>(INDEX(N5:N16,MATCH(MAX(O6),O5:O16,0))/0.9)</f>
        <v>1.5256666666666665</v>
      </c>
      <c r="O3" s="39">
        <f>(MAX(O6)*0.85)</f>
        <v>6.1249660527274052</v>
      </c>
      <c r="P3" s="35">
        <f>(O3*N3)</f>
        <v>9.3446565411111102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40.812046403339693</v>
      </c>
      <c r="K4" s="4">
        <f>(J4/D14-1)</f>
        <v>0.38345914430587502</v>
      </c>
      <c r="R4" t="s">
        <v>5</v>
      </c>
      <c r="S4" t="s">
        <v>6</v>
      </c>
      <c r="T4" t="s">
        <v>7</v>
      </c>
    </row>
    <row r="5" spans="2:21">
      <c r="B5" s="24">
        <v>6.9949200100000004</v>
      </c>
      <c r="C5" s="38">
        <f>(D5/B5)</f>
        <v>5.5897708542917277</v>
      </c>
      <c r="D5" s="38">
        <v>39.1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5">
        <f>(B6)</f>
        <v>7.1834339999999997E-2</v>
      </c>
      <c r="S5" s="40">
        <v>0</v>
      </c>
      <c r="T5" s="26">
        <f>(D6)</f>
        <v>0</v>
      </c>
      <c r="U5">
        <f>(R5*J3)</f>
        <v>0.50708967786743919</v>
      </c>
    </row>
    <row r="6" spans="2:21">
      <c r="B6" s="25">
        <v>7.1834339999999997E-2</v>
      </c>
      <c r="C6" s="40">
        <v>0</v>
      </c>
      <c r="D6" s="26">
        <f>(B6*C6)</f>
        <v>0</v>
      </c>
      <c r="E6" s="38">
        <f>(B6*J3)</f>
        <v>0.50708967786743919</v>
      </c>
      <c r="M6" t="s">
        <v>11</v>
      </c>
      <c r="N6" s="24">
        <f>-B11</f>
        <v>1.3731</v>
      </c>
      <c r="O6" s="38">
        <f>C11</f>
        <v>7.2058424149734179</v>
      </c>
      <c r="P6" s="38">
        <f>-D11</f>
        <v>9.8943422200000004</v>
      </c>
      <c r="Q6" t="s">
        <v>12</v>
      </c>
      <c r="R6" s="24">
        <f>B5+B11</f>
        <v>5.6218200100000004</v>
      </c>
      <c r="S6" s="38">
        <f>(T6/R6)</f>
        <v>5.601927123952871</v>
      </c>
      <c r="T6" s="38">
        <f>D5+B11*5.54</f>
        <v>31.493026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2*($B$14-$B$11)/5-N6</f>
        <v>1.4887143200000001</v>
      </c>
      <c r="O7" s="38">
        <f>($S$6*Params!K9)</f>
        <v>8.9630833983245939</v>
      </c>
      <c r="P7" s="38">
        <f>(O7*N7)</f>
        <v>13.343470606440087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($B$14-$B$11)/5</f>
        <v>1.4309071600000001</v>
      </c>
      <c r="O8" s="38">
        <f>($C$5*Params!K10)</f>
        <v>12.297495879441803</v>
      </c>
      <c r="P8" s="38">
        <f>(O8*N8)</f>
        <v>17.596574903963774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($B$14-$B$11)/5</f>
        <v>1.4309071600000001</v>
      </c>
      <c r="O9" s="38">
        <f>($C$5*Params!K11)</f>
        <v>27.948854271458639</v>
      </c>
      <c r="P9" s="38">
        <f>(O9*N9)</f>
        <v>39.992215690826754</v>
      </c>
      <c r="R9" s="24">
        <f>B11-B11</f>
        <v>0</v>
      </c>
      <c r="S9" s="38">
        <v>0</v>
      </c>
      <c r="T9" s="39">
        <f>D11-B11*5.54</f>
        <v>-2.2873682200000003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B11" s="24">
        <v>-1.3731</v>
      </c>
      <c r="C11" s="38">
        <f>(D11/B11)</f>
        <v>7.2058424149734179</v>
      </c>
      <c r="D11" s="38">
        <f>-9.89434222</f>
        <v>-9.8943422200000004</v>
      </c>
      <c r="N11" s="24"/>
      <c r="P11" s="38"/>
    </row>
    <row r="12" spans="2:21">
      <c r="N12" s="24"/>
      <c r="P12" s="38">
        <f>(SUM(P6:P9))</f>
        <v>80.826603421230615</v>
      </c>
    </row>
    <row r="13" spans="2:21">
      <c r="F13" t="s">
        <v>9</v>
      </c>
      <c r="G13" s="38">
        <f>(D14/B14)</f>
        <v>5.1025389212139993</v>
      </c>
      <c r="N13" s="24"/>
      <c r="P13" s="38"/>
      <c r="R13" s="24">
        <f>(SUM(R5:R12))</f>
        <v>5.7814357999999997</v>
      </c>
      <c r="T13" s="38">
        <f>(SUM(T5:T12))</f>
        <v>29.500001189999999</v>
      </c>
    </row>
    <row r="14" spans="2:21">
      <c r="B14">
        <f>(SUM(B5:B13))</f>
        <v>5.7814358000000006</v>
      </c>
      <c r="D14" s="38">
        <f>(SUM(D5:D13))</f>
        <v>29.500001189999999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7:O9 S6:S7">
    <cfRule type="cellIs" dxfId="153" priority="17" operator="lessThan">
      <formula>$J$3</formula>
    </cfRule>
    <cfRule type="cellIs" dxfId="152" priority="18" operator="greaterThan">
      <formula>$J$3</formula>
    </cfRule>
  </conditionalFormatting>
  <conditionalFormatting sqref="O3">
    <cfRule type="cellIs" dxfId="151" priority="1" operator="greaterThan">
      <formula>$J$3</formula>
    </cfRule>
    <cfRule type="cellIs" dxfId="150" priority="2" operator="less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2:Q13"/>
  <sheetViews>
    <sheetView workbookViewId="0">
      <selection activeCell="D7" sqref="D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17">
      <c r="N2" t="s">
        <v>0</v>
      </c>
      <c r="O2" t="s">
        <v>1</v>
      </c>
      <c r="P2" t="s">
        <v>2</v>
      </c>
    </row>
    <row r="3" spans="2:17">
      <c r="I3" t="s">
        <v>3</v>
      </c>
      <c r="J3" s="38">
        <v>61.710927989021158</v>
      </c>
      <c r="M3" t="s">
        <v>4</v>
      </c>
      <c r="N3" s="24">
        <f>(INDEX(N5:N16,MATCH(MAX(O6),O5:O16,0))/0.9)</f>
        <v>2.75E-2</v>
      </c>
      <c r="O3" s="39">
        <f>(MAX(O6)*0.85)</f>
        <v>48.820710242424241</v>
      </c>
      <c r="P3" s="35">
        <f>(O3*N3)</f>
        <v>1.3425695316666666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6.1118027906181043</v>
      </c>
      <c r="K4" s="4">
        <f>(J4/D13-1)</f>
        <v>0.61753984439714826</v>
      </c>
    </row>
    <row r="5" spans="2:17">
      <c r="B5" s="24">
        <v>0.12084767</v>
      </c>
      <c r="C5" s="38">
        <v>43.03</v>
      </c>
      <c r="D5" s="38">
        <v>5.2</v>
      </c>
      <c r="N5" t="s">
        <v>32</v>
      </c>
      <c r="O5" t="s">
        <v>1</v>
      </c>
      <c r="P5" t="s">
        <v>2</v>
      </c>
    </row>
    <row r="6" spans="2:17">
      <c r="B6" s="25">
        <v>2.9415600000000002E-3</v>
      </c>
      <c r="C6" s="40">
        <v>0</v>
      </c>
      <c r="D6" s="26">
        <f>(B6*C6)</f>
        <v>0</v>
      </c>
      <c r="E6" s="38">
        <f>(B6*J3)</f>
        <v>0.18152639733538509</v>
      </c>
      <c r="M6" t="s">
        <v>11</v>
      </c>
      <c r="N6" s="24">
        <f>-B7</f>
        <v>2.4750000000000001E-2</v>
      </c>
      <c r="O6" s="38">
        <f>P6/N6</f>
        <v>57.436129696969694</v>
      </c>
      <c r="P6" s="38">
        <f>-D7</f>
        <v>1.42154421</v>
      </c>
      <c r="Q6" t="s">
        <v>12</v>
      </c>
    </row>
    <row r="7" spans="2:17">
      <c r="B7">
        <v>-2.4750000000000001E-2</v>
      </c>
      <c r="C7" s="38">
        <f>D7/B7</f>
        <v>57.436129696969694</v>
      </c>
      <c r="D7" s="38">
        <f>-1.42154421</f>
        <v>-1.42154421</v>
      </c>
      <c r="N7" s="24">
        <f>($B$13-$B$7)/5</f>
        <v>2.4757846E-2</v>
      </c>
      <c r="O7" s="38">
        <f>($C$5*Params!K9)</f>
        <v>68.847999999999999</v>
      </c>
      <c r="P7" s="38">
        <f>(O7*N7)</f>
        <v>1.704528181408</v>
      </c>
    </row>
    <row r="8" spans="2:17">
      <c r="N8" s="24">
        <f>($B$13-$B$7)/5</f>
        <v>2.4757846E-2</v>
      </c>
      <c r="O8" s="38">
        <f>($C$5*Params!K10)</f>
        <v>94.666000000000011</v>
      </c>
      <c r="P8" s="38">
        <f>(O8*N8)</f>
        <v>2.3437262494360001</v>
      </c>
    </row>
    <row r="9" spans="2:17">
      <c r="N9" s="24">
        <f>($B$13-$B$7)/5</f>
        <v>2.4757846E-2</v>
      </c>
      <c r="O9" s="38">
        <f>($C$5*Params!K11)</f>
        <v>215.15</v>
      </c>
      <c r="P9" s="38">
        <f>(O9*N9)</f>
        <v>5.3266505668999997</v>
      </c>
    </row>
    <row r="11" spans="2:17">
      <c r="P11" s="38">
        <f>(SUM(P6:P9))</f>
        <v>10.796449207744001</v>
      </c>
    </row>
    <row r="12" spans="2:17">
      <c r="F12" t="s">
        <v>9</v>
      </c>
      <c r="G12" s="38">
        <f>(D13/B13)</f>
        <v>38.151102245039667</v>
      </c>
    </row>
    <row r="13" spans="2:17">
      <c r="B13">
        <f>(SUM(B5:B12))</f>
        <v>9.9039230000000006E-2</v>
      </c>
      <c r="D13" s="38">
        <f>(SUM(D5:D12))</f>
        <v>3.7784557900000002</v>
      </c>
    </row>
  </sheetData>
  <conditionalFormatting sqref="C5">
    <cfRule type="cellIs" dxfId="149" priority="9" operator="lessThan">
      <formula>$J$3</formula>
    </cfRule>
    <cfRule type="cellIs" dxfId="148" priority="10" operator="greaterThan">
      <formula>$J$3</formula>
    </cfRule>
  </conditionalFormatting>
  <conditionalFormatting sqref="O7:O9">
    <cfRule type="cellIs" dxfId="147" priority="7" operator="lessThan">
      <formula>$J$3</formula>
    </cfRule>
    <cfRule type="cellIs" dxfId="146" priority="8" operator="greaterThan">
      <formula>$J$3</formula>
    </cfRule>
  </conditionalFormatting>
  <conditionalFormatting sqref="G12">
    <cfRule type="cellIs" dxfId="145" priority="5" operator="lessThan">
      <formula>$J$3</formula>
    </cfRule>
    <cfRule type="cellIs" dxfId="144" priority="6" operator="greaterThan">
      <formula>$J$3</formula>
    </cfRule>
  </conditionalFormatting>
  <conditionalFormatting sqref="O3">
    <cfRule type="cellIs" dxfId="143" priority="1" operator="greaterThan">
      <formula>$J$3</formula>
    </cfRule>
    <cfRule type="cellIs" dxfId="142" priority="2" operator="less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2:T23"/>
  <sheetViews>
    <sheetView workbookViewId="0">
      <selection activeCell="O3" sqref="O3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0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10.237010643775619</v>
      </c>
      <c r="M3" t="s">
        <v>4</v>
      </c>
      <c r="N3" s="24">
        <f>(INDEX(N5:N17,MATCH(MAX(O6:O8),O5:O17,0))/0.9)</f>
        <v>0.51977777777777778</v>
      </c>
      <c r="O3" s="39">
        <f>(MAX(O6:O8)*0.85)</f>
        <v>9.4480835495938429</v>
      </c>
      <c r="P3" s="35">
        <f>(O3*N3)</f>
        <v>4.9109038716666662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(B11*J3)</f>
        <v>9.5773664438906287</v>
      </c>
      <c r="K4" s="4">
        <f>(J4/D11-1)</f>
        <v>-8.2639835274073086</v>
      </c>
      <c r="R4" t="s">
        <v>5</v>
      </c>
      <c r="S4" t="s">
        <v>6</v>
      </c>
      <c r="T4" t="s">
        <v>7</v>
      </c>
    </row>
    <row r="5" spans="2:20">
      <c r="B5" s="1">
        <v>2.33660749</v>
      </c>
      <c r="C5" s="38">
        <f>(D5/B5)</f>
        <v>4.6734421791997249</v>
      </c>
      <c r="D5" s="38">
        <v>10.92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(B5)+B7+B8+B9</f>
        <v>0.93330749000000002</v>
      </c>
      <c r="S5" s="38">
        <f>(T5/R5)</f>
        <v>4.7012659354099888</v>
      </c>
      <c r="T5" s="38">
        <f>(D5)+(B7)*4.615+(B8+B9)*4.6733</f>
        <v>4.387726709999999</v>
      </c>
    </row>
    <row r="6" spans="2:20">
      <c r="B6" s="2">
        <v>2.2553199999999999E-3</v>
      </c>
      <c r="C6" s="40">
        <v>0</v>
      </c>
      <c r="D6" s="26">
        <f>(B6*C6)</f>
        <v>0</v>
      </c>
      <c r="E6" s="38">
        <f>(B6*J3)</f>
        <v>2.3087734845120028E-2</v>
      </c>
      <c r="M6" t="s">
        <v>11</v>
      </c>
      <c r="N6" s="24">
        <f>-B7</f>
        <v>0.442</v>
      </c>
      <c r="O6" s="38">
        <f>P6/N6</f>
        <v>6.1223448642533933</v>
      </c>
      <c r="P6" s="38">
        <f>-D7</f>
        <v>2.70607643</v>
      </c>
      <c r="Q6" t="s">
        <v>12</v>
      </c>
      <c r="R6" s="2">
        <f>(B6)</f>
        <v>2.2553199999999999E-3</v>
      </c>
      <c r="S6" s="40">
        <f>(T6/R6)</f>
        <v>0</v>
      </c>
      <c r="T6" s="26">
        <f>(D6)</f>
        <v>0</v>
      </c>
    </row>
    <row r="7" spans="2:20">
      <c r="B7" s="1">
        <v>-0.442</v>
      </c>
      <c r="C7" s="39">
        <f>D7/B7</f>
        <v>6.1223448642533933</v>
      </c>
      <c r="D7" s="38">
        <v>-2.70607643</v>
      </c>
      <c r="N7" s="24">
        <f>-B8</f>
        <v>0.49349999999999999</v>
      </c>
      <c r="O7" s="38">
        <f>P7/N7</f>
        <v>8.779363809523808</v>
      </c>
      <c r="P7" s="38">
        <f>-D8</f>
        <v>4.3326160399999996</v>
      </c>
      <c r="Q7" t="s">
        <v>12</v>
      </c>
      <c r="R7" s="1">
        <f>(B7)-B7</f>
        <v>0</v>
      </c>
      <c r="S7" s="38">
        <v>0</v>
      </c>
      <c r="T7" s="38">
        <f>(D7)-B7*4.615</f>
        <v>-0.66624642999999972</v>
      </c>
    </row>
    <row r="8" spans="2:20">
      <c r="B8">
        <v>-0.49349999999999999</v>
      </c>
      <c r="C8" s="39">
        <f>D8/B8</f>
        <v>8.779363809523808</v>
      </c>
      <c r="D8" s="38">
        <v>-4.3326160399999996</v>
      </c>
      <c r="N8" s="24">
        <f>-B9</f>
        <v>0.46779999999999999</v>
      </c>
      <c r="O8" s="38">
        <f>C9</f>
        <v>11.115392411286875</v>
      </c>
      <c r="P8" s="38">
        <f>-D9</f>
        <v>5.1997805699999997</v>
      </c>
      <c r="Q8" t="s">
        <v>12</v>
      </c>
      <c r="R8" s="1">
        <f>(B8)-B8</f>
        <v>0</v>
      </c>
      <c r="S8" s="38">
        <v>0</v>
      </c>
      <c r="T8" s="38">
        <f>(D8)-B8*4.6733</f>
        <v>-2.0263424899999993</v>
      </c>
    </row>
    <row r="9" spans="2:20">
      <c r="B9">
        <v>-0.46779999999999999</v>
      </c>
      <c r="C9" s="39">
        <f>D9/B9</f>
        <v>11.115392411286875</v>
      </c>
      <c r="D9" s="38">
        <v>-5.1997805699999997</v>
      </c>
      <c r="N9" s="24">
        <f>4*($B$11+$N$6+N8+N7)/5-$N$6-N8-N7</f>
        <v>0.4677902480000003</v>
      </c>
      <c r="O9" s="38">
        <f>($C$5*Params!K11)</f>
        <v>23.367210895998625</v>
      </c>
      <c r="P9" s="38">
        <f>(O9*N9)</f>
        <v>10.930953380107505</v>
      </c>
      <c r="R9" s="1">
        <f>(B9)-B9</f>
        <v>0</v>
      </c>
      <c r="S9" s="38">
        <v>0</v>
      </c>
      <c r="T9" s="38">
        <f>(D9)-B9*4.6733</f>
        <v>-3.0136108299999997</v>
      </c>
    </row>
    <row r="10" spans="2:20">
      <c r="F10" t="s">
        <v>9</v>
      </c>
      <c r="G10" s="38">
        <f>(D11/B11)</f>
        <v>-1.4092832954743024</v>
      </c>
      <c r="R10" s="1"/>
      <c r="S10" s="38"/>
      <c r="T10" s="38"/>
    </row>
    <row r="11" spans="2:20">
      <c r="B11">
        <f>(SUM(B5:B10))</f>
        <v>0.93556281000000019</v>
      </c>
      <c r="D11" s="38">
        <f>(SUM(D5:D10))</f>
        <v>-1.3184730399999989</v>
      </c>
      <c r="P11" s="38">
        <f>(SUM(P6:P9))</f>
        <v>23.169426420107506</v>
      </c>
      <c r="R11" s="1"/>
      <c r="S11" s="38"/>
      <c r="T11" s="38"/>
    </row>
    <row r="12" spans="2:20">
      <c r="R12" s="1"/>
      <c r="S12" s="38"/>
      <c r="T12" s="39"/>
    </row>
    <row r="13" spans="2:20">
      <c r="P13" s="38"/>
    </row>
    <row r="23" spans="18:20">
      <c r="R23">
        <f>(SUM(R5:R22))</f>
        <v>0.93556280999999997</v>
      </c>
      <c r="T23" s="38">
        <f>(SUM(T5:T22))</f>
        <v>-1.3184730399999998</v>
      </c>
    </row>
  </sheetData>
  <conditionalFormatting sqref="C5 G10 S5">
    <cfRule type="cellIs" dxfId="141" priority="9" operator="lessThan">
      <formula>$J$3</formula>
    </cfRule>
    <cfRule type="cellIs" dxfId="140" priority="10" operator="greaterThan">
      <formula>$J$3</formula>
    </cfRule>
  </conditionalFormatting>
  <conditionalFormatting sqref="O9">
    <cfRule type="cellIs" dxfId="139" priority="7" operator="lessThan">
      <formula>$J$3</formula>
    </cfRule>
    <cfRule type="cellIs" dxfId="138" priority="8" operator="greaterThan">
      <formula>$J$3</formula>
    </cfRule>
  </conditionalFormatting>
  <conditionalFormatting sqref="O3">
    <cfRule type="cellIs" dxfId="137" priority="1" operator="greaterThan">
      <formula>$J$3</formula>
    </cfRule>
    <cfRule type="cellIs" dxfId="136" priority="2" operator="less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2.167537247324935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12.197494803704</v>
      </c>
      <c r="K4" s="4">
        <f>(J4/D10-1)</f>
        <v>3.9090373418930735E-3</v>
      </c>
    </row>
    <row r="5" spans="2:16">
      <c r="B5" s="1">
        <v>5.6098783900000004</v>
      </c>
      <c r="C5" s="38">
        <f>(D5/B5)</f>
        <v>2.1658223503843188</v>
      </c>
      <c r="D5" s="38">
        <v>12.15</v>
      </c>
      <c r="E5" t="s">
        <v>84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2">
        <v>1.7473490000000001E-2</v>
      </c>
      <c r="C6" s="40">
        <v>0</v>
      </c>
      <c r="D6" s="26">
        <f>(B6*C6)</f>
        <v>0</v>
      </c>
      <c r="E6" s="38">
        <f>(B6*J3)</f>
        <v>3.7874440415759783E-2</v>
      </c>
      <c r="M6" t="s">
        <v>11</v>
      </c>
      <c r="N6" s="1">
        <f>($B$10/5)</f>
        <v>1.1254703760000002</v>
      </c>
      <c r="O6" s="38">
        <f>($C$5*Params!K8)</f>
        <v>2.8155690554996147</v>
      </c>
      <c r="P6" s="38">
        <f>(O6*N6)</f>
        <v>3.1688395635471167</v>
      </c>
    </row>
    <row r="7" spans="2:16">
      <c r="N7" s="1">
        <f>($B$10/5)</f>
        <v>1.1254703760000002</v>
      </c>
      <c r="O7" s="38">
        <f>($C$5*Params!K9)</f>
        <v>3.4653157606149101</v>
      </c>
      <c r="P7" s="38">
        <f>(O7*N7)</f>
        <v>3.9001102320579895</v>
      </c>
    </row>
    <row r="8" spans="2:16">
      <c r="N8" s="1">
        <f>($B$10/5)</f>
        <v>1.1254703760000002</v>
      </c>
      <c r="O8" s="38">
        <f>($C$5*Params!K10)</f>
        <v>4.7648091708455018</v>
      </c>
      <c r="P8" s="38">
        <f>(O8*N8)</f>
        <v>5.3626515690797358</v>
      </c>
    </row>
    <row r="9" spans="2:16">
      <c r="F9" t="s">
        <v>9</v>
      </c>
      <c r="G9" s="38">
        <f>(D10/B10)</f>
        <v>2.1590972555282963</v>
      </c>
      <c r="N9" s="1">
        <f>($B$10/5)</f>
        <v>1.1254703760000002</v>
      </c>
      <c r="O9" s="38">
        <f>($C$5*Params!K11)</f>
        <v>10.829111751921594</v>
      </c>
      <c r="P9" s="38">
        <f>(O9*N9)</f>
        <v>12.187844475181217</v>
      </c>
    </row>
    <row r="10" spans="2:16">
      <c r="B10" s="1">
        <f>(SUM(B5:B9))</f>
        <v>5.6273518800000009</v>
      </c>
      <c r="D10" s="38">
        <f>(SUM(D5:D9))</f>
        <v>12.15</v>
      </c>
    </row>
    <row r="11" spans="2:16">
      <c r="P11" s="38">
        <f>(SUM(P6:P9))</f>
        <v>24.61944583986606</v>
      </c>
    </row>
  </sheetData>
  <conditionalFormatting sqref="C5">
    <cfRule type="cellIs" dxfId="135" priority="5" operator="lessThan">
      <formula>$J$3</formula>
    </cfRule>
    <cfRule type="cellIs" dxfId="134" priority="6" operator="greaterThan">
      <formula>$J$3</formula>
    </cfRule>
  </conditionalFormatting>
  <conditionalFormatting sqref="O6:O9">
    <cfRule type="cellIs" dxfId="133" priority="3" operator="lessThan">
      <formula>$J$3</formula>
    </cfRule>
    <cfRule type="cellIs" dxfId="132" priority="4" operator="greaterThan">
      <formula>$J$3</formula>
    </cfRule>
  </conditionalFormatting>
  <conditionalFormatting sqref="G9">
    <cfRule type="cellIs" dxfId="131" priority="1" operator="lessThan">
      <formula>$J$3</formula>
    </cfRule>
    <cfRule type="cellIs" dxfId="130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Z78"/>
  <sheetViews>
    <sheetView workbookViewId="0">
      <selection activeCell="F37" sqref="F37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42296.289526428263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(B38*J3)</f>
        <v>1226.1685874453651</v>
      </c>
      <c r="K4" s="4">
        <f>(J4/D38-1)</f>
        <v>0.80753298009214514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3.4944000000000002E-4</v>
      </c>
      <c r="C6" s="40">
        <v>0</v>
      </c>
      <c r="D6" s="26">
        <f>(B6*C6)</f>
        <v>0</v>
      </c>
      <c r="E6" s="38">
        <f>(B6*J3)</f>
        <v>14.780015412115093</v>
      </c>
      <c r="I6" t="s">
        <v>11</v>
      </c>
      <c r="J6">
        <v>0.03</v>
      </c>
      <c r="R6" s="24">
        <f t="shared" si="0"/>
        <v>3.4944000000000002E-4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 s="42">
        <f>(J6-B38)</f>
        <v>1.01001999999999E-3</v>
      </c>
      <c r="R7" s="24">
        <f t="shared" si="0"/>
        <v>5.1073000000000004E-4</v>
      </c>
      <c r="S7" s="38">
        <f>(T7/R7)</f>
        <v>30544.514714232566</v>
      </c>
      <c r="T7" s="38" t="s">
        <v>20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42.720098347482647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21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22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6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6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6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6.46212E-3</v>
      </c>
      <c r="S19" s="38">
        <f t="shared" si="2"/>
        <v>24364.449870940185</v>
      </c>
      <c r="T19" s="38">
        <f>(D23+17438.6*B32)</f>
        <v>157.44599879999998</v>
      </c>
      <c r="U19" t="s">
        <v>10</v>
      </c>
    </row>
    <row r="20" spans="2:26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1.47937E-3</v>
      </c>
      <c r="S20" s="38">
        <f t="shared" si="2"/>
        <v>25824.478594266478</v>
      </c>
      <c r="T20" s="38">
        <f>(D24+17211.7*B31)</f>
        <v>38.203958898000003</v>
      </c>
      <c r="U20" t="s">
        <v>15</v>
      </c>
    </row>
    <row r="21" spans="2:26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6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6">
      <c r="B23" s="24">
        <v>6.8041200000000003E-3</v>
      </c>
      <c r="C23" s="38">
        <f t="shared" si="3"/>
        <v>24016.331281635245</v>
      </c>
      <c r="D23" s="38">
        <v>163.41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6">
      <c r="B24" s="24">
        <v>1.5314300000000001E-3</v>
      </c>
      <c r="C24" s="38">
        <f t="shared" si="3"/>
        <v>25531.692601033021</v>
      </c>
      <c r="D24" s="38">
        <v>39.1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1.74906E-3</v>
      </c>
      <c r="S24" s="38">
        <f>(T24/R24)</f>
        <v>27071.684218951894</v>
      </c>
      <c r="T24" s="38">
        <f>(D34)</f>
        <v>47.35</v>
      </c>
      <c r="U24" t="s">
        <v>18</v>
      </c>
    </row>
    <row r="25" spans="2:26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6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6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6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6">
      <c r="B29" s="24">
        <v>-1.2E-4</v>
      </c>
      <c r="C29" s="38">
        <v>21355</v>
      </c>
      <c r="D29" s="38">
        <f>(C29*B29)</f>
        <v>-2.5626000000000002</v>
      </c>
    </row>
    <row r="30" spans="2:26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6">
      <c r="B31" s="24">
        <f>(-0.000058-B30)</f>
        <v>-5.206E-5</v>
      </c>
      <c r="C31" s="38">
        <v>21560</v>
      </c>
      <c r="D31" s="38">
        <f>(C31*B31)</f>
        <v>-1.1224136</v>
      </c>
      <c r="Z31" s="39"/>
    </row>
    <row r="32" spans="2:26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  <c r="Z32" s="39"/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1.74906E-3</v>
      </c>
      <c r="C34" s="38">
        <f>(D34/B34)</f>
        <v>27071.684218951894</v>
      </c>
      <c r="D34" s="38">
        <v>47.35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B36" s="24">
        <v>-1.08507E-3</v>
      </c>
      <c r="C36" s="38">
        <v>42783</v>
      </c>
      <c r="D36" s="38">
        <f>C36*B36</f>
        <v>-46.42254981</v>
      </c>
      <c r="E36" t="s">
        <v>23</v>
      </c>
      <c r="F36" t="s">
        <v>24</v>
      </c>
      <c r="H36">
        <v>0.06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</row>
    <row r="37" spans="2:20">
      <c r="F37" t="s">
        <v>9</v>
      </c>
      <c r="G37" s="39">
        <f>(D38/B38)</f>
        <v>23400.009843401069</v>
      </c>
      <c r="R37">
        <f>(SUM(R5:R25))</f>
        <v>2.9345780000000002E-2</v>
      </c>
      <c r="T37" s="38">
        <f>(SUM(T5:T25))</f>
        <v>540.70980016999999</v>
      </c>
    </row>
    <row r="38" spans="2:20">
      <c r="B38">
        <f>(SUM(B5:B37))</f>
        <v>2.8989980000000009E-2</v>
      </c>
      <c r="D38" s="38">
        <f>(SUM(D5:D37))</f>
        <v>678.36581736000028</v>
      </c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2.3796480000000003E-3</v>
      </c>
      <c r="N50" s="38">
        <f>($S$19*Params!K16)</f>
        <v>48728.89974188037</v>
      </c>
      <c r="O50" s="41">
        <f>(N50*M50)</f>
        <v>115.95762881296615</v>
      </c>
    </row>
    <row r="51" spans="12:16">
      <c r="M51">
        <f>($B$23/5)</f>
        <v>1.3608240000000001E-3</v>
      </c>
      <c r="N51" s="38">
        <f>($S$19*Params!K17)</f>
        <v>97457.79948376074</v>
      </c>
      <c r="O51" s="41">
        <f>(N51*M51)</f>
        <v>132.62291252468924</v>
      </c>
    </row>
    <row r="52" spans="12:16">
      <c r="M52">
        <f>($B$23/5)</f>
        <v>1.3608240000000001E-3</v>
      </c>
      <c r="N52" s="38">
        <f>($S$19*Params!K18)</f>
        <v>194915.59896752148</v>
      </c>
      <c r="O52" s="41">
        <f>(N52*M52)</f>
        <v>265.24582504937848</v>
      </c>
    </row>
    <row r="54" spans="12:16">
      <c r="O54" s="41">
        <f>(SUM(O49:O52))</f>
        <v>521.28196638703389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5.6051199999999999E-4</v>
      </c>
      <c r="N58" s="38">
        <f>($S$20*Params!K16)</f>
        <v>51648.957188532957</v>
      </c>
      <c r="O58" s="41">
        <f>(N58*M58)</f>
        <v>28.949860291658982</v>
      </c>
    </row>
    <row r="59" spans="12:16">
      <c r="M59">
        <f>($B$24/5)</f>
        <v>3.0628600000000001E-4</v>
      </c>
      <c r="N59" s="38">
        <f>($S$20*Params!K17)</f>
        <v>103297.91437706591</v>
      </c>
      <c r="O59" s="41">
        <f>(N59*M59)</f>
        <v>31.638705002894014</v>
      </c>
    </row>
    <row r="60" spans="12:16">
      <c r="M60">
        <f>($B$24/5)</f>
        <v>3.0628600000000001E-4</v>
      </c>
      <c r="N60" s="38">
        <f>($S$20*Params!K18)</f>
        <v>206595.82875413183</v>
      </c>
      <c r="O60" s="41">
        <f>(N60*M60)</f>
        <v>63.277410005788028</v>
      </c>
    </row>
    <row r="62" spans="12:16">
      <c r="O62" s="41">
        <f>(SUM(O57:O60))</f>
        <v>124.98838890034102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25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3.4981200000000002E-4</v>
      </c>
      <c r="N73" s="38">
        <f>($S$24*Params!K15)</f>
        <v>40607.526328427841</v>
      </c>
      <c r="O73" s="41">
        <f>(N73*M73)</f>
        <v>14.205</v>
      </c>
    </row>
    <row r="74" spans="12:16">
      <c r="M74">
        <f>($R$24/5)</f>
        <v>3.4981200000000002E-4</v>
      </c>
      <c r="N74" s="38">
        <f>($S$24*Params!K16)</f>
        <v>54143.368437903788</v>
      </c>
      <c r="O74" s="41">
        <f>(N74*M74)</f>
        <v>18.940000000000001</v>
      </c>
    </row>
    <row r="75" spans="12:16">
      <c r="M75">
        <f>($R$24/5)</f>
        <v>3.4981200000000002E-4</v>
      </c>
      <c r="N75" s="38">
        <f>($S$24*Params!K17)</f>
        <v>108286.73687580758</v>
      </c>
      <c r="O75" s="41">
        <f>(N75*M75)</f>
        <v>37.880000000000003</v>
      </c>
    </row>
    <row r="76" spans="12:16">
      <c r="M76">
        <f>($R$24/5)</f>
        <v>3.4981200000000002E-4</v>
      </c>
      <c r="N76" s="38">
        <f>($S$24*Params!K18)</f>
        <v>216573.47375161515</v>
      </c>
      <c r="O76" s="41">
        <f>(N76*M76)</f>
        <v>75.760000000000005</v>
      </c>
    </row>
    <row r="78" spans="12:16">
      <c r="O78" s="41">
        <f>(SUM(O73:O76))</f>
        <v>146.78500000000003</v>
      </c>
    </row>
  </sheetData>
  <conditionalFormatting sqref="C5 C7:C17 C19:C20 C22:C25 C34:C36 G37 N10:N12 N20 N26:N28 N34:N35 S5 S7:S21 S24">
    <cfRule type="cellIs" dxfId="267" priority="45" operator="lessThan">
      <formula>$J$3</formula>
    </cfRule>
    <cfRule type="cellIs" dxfId="266" priority="46" operator="greaterThan">
      <formula>$J$3</formula>
    </cfRule>
  </conditionalFormatting>
  <conditionalFormatting sqref="N36">
    <cfRule type="cellIs" dxfId="265" priority="19" operator="lessThan">
      <formula>$J$3</formula>
    </cfRule>
    <cfRule type="cellIs" dxfId="264" priority="20" operator="greaterThan">
      <formula>$J$3</formula>
    </cfRule>
  </conditionalFormatting>
  <conditionalFormatting sqref="N42:N44">
    <cfRule type="cellIs" dxfId="263" priority="17" operator="lessThan">
      <formula>$J$3</formula>
    </cfRule>
    <cfRule type="cellIs" dxfId="262" priority="18" operator="greaterThan">
      <formula>$J$3</formula>
    </cfRule>
  </conditionalFormatting>
  <conditionalFormatting sqref="N50:N52">
    <cfRule type="cellIs" dxfId="261" priority="15" operator="lessThan">
      <formula>$J$3</formula>
    </cfRule>
    <cfRule type="cellIs" dxfId="260" priority="16" operator="greaterThan">
      <formula>$J$3</formula>
    </cfRule>
  </conditionalFormatting>
  <conditionalFormatting sqref="N58:N60">
    <cfRule type="cellIs" dxfId="259" priority="13" operator="lessThan">
      <formula>$J$3</formula>
    </cfRule>
    <cfRule type="cellIs" dxfId="258" priority="14" operator="greaterThan">
      <formula>$J$3</formula>
    </cfRule>
  </conditionalFormatting>
  <conditionalFormatting sqref="N66:N68">
    <cfRule type="cellIs" dxfId="257" priority="11" operator="lessThan">
      <formula>$J$3</formula>
    </cfRule>
    <cfRule type="cellIs" dxfId="256" priority="12" operator="greaterThan">
      <formula>$J$3</formula>
    </cfRule>
  </conditionalFormatting>
  <conditionalFormatting sqref="N73:N76">
    <cfRule type="cellIs" dxfId="255" priority="9" operator="lessThan">
      <formula>$J$3</formula>
    </cfRule>
    <cfRule type="cellIs" dxfId="254" priority="10" operator="greaterThan">
      <formula>$J$3</formula>
    </cfRule>
  </conditionalFormatting>
  <conditionalFormatting sqref="N4">
    <cfRule type="cellIs" dxfId="253" priority="1" operator="greaterThan">
      <formula>$J$3</formula>
    </cfRule>
    <cfRule type="cellIs" dxfId="252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2"/>
  <sheetViews>
    <sheetView workbookViewId="0">
      <selection activeCell="O3" sqref="O3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14.383506336110379</v>
      </c>
      <c r="M3" t="s">
        <v>4</v>
      </c>
      <c r="N3" s="24">
        <f>(INDEX(N5:N16,MATCH(MAX(O6:O8),O5:O16,0))/0.9)</f>
        <v>0.29066666666666668</v>
      </c>
      <c r="O3" s="39">
        <f>(MAX(O6:O8)*0.85)</f>
        <v>13.030342087155963</v>
      </c>
      <c r="P3" s="35">
        <f>(O3*N3)</f>
        <v>3.7874861000000002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(B11*J3)</f>
        <v>7.9123242603155619</v>
      </c>
      <c r="K4" s="4">
        <f>(J4/D11-1)</f>
        <v>-25.606506432324277</v>
      </c>
      <c r="R4" t="s">
        <v>5</v>
      </c>
      <c r="S4" t="s">
        <v>6</v>
      </c>
      <c r="T4" t="s">
        <v>7</v>
      </c>
    </row>
    <row r="5" spans="2:21">
      <c r="B5" s="1">
        <v>1.3293727399999999</v>
      </c>
      <c r="C5" s="38">
        <f>(D5/B5)</f>
        <v>7.0183476155829707</v>
      </c>
      <c r="D5" s="38">
        <v>9.33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(B5)+B7+B8+B9</f>
        <v>0.54777273999999987</v>
      </c>
      <c r="S5" s="38">
        <f>(T5/R5)</f>
        <v>7.1847884945862788</v>
      </c>
      <c r="T5" s="38">
        <f>(D5)+(B7+B8+B9)*6.9017</f>
        <v>3.93563128</v>
      </c>
    </row>
    <row r="6" spans="2:21">
      <c r="B6" s="2">
        <v>2.3243000000000001E-3</v>
      </c>
      <c r="C6" s="40">
        <v>0</v>
      </c>
      <c r="D6" s="26">
        <f>(B6*C6)</f>
        <v>0</v>
      </c>
      <c r="E6" s="38">
        <f>(B6*J3)</f>
        <v>3.3431583777021358E-2</v>
      </c>
      <c r="M6" t="s">
        <v>11</v>
      </c>
      <c r="N6" s="24">
        <f>-B7</f>
        <v>0.25</v>
      </c>
      <c r="O6" s="38">
        <f>P6/N6</f>
        <v>10.198829079999999</v>
      </c>
      <c r="P6" s="38">
        <f>-D7</f>
        <v>2.5497072699999999</v>
      </c>
      <c r="Q6" t="s">
        <v>12</v>
      </c>
      <c r="R6" s="2">
        <f>(B6)</f>
        <v>2.3243000000000001E-3</v>
      </c>
      <c r="S6" s="40">
        <f>(T6/R6)</f>
        <v>0</v>
      </c>
      <c r="T6" s="26">
        <f>(D6)</f>
        <v>0</v>
      </c>
    </row>
    <row r="7" spans="2:21">
      <c r="B7" s="1">
        <v>-0.25</v>
      </c>
      <c r="C7" s="38">
        <f>D7/B7</f>
        <v>10.198829079999999</v>
      </c>
      <c r="D7" s="38">
        <f>-2.54970727</f>
        <v>-2.5497072699999999</v>
      </c>
      <c r="N7" s="24">
        <f>-B8</f>
        <v>0.27</v>
      </c>
      <c r="O7" s="38">
        <f>C8</f>
        <v>11.450249925925926</v>
      </c>
      <c r="P7" s="38">
        <f>-D8</f>
        <v>3.0915674800000001</v>
      </c>
      <c r="Q7" t="s">
        <v>12</v>
      </c>
      <c r="R7" s="1">
        <f>(B7)-B7</f>
        <v>0</v>
      </c>
      <c r="S7" s="38">
        <v>0</v>
      </c>
      <c r="T7" s="38">
        <f>(D7)-B7*6.9017</f>
        <v>-0.82428226999999987</v>
      </c>
    </row>
    <row r="8" spans="2:21">
      <c r="B8" s="1">
        <v>-0.27</v>
      </c>
      <c r="C8" s="38">
        <f>D8/B8</f>
        <v>11.450249925925926</v>
      </c>
      <c r="D8" s="38">
        <v>-3.0915674800000001</v>
      </c>
      <c r="N8" s="24">
        <f>-B9</f>
        <v>0.2616</v>
      </c>
      <c r="O8" s="38">
        <f>P8/N8</f>
        <v>15.329814220183486</v>
      </c>
      <c r="P8" s="38">
        <f>-D9</f>
        <v>4.0102793999999999</v>
      </c>
      <c r="Q8" t="s">
        <v>12</v>
      </c>
      <c r="R8" s="1">
        <f>(B8)-B8</f>
        <v>0</v>
      </c>
      <c r="S8" s="38">
        <v>0</v>
      </c>
      <c r="T8" s="38">
        <f>(D8)-B8*6.9017</f>
        <v>-1.2281084799999999</v>
      </c>
      <c r="U8" s="39"/>
    </row>
    <row r="9" spans="2:21">
      <c r="B9" s="1">
        <v>-0.2616</v>
      </c>
      <c r="C9" s="38">
        <f>D9/B9</f>
        <v>15.329814220183486</v>
      </c>
      <c r="D9" s="38">
        <f>-4.0102794</f>
        <v>-4.0102793999999999</v>
      </c>
      <c r="N9" s="24">
        <f>4*($B$5+B6)/5-N8-N7-N6</f>
        <v>0.28375763199999993</v>
      </c>
      <c r="O9" s="38">
        <f>($C$5*Params!K11)</f>
        <v>35.091738077914854</v>
      </c>
      <c r="P9" s="38">
        <f>(O9*N9)</f>
        <v>9.9575484997533472</v>
      </c>
      <c r="R9" s="1">
        <f>(B9)-B9</f>
        <v>0</v>
      </c>
      <c r="S9" s="38">
        <v>0</v>
      </c>
      <c r="T9" s="38">
        <f>(D9)-B9*6.9017</f>
        <v>-2.20479468</v>
      </c>
      <c r="U9" s="39"/>
    </row>
    <row r="10" spans="2:21">
      <c r="C10" s="38"/>
      <c r="D10" s="38"/>
      <c r="F10" t="s">
        <v>9</v>
      </c>
      <c r="G10" s="38">
        <f>(D11/B11)</f>
        <v>-0.58454077484219868</v>
      </c>
      <c r="O10" s="38"/>
      <c r="P10" s="38"/>
      <c r="R10" s="1"/>
      <c r="S10" s="38"/>
      <c r="T10" s="38"/>
      <c r="U10" s="39"/>
    </row>
    <row r="11" spans="2:21">
      <c r="B11">
        <f>(SUM(B5:B10))</f>
        <v>0.55009703999999982</v>
      </c>
      <c r="C11" s="38"/>
      <c r="D11" s="38">
        <f>(SUM(D5:D10))</f>
        <v>-0.32155414999999987</v>
      </c>
      <c r="O11" s="38"/>
      <c r="P11" s="38">
        <f>(SUM(P6:P9))</f>
        <v>19.609102649753346</v>
      </c>
      <c r="R11" s="1"/>
      <c r="S11" s="38"/>
      <c r="T11" s="39"/>
    </row>
    <row r="22" spans="18:20">
      <c r="R22">
        <f>(SUM(R5:R21))</f>
        <v>0.55009703999999982</v>
      </c>
      <c r="T22" s="38">
        <f>(SUM(T5:T21))</f>
        <v>-0.32155414999999987</v>
      </c>
    </row>
  </sheetData>
  <conditionalFormatting sqref="C5 G10 O9 S5">
    <cfRule type="cellIs" dxfId="129" priority="9" operator="lessThan">
      <formula>$J$3</formula>
    </cfRule>
    <cfRule type="cellIs" dxfId="128" priority="10" operator="greaterThan">
      <formula>$J$3</formula>
    </cfRule>
  </conditionalFormatting>
  <conditionalFormatting sqref="O3">
    <cfRule type="cellIs" dxfId="127" priority="3" operator="greaterThan">
      <formula>$J$3</formula>
    </cfRule>
    <cfRule type="cellIs" dxfId="126" priority="4" operator="less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3:U35"/>
  <sheetViews>
    <sheetView workbookViewId="0">
      <selection activeCell="I19" sqref="I1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71.946435070842</v>
      </c>
      <c r="N3" s="24"/>
      <c r="O3" s="39"/>
      <c r="P3" s="35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11.805122153937404</v>
      </c>
      <c r="K4" s="4">
        <f>(J4/D15-1)</f>
        <v>0.18777208146467839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32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1.12451E-3</v>
      </c>
      <c r="C6" s="40">
        <v>0</v>
      </c>
      <c r="D6" s="26">
        <f>(B6*C6)</f>
        <v>0</v>
      </c>
      <c r="E6" s="38">
        <f>(B6*J3)</f>
        <v>8.0904485701512541E-2</v>
      </c>
      <c r="M6" t="s">
        <v>11</v>
      </c>
      <c r="N6" s="49">
        <f>(SUM(R$5:R$8)/5)</f>
        <v>3.2816419999999999E-2</v>
      </c>
      <c r="O6" s="38">
        <f>($C$7*Params!K8)</f>
        <v>89.451451451451447</v>
      </c>
      <c r="P6" s="38">
        <f>(O6*N6)</f>
        <v>2.9354764004404403</v>
      </c>
      <c r="R6" s="2">
        <f>(B6)</f>
        <v>1.12451E-3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49">
        <f>(SUM(R$5:R$8)/5)</f>
        <v>3.2816419999999999E-2</v>
      </c>
      <c r="O7" s="38">
        <f>($C$7*Params!K9)</f>
        <v>110.09409409409409</v>
      </c>
      <c r="P7" s="38">
        <f>(O7*N7)</f>
        <v>3.6128940313113111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49">
        <f>(SUM(R$5:R$8)/5)</f>
        <v>3.2816419999999999E-2</v>
      </c>
      <c r="O8" s="38">
        <f>($C$7*Params!K10)</f>
        <v>151.37937937937937</v>
      </c>
      <c r="P8" s="38">
        <f>(O8*N8)</f>
        <v>4.9677292930530523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1.2835657367887527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49">
        <f>(SUM(R$5:R$8)/5)</f>
        <v>3.2816419999999999E-2</v>
      </c>
      <c r="O9" s="38">
        <f>($C$7*Params!K11)</f>
        <v>344.04404404404403</v>
      </c>
      <c r="P9" s="38">
        <f>(O9*N9)</f>
        <v>11.290293847847847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22.806393572652652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60.572593171345318</v>
      </c>
    </row>
    <row r="15" spans="2:21">
      <c r="B15" s="1">
        <f>(SUM(B5:B14))</f>
        <v>0.16408210000000001</v>
      </c>
      <c r="D15" s="38">
        <f>(SUM(D5:D14))</f>
        <v>9.9388782899999999</v>
      </c>
    </row>
    <row r="21" spans="18:20">
      <c r="R21">
        <f>(SUM(R5:R20))</f>
        <v>0.16408210000000001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25" priority="21" operator="lessThan">
      <formula>$J$3</formula>
    </cfRule>
    <cfRule type="cellIs" dxfId="124" priority="22" operator="greaterThan">
      <formula>$J$3</formula>
    </cfRule>
  </conditionalFormatting>
  <conditionalFormatting sqref="C9">
    <cfRule type="cellIs" dxfId="123" priority="9" operator="lessThan">
      <formula>$J$3</formula>
    </cfRule>
    <cfRule type="cellIs" dxfId="122" priority="10" operator="greaterThan">
      <formula>$J$3</formula>
    </cfRule>
  </conditionalFormatting>
  <conditionalFormatting sqref="C12:C13">
    <cfRule type="cellIs" dxfId="121" priority="5" operator="lessThan">
      <formula>$J$3</formula>
    </cfRule>
    <cfRule type="cellIs" dxfId="120" priority="6" operator="greaterThan">
      <formula>$J$3</formula>
    </cfRule>
  </conditionalFormatting>
  <conditionalFormatting sqref="O6:O7">
    <cfRule type="cellIs" dxfId="119" priority="3" operator="lessThan">
      <formula>$J$3</formula>
    </cfRule>
    <cfRule type="cellIs" dxfId="118" priority="4" operator="greaterThan">
      <formula>$J$3</formula>
    </cfRule>
  </conditionalFormatting>
  <conditionalFormatting sqref="G14">
    <cfRule type="cellIs" dxfId="117" priority="1" operator="lessThan">
      <formula>$J$3</formula>
    </cfRule>
    <cfRule type="cellIs" dxfId="116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N12" sqref="N12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  <col min="13" max="13" width="9.140625" style="14" customWidth="1"/>
    <col min="14" max="14" width="11.28515625" style="14" bestFit="1" customWidth="1"/>
    <col min="15" max="15" width="11.5703125" style="14" bestFit="1" customWidth="1"/>
    <col min="16" max="16" width="9.140625" style="14" customWidth="1"/>
  </cols>
  <sheetData>
    <row r="3" spans="2:16">
      <c r="I3" t="s">
        <v>3</v>
      </c>
      <c r="J3" s="38">
        <v>0.9649529609584665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(B22*J3)</f>
        <v>4.0167155787195279</v>
      </c>
    </row>
    <row r="5" spans="2:16">
      <c r="B5">
        <v>3.2527046099999999</v>
      </c>
      <c r="C5" s="38">
        <v>0</v>
      </c>
      <c r="D5" s="38">
        <f>(B5*C5)</f>
        <v>0</v>
      </c>
      <c r="N5" t="s">
        <v>1</v>
      </c>
      <c r="O5" t="s">
        <v>32</v>
      </c>
      <c r="P5" t="s">
        <v>2</v>
      </c>
    </row>
    <row r="6" spans="2:16">
      <c r="B6" s="50">
        <v>5.5820349999999998E-2</v>
      </c>
      <c r="C6" s="40">
        <v>0</v>
      </c>
      <c r="D6" s="26">
        <f>(B6*C6)</f>
        <v>0</v>
      </c>
      <c r="E6" s="38">
        <f>(B6*J3)</f>
        <v>5.3864012014237933E-2</v>
      </c>
      <c r="M6" t="s">
        <v>4</v>
      </c>
      <c r="N6" s="28">
        <f>(C7*2)</f>
        <v>3.3123238079251891</v>
      </c>
      <c r="O6" s="49">
        <f>-B7</f>
        <v>3.2590001599999998</v>
      </c>
      <c r="P6" s="38">
        <f>(O6*N6)</f>
        <v>10.79486382</v>
      </c>
    </row>
    <row r="7" spans="2:16">
      <c r="B7" s="49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6">
      <c r="B8">
        <v>0.31639059000000003</v>
      </c>
      <c r="C8" s="38">
        <v>0</v>
      </c>
      <c r="D8" s="38">
        <f t="shared" ref="D8:D20" si="0">(B8*C8)</f>
        <v>0</v>
      </c>
    </row>
    <row r="9" spans="2:16">
      <c r="B9">
        <v>0.31639059000000003</v>
      </c>
      <c r="C9" s="38">
        <v>0</v>
      </c>
      <c r="D9" s="38">
        <f t="shared" si="0"/>
        <v>0</v>
      </c>
      <c r="N9" s="28"/>
      <c r="O9" s="21"/>
      <c r="P9" s="38"/>
    </row>
    <row r="10" spans="2:16">
      <c r="B10">
        <v>0.31639059000000003</v>
      </c>
      <c r="C10" s="38">
        <v>0</v>
      </c>
      <c r="D10" s="38">
        <f t="shared" si="0"/>
        <v>0</v>
      </c>
      <c r="N10" s="28"/>
    </row>
    <row r="11" spans="2:16">
      <c r="B11">
        <v>0.31639059000000003</v>
      </c>
      <c r="C11" s="38">
        <v>0</v>
      </c>
      <c r="D11" s="38">
        <f t="shared" si="0"/>
        <v>0</v>
      </c>
      <c r="N11" t="s">
        <v>1</v>
      </c>
      <c r="O11" t="s">
        <v>0</v>
      </c>
      <c r="P11" t="s">
        <v>2</v>
      </c>
    </row>
    <row r="12" spans="2:16">
      <c r="B12">
        <v>0.31639059000000003</v>
      </c>
      <c r="C12" s="38">
        <v>0</v>
      </c>
      <c r="D12" s="38">
        <f t="shared" si="0"/>
        <v>0</v>
      </c>
      <c r="M12" t="s">
        <v>4</v>
      </c>
      <c r="N12" s="28">
        <f>C7/2.1</f>
        <v>0.78864852569647359</v>
      </c>
      <c r="O12" s="30">
        <f>-B7</f>
        <v>3.2590001599999998</v>
      </c>
      <c r="P12" s="38">
        <f>(O12*N12)</f>
        <v>2.5702056714285715</v>
      </c>
    </row>
    <row r="13" spans="2:16">
      <c r="B13">
        <v>0.31639059000000003</v>
      </c>
      <c r="C13" s="38">
        <v>0</v>
      </c>
      <c r="D13" s="38">
        <f t="shared" si="0"/>
        <v>0</v>
      </c>
    </row>
    <row r="14" spans="2:16">
      <c r="B14">
        <v>0.31639059000000003</v>
      </c>
      <c r="C14" s="38">
        <v>0</v>
      </c>
      <c r="D14" s="38">
        <f t="shared" si="0"/>
        <v>0</v>
      </c>
    </row>
    <row r="15" spans="2:16">
      <c r="B15">
        <v>0.31639059000000003</v>
      </c>
      <c r="C15" s="38">
        <v>0</v>
      </c>
      <c r="D15" s="38">
        <f t="shared" si="0"/>
        <v>0</v>
      </c>
    </row>
    <row r="16" spans="2:16">
      <c r="B16">
        <v>0.31639059000000003</v>
      </c>
      <c r="C16" s="38">
        <v>0</v>
      </c>
      <c r="D16" s="38">
        <f t="shared" si="0"/>
        <v>0</v>
      </c>
    </row>
    <row r="17" spans="2:4">
      <c r="B17">
        <v>0.31639059000000003</v>
      </c>
      <c r="C17" s="38">
        <v>0</v>
      </c>
      <c r="D17" s="38">
        <f t="shared" si="0"/>
        <v>0</v>
      </c>
    </row>
    <row r="18" spans="2:4">
      <c r="B18">
        <v>0.31639059000000003</v>
      </c>
      <c r="C18" s="38">
        <v>0</v>
      </c>
      <c r="D18" s="38">
        <f t="shared" si="0"/>
        <v>0</v>
      </c>
    </row>
    <row r="19" spans="2:4">
      <c r="B19">
        <v>0.31639059000000003</v>
      </c>
      <c r="C19" s="38">
        <v>0</v>
      </c>
      <c r="D19" s="38">
        <f t="shared" si="0"/>
        <v>0</v>
      </c>
    </row>
    <row r="20" spans="2:4">
      <c r="B20">
        <v>0.31639059000000003</v>
      </c>
      <c r="C20" s="38">
        <v>0</v>
      </c>
      <c r="D20" s="38">
        <f t="shared" si="0"/>
        <v>0</v>
      </c>
    </row>
    <row r="22" spans="2:4">
      <c r="B22">
        <f>(SUM(B5:B21))</f>
        <v>4.1626024700000013</v>
      </c>
      <c r="D22" s="38">
        <f>(SUM(D5:D21))</f>
        <v>-5.3974319099999999</v>
      </c>
    </row>
  </sheetData>
  <conditionalFormatting sqref="N6">
    <cfRule type="cellIs" dxfId="115" priority="5" operator="lessThan">
      <formula>$J$3</formula>
    </cfRule>
    <cfRule type="cellIs" dxfId="114" priority="6" operator="greaterThan">
      <formula>$J$3</formula>
    </cfRule>
  </conditionalFormatting>
  <conditionalFormatting sqref="N12">
    <cfRule type="cellIs" dxfId="113" priority="1" operator="greaterThan">
      <formula>$J$3</formula>
    </cfRule>
    <cfRule type="cellIs" dxfId="112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9"/>
  <sheetViews>
    <sheetView workbookViewId="0">
      <selection activeCell="P9" sqref="P9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1.665668188770007E-4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(B39*J3)</f>
        <v>21.321744378735641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32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28">
        <f>(MIN(C5:C8,C14:C16)*2)</f>
        <v>5.0000000000000001E-4</v>
      </c>
      <c r="O6">
        <f>(INDEX(B5:B17,MATCH(N6/2,C5:C17,0)))</f>
        <v>40000</v>
      </c>
      <c r="P6" s="38">
        <f>(O6*N6)</f>
        <v>20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32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28">
        <v>5.0000000000000001E-4</v>
      </c>
      <c r="O9" s="21">
        <f>B39/4</f>
        <v>32001.788415135117</v>
      </c>
      <c r="P9" s="38">
        <f>(O9*N9)</f>
        <v>16.000894207567558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N11" t="s">
        <v>1</v>
      </c>
      <c r="O11" t="s">
        <v>0</v>
      </c>
      <c r="P11" t="s">
        <v>2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M12" t="s">
        <v>4</v>
      </c>
      <c r="N12" s="28">
        <f>C37/2.1</f>
        <v>1.222291286984127E-4</v>
      </c>
      <c r="O12" s="30">
        <f>-B37-B36</f>
        <v>212000</v>
      </c>
      <c r="P12" s="38">
        <f>(O12*N12)</f>
        <v>25.912575284063493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4852.4109266100004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4852.4109266100004</v>
      </c>
      <c r="C18" s="40">
        <v>0</v>
      </c>
      <c r="D18" s="26">
        <f>(B18*C18)</f>
        <v>0</v>
      </c>
      <c r="E18" s="38">
        <f>(B18*J3)</f>
        <v>0.80825065192942713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  <c r="R26" s="29">
        <f>B36</f>
        <v>-62000</v>
      </c>
      <c r="S26" s="28">
        <f>T26/R26</f>
        <v>2.5846530951612908E-4</v>
      </c>
      <c r="T26" s="39">
        <f>D36</f>
        <v>-16.024849190000001</v>
      </c>
    </row>
    <row r="27" spans="2:20">
      <c r="B27" s="29">
        <v>-40000</v>
      </c>
      <c r="C27" s="28">
        <f t="shared" ref="C27:C37" si="4">(D27/B27)</f>
        <v>3.1099999999999997E-4</v>
      </c>
      <c r="D27" s="38">
        <v>-12.44</v>
      </c>
      <c r="R27" s="29">
        <f>B37</f>
        <v>-150000</v>
      </c>
      <c r="S27" s="28">
        <f>T27/R27</f>
        <v>2.5668117026666668E-4</v>
      </c>
      <c r="T27" s="39">
        <f>D37</f>
        <v>-38.502175540000003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  <c r="E32" s="39"/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/>
    </row>
    <row r="36" spans="2:20">
      <c r="B36" s="29">
        <v>-62000</v>
      </c>
      <c r="C36" s="28">
        <f t="shared" si="4"/>
        <v>2.5846530951612908E-4</v>
      </c>
      <c r="D36" s="38">
        <v>-16.024849190000001</v>
      </c>
      <c r="E36" s="38">
        <f>B36*J3</f>
        <v>-10.327142770374044</v>
      </c>
    </row>
    <row r="37" spans="2:20">
      <c r="B37" s="29">
        <v>-150000</v>
      </c>
      <c r="C37" s="28">
        <f t="shared" si="4"/>
        <v>2.5668117026666668E-4</v>
      </c>
      <c r="D37" s="38">
        <v>-38.502175540000003</v>
      </c>
      <c r="E37" s="38">
        <f>B37*J3</f>
        <v>-24.985022831550104</v>
      </c>
    </row>
    <row r="39" spans="2:20">
      <c r="B39">
        <f>(SUM(B5:B38))</f>
        <v>128007.15366054047</v>
      </c>
      <c r="D39" s="38">
        <f>(SUM(D5:D38))</f>
        <v>-76.307382291799911</v>
      </c>
      <c r="F39" t="s">
        <v>9</v>
      </c>
      <c r="G39" s="28">
        <f>(D39/B39)</f>
        <v>-5.9611810832196053E-4</v>
      </c>
      <c r="R39">
        <f>(SUM(R5:R38))</f>
        <v>128007.15366054047</v>
      </c>
      <c r="T39" s="38">
        <f>(SUM(T5:T38))</f>
        <v>-76.307382291799911</v>
      </c>
    </row>
  </sheetData>
  <conditionalFormatting sqref="C5:C9 C14:C16 C25:C26 C28 C30 C32 C35">
    <cfRule type="cellIs" dxfId="111" priority="15" operator="lessThan">
      <formula>$J$3</formula>
    </cfRule>
    <cfRule type="cellIs" dxfId="110" priority="16" operator="greaterThan">
      <formula>$J$3</formula>
    </cfRule>
  </conditionalFormatting>
  <conditionalFormatting sqref="N6">
    <cfRule type="cellIs" dxfId="109" priority="11" operator="lessThan">
      <formula>$J$3</formula>
    </cfRule>
    <cfRule type="cellIs" dxfId="108" priority="12" operator="greaterThan">
      <formula>$J$3</formula>
    </cfRule>
  </conditionalFormatting>
  <conditionalFormatting sqref="N9">
    <cfRule type="cellIs" dxfId="107" priority="7" operator="lessThan">
      <formula>$J$3</formula>
    </cfRule>
    <cfRule type="cellIs" dxfId="106" priority="8" operator="greaterThan">
      <formula>$J$3</formula>
    </cfRule>
  </conditionalFormatting>
  <conditionalFormatting sqref="S5:S9 S13">
    <cfRule type="cellIs" dxfId="105" priority="5" operator="lessThan">
      <formula>$J$3</formula>
    </cfRule>
    <cfRule type="cellIs" dxfId="104" priority="6" operator="greaterThan">
      <formula>$J$3</formula>
    </cfRule>
  </conditionalFormatting>
  <conditionalFormatting sqref="G39">
    <cfRule type="cellIs" dxfId="103" priority="3" operator="lessThan">
      <formula>$J$3</formula>
    </cfRule>
    <cfRule type="cellIs" dxfId="102" priority="4" operator="greaterThan">
      <formula>$J$3</formula>
    </cfRule>
  </conditionalFormatting>
  <conditionalFormatting sqref="N12">
    <cfRule type="cellIs" dxfId="101" priority="1" operator="greaterThan">
      <formula>$J$3</formula>
    </cfRule>
    <cfRule type="cellIs" dxfId="100" priority="2" operator="less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J3" sqref="J3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0.85095173590772022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48.236403803821602</v>
      </c>
      <c r="K4" s="4">
        <f>(J4/D18-1)</f>
        <v>-2.288869579847419E-2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32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20">
        <v>0.31789810000000002</v>
      </c>
      <c r="C6" s="40">
        <v>0</v>
      </c>
      <c r="D6" s="26">
        <f>(B6*C6)</f>
        <v>0</v>
      </c>
      <c r="E6" s="38">
        <f>(B6*J3)</f>
        <v>0.27051594003676604</v>
      </c>
      <c r="M6" t="s">
        <v>11</v>
      </c>
      <c r="N6" s="19">
        <f>($B$7+$R$9)/5</f>
        <v>8.5987726957777788</v>
      </c>
      <c r="O6" s="38">
        <f>($S$7*Params!K8)</f>
        <v>1.1998689851653628</v>
      </c>
      <c r="P6" s="38">
        <f>(O6*N6)</f>
        <v>10.317400668150514</v>
      </c>
      <c r="R6" s="36">
        <f>(B6)</f>
        <v>0.31789810000000002</v>
      </c>
      <c r="S6" s="40">
        <v>0</v>
      </c>
      <c r="T6" s="26">
        <f>(D6)</f>
        <v>0</v>
      </c>
      <c r="U6" s="38">
        <f>(R6*J3)</f>
        <v>0.27051594003676604</v>
      </c>
    </row>
    <row r="7" spans="2:21">
      <c r="B7" s="19">
        <v>42.362958480000003</v>
      </c>
      <c r="C7" s="38">
        <f t="shared" ref="C7:C14" si="0">(D7/B7)</f>
        <v>0.92297614243489445</v>
      </c>
      <c r="D7" s="38">
        <v>39.1</v>
      </c>
      <c r="E7" t="s">
        <v>15</v>
      </c>
      <c r="N7" s="19">
        <f>($B$7+$R$9)/5</f>
        <v>8.5987726957777788</v>
      </c>
      <c r="O7" s="38">
        <f>($S$7*Params!K9)</f>
        <v>1.4767618278958312</v>
      </c>
      <c r="P7" s="38">
        <f>(O7*N7)</f>
        <v>12.698339283877557</v>
      </c>
      <c r="R7" s="19">
        <f>B7</f>
        <v>42.362958480000003</v>
      </c>
      <c r="S7" s="38">
        <f>(T7/R7)</f>
        <v>0.92297614243489445</v>
      </c>
      <c r="T7" s="38">
        <f>D7</f>
        <v>39.1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8.5987726957777788</v>
      </c>
      <c r="O8" s="38">
        <f>($S$7*Params!K10)</f>
        <v>2.0305475133567681</v>
      </c>
      <c r="P8" s="38">
        <f>(O8*N8)</f>
        <v>17.460216515331641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8.5987726957777788</v>
      </c>
      <c r="O9" s="38">
        <f>($C$7*Params!K11)</f>
        <v>4.6148807121744726</v>
      </c>
      <c r="P9" s="38">
        <f>(O9*N9)</f>
        <v>39.682310262117369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80.158266729477077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32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0.87088516144340333</v>
      </c>
      <c r="N17" s="19">
        <f>($B$5+$R$10)/5</f>
        <v>2.5486879742222222</v>
      </c>
      <c r="O17" s="38">
        <f>($C$5*Params!K11)</f>
        <v>4.3032786885245908</v>
      </c>
      <c r="P17" s="38">
        <f>(O17*N17)</f>
        <v>10.967714643169399</v>
      </c>
      <c r="R17">
        <f>(SUM(R5:R12))</f>
        <v>56.685240499999999</v>
      </c>
      <c r="S17" s="38"/>
      <c r="T17" s="38">
        <f>(SUM(T5:T12))</f>
        <v>49.366334824300644</v>
      </c>
    </row>
    <row r="18" spans="2:20">
      <c r="B18" s="19">
        <f>(SUM(B5:B17))</f>
        <v>56.685240499999999</v>
      </c>
      <c r="D18" s="38">
        <f>(SUM(D5:D17))</f>
        <v>49.366334824300644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22.154783579202189</v>
      </c>
    </row>
    <row r="27" spans="2:20">
      <c r="H27" s="39"/>
    </row>
  </sheetData>
  <conditionalFormatting sqref="C5 C7:C8 C13:C16 O6:O9 O14:O17 S5 S7">
    <cfRule type="cellIs" dxfId="99" priority="25" operator="lessThan">
      <formula>$J$3</formula>
    </cfRule>
    <cfRule type="cellIs" dxfId="98" priority="26" operator="greaterThan">
      <formula>$J$3</formula>
    </cfRule>
  </conditionalFormatting>
  <conditionalFormatting sqref="S8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17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G9" sqref="G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0.7771557351715116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41.029501551392194</v>
      </c>
      <c r="K4" s="4">
        <f>(J4/D10-1)</f>
        <v>3.636023115413467E-2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36">
        <v>0.33139809999999997</v>
      </c>
      <c r="C6" s="40">
        <v>0</v>
      </c>
      <c r="D6" s="26">
        <f>(B6*C6)</f>
        <v>0</v>
      </c>
      <c r="E6" s="38">
        <f>(B6*J3)</f>
        <v>0.25754793403994208</v>
      </c>
      <c r="M6" t="s">
        <v>11</v>
      </c>
      <c r="N6" s="29">
        <f>($B$10/5)</f>
        <v>10.558887928000001</v>
      </c>
      <c r="O6" s="38">
        <f>($C$5*Params!K8)</f>
        <v>0.98505771545924514</v>
      </c>
      <c r="P6" s="38">
        <f>(O6*N6)</f>
        <v>10.401114020145883</v>
      </c>
    </row>
    <row r="7" spans="2:16">
      <c r="B7" s="36">
        <v>0.21534154</v>
      </c>
      <c r="C7" s="40">
        <v>0</v>
      </c>
      <c r="D7" s="26">
        <f>(B7*C7)</f>
        <v>0</v>
      </c>
      <c r="E7" s="38">
        <f>(B7*J3)</f>
        <v>0.16735391283166548</v>
      </c>
      <c r="N7" s="29">
        <f>($B$10/5)</f>
        <v>10.558887928000001</v>
      </c>
      <c r="O7" s="38">
        <f>($C$5*Params!K9)</f>
        <v>1.2123787267190709</v>
      </c>
      <c r="P7" s="38">
        <f>(O7*N7)</f>
        <v>12.80137110171801</v>
      </c>
    </row>
    <row r="8" spans="2:16">
      <c r="N8" s="29">
        <f>($B$10/5)</f>
        <v>10.558887928000001</v>
      </c>
      <c r="O8" s="38">
        <f>($C$5*Params!K10)</f>
        <v>1.6670207492387226</v>
      </c>
      <c r="P8" s="38">
        <f>(O8*N8)</f>
        <v>17.601885264862265</v>
      </c>
    </row>
    <row r="9" spans="2:16">
      <c r="F9" t="s">
        <v>9</v>
      </c>
      <c r="G9" s="38">
        <f>(D10/B10)</f>
        <v>0.74988957681832125</v>
      </c>
      <c r="N9" s="29">
        <f>($B$10/5)</f>
        <v>10.558887928000001</v>
      </c>
      <c r="O9" s="38">
        <f>($C$5*Params!K11)</f>
        <v>3.7886835209970964</v>
      </c>
      <c r="P9" s="38">
        <f>(O9*N9)</f>
        <v>40.004284692868779</v>
      </c>
    </row>
    <row r="10" spans="2:16">
      <c r="B10" s="29">
        <f>(SUM(B5:B9))</f>
        <v>52.79443964</v>
      </c>
      <c r="D10" s="38">
        <f>(SUM(D5:D9))</f>
        <v>39.590000000000003</v>
      </c>
    </row>
    <row r="11" spans="2:16">
      <c r="P11" s="38">
        <f>(SUM(P6:P9))</f>
        <v>80.808655079594942</v>
      </c>
    </row>
  </sheetData>
  <conditionalFormatting sqref="C5">
    <cfRule type="cellIs" dxfId="93" priority="5" operator="lessThan">
      <formula>$J$3</formula>
    </cfRule>
    <cfRule type="cellIs" dxfId="92" priority="6" operator="greaterThan">
      <formula>$J$3</formula>
    </cfRule>
  </conditionalFormatting>
  <conditionalFormatting sqref="O6:O9">
    <cfRule type="cellIs" dxfId="91" priority="3" operator="lessThan">
      <formula>$J$3</formula>
    </cfRule>
    <cfRule type="cellIs" dxfId="90" priority="4" operator="greaterThan">
      <formula>$J$3</formula>
    </cfRule>
  </conditionalFormatting>
  <conditionalFormatting sqref="G9">
    <cfRule type="cellIs" dxfId="89" priority="1" operator="lessThan">
      <formula>$J$3</formula>
    </cfRule>
    <cfRule type="cellIs" dxfId="88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2:V24"/>
  <sheetViews>
    <sheetView workbookViewId="0">
      <selection activeCell="N14" sqref="N1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38">
        <v>2.3675746886571178</v>
      </c>
      <c r="M3" t="s">
        <v>4</v>
      </c>
      <c r="N3" s="24">
        <f>(INDEX(N5:N27,MATCH(MAX(O6,O14),O5:O27,0))/0.9)</f>
        <v>4.7777777777777777</v>
      </c>
      <c r="O3" s="39">
        <f>(MAX(O6,O14)*0.85)</f>
        <v>2.0080046913953487</v>
      </c>
      <c r="P3" s="38">
        <f>(O3*N3)</f>
        <v>9.5938001922222202</v>
      </c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(B21*J3)</f>
        <v>46.54537273484393</v>
      </c>
      <c r="K4" s="4">
        <f>(J4/D21-1)</f>
        <v>0.51028943923742665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85</v>
      </c>
      <c r="M5" t="s">
        <v>85</v>
      </c>
      <c r="N5" t="s">
        <v>32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22.18996194</v>
      </c>
      <c r="C6" s="38">
        <f>(D6/B6)</f>
        <v>1.7620580019796106</v>
      </c>
      <c r="D6" s="38">
        <v>39.1</v>
      </c>
      <c r="E6" t="s">
        <v>15</v>
      </c>
      <c r="M6" t="s">
        <v>11</v>
      </c>
      <c r="N6" s="1">
        <f>-B18</f>
        <v>0.37769784172661802</v>
      </c>
      <c r="O6" s="38">
        <f>P6/N6</f>
        <v>2.1765811428571467</v>
      </c>
      <c r="P6" s="38">
        <f>-D18</f>
        <v>0.82208999999999999</v>
      </c>
      <c r="Q6" t="s">
        <v>12</v>
      </c>
      <c r="R6" s="1">
        <f>B6+B19</f>
        <v>17.889961939999999</v>
      </c>
      <c r="S6" s="38">
        <f>(T6/R6)</f>
        <v>1.7673598248024001</v>
      </c>
      <c r="T6" s="38">
        <f>D6+B19*1.74</f>
        <v>31.618000000000002</v>
      </c>
      <c r="U6" s="38" t="str">
        <f>(E6)</f>
        <v>DCA2</v>
      </c>
    </row>
    <row r="7" spans="2:22">
      <c r="B7" s="2">
        <v>0.10013083</v>
      </c>
      <c r="C7" s="40">
        <v>0</v>
      </c>
      <c r="D7" s="26">
        <v>0</v>
      </c>
      <c r="E7" s="39">
        <f>B7*J3</f>
        <v>0.2370672186622288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0.10013083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9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0.45637366558513248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8.3798882681564244</v>
      </c>
      <c r="P9" s="38">
        <f>(O9*N9)</f>
        <v>3.2033059984122638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85</v>
      </c>
      <c r="V9" s="39">
        <f>-T9+R9*$J$3</f>
        <v>0.45330580774951373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>
        <f>B18</f>
        <v>-0.37769784172661802</v>
      </c>
      <c r="S10" s="38">
        <f>T10/R10</f>
        <v>2.1765811428571467</v>
      </c>
      <c r="T10" s="38">
        <f>D18</f>
        <v>-0.82208999999999999</v>
      </c>
      <c r="U10" t="s">
        <v>86</v>
      </c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6.4599085572055852</v>
      </c>
      <c r="R11" s="1">
        <f>B19-B19</f>
        <v>0</v>
      </c>
      <c r="S11" s="38">
        <v>0</v>
      </c>
      <c r="T11" s="39">
        <f>D19-B19*1.74</f>
        <v>-2.6761413800000007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32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-B19</f>
        <v>4.3</v>
      </c>
      <c r="O14" s="38">
        <f>P14/N14</f>
        <v>2.3623584604651162</v>
      </c>
      <c r="P14" s="38">
        <f>-D19</f>
        <v>10.15814138</v>
      </c>
      <c r="Q14" t="s">
        <v>12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4.4651554419999995</v>
      </c>
      <c r="O15" s="38">
        <f>($S$6*Params!K9)</f>
        <v>2.8277757196838404</v>
      </c>
      <c r="P15" s="38">
        <f>(O15*N15)</f>
        <v>12.626458143501765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4.4651554419999995</v>
      </c>
      <c r="O16" s="38">
        <f>($C$6*Params!K10)</f>
        <v>3.8765276043551435</v>
      </c>
      <c r="P16" s="38">
        <f>(O16*N16)</f>
        <v>17.309298328649589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4.4651554419999995</v>
      </c>
      <c r="O17" s="38">
        <f>($C$6*Params!K11)</f>
        <v>8.8102900098980523</v>
      </c>
      <c r="P17" s="38">
        <f>(O17*N17)</f>
        <v>39.339314383294514</v>
      </c>
      <c r="S17" s="38"/>
      <c r="T17" s="38"/>
    </row>
    <row r="18" spans="2:20">
      <c r="B18" s="1">
        <v>-0.37769784172661802</v>
      </c>
      <c r="C18" s="38">
        <f t="shared" si="0"/>
        <v>2.1765811428571467</v>
      </c>
      <c r="D18" s="38">
        <v>-0.82208999999999999</v>
      </c>
      <c r="E18" t="str">
        <f>U10</f>
        <v>Learn 1/5</v>
      </c>
      <c r="N18" s="1"/>
      <c r="O18" s="38"/>
      <c r="P18" s="38"/>
      <c r="S18" s="38"/>
      <c r="T18" s="38"/>
    </row>
    <row r="19" spans="2:20">
      <c r="B19" s="1">
        <v>-4.3</v>
      </c>
      <c r="C19" s="38">
        <f t="shared" si="0"/>
        <v>2.3623584604651162</v>
      </c>
      <c r="D19" s="38">
        <v>-10.15814138</v>
      </c>
      <c r="O19" s="38"/>
      <c r="P19" s="38">
        <f>(SUM(P14:P17))</f>
        <v>79.433212235445865</v>
      </c>
      <c r="S19" s="38"/>
      <c r="T19" s="38"/>
    </row>
    <row r="20" spans="2:20">
      <c r="C20" s="38"/>
      <c r="D20" s="38"/>
      <c r="F20" t="s">
        <v>9</v>
      </c>
      <c r="G20" s="38">
        <f>(D21/B21)</f>
        <v>1.5676297715837506</v>
      </c>
      <c r="S20" s="38"/>
      <c r="T20" s="38"/>
    </row>
    <row r="21" spans="2:20">
      <c r="B21" s="1">
        <f>(SUM(B5:B20))</f>
        <v>19.659516110659361</v>
      </c>
      <c r="C21" s="38"/>
      <c r="D21" s="38">
        <f>(SUM(D5:D20))</f>
        <v>30.818842749999998</v>
      </c>
      <c r="S21" s="38"/>
      <c r="T21" s="38"/>
    </row>
    <row r="22" spans="2:20">
      <c r="S22" s="38"/>
      <c r="T22" s="38"/>
    </row>
    <row r="23" spans="2:20">
      <c r="S23" s="38"/>
      <c r="T23" s="38"/>
    </row>
    <row r="24" spans="2:20">
      <c r="R24" s="1">
        <f>(SUM(R5:R23))</f>
        <v>19.659516110659364</v>
      </c>
      <c r="S24" s="38"/>
      <c r="T24" s="38">
        <f>(SUM(T5:T23))</f>
        <v>30.818842749999998</v>
      </c>
    </row>
  </sheetData>
  <conditionalFormatting sqref="C5:C6 C12:C14 C16:C17 O7:O9 O15:O17 S5:S6">
    <cfRule type="cellIs" dxfId="87" priority="19" operator="lessThan">
      <formula>$J$3</formula>
    </cfRule>
    <cfRule type="cellIs" dxfId="86" priority="20" operator="greaterThan">
      <formula>$J$3</formula>
    </cfRule>
  </conditionalFormatting>
  <conditionalFormatting sqref="O3">
    <cfRule type="cellIs" dxfId="85" priority="1" operator="greaterThan">
      <formula>$J$3</formula>
    </cfRule>
    <cfRule type="cellIs" dxfId="84" priority="2" operator="less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D5" sqref="D5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28" width="9.140625" style="14" customWidth="1"/>
    <col min="29" max="16384" width="9.140625" style="14"/>
  </cols>
  <sheetData>
    <row r="3" spans="2:21">
      <c r="I3" t="s">
        <v>3</v>
      </c>
      <c r="J3" s="35">
        <v>0.24094013265480929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2.2851013818856662</v>
      </c>
      <c r="K4" s="4">
        <f>(J4/D14-1)</f>
        <v>3.8682446311666396E-2</v>
      </c>
      <c r="R4" t="s">
        <v>5</v>
      </c>
      <c r="S4" t="s">
        <v>6</v>
      </c>
      <c r="T4" t="s">
        <v>7</v>
      </c>
    </row>
    <row r="5" spans="2:21">
      <c r="B5" s="29">
        <v>9.4096547000000008</v>
      </c>
      <c r="C5" s="38">
        <f>(D5/B5)</f>
        <v>0.23380241572520191</v>
      </c>
      <c r="D5" s="38">
        <v>2.2000000000000002</v>
      </c>
      <c r="N5" t="s">
        <v>32</v>
      </c>
      <c r="O5" t="s">
        <v>1</v>
      </c>
      <c r="P5" t="s">
        <v>2</v>
      </c>
      <c r="R5" s="29">
        <f>(B5)</f>
        <v>9.4096547000000008</v>
      </c>
      <c r="S5" s="38">
        <f>(T5/R5)</f>
        <v>0.23380241572520191</v>
      </c>
      <c r="T5" s="38">
        <f>D5</f>
        <v>2.2000000000000002</v>
      </c>
    </row>
    <row r="6" spans="2:21">
      <c r="B6" s="36">
        <v>7.444974E-2</v>
      </c>
      <c r="C6" s="40">
        <v>0</v>
      </c>
      <c r="D6" s="40">
        <f>(B6*C6)</f>
        <v>0</v>
      </c>
      <c r="E6" s="38">
        <f>(B6*J3)</f>
        <v>1.7937930231716061E-2</v>
      </c>
      <c r="M6" t="s">
        <v>11</v>
      </c>
      <c r="N6" s="29">
        <f>($B$14/5)</f>
        <v>1.8968208880000001</v>
      </c>
      <c r="O6" s="38">
        <f>($C$5*Params!K8)</f>
        <v>0.30394314044276249</v>
      </c>
      <c r="P6" s="38">
        <f>(O6*N6)</f>
        <v>0.57652569755614946</v>
      </c>
      <c r="R6" s="36">
        <f>(B6)</f>
        <v>7.444974E-2</v>
      </c>
      <c r="S6" s="40">
        <v>0</v>
      </c>
      <c r="T6" s="40">
        <f>(D6)</f>
        <v>0</v>
      </c>
      <c r="U6" s="38">
        <f>(E6)</f>
        <v>1.7937930231716061E-2</v>
      </c>
    </row>
    <row r="7" spans="2:21">
      <c r="B7" s="29"/>
      <c r="C7" s="38"/>
      <c r="D7" s="38"/>
      <c r="N7" s="29">
        <f>($B$14/5)</f>
        <v>1.8968208880000001</v>
      </c>
      <c r="O7" s="38">
        <f>($C$5*Params!K9)</f>
        <v>0.3740838651603231</v>
      </c>
      <c r="P7" s="38">
        <f>(O7*N7)</f>
        <v>0.70957008929987642</v>
      </c>
      <c r="R7" s="29"/>
      <c r="S7" s="38"/>
      <c r="T7" s="38"/>
      <c r="U7" s="39"/>
    </row>
    <row r="8" spans="2:21">
      <c r="B8" s="29"/>
      <c r="C8" s="38"/>
      <c r="D8" s="38"/>
      <c r="N8" s="29">
        <f>($B$14/5)</f>
        <v>1.8968208880000001</v>
      </c>
      <c r="O8" s="38">
        <f>($C$5*Params!K10)</f>
        <v>0.51436531459544421</v>
      </c>
      <c r="P8" s="38">
        <f>(O8*N8)</f>
        <v>0.97565887278732988</v>
      </c>
      <c r="R8" s="29"/>
      <c r="S8" s="38"/>
      <c r="T8" s="38"/>
    </row>
    <row r="9" spans="2:21">
      <c r="B9" s="29"/>
      <c r="C9" s="38"/>
      <c r="D9" s="38"/>
      <c r="N9" s="29">
        <f>($B$14/5)</f>
        <v>1.8968208880000001</v>
      </c>
      <c r="O9" s="38">
        <f>($C$5*Params!K11)</f>
        <v>1.1690120786260096</v>
      </c>
      <c r="P9" s="38">
        <f>(O9*N9)</f>
        <v>2.2174065290621137</v>
      </c>
    </row>
    <row r="10" spans="2:21">
      <c r="B10" s="29"/>
      <c r="C10" s="38"/>
      <c r="D10" s="38"/>
    </row>
    <row r="12" spans="2:21">
      <c r="P12" s="38">
        <f>(SUM(P6:P9))</f>
        <v>4.4791611887054694</v>
      </c>
    </row>
    <row r="13" spans="2:21">
      <c r="F13" t="s">
        <v>9</v>
      </c>
      <c r="G13" s="38">
        <f>(D14/B14)</f>
        <v>0.23196707859113369</v>
      </c>
    </row>
    <row r="14" spans="2:21">
      <c r="B14" s="29">
        <f>(SUM(B5:B13))</f>
        <v>9.4841044400000012</v>
      </c>
      <c r="D14" s="38">
        <f>(SUM(D5:D13))</f>
        <v>2.2000000000000002</v>
      </c>
    </row>
    <row r="17" spans="11:20">
      <c r="N17" s="29"/>
      <c r="R17" s="29">
        <f>(SUM(R5:R16))</f>
        <v>9.4841044400000012</v>
      </c>
      <c r="T17" s="38">
        <f>(SUM(T5:T16))</f>
        <v>2.2000000000000002</v>
      </c>
    </row>
    <row r="20" spans="11:20">
      <c r="K20" s="39"/>
    </row>
  </sheetData>
  <conditionalFormatting sqref="C5">
    <cfRule type="cellIs" dxfId="83" priority="11" operator="lessThan">
      <formula>$J$3</formula>
    </cfRule>
    <cfRule type="cellIs" dxfId="82" priority="12" operator="greaterThan">
      <formula>$J$3</formula>
    </cfRule>
  </conditionalFormatting>
  <conditionalFormatting sqref="O6:O9">
    <cfRule type="cellIs" dxfId="81" priority="7" operator="lessThan">
      <formula>$J$3</formula>
    </cfRule>
    <cfRule type="cellIs" dxfId="80" priority="8" operator="greaterThan">
      <formula>$J$3</formula>
    </cfRule>
  </conditionalFormatting>
  <conditionalFormatting sqref="S5">
    <cfRule type="cellIs" dxfId="79" priority="5" operator="lessThan">
      <formula>$J$3</formula>
    </cfRule>
    <cfRule type="cellIs" dxfId="78" priority="6" operator="greaterThan">
      <formula>$J$3</formula>
    </cfRule>
  </conditionalFormatting>
  <conditionalFormatting sqref="O6">
    <cfRule type="cellIs" dxfId="77" priority="3" operator="lessThan">
      <formula>$J$3</formula>
    </cfRule>
    <cfRule type="cellIs" dxfId="76" priority="4" operator="greaterThan">
      <formula>$J$3</formula>
    </cfRule>
  </conditionalFormatting>
  <conditionalFormatting sqref="G13">
    <cfRule type="cellIs" dxfId="75" priority="1" operator="lessThan">
      <formula>$J$3</formula>
    </cfRule>
    <cfRule type="cellIs" dxfId="74" priority="2" operator="greaterThan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S41" sqref="S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2">
        <v>1.085739105042072E-5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4.7749640841690617</v>
      </c>
      <c r="K4" s="4">
        <f>(J4/D13-1)</f>
        <v>-5.0702965373944031E-2</v>
      </c>
    </row>
    <row r="5" spans="2:16">
      <c r="B5" s="22">
        <v>439531.68</v>
      </c>
      <c r="C5" s="52">
        <f>(D5/B5)</f>
        <v>1.1443998757950737E-5</v>
      </c>
      <c r="D5" s="38">
        <v>5.03</v>
      </c>
      <c r="E5" s="38"/>
      <c r="F5" s="38"/>
      <c r="G5" s="38"/>
      <c r="N5" t="s">
        <v>32</v>
      </c>
      <c r="O5" t="s">
        <v>1</v>
      </c>
      <c r="P5" t="s">
        <v>2</v>
      </c>
    </row>
    <row r="6" spans="2:16">
      <c r="B6" s="36">
        <v>257.58999999999997</v>
      </c>
      <c r="C6" s="40">
        <v>0</v>
      </c>
      <c r="D6" s="26">
        <f>(B6*C6)</f>
        <v>0</v>
      </c>
      <c r="E6" s="38">
        <f>(B6*J3)</f>
        <v>2.7967553606778727E-3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5.7219993789753684E-5</v>
      </c>
      <c r="P9" s="38">
        <f>(O9*N9)</f>
        <v>5.03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10.160600000000002</v>
      </c>
    </row>
    <row r="12" spans="2:16">
      <c r="C12" s="38"/>
      <c r="D12" s="38"/>
      <c r="E12" s="38"/>
      <c r="F12" s="38" t="s">
        <v>9</v>
      </c>
      <c r="G12" s="38">
        <f>(D13/B13)</f>
        <v>1.1437295866722715E-5</v>
      </c>
    </row>
    <row r="13" spans="2:16">
      <c r="B13">
        <f>(SUM(B5:B12))</f>
        <v>439789.27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73" priority="5" operator="lessThan">
      <formula>$J$3</formula>
    </cfRule>
    <cfRule type="cellIs" dxfId="72" priority="6" operator="greaterThan">
      <formula>$J$3</formula>
    </cfRule>
  </conditionalFormatting>
  <conditionalFormatting sqref="J3">
    <cfRule type="cellIs" dxfId="71" priority="3" operator="lessThan">
      <formula>$J$3</formula>
    </cfRule>
    <cfRule type="cellIs" dxfId="70" priority="4" operator="greaterThan">
      <formula>$J$3</formula>
    </cfRule>
  </conditionalFormatting>
  <conditionalFormatting sqref="O6:O9">
    <cfRule type="cellIs" dxfId="69" priority="1" operator="lessThan">
      <formula>$J$3</formula>
    </cfRule>
    <cfRule type="cellIs" dxfId="68" priority="2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2:W47"/>
  <sheetViews>
    <sheetView workbookViewId="0">
      <selection activeCell="B18" sqref="B18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73.465902581623894</v>
      </c>
      <c r="M3" t="s">
        <v>4</v>
      </c>
      <c r="N3" s="24">
        <f>(INDEX(N5:N26,MATCH(MAX(O6:O9,O23:O24,O14:O15),O5:O26,0))/0.9)</f>
        <v>0.1209481488888889</v>
      </c>
      <c r="O3" s="39">
        <f>(MAX(O14:O16,O23:O25,O6:O9)*0.85)</f>
        <v>54.583817503516599</v>
      </c>
      <c r="P3" s="38">
        <f>(O3*N3)</f>
        <v>6.601811686339266</v>
      </c>
    </row>
    <row r="4" spans="2:21">
      <c r="B4" t="s">
        <v>5</v>
      </c>
      <c r="C4" t="s">
        <v>6</v>
      </c>
      <c r="D4" t="s">
        <v>7</v>
      </c>
      <c r="E4" t="s">
        <v>38</v>
      </c>
      <c r="I4" t="s">
        <v>8</v>
      </c>
      <c r="J4" s="38">
        <f>(B43*J3)</f>
        <v>277.97901277101772</v>
      </c>
      <c r="K4" s="4">
        <f>(J4/D43-1)</f>
        <v>5.5107090295923671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87</v>
      </c>
      <c r="N5" t="s">
        <v>32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-B36</f>
        <v>0.10885</v>
      </c>
      <c r="O7" s="38">
        <f>P7/N7</f>
        <v>23.941203491042717</v>
      </c>
      <c r="P7" s="38">
        <f>-D36</f>
        <v>2.6059999999999999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0.10885333400000001</v>
      </c>
      <c r="O8" s="38">
        <f>C38</f>
        <v>31.194569999999995</v>
      </c>
      <c r="P8" s="38">
        <f>-D38</f>
        <v>3.1194569999999997</v>
      </c>
      <c r="Q8" t="s">
        <v>12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0.10885333400000001</v>
      </c>
      <c r="O9" s="38">
        <f>($C$16*Params!K11)</f>
        <v>64.216255886490117</v>
      </c>
      <c r="P9" s="38">
        <f>(O9*N9)</f>
        <v>6.9901535502415753</v>
      </c>
      <c r="Q9" t="s">
        <v>12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14.308215616187962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0.15427839542141017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88</v>
      </c>
      <c r="F13" s="39"/>
      <c r="M13" t="s">
        <v>10</v>
      </c>
      <c r="N13" t="s">
        <v>32</v>
      </c>
      <c r="O13" t="s">
        <v>1</v>
      </c>
      <c r="P13" t="s">
        <v>2</v>
      </c>
      <c r="R13" s="24">
        <f>(B17+B21+B37-N16)</f>
        <v>2.4350204199999999</v>
      </c>
      <c r="S13" s="38">
        <f>(T13/R13)</f>
        <v>22.069821909748086</v>
      </c>
      <c r="T13" s="38">
        <f>(D17+11.97*B21+B37*19.42078-N16*19.42078)</f>
        <v>53.740467015999982</v>
      </c>
      <c r="U13" t="s">
        <v>10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0.45262438086212192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5">
        <f>(B18)</f>
        <v>6.2199320000000002E-2</v>
      </c>
      <c r="S14" s="40">
        <f>(C18)</f>
        <v>0</v>
      </c>
      <c r="T14" s="26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3.8773687132724777E-2</v>
      </c>
      <c r="N15" s="24">
        <f>-B37</f>
        <v>2.08</v>
      </c>
      <c r="O15" s="38">
        <f>C37</f>
        <v>31.395271514423076</v>
      </c>
      <c r="P15" s="38">
        <f>(O15*N15)</f>
        <v>65.302164750000003</v>
      </c>
      <c r="Q15" t="s">
        <v>12</v>
      </c>
      <c r="R15" s="24">
        <f>B19+B22+B39-N25</f>
        <v>0.75751403999999989</v>
      </c>
      <c r="S15" s="38">
        <f>(T15/R15)</f>
        <v>22.854887811716342</v>
      </c>
      <c r="T15" s="38">
        <f>(D19+12.6*B22+20.2393*B39-20.2393*N25)</f>
        <v>17.312898400000002</v>
      </c>
      <c r="U15" t="s">
        <v>15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-B40-N25</f>
        <v>1.2328000000000001</v>
      </c>
      <c r="O16" s="38">
        <f>C40</f>
        <v>46.861096439187513</v>
      </c>
      <c r="P16" s="38">
        <f>(O16*N16)</f>
        <v>57.770359690230372</v>
      </c>
      <c r="Q16" t="s">
        <v>12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6.02872042</v>
      </c>
      <c r="C17" s="38">
        <f>(D17/B17)</f>
        <v>20.143577996605789</v>
      </c>
      <c r="D17" s="38">
        <v>121.44</v>
      </c>
      <c r="E17" t="s">
        <v>10</v>
      </c>
      <c r="N17" s="24">
        <f>(($R$13+N14+$R$21)/5)</f>
        <v>0.55219860799999998</v>
      </c>
      <c r="O17" s="38">
        <f>($S$13*Params!K11)</f>
        <v>110.34910954874043</v>
      </c>
      <c r="P17" s="38">
        <f>(O17*N17)</f>
        <v>60.934624686853972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6.2199320000000002E-2</v>
      </c>
      <c r="C18" s="40">
        <v>0</v>
      </c>
      <c r="D18" s="26">
        <v>0</v>
      </c>
      <c r="E18" s="39">
        <f>B18*J3</f>
        <v>4.569529183763251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1.86095404</v>
      </c>
      <c r="C19" s="38">
        <f t="shared" ref="C19:C32" si="1">(D19/B19)</f>
        <v>21.010728454099812</v>
      </c>
      <c r="D19" s="38">
        <v>39.1</v>
      </c>
      <c r="E19" t="s">
        <v>15</v>
      </c>
      <c r="O19" s="38"/>
      <c r="P19" s="38">
        <f>(SUM(P14:P17))</f>
        <v>188.20934912708435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89</v>
      </c>
      <c r="V19" s="39">
        <f>-T19+R19*$J$3</f>
        <v>0.53891864241919718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(B28+B25+B33+B34+B29+B35)</f>
        <v>3.9463670000000006E-2</v>
      </c>
      <c r="S20" s="38">
        <v>0</v>
      </c>
      <c r="T20" s="38">
        <f>(D28+D25+D33+D34+D29+D35)</f>
        <v>-0.41275400000000007</v>
      </c>
      <c r="U20" t="s">
        <v>90</v>
      </c>
      <c r="V20" s="39">
        <f>-T20+R20*$J$3</f>
        <v>3.3119881357333538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91</v>
      </c>
      <c r="V21" s="39">
        <f>-T21+R21*$J$3</f>
        <v>3.7664526300185521</v>
      </c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32</v>
      </c>
      <c r="O22" t="s">
        <v>1</v>
      </c>
      <c r="P22" t="s">
        <v>2</v>
      </c>
      <c r="R22" s="24">
        <f>B36</f>
        <v>-0.10885</v>
      </c>
      <c r="S22" s="39">
        <f>T22/R22</f>
        <v>23.941203491042717</v>
      </c>
      <c r="T22" s="39">
        <f>D36</f>
        <v>-2.6059999999999999</v>
      </c>
      <c r="U22" t="s">
        <v>92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>
        <f>B37-B37</f>
        <v>0</v>
      </c>
      <c r="S23" s="39">
        <v>0</v>
      </c>
      <c r="T23" s="38">
        <f>D37-B37*19.42078</f>
        <v>-24.906942350000001</v>
      </c>
      <c r="U23" t="s">
        <v>93</v>
      </c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-B39</f>
        <v>0.65</v>
      </c>
      <c r="O24" s="38">
        <f>($S$15*Params!K9)</f>
        <v>36.567820498746151</v>
      </c>
      <c r="P24" s="38">
        <f>(O24*N24)</f>
        <v>23.769083324185001</v>
      </c>
      <c r="Q24" t="s">
        <v>12</v>
      </c>
      <c r="R24" s="24">
        <f>B38</f>
        <v>-0.1</v>
      </c>
      <c r="S24" s="38">
        <f>T24/R24</f>
        <v>31.194569999999995</v>
      </c>
      <c r="T24" s="38">
        <f>D38</f>
        <v>-3.1194569999999997</v>
      </c>
      <c r="U24" t="s">
        <v>94</v>
      </c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0.382</f>
        <v>0.38200000000000001</v>
      </c>
      <c r="O25" s="38">
        <f>C40</f>
        <v>46.861096439187513</v>
      </c>
      <c r="P25" s="38">
        <f>(O25*N25)</f>
        <v>17.90093883976963</v>
      </c>
      <c r="Q25" t="s">
        <v>12</v>
      </c>
      <c r="R25" s="24">
        <f>B39-B39</f>
        <v>0</v>
      </c>
      <c r="S25" s="38">
        <v>0</v>
      </c>
      <c r="T25" s="38">
        <f>D39-B39*20.2393</f>
        <v>-8.2515799200000011</v>
      </c>
      <c r="U25" t="s">
        <v>95</v>
      </c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0.16706769399999999</v>
      </c>
      <c r="O26" s="38">
        <f>($S$15*Params!K11)</f>
        <v>114.27443905858171</v>
      </c>
      <c r="P26" s="38">
        <f>(O26*N26)</f>
        <v>19.091567016660775</v>
      </c>
      <c r="R26" s="24">
        <f>N16-N16</f>
        <v>0</v>
      </c>
      <c r="S26" s="38">
        <v>0</v>
      </c>
      <c r="T26" s="38">
        <f>-57.77+(N16)*19.42078</f>
        <v>-33.828062416000002</v>
      </c>
      <c r="U26" t="s">
        <v>96</v>
      </c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R27" s="24">
        <f>N25-N25</f>
        <v>0</v>
      </c>
      <c r="S27" s="39">
        <v>0</v>
      </c>
      <c r="T27" s="39">
        <f>-P25+N25*20.2393</f>
        <v>-10.169526239769629</v>
      </c>
      <c r="U27" t="s">
        <v>97</v>
      </c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61.92469270061541</v>
      </c>
      <c r="R28" s="24">
        <f>B41</f>
        <v>-0.10879999999999999</v>
      </c>
      <c r="S28" s="38">
        <f>C41</f>
        <v>58.381847426470586</v>
      </c>
      <c r="T28" s="38">
        <f>D41</f>
        <v>-6.3519449999999997</v>
      </c>
      <c r="U28" t="s">
        <v>98</v>
      </c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 t="shared" ref="C33:C41" si="2"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 t="shared" si="2"/>
        <v>23.38403859622824</v>
      </c>
      <c r="D34" s="38">
        <v>2.68</v>
      </c>
      <c r="E34" s="38"/>
      <c r="S34" s="38"/>
      <c r="T34" s="38"/>
    </row>
    <row r="35" spans="2:23">
      <c r="B35" s="24">
        <v>0.11518</v>
      </c>
      <c r="C35" s="38">
        <f t="shared" si="2"/>
        <v>18.492793887827744</v>
      </c>
      <c r="D35" s="38">
        <v>2.13</v>
      </c>
      <c r="E35" s="38"/>
      <c r="F35" s="24"/>
      <c r="H35" s="39"/>
      <c r="J35" s="39"/>
      <c r="S35" s="38"/>
      <c r="T35" s="38"/>
    </row>
    <row r="36" spans="2:23">
      <c r="B36" s="24">
        <v>-0.10885</v>
      </c>
      <c r="C36" s="38">
        <f t="shared" si="2"/>
        <v>23.941203491042717</v>
      </c>
      <c r="D36" s="38">
        <v>-2.6059999999999999</v>
      </c>
      <c r="E36" s="38"/>
      <c r="S36" s="38"/>
      <c r="T36" s="38"/>
    </row>
    <row r="37" spans="2:23">
      <c r="B37" s="24">
        <v>-2.08</v>
      </c>
      <c r="C37" s="38">
        <f t="shared" si="2"/>
        <v>31.395271514423076</v>
      </c>
      <c r="D37" s="38">
        <v>-65.302164750000003</v>
      </c>
      <c r="E37" s="38"/>
      <c r="S37" s="38"/>
      <c r="T37" s="38"/>
    </row>
    <row r="38" spans="2:23">
      <c r="B38" s="24">
        <v>-0.1</v>
      </c>
      <c r="C38" s="38">
        <f t="shared" si="2"/>
        <v>31.194569999999995</v>
      </c>
      <c r="D38" s="38">
        <f>-3.1462+0.026743</f>
        <v>-3.1194569999999997</v>
      </c>
      <c r="E38" s="38"/>
      <c r="N38" s="24"/>
      <c r="P38" s="39"/>
      <c r="S38" s="38"/>
      <c r="T38" s="38"/>
    </row>
    <row r="39" spans="2:23">
      <c r="B39" s="24">
        <v>-0.65</v>
      </c>
      <c r="C39" s="38">
        <f t="shared" si="2"/>
        <v>32.934038338461541</v>
      </c>
      <c r="D39" s="38">
        <f>-21.40712492</f>
        <v>-21.407124920000001</v>
      </c>
      <c r="E39" s="38"/>
      <c r="N39" s="24">
        <f>N16+N25</f>
        <v>1.6148000000000002</v>
      </c>
      <c r="S39" s="38"/>
      <c r="T39" s="38"/>
    </row>
    <row r="40" spans="2:23">
      <c r="B40" s="24">
        <v>-1.6148</v>
      </c>
      <c r="C40" s="38">
        <f t="shared" si="2"/>
        <v>46.861096439187513</v>
      </c>
      <c r="D40" s="38">
        <v>-75.671298530000001</v>
      </c>
      <c r="E40" s="38"/>
      <c r="S40" s="38"/>
      <c r="T40" s="38"/>
    </row>
    <row r="41" spans="2:23">
      <c r="B41" s="24">
        <v>-0.10879999999999999</v>
      </c>
      <c r="C41" s="38">
        <f t="shared" si="2"/>
        <v>58.381847426470586</v>
      </c>
      <c r="D41" s="38">
        <f>-6.4064+0.054455</f>
        <v>-6.3519449999999997</v>
      </c>
      <c r="E41" s="38"/>
      <c r="S41" s="38"/>
      <c r="T41" s="38"/>
    </row>
    <row r="42" spans="2:23">
      <c r="C42" s="38"/>
      <c r="D42" s="38"/>
      <c r="E42" s="38"/>
      <c r="S42" s="38"/>
      <c r="T42" s="38"/>
    </row>
    <row r="43" spans="2:23">
      <c r="B43" s="24">
        <f>(SUM(B5:B42))</f>
        <v>3.7837827209999992</v>
      </c>
      <c r="C43" s="38"/>
      <c r="D43" s="38">
        <f>(SUM(D5:D42))</f>
        <v>42.695659029999973</v>
      </c>
      <c r="E43" s="38"/>
      <c r="F43" t="s">
        <v>9</v>
      </c>
      <c r="G43" s="38">
        <f>(D43/B43)</f>
        <v>11.283855913036181</v>
      </c>
      <c r="R43" s="24">
        <f>(SUM(R5:R36))</f>
        <v>3.7837827209999992</v>
      </c>
      <c r="S43" s="38"/>
      <c r="T43" s="38">
        <f>(SUM(T5:T36))</f>
        <v>42.693659160230354</v>
      </c>
      <c r="V43" t="s">
        <v>9</v>
      </c>
      <c r="W43" s="38">
        <f>(T43/R43)</f>
        <v>11.283327375877183</v>
      </c>
    </row>
    <row r="44" spans="2:23">
      <c r="M44" s="24"/>
      <c r="S44" s="38"/>
      <c r="T44" s="38"/>
    </row>
    <row r="47" spans="2:23">
      <c r="N47" s="24"/>
    </row>
  </sheetData>
  <conditionalFormatting sqref="C5 C8:C10 S5">
    <cfRule type="cellIs" dxfId="67" priority="95" operator="lessThan">
      <formula>$J$3</formula>
    </cfRule>
    <cfRule type="cellIs" dxfId="66" priority="96" operator="greaterThan">
      <formula>$J$3</formula>
    </cfRule>
  </conditionalFormatting>
  <conditionalFormatting sqref="C16:C17">
    <cfRule type="cellIs" dxfId="65" priority="79" operator="lessThan">
      <formula>$J$3</formula>
    </cfRule>
    <cfRule type="cellIs" dxfId="64" priority="80" operator="greaterThan">
      <formula>$J$3</formula>
    </cfRule>
    <cfRule type="cellIs" dxfId="63" priority="81" operator="lessThan">
      <formula>$J$3</formula>
    </cfRule>
    <cfRule type="cellIs" dxfId="62" priority="82" operator="greaterThan">
      <formula>$J$3</formula>
    </cfRule>
    <cfRule type="cellIs" dxfId="61" priority="89" operator="lessThan">
      <formula>$J$3</formula>
    </cfRule>
    <cfRule type="cellIs" dxfId="60" priority="90" operator="greaterThan">
      <formula>$J$3</formula>
    </cfRule>
  </conditionalFormatting>
  <conditionalFormatting sqref="C19:C20 G43 W43">
    <cfRule type="cellIs" dxfId="59" priority="73" operator="lessThan">
      <formula>$J$3</formula>
    </cfRule>
    <cfRule type="cellIs" dxfId="58" priority="74" operator="greaterThan">
      <formula>$J$3</formula>
    </cfRule>
    <cfRule type="cellIs" dxfId="57" priority="75" operator="lessThan">
      <formula>$J$3</formula>
    </cfRule>
    <cfRule type="cellIs" dxfId="56" priority="76" operator="greaterThan">
      <formula>$J$3</formula>
    </cfRule>
    <cfRule type="cellIs" dxfId="55" priority="77" operator="lessThan">
      <formula>$J$3</formula>
    </cfRule>
    <cfRule type="cellIs" dxfId="54" priority="78" operator="greaterThan">
      <formula>$J$3</formula>
    </cfRule>
    <cfRule type="cellIs" dxfId="53" priority="87" operator="lessThan">
      <formula>$J$3</formula>
    </cfRule>
    <cfRule type="cellIs" dxfId="52" priority="88" operator="greaterThan">
      <formula>$J$3</formula>
    </cfRule>
  </conditionalFormatting>
  <conditionalFormatting sqref="C27:C28 C30:C31 C34:C35">
    <cfRule type="cellIs" dxfId="51" priority="65" operator="lessThan">
      <formula>$J$3</formula>
    </cfRule>
    <cfRule type="cellIs" dxfId="50" priority="66" operator="greaterThan">
      <formula>$J$3</formula>
    </cfRule>
    <cfRule type="cellIs" dxfId="49" priority="67" operator="lessThan">
      <formula>$J$3</formula>
    </cfRule>
    <cfRule type="cellIs" dxfId="48" priority="68" operator="greaterThan">
      <formula>$J$3</formula>
    </cfRule>
    <cfRule type="cellIs" dxfId="47" priority="69" operator="lessThan">
      <formula>$J$3</formula>
    </cfRule>
    <cfRule type="cellIs" dxfId="46" priority="70" operator="greaterThan">
      <formula>$J$3</formula>
    </cfRule>
    <cfRule type="cellIs" dxfId="45" priority="71" operator="lessThan">
      <formula>$J$3</formula>
    </cfRule>
    <cfRule type="cellIs" dxfId="44" priority="72" operator="greaterThan">
      <formula>$J$3</formula>
    </cfRule>
    <cfRule type="cellIs" dxfId="43" priority="85" operator="lessThan">
      <formula>$J$3</formula>
    </cfRule>
    <cfRule type="cellIs" dxfId="42" priority="86" operator="greaterThan">
      <formula>$J$3</formula>
    </cfRule>
  </conditionalFormatting>
  <conditionalFormatting sqref="O17 O26 S12:S13 S15:S16">
    <cfRule type="cellIs" dxfId="41" priority="59" operator="lessThan">
      <formula>$J$3</formula>
    </cfRule>
    <cfRule type="cellIs" dxfId="40" priority="60" operator="greaterThan">
      <formula>$J$3</formula>
    </cfRule>
    <cfRule type="cellIs" dxfId="39" priority="61" operator="lessThan">
      <formula>$J$3</formula>
    </cfRule>
    <cfRule type="cellIs" dxfId="38" priority="62" operator="greaterThan">
      <formula>$J$3</formula>
    </cfRule>
  </conditionalFormatting>
  <conditionalFormatting sqref="O3">
    <cfRule type="cellIs" dxfId="37" priority="41" operator="greaterThan">
      <formula>$J$3</formula>
    </cfRule>
    <cfRule type="cellIs" dxfId="36" priority="42" operator="less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26</v>
      </c>
      <c r="N2" t="s">
        <v>27</v>
      </c>
      <c r="X2" t="s">
        <v>28</v>
      </c>
      <c r="Y2" s="19">
        <f>(C234)</f>
        <v>62.55</v>
      </c>
    </row>
    <row r="3" spans="13:25">
      <c r="M3">
        <v>51</v>
      </c>
      <c r="N3">
        <f>(1/213)</f>
        <v>4.6948356807511738E-3</v>
      </c>
    </row>
    <row r="31" spans="2:5">
      <c r="C31" t="s">
        <v>29</v>
      </c>
      <c r="D31" t="s">
        <v>30</v>
      </c>
      <c r="E31" t="s">
        <v>31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  <row r="233" spans="2:5">
      <c r="B233" s="27">
        <v>45263</v>
      </c>
      <c r="C233" s="19">
        <v>61.82</v>
      </c>
      <c r="D233" s="19">
        <f>(0.2491*$M$3)</f>
        <v>12.704099999999999</v>
      </c>
      <c r="E233" s="19">
        <f>(39400.1607239039*$N$3)</f>
        <v>184.97728039391504</v>
      </c>
    </row>
    <row r="234" spans="2:5">
      <c r="B234" s="27">
        <v>45266</v>
      </c>
      <c r="C234" s="19">
        <v>62.55</v>
      </c>
      <c r="D234" s="19">
        <f>(0.2418*$M$3)</f>
        <v>12.331799999999999</v>
      </c>
      <c r="E234" s="19">
        <f>(44800.1607239039*$N$3)</f>
        <v>210.32939306997136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N25" sqref="N2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0.1023700795686307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0.95666185216321475</v>
      </c>
      <c r="K4" s="4">
        <f>(J4/D13-1)</f>
        <v>0.91332370432642951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32</v>
      </c>
      <c r="O5" t="s">
        <v>1</v>
      </c>
      <c r="P5" t="s">
        <v>2</v>
      </c>
    </row>
    <row r="6" spans="2:17">
      <c r="B6" s="20">
        <v>0.24387310000000001</v>
      </c>
      <c r="C6" s="40">
        <v>0</v>
      </c>
      <c r="D6" s="26">
        <f>(B6*C6)</f>
        <v>0</v>
      </c>
      <c r="E6" s="38">
        <f>(B6*J3)</f>
        <v>2.4965308651648633E-2</v>
      </c>
      <c r="G6" s="38"/>
      <c r="M6" t="s">
        <v>11</v>
      </c>
      <c r="N6" s="19">
        <f>($B$13/5)</f>
        <v>1.869026294</v>
      </c>
      <c r="O6" s="35">
        <f>($C$5*Params!K8)</f>
        <v>7.1418695478700056E-2</v>
      </c>
      <c r="P6" s="38">
        <f>(O6*N6)</f>
        <v>0.13348341973286931</v>
      </c>
      <c r="Q6" s="38">
        <f>N6*$J$3</f>
        <v>0.19133237043264295</v>
      </c>
    </row>
    <row r="7" spans="2:17">
      <c r="C7" s="38"/>
      <c r="D7" s="38"/>
      <c r="E7" s="38"/>
      <c r="G7" s="38"/>
      <c r="N7" s="19">
        <f>($B$13/5)</f>
        <v>1.869026294</v>
      </c>
      <c r="O7" s="35">
        <f>($C$5*Params!K9)</f>
        <v>8.7899932896861599E-2</v>
      </c>
      <c r="P7" s="38">
        <f>(O7*N7)</f>
        <v>0.16428728582506991</v>
      </c>
      <c r="Q7" s="38">
        <f>Q6*2</f>
        <v>0.3826647408652859</v>
      </c>
    </row>
    <row r="8" spans="2:17">
      <c r="C8" s="38"/>
      <c r="D8" s="38"/>
      <c r="E8" s="38"/>
      <c r="G8" s="38"/>
      <c r="N8" s="19">
        <f>($B$13/5)</f>
        <v>1.869026294</v>
      </c>
      <c r="O8" s="35">
        <f>($C$5*Params!K10)</f>
        <v>0.12086240773318471</v>
      </c>
      <c r="P8" s="38">
        <f>(O8*N8)</f>
        <v>0.22589501800947115</v>
      </c>
      <c r="Q8" s="38">
        <f>Q6*3</f>
        <v>0.57399711129792885</v>
      </c>
    </row>
    <row r="9" spans="2:17">
      <c r="C9" s="38"/>
      <c r="D9" s="38"/>
      <c r="E9" s="38"/>
      <c r="G9" s="38"/>
      <c r="N9" s="19">
        <f>($B$13/5)</f>
        <v>1.869026294</v>
      </c>
      <c r="O9" s="35">
        <f>($C$5*Params!K11)</f>
        <v>0.27468729030269251</v>
      </c>
      <c r="P9" s="38">
        <f>(O9*N9)</f>
        <v>0.51339776820334349</v>
      </c>
      <c r="Q9" s="38">
        <f>Q6*4</f>
        <v>0.7653294817305718</v>
      </c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1.0370634917707537</v>
      </c>
    </row>
    <row r="12" spans="2:17">
      <c r="C12" s="38"/>
      <c r="D12" s="38"/>
      <c r="E12" s="38"/>
      <c r="F12" t="s">
        <v>9</v>
      </c>
      <c r="G12" s="38">
        <f>(D13/B13)</f>
        <v>5.3503795169186637E-2</v>
      </c>
    </row>
    <row r="13" spans="2:17">
      <c r="B13">
        <f>(SUM(B5:B12))</f>
        <v>9.3451314700000001</v>
      </c>
      <c r="C13" s="38"/>
      <c r="D13" s="38">
        <f>(SUM(D5:D12))</f>
        <v>0.5</v>
      </c>
      <c r="E13" s="38"/>
      <c r="G13" s="38"/>
    </row>
  </sheetData>
  <conditionalFormatting sqref="C5">
    <cfRule type="cellIs" dxfId="35" priority="7" operator="lessThan">
      <formula>$J$3</formula>
    </cfRule>
    <cfRule type="cellIs" dxfId="34" priority="8" operator="greaterThan">
      <formula>$J$3</formula>
    </cfRule>
  </conditionalFormatting>
  <conditionalFormatting sqref="O6:O9">
    <cfRule type="cellIs" dxfId="33" priority="5" operator="lessThan">
      <formula>$J$3</formula>
    </cfRule>
    <cfRule type="cellIs" dxfId="32" priority="6" operator="greaterThan">
      <formula>$J$3</formula>
    </cfRule>
    <cfRule type="cellIs" dxfId="31" priority="1" operator="lessThan">
      <formula>$J$3</formula>
    </cfRule>
    <cfRule type="cellIs" dxfId="30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6.1563635576296409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12.626359486011861</v>
      </c>
      <c r="K4" s="4">
        <f>(J4/D10-1)</f>
        <v>0.12234306542327644</v>
      </c>
      <c r="O4" s="38"/>
      <c r="P4" s="38"/>
    </row>
    <row r="5" spans="2:16">
      <c r="B5" s="1">
        <v>2.0483723700000001</v>
      </c>
      <c r="C5" s="38">
        <f>(D5/B5)</f>
        <v>5.4921654698945188</v>
      </c>
      <c r="D5" s="38">
        <v>11.25</v>
      </c>
      <c r="E5" t="s">
        <v>84</v>
      </c>
      <c r="G5" s="38"/>
      <c r="H5" s="38"/>
      <c r="J5" s="38"/>
      <c r="M5" t="s">
        <v>84</v>
      </c>
      <c r="N5" t="s">
        <v>32</v>
      </c>
      <c r="O5" t="s">
        <v>1</v>
      </c>
      <c r="P5" t="s">
        <v>2</v>
      </c>
    </row>
    <row r="6" spans="2:16">
      <c r="B6" s="2">
        <v>2.5720500000000002E-3</v>
      </c>
      <c r="C6" s="40">
        <v>0</v>
      </c>
      <c r="D6" s="40">
        <f>(B6*C6)</f>
        <v>0</v>
      </c>
      <c r="E6" s="38">
        <f>(B6*J3)</f>
        <v>1.5834474888401319E-2</v>
      </c>
      <c r="G6" s="38"/>
      <c r="H6" s="38"/>
      <c r="J6" s="38"/>
      <c r="M6" t="s">
        <v>11</v>
      </c>
      <c r="N6" s="1">
        <f>($B$5/5)</f>
        <v>0.40967447400000001</v>
      </c>
      <c r="O6" s="35">
        <f>($C$5*Params!K8)</f>
        <v>7.1398151108628749</v>
      </c>
      <c r="P6" s="38">
        <f>(O6*N6)</f>
        <v>2.9249999999999998</v>
      </c>
    </row>
    <row r="7" spans="2:16">
      <c r="C7" s="38"/>
      <c r="D7" s="38"/>
      <c r="E7" s="38"/>
      <c r="G7" s="38"/>
      <c r="H7" s="38"/>
      <c r="J7" s="38"/>
      <c r="N7" s="1">
        <f>($B$5/5)</f>
        <v>0.40967447400000001</v>
      </c>
      <c r="O7" s="35">
        <f>($C$5*Params!K9)</f>
        <v>8.7874647518312301</v>
      </c>
      <c r="P7" s="38">
        <f>(O7*N7)</f>
        <v>3.5999999999999996</v>
      </c>
    </row>
    <row r="8" spans="2:16">
      <c r="C8" s="38"/>
      <c r="D8" s="38"/>
      <c r="E8" s="38"/>
      <c r="G8" s="38"/>
      <c r="H8" s="38"/>
      <c r="J8" s="38"/>
      <c r="N8" s="1">
        <f>($B$5/5)</f>
        <v>0.40967447400000001</v>
      </c>
      <c r="O8" s="35">
        <f>($C$5*Params!K10)</f>
        <v>12.082764033767942</v>
      </c>
      <c r="P8" s="38">
        <f>(O8*N8)</f>
        <v>4.95</v>
      </c>
    </row>
    <row r="9" spans="2:16">
      <c r="C9" s="38"/>
      <c r="D9" s="38"/>
      <c r="E9" s="38"/>
      <c r="F9" t="s">
        <v>9</v>
      </c>
      <c r="G9" s="38">
        <f>(D10/B10)</f>
        <v>5.485277850679152</v>
      </c>
      <c r="H9" s="38"/>
      <c r="J9" s="38"/>
      <c r="N9" s="1">
        <f>($B$5/5)</f>
        <v>0.40967447400000001</v>
      </c>
      <c r="O9" s="35">
        <f>($C$5*Params!K11)</f>
        <v>27.460827349472595</v>
      </c>
      <c r="P9" s="38">
        <f>(O9*N9)</f>
        <v>11.25</v>
      </c>
    </row>
    <row r="10" spans="2:16">
      <c r="B10" s="1">
        <f>(SUM(B5:B9))</f>
        <v>2.05094442</v>
      </c>
      <c r="C10" s="38"/>
      <c r="D10" s="38">
        <f>(SUM(D5:D9))</f>
        <v>11.25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22.725000000000001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29" priority="5" operator="lessThan">
      <formula>$J$3</formula>
    </cfRule>
    <cfRule type="cellIs" dxfId="28" priority="6" operator="greaterThan">
      <formula>$J$3</formula>
    </cfRule>
  </conditionalFormatting>
  <conditionalFormatting sqref="O6:O9">
    <cfRule type="cellIs" dxfId="27" priority="3" operator="lessThan">
      <formula>$J$3</formula>
    </cfRule>
    <cfRule type="cellIs" dxfId="26" priority="4" operator="greaterThan">
      <formula>$J$3</formula>
    </cfRule>
  </conditionalFormatting>
  <conditionalFormatting sqref="G9">
    <cfRule type="cellIs" dxfId="25" priority="1" operator="lessThan">
      <formula>$J$3</formula>
    </cfRule>
    <cfRule type="cellIs" dxfId="24" priority="2" operator="greater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V41" sqref="V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5">
        <v>0.61958760346578123</v>
      </c>
      <c r="M3" t="s">
        <v>4</v>
      </c>
      <c r="N3" s="19">
        <f>(INDEX(N5:N14,MATCH(MAX(O6:O7),O5:O14,0))/0.9)</f>
        <v>11.466517325925926</v>
      </c>
      <c r="O3" s="37">
        <f>(MAX(O6:O7)*0.85)</f>
        <v>0.48540838895304461</v>
      </c>
      <c r="P3" s="38">
        <f>(O3*N3)</f>
        <v>5.5659437020798768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19.182182373187118</v>
      </c>
      <c r="K4" s="4">
        <f>(J4/D14-1)</f>
        <v>7.2038860103274889</v>
      </c>
      <c r="R4" t="s">
        <v>5</v>
      </c>
      <c r="S4" t="s">
        <v>6</v>
      </c>
      <c r="T4" t="s">
        <v>7</v>
      </c>
    </row>
    <row r="5" spans="2:21">
      <c r="B5" s="19">
        <v>52.112819999999999</v>
      </c>
      <c r="C5" s="38">
        <f>(D5/B5)</f>
        <v>0.35691793305370928</v>
      </c>
      <c r="D5" s="38">
        <v>18.600000000000001</v>
      </c>
      <c r="N5" t="s">
        <v>32</v>
      </c>
      <c r="O5" t="s">
        <v>1</v>
      </c>
      <c r="P5" t="s">
        <v>2</v>
      </c>
      <c r="R5" s="19">
        <f>(SUM(B$5:B$7))</f>
        <v>54.366871179999997</v>
      </c>
      <c r="S5" s="38">
        <f>(T5/R5)</f>
        <v>0.35131688812407397</v>
      </c>
      <c r="T5" s="38">
        <f>(SUM(D5:D7))</f>
        <v>19.100000000000001</v>
      </c>
    </row>
    <row r="6" spans="2:21">
      <c r="B6" s="20">
        <v>0.79185970999999999</v>
      </c>
      <c r="C6" s="40">
        <v>0</v>
      </c>
      <c r="D6" s="40">
        <f>(B6*C6)</f>
        <v>0</v>
      </c>
      <c r="E6" s="38">
        <f>(B6*J3)</f>
        <v>0.49062646000000854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1">
      <c r="B7" s="19">
        <v>1.46219147</v>
      </c>
      <c r="C7" s="38">
        <f>(D7/B7)</f>
        <v>0.34195248040942272</v>
      </c>
      <c r="D7" s="38">
        <v>0.5</v>
      </c>
      <c r="N7" s="19">
        <f>(B$14/3)</f>
        <v>10.319865593333333</v>
      </c>
      <c r="O7" s="38">
        <f>($C$5*Params!K9)</f>
        <v>0.57106869288593487</v>
      </c>
      <c r="P7" s="38">
        <f>(O7*N7)</f>
        <v>5.8933521551433987</v>
      </c>
      <c r="Q7" t="s">
        <v>12</v>
      </c>
      <c r="R7" s="19">
        <f>B9+B10+B11</f>
        <v>2.7927256000000007</v>
      </c>
      <c r="S7" s="38">
        <v>0</v>
      </c>
      <c r="T7" s="39">
        <f>D9+D10+D11</f>
        <v>-2.9235217699999998</v>
      </c>
      <c r="U7" s="39"/>
    </row>
    <row r="8" spans="2:21">
      <c r="B8">
        <v>-10.76</v>
      </c>
      <c r="C8" s="38">
        <f>(D8/B8)</f>
        <v>0.46958153903345723</v>
      </c>
      <c r="D8" s="38">
        <v>-5.0526973599999998</v>
      </c>
      <c r="N8" s="19">
        <f>(B$14/3)</f>
        <v>10.319865593333333</v>
      </c>
      <c r="O8" s="38">
        <f>($C$5*Params!K10)</f>
        <v>0.78521945271816052</v>
      </c>
      <c r="P8" s="38">
        <f>(O8*N8)</f>
        <v>8.1033592133221752</v>
      </c>
      <c r="R8" s="19">
        <f>B12</f>
        <v>-15.44</v>
      </c>
      <c r="S8" s="39">
        <f>C12</f>
        <v>0.56901544106217616</v>
      </c>
      <c r="T8" s="39">
        <f>D12</f>
        <v>-8.7855984100000004</v>
      </c>
    </row>
    <row r="9" spans="2:21">
      <c r="B9">
        <v>-21.72</v>
      </c>
      <c r="C9" s="39">
        <f>D9/B9</f>
        <v>0.77456361740331492</v>
      </c>
      <c r="D9" s="38">
        <v>-16.823521769999999</v>
      </c>
      <c r="N9" s="19">
        <f>(B$14/3)</f>
        <v>10.319865593333333</v>
      </c>
      <c r="O9" s="38">
        <f>($C$5*Params!K11)</f>
        <v>1.7845896652685465</v>
      </c>
      <c r="P9" s="38">
        <f>(O9*N9)</f>
        <v>18.416725484823122</v>
      </c>
    </row>
    <row r="10" spans="2:21">
      <c r="B10" s="19">
        <v>12.15260941</v>
      </c>
      <c r="C10" s="38">
        <f>D10/B10</f>
        <v>0.66076344010467125</v>
      </c>
      <c r="D10" s="38">
        <v>8.0299999999999994</v>
      </c>
    </row>
    <row r="11" spans="2:21">
      <c r="B11" s="19">
        <v>12.360116189999999</v>
      </c>
      <c r="C11" s="38">
        <f>D11/B11</f>
        <v>0.47491462942307505</v>
      </c>
      <c r="D11" s="38">
        <v>5.87</v>
      </c>
      <c r="P11" s="38">
        <f>(SUM(P6:P9))</f>
        <v>37.466134213288697</v>
      </c>
    </row>
    <row r="12" spans="2:21">
      <c r="B12" s="19">
        <v>-15.44</v>
      </c>
      <c r="C12" s="39">
        <f>D12/B12</f>
        <v>0.56901544106217616</v>
      </c>
      <c r="D12" s="38">
        <v>-8.7855984100000004</v>
      </c>
    </row>
    <row r="13" spans="2:21">
      <c r="F13" t="s">
        <v>9</v>
      </c>
      <c r="G13" s="38">
        <f>(D14/B14)</f>
        <v>7.552367288938576E-2</v>
      </c>
    </row>
    <row r="14" spans="2:21">
      <c r="B14" s="19">
        <f>(SUM(B5:B13))</f>
        <v>30.959596779999998</v>
      </c>
      <c r="D14" s="38">
        <f>(SUM(D5:D13))</f>
        <v>2.3381824600000005</v>
      </c>
    </row>
    <row r="18" spans="12:20">
      <c r="R18">
        <f>(SUM(R5:R17))</f>
        <v>30.959596779999998</v>
      </c>
      <c r="T18" s="38">
        <f>(SUM(T5:T17))</f>
        <v>2.3381824600000005</v>
      </c>
    </row>
    <row r="22" spans="12:20">
      <c r="L22" s="39"/>
    </row>
    <row r="25" spans="12:20">
      <c r="N25" s="19"/>
    </row>
  </sheetData>
  <conditionalFormatting sqref="C5 C7 C10:C11 G13 O8:O9 S5">
    <cfRule type="cellIs" dxfId="23" priority="15" operator="lessThan">
      <formula>$J$3</formula>
    </cfRule>
    <cfRule type="cellIs" dxfId="22" priority="16" operator="greaterThan">
      <formula>$J$3</formula>
    </cfRule>
  </conditionalFormatting>
  <conditionalFormatting sqref="O3">
    <cfRule type="cellIs" dxfId="21" priority="9" operator="greaterThan">
      <formula>$J$3</formula>
    </cfRule>
    <cfRule type="cellIs" dxfId="20" priority="10" operator="less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2:W37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0.16322324400215801</v>
      </c>
      <c r="M3" t="s">
        <v>4</v>
      </c>
      <c r="N3" s="29">
        <f>(INDEX(N5:N29,MATCH(MAX(O6:O8),O5:O29,0))/0.9)</f>
        <v>17.499576300000001</v>
      </c>
      <c r="O3" s="37">
        <f>(MAX(O6:O8)*0.85)</f>
        <v>0.11792713112298792</v>
      </c>
      <c r="P3" s="38">
        <f>(O3*N3)</f>
        <v>2.0636748289268319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(B14*J3)</f>
        <v>4.3967979499183576</v>
      </c>
      <c r="K4" s="4">
        <f>(J4/D14-1)</f>
        <v>-7.7298992227709089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5">
        <f t="shared" ref="C5:C10" si="0">(D5/B5)</f>
        <v>6.3062636964164656E-2</v>
      </c>
      <c r="D5" s="38">
        <v>4</v>
      </c>
      <c r="E5" t="s">
        <v>85</v>
      </c>
      <c r="N5" t="s">
        <v>32</v>
      </c>
      <c r="O5" t="s">
        <v>1</v>
      </c>
      <c r="P5" t="s">
        <v>2</v>
      </c>
      <c r="R5" s="29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5">
        <f t="shared" si="0"/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9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5">
        <f t="shared" si="0"/>
        <v>9.5823336979011353E-2</v>
      </c>
      <c r="D7" s="38">
        <v>-1.217268</v>
      </c>
      <c r="N7" s="29">
        <f>-B11</f>
        <v>12.55901794</v>
      </c>
      <c r="O7" s="38">
        <f>($C$5*Params!K9)</f>
        <v>0.10090021914266345</v>
      </c>
      <c r="P7" s="38">
        <f>-D11</f>
        <v>1.2941590000000001</v>
      </c>
      <c r="Q7" t="s">
        <v>12</v>
      </c>
      <c r="R7" s="29">
        <f>B7+B10+B8+B9</f>
        <v>4.1808636000000003</v>
      </c>
      <c r="S7" s="38">
        <f>(C7)</f>
        <v>9.5823336979011353E-2</v>
      </c>
      <c r="T7" s="38">
        <f>D7+D10+D8+D9</f>
        <v>-0.17389399999999999</v>
      </c>
    </row>
    <row r="8" spans="2:20">
      <c r="B8" s="19">
        <v>-12.62063846</v>
      </c>
      <c r="C8" s="35">
        <f t="shared" si="0"/>
        <v>0.13122973178014641</v>
      </c>
      <c r="D8" s="38">
        <v>-1.6562030000000001</v>
      </c>
      <c r="N8" s="29">
        <f>3*($B$5+$R$7)/5-N7-N6</f>
        <v>15.749618670000002</v>
      </c>
      <c r="O8" s="38">
        <f>($C$5*Params!K10)</f>
        <v>0.13873780132116226</v>
      </c>
      <c r="P8" s="38">
        <f>(O8*N8)</f>
        <v>2.1850674659225282</v>
      </c>
      <c r="Q8" t="s">
        <v>12</v>
      </c>
      <c r="R8" s="29">
        <f>B11</f>
        <v>-12.55901794</v>
      </c>
      <c r="S8" s="38">
        <f>T8/R8</f>
        <v>0.10304619407208204</v>
      </c>
      <c r="T8" s="38">
        <f>D11</f>
        <v>-1.2941590000000001</v>
      </c>
    </row>
    <row r="9" spans="2:20">
      <c r="B9" s="19">
        <v>15.037158760000001</v>
      </c>
      <c r="C9" s="35">
        <f t="shared" si="0"/>
        <v>0.103022321219411</v>
      </c>
      <c r="D9" s="38">
        <v>1.5491630000000001</v>
      </c>
      <c r="N9" s="29">
        <f>4*($R$5+$R$7)/5+B12-N7-N6</f>
        <v>13.415354599999992</v>
      </c>
      <c r="O9" s="38">
        <f>($C$5*Params!K11)</f>
        <v>0.31531318482082327</v>
      </c>
      <c r="P9" s="38">
        <f>(O9*N9)</f>
        <v>4.2300381844266788</v>
      </c>
      <c r="R9" s="24">
        <f>B12</f>
        <v>-15.856236790000001</v>
      </c>
      <c r="S9" s="38">
        <f>T9/R9</f>
        <v>0.13886598876907916</v>
      </c>
      <c r="T9" s="38">
        <f>D12</f>
        <v>-2.201892</v>
      </c>
    </row>
    <row r="10" spans="2:20">
      <c r="B10" s="19">
        <v>14.46759533</v>
      </c>
      <c r="C10" s="35">
        <f t="shared" si="0"/>
        <v>7.9516600634695803E-2</v>
      </c>
      <c r="D10" s="38">
        <v>1.150414</v>
      </c>
      <c r="N10" s="29"/>
      <c r="O10" s="38"/>
      <c r="P10" s="38"/>
      <c r="R10" s="24"/>
      <c r="S10" s="38"/>
      <c r="T10" s="38"/>
    </row>
    <row r="11" spans="2:20">
      <c r="B11" s="19">
        <v>-12.55901794</v>
      </c>
      <c r="C11" s="35">
        <f>D11/B11</f>
        <v>0.10304619407208204</v>
      </c>
      <c r="D11" s="38">
        <f>-1.294159</f>
        <v>-1.2941590000000001</v>
      </c>
      <c r="N11" s="29"/>
      <c r="O11" s="38"/>
      <c r="P11" s="38"/>
      <c r="R11" s="24"/>
      <c r="S11" s="38"/>
      <c r="T11" s="38"/>
    </row>
    <row r="12" spans="2:20">
      <c r="B12" s="19">
        <v>-15.856236790000001</v>
      </c>
      <c r="C12" s="35">
        <f>D12/B12</f>
        <v>0.13886598876907916</v>
      </c>
      <c r="D12" s="38">
        <v>-2.201892</v>
      </c>
      <c r="N12" s="29"/>
      <c r="O12" s="38"/>
      <c r="P12" s="38"/>
      <c r="R12" s="24"/>
      <c r="S12" s="38"/>
      <c r="T12" s="38"/>
    </row>
    <row r="13" spans="2:20">
      <c r="C13" s="38"/>
      <c r="D13" s="38"/>
      <c r="F13" t="s">
        <v>9</v>
      </c>
      <c r="G13" s="38">
        <f>(D14/B14)</f>
        <v>-2.4253445497353809E-2</v>
      </c>
      <c r="O13" s="38"/>
      <c r="P13" s="38">
        <f>(SUM(P6:P9))</f>
        <v>8.6926426503492067</v>
      </c>
      <c r="R13" s="24"/>
      <c r="S13" s="38"/>
      <c r="T13" s="38"/>
    </row>
    <row r="14" spans="2:20">
      <c r="B14" s="19">
        <f>(SUM(B5:B13))</f>
        <v>26.937327320000005</v>
      </c>
      <c r="C14" s="38"/>
      <c r="D14" s="38">
        <f>(SUM(D5:D13))</f>
        <v>-0.65332299999999988</v>
      </c>
      <c r="O14" s="38"/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2:22">
      <c r="R17" s="24"/>
      <c r="S17" s="38"/>
      <c r="T17" s="38"/>
    </row>
    <row r="18" spans="12:22">
      <c r="R18" s="24"/>
      <c r="S18" s="38"/>
      <c r="T18" s="38"/>
    </row>
    <row r="19" spans="12:22">
      <c r="R19" s="24"/>
      <c r="S19" s="38"/>
      <c r="T19" s="38"/>
    </row>
    <row r="20" spans="12:22">
      <c r="R20" s="24"/>
      <c r="S20" s="38"/>
      <c r="T20" s="38"/>
    </row>
    <row r="21" spans="12:22">
      <c r="R21" s="24"/>
      <c r="S21" s="38"/>
      <c r="T21" s="38"/>
    </row>
    <row r="22" spans="12:22">
      <c r="R22" s="24"/>
      <c r="S22" s="38"/>
      <c r="T22" s="38"/>
    </row>
    <row r="23" spans="12:22">
      <c r="R23" s="24"/>
      <c r="S23" s="38"/>
      <c r="T23" s="38"/>
    </row>
    <row r="24" spans="12:22">
      <c r="R24" s="24"/>
      <c r="S24" s="38"/>
      <c r="T24" s="38"/>
      <c r="V24" s="39"/>
    </row>
    <row r="26" spans="12:22">
      <c r="S26" s="38"/>
      <c r="T26" s="38"/>
    </row>
    <row r="27" spans="12:22">
      <c r="L27" s="39"/>
      <c r="M27" s="39"/>
      <c r="S27" s="38"/>
      <c r="T27" s="38"/>
    </row>
    <row r="28" spans="12:22">
      <c r="S28" s="38"/>
      <c r="T28" s="38"/>
    </row>
    <row r="29" spans="12:22">
      <c r="S29" s="38"/>
      <c r="T29" s="38"/>
    </row>
    <row r="30" spans="12:22">
      <c r="S30" s="38"/>
      <c r="T30" s="38"/>
    </row>
    <row r="31" spans="12:22">
      <c r="S31" s="38"/>
      <c r="T31" s="38"/>
    </row>
    <row r="32" spans="12:22">
      <c r="S32" s="38"/>
      <c r="T32" s="38"/>
    </row>
    <row r="33" spans="18:23">
      <c r="R33" s="24">
        <f>(SUM(R5:R31))</f>
        <v>26.937327320000005</v>
      </c>
      <c r="S33" s="38"/>
      <c r="T33" s="38">
        <f>(SUM(T5:T31))</f>
        <v>-0.65332299999999988</v>
      </c>
      <c r="V33" t="s">
        <v>9</v>
      </c>
      <c r="W33" s="38">
        <f>(T33/R33)</f>
        <v>-2.4253445497353809E-2</v>
      </c>
    </row>
    <row r="34" spans="18:23">
      <c r="S34" s="38"/>
      <c r="T34" s="38"/>
    </row>
    <row r="35" spans="18:23">
      <c r="S35" s="38"/>
      <c r="T35" s="38"/>
    </row>
    <row r="36" spans="18:23">
      <c r="S36" s="38"/>
      <c r="T36" s="38"/>
    </row>
    <row r="37" spans="18:23">
      <c r="S37" s="38"/>
      <c r="T37" s="38"/>
    </row>
  </sheetData>
  <conditionalFormatting sqref="C5 C9:C10 G13 O9 S5">
    <cfRule type="cellIs" dxfId="19" priority="23" operator="lessThan">
      <formula>$J$3</formula>
    </cfRule>
    <cfRule type="cellIs" dxfId="18" priority="24" operator="greaterThan">
      <formula>$J$3</formula>
    </cfRule>
  </conditionalFormatting>
  <conditionalFormatting sqref="O3">
    <cfRule type="cellIs" dxfId="17" priority="17" operator="greaterThan">
      <formula>$J$3</formula>
    </cfRule>
    <cfRule type="cellIs" dxfId="16" priority="18" operator="lessThan">
      <formula>$J$3</formula>
    </cfRule>
  </conditionalFormatting>
  <conditionalFormatting sqref="W33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Z41" sqref="Z41"/>
    </sheetView>
  </sheetViews>
  <sheetFormatPr baseColWidth="10" defaultColWidth="9.140625" defaultRowHeight="15"/>
  <cols>
    <col min="2" max="2" width="8.57031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0.81203435937854063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2.3746475057834946</v>
      </c>
      <c r="K4" s="4">
        <f>(J4/D10-1)</f>
        <v>-0.2084508314055018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5.1293993575940249</v>
      </c>
      <c r="P9" s="38">
        <f>(O9*N9)</f>
        <v>3.0000000000000004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6.0600000000000005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Y41" sqref="Y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6.0608427557463903E-3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3.632869147794386</v>
      </c>
      <c r="K4" s="4">
        <f>(J4/D10-1)</f>
        <v>0.21095638259812866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2.5025025025025023E-2</v>
      </c>
      <c r="P9" s="38">
        <f>(O9*N9)</f>
        <v>2.9999999999999996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6.0599999999999987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3" sqref="K13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0.52887389892811476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3.2175630262988646</v>
      </c>
      <c r="K4" s="4">
        <f>(J4/D9-1)</f>
        <v>-0.8885404064687773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32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32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50</v>
      </c>
      <c r="P14" s="38">
        <f>(O14*N14)</f>
        <v>15.47</v>
      </c>
    </row>
    <row r="17" spans="13:16">
      <c r="P17" s="38">
        <f>(SUM(P11:P14))</f>
        <v>31.249400000000001</v>
      </c>
    </row>
    <row r="19" spans="13:16">
      <c r="N19" t="s">
        <v>32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19.704999999999998</v>
      </c>
      <c r="P23" s="38">
        <f>(O23*N23)</f>
        <v>9.9975287999999995</v>
      </c>
    </row>
    <row r="26" spans="13:16">
      <c r="P26" s="38">
        <f>(SUM(P20:P23))</f>
        <v>20.195008176000002</v>
      </c>
    </row>
    <row r="28" spans="13:16">
      <c r="N28" t="s">
        <v>32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8.5</v>
      </c>
      <c r="P32" s="38">
        <f>(O32*N32)</f>
        <v>3.4000000000000004</v>
      </c>
    </row>
    <row r="35" spans="16:16">
      <c r="P35" s="38">
        <f>(SUM(P29:P32))</f>
        <v>6.8680000000000003</v>
      </c>
    </row>
  </sheetData>
  <conditionalFormatting sqref="C5:C7">
    <cfRule type="cellIs" dxfId="251" priority="9" operator="lessThan">
      <formula>$J$3</formula>
    </cfRule>
    <cfRule type="cellIs" dxfId="250" priority="10" operator="greaterThan">
      <formula>$J$3</formula>
    </cfRule>
  </conditionalFormatting>
  <conditionalFormatting sqref="O11:O14">
    <cfRule type="cellIs" dxfId="249" priority="7" operator="lessThan">
      <formula>$J$3</formula>
    </cfRule>
    <cfRule type="cellIs" dxfId="248" priority="8" operator="greaterThan">
      <formula>$J$3</formula>
    </cfRule>
  </conditionalFormatting>
  <conditionalFormatting sqref="O20:O23">
    <cfRule type="cellIs" dxfId="247" priority="5" operator="lessThan">
      <formula>$J$3</formula>
    </cfRule>
    <cfRule type="cellIs" dxfId="246" priority="6" operator="greaterThan">
      <formula>$J$3</formula>
    </cfRule>
  </conditionalFormatting>
  <conditionalFormatting sqref="O29:O32">
    <cfRule type="cellIs" dxfId="245" priority="3" operator="lessThan">
      <formula>$J$3</formula>
    </cfRule>
    <cfRule type="cellIs" dxfId="244" priority="4" operator="greaterThan">
      <formula>$J$3</formula>
    </cfRule>
  </conditionalFormatting>
  <conditionalFormatting sqref="N6">
    <cfRule type="cellIs" dxfId="243" priority="1" operator="lessThan">
      <formula>$J$3</formula>
    </cfRule>
    <cfRule type="cellIs" dxfId="242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V77"/>
  <sheetViews>
    <sheetView workbookViewId="0">
      <selection activeCell="L44" sqref="L44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33</v>
      </c>
      <c r="H2">
        <v>729</v>
      </c>
    </row>
    <row r="3" spans="2:14">
      <c r="B3" s="5" t="s">
        <v>34</v>
      </c>
      <c r="C3" s="6"/>
      <c r="D3" s="6"/>
      <c r="E3" s="6"/>
      <c r="F3" s="7"/>
      <c r="I3" t="s">
        <v>35</v>
      </c>
      <c r="J3" s="28">
        <v>6.1249956882048328E-3</v>
      </c>
    </row>
    <row r="4" spans="2:14">
      <c r="B4" s="8"/>
      <c r="C4" t="s">
        <v>6</v>
      </c>
      <c r="D4" t="s">
        <v>36</v>
      </c>
      <c r="E4" t="s">
        <v>37</v>
      </c>
      <c r="F4" s="9" t="s">
        <v>38</v>
      </c>
      <c r="I4" t="s">
        <v>39</v>
      </c>
      <c r="J4">
        <v>6.1439999999999997E-4</v>
      </c>
      <c r="K4" t="s">
        <v>40</v>
      </c>
      <c r="N4" t="s">
        <v>41</v>
      </c>
    </row>
    <row r="5" spans="2:14">
      <c r="B5" s="8" t="s">
        <v>42</v>
      </c>
      <c r="C5" s="40">
        <v>135</v>
      </c>
      <c r="D5" s="38">
        <v>3.5</v>
      </c>
      <c r="E5" s="39">
        <f t="shared" ref="E5:E29" si="0">C5+D5</f>
        <v>138.5</v>
      </c>
      <c r="F5" s="9" t="s">
        <v>43</v>
      </c>
      <c r="I5" t="s">
        <v>44</v>
      </c>
      <c r="J5">
        <v>2.1503999999999998E-3</v>
      </c>
      <c r="K5" t="s">
        <v>40</v>
      </c>
      <c r="N5">
        <v>0.80249999999999999</v>
      </c>
    </row>
    <row r="6" spans="2:14">
      <c r="B6" s="8" t="s">
        <v>45</v>
      </c>
      <c r="C6" s="40">
        <v>18</v>
      </c>
      <c r="D6" s="38">
        <v>3.5</v>
      </c>
      <c r="E6" s="39">
        <f t="shared" si="0"/>
        <v>21.5</v>
      </c>
      <c r="F6" s="9" t="s">
        <v>43</v>
      </c>
      <c r="I6" t="s">
        <v>46</v>
      </c>
      <c r="J6">
        <v>1.4335999999999999E-3</v>
      </c>
      <c r="K6" t="s">
        <v>40</v>
      </c>
    </row>
    <row r="7" spans="2:14">
      <c r="B7" s="8" t="s">
        <v>47</v>
      </c>
      <c r="C7" s="38">
        <v>18</v>
      </c>
      <c r="D7" s="38">
        <v>3.5</v>
      </c>
      <c r="E7" s="39">
        <f t="shared" si="0"/>
        <v>21.5</v>
      </c>
      <c r="F7" s="9" t="s">
        <v>43</v>
      </c>
      <c r="I7" t="s">
        <v>48</v>
      </c>
      <c r="J7">
        <v>1.7408E-3</v>
      </c>
      <c r="K7" t="s">
        <v>40</v>
      </c>
    </row>
    <row r="8" spans="2:14">
      <c r="B8" s="8" t="s">
        <v>49</v>
      </c>
      <c r="C8" s="38">
        <v>55</v>
      </c>
      <c r="D8" s="38">
        <v>3.5</v>
      </c>
      <c r="E8" s="39">
        <f t="shared" si="0"/>
        <v>58.5</v>
      </c>
      <c r="F8" s="9" t="s">
        <v>43</v>
      </c>
    </row>
    <row r="9" spans="2:14">
      <c r="B9" s="8" t="s">
        <v>49</v>
      </c>
      <c r="C9" s="38">
        <v>-134.99</v>
      </c>
      <c r="D9" s="38">
        <v>0.01</v>
      </c>
      <c r="E9" s="39">
        <f t="shared" si="0"/>
        <v>-134.98000000000002</v>
      </c>
      <c r="F9" s="9" t="s">
        <v>50</v>
      </c>
    </row>
    <row r="10" spans="2:14">
      <c r="B10" s="8" t="s">
        <v>49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43</v>
      </c>
    </row>
    <row r="11" spans="2:14">
      <c r="B11" s="8" t="s">
        <v>49</v>
      </c>
      <c r="C11" s="38">
        <v>-144.96</v>
      </c>
      <c r="D11" s="38">
        <v>0.01</v>
      </c>
      <c r="E11" s="39">
        <f t="shared" si="0"/>
        <v>-144.95000000000002</v>
      </c>
      <c r="F11" s="9" t="s">
        <v>50</v>
      </c>
    </row>
    <row r="12" spans="2:14">
      <c r="B12" s="8" t="s">
        <v>49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43</v>
      </c>
      <c r="I12" t="s">
        <v>51</v>
      </c>
      <c r="J12" s="38">
        <f>(SUM(D5:E8))</f>
        <v>254</v>
      </c>
    </row>
    <row r="13" spans="2:14">
      <c r="B13" s="8" t="s">
        <v>49</v>
      </c>
      <c r="C13" s="38">
        <v>-144.94999999999999</v>
      </c>
      <c r="D13" s="38">
        <v>0.01</v>
      </c>
      <c r="E13" s="39">
        <f t="shared" si="0"/>
        <v>-144.94</v>
      </c>
      <c r="F13" s="9" t="s">
        <v>50</v>
      </c>
      <c r="I13" t="s">
        <v>52</v>
      </c>
      <c r="J13" s="38">
        <f>(SUM(K35:K43)-C77*J3+D77)</f>
        <v>9.7116608928370916</v>
      </c>
    </row>
    <row r="14" spans="2:14">
      <c r="B14" s="8" t="s">
        <v>49</v>
      </c>
      <c r="C14" s="38">
        <v>130</v>
      </c>
      <c r="D14" s="38">
        <f>0.01</f>
        <v>0.01</v>
      </c>
      <c r="E14" s="39">
        <f t="shared" si="0"/>
        <v>130.01</v>
      </c>
      <c r="F14" s="9" t="s">
        <v>43</v>
      </c>
      <c r="I14" t="s">
        <v>53</v>
      </c>
      <c r="J14" s="38">
        <f>(-SUM(E9:E31))</f>
        <v>-7.0166399999999376</v>
      </c>
      <c r="K14" s="39">
        <f>(J14-M38-M39-M40-M42-L43)</f>
        <v>-56.516639999999938</v>
      </c>
    </row>
    <row r="15" spans="2:14">
      <c r="B15" s="8" t="s">
        <v>49</v>
      </c>
      <c r="C15" s="38">
        <v>-144.97999999999999</v>
      </c>
      <c r="D15" s="38">
        <v>0.01</v>
      </c>
      <c r="E15" s="39">
        <f t="shared" si="0"/>
        <v>-144.97</v>
      </c>
      <c r="F15" s="9" t="s">
        <v>50</v>
      </c>
      <c r="I15" t="s">
        <v>37</v>
      </c>
      <c r="J15" s="38">
        <f>(J13-J12+J14)</f>
        <v>-251.30497910716284</v>
      </c>
    </row>
    <row r="16" spans="2:14">
      <c r="B16" s="8" t="s">
        <v>49</v>
      </c>
      <c r="C16" s="38">
        <v>130</v>
      </c>
      <c r="D16" s="38">
        <f>0.01</f>
        <v>0.01</v>
      </c>
      <c r="E16" s="39">
        <f t="shared" si="0"/>
        <v>130.01</v>
      </c>
      <c r="F16" s="9" t="s">
        <v>43</v>
      </c>
      <c r="I16" t="s">
        <v>54</v>
      </c>
      <c r="J16" s="38">
        <f>(J15+M47)</f>
        <v>-133.55497910716284</v>
      </c>
    </row>
    <row r="17" spans="2:18">
      <c r="B17" s="8" t="s">
        <v>47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43</v>
      </c>
    </row>
    <row r="18" spans="2:18">
      <c r="B18" s="8" t="s">
        <v>47</v>
      </c>
      <c r="C18" s="38">
        <v>38</v>
      </c>
      <c r="D18" s="38">
        <v>0.01</v>
      </c>
      <c r="E18" s="39">
        <f t="shared" si="0"/>
        <v>38.01</v>
      </c>
      <c r="F18" s="9" t="s">
        <v>55</v>
      </c>
      <c r="R18" s="39"/>
    </row>
    <row r="19" spans="2:18">
      <c r="B19" s="8" t="s">
        <v>47</v>
      </c>
      <c r="C19" s="38">
        <v>11.25</v>
      </c>
      <c r="D19" s="38">
        <v>0.01</v>
      </c>
      <c r="E19" s="39">
        <f t="shared" si="0"/>
        <v>11.26</v>
      </c>
      <c r="F19" s="9" t="s">
        <v>43</v>
      </c>
    </row>
    <row r="20" spans="2:18">
      <c r="B20" s="8" t="s">
        <v>47</v>
      </c>
      <c r="C20" s="40">
        <v>8.02</v>
      </c>
      <c r="D20" s="38">
        <v>0.01</v>
      </c>
      <c r="E20" s="39">
        <f t="shared" si="0"/>
        <v>8.0299999999999994</v>
      </c>
      <c r="F20" s="9" t="s">
        <v>43</v>
      </c>
    </row>
    <row r="21" spans="2:18">
      <c r="B21" s="8" t="s">
        <v>45</v>
      </c>
      <c r="C21" s="38">
        <v>6.01</v>
      </c>
      <c r="D21" s="38">
        <v>0</v>
      </c>
      <c r="E21" s="39">
        <f t="shared" si="0"/>
        <v>6.01</v>
      </c>
      <c r="F21" s="9" t="s">
        <v>43</v>
      </c>
    </row>
    <row r="22" spans="2:18">
      <c r="B22" s="8" t="s">
        <v>49</v>
      </c>
      <c r="C22" s="38">
        <v>-30.99</v>
      </c>
      <c r="D22" s="38">
        <v>0</v>
      </c>
      <c r="E22" s="39">
        <f t="shared" si="0"/>
        <v>-30.99</v>
      </c>
      <c r="F22" s="9" t="s">
        <v>50</v>
      </c>
    </row>
    <row r="23" spans="2:18">
      <c r="B23" s="8" t="s">
        <v>49</v>
      </c>
      <c r="C23" s="38">
        <v>27.01</v>
      </c>
      <c r="D23" s="38">
        <v>0</v>
      </c>
      <c r="E23" s="39">
        <f t="shared" si="0"/>
        <v>27.01</v>
      </c>
      <c r="F23" s="9" t="s">
        <v>43</v>
      </c>
    </row>
    <row r="24" spans="2:18">
      <c r="B24" s="8" t="s">
        <v>49</v>
      </c>
      <c r="C24" s="38">
        <v>-47.22</v>
      </c>
      <c r="D24" s="38">
        <v>0</v>
      </c>
      <c r="E24" s="39">
        <f t="shared" si="0"/>
        <v>-47.22</v>
      </c>
      <c r="F24" s="9" t="s">
        <v>50</v>
      </c>
    </row>
    <row r="25" spans="2:18">
      <c r="B25" s="8" t="s">
        <v>49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43</v>
      </c>
    </row>
    <row r="26" spans="2:18">
      <c r="B26" s="8" t="s">
        <v>49</v>
      </c>
      <c r="C26" s="38">
        <v>-59.99</v>
      </c>
      <c r="D26" s="38">
        <v>0</v>
      </c>
      <c r="E26" s="39">
        <f t="shared" si="0"/>
        <v>-59.99</v>
      </c>
      <c r="F26" s="9" t="s">
        <v>50</v>
      </c>
    </row>
    <row r="27" spans="2:18">
      <c r="B27" s="8" t="s">
        <v>49</v>
      </c>
      <c r="C27" s="40">
        <v>30.05</v>
      </c>
      <c r="D27" s="38">
        <v>0</v>
      </c>
      <c r="E27" s="39">
        <f t="shared" si="0"/>
        <v>30.05</v>
      </c>
      <c r="F27" s="9" t="s">
        <v>43</v>
      </c>
    </row>
    <row r="28" spans="2:18">
      <c r="B28" s="8" t="s">
        <v>49</v>
      </c>
      <c r="C28" s="40">
        <v>36.01</v>
      </c>
      <c r="D28" s="38">
        <v>0</v>
      </c>
      <c r="E28" s="39">
        <f t="shared" si="0"/>
        <v>36.01</v>
      </c>
      <c r="F28" s="9" t="s">
        <v>43</v>
      </c>
    </row>
    <row r="29" spans="2:18">
      <c r="B29" s="8" t="s">
        <v>45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50</v>
      </c>
    </row>
    <row r="30" spans="2:18">
      <c r="B30" s="8" t="s">
        <v>47</v>
      </c>
      <c r="C30" s="38">
        <v>4</v>
      </c>
      <c r="D30" s="38">
        <v>0.01</v>
      </c>
      <c r="E30" s="38">
        <f>(C30+D30)</f>
        <v>4.01</v>
      </c>
      <c r="F30" s="9" t="s">
        <v>43</v>
      </c>
    </row>
    <row r="31" spans="2:18">
      <c r="B31" s="10" t="s">
        <v>47</v>
      </c>
      <c r="C31" s="43">
        <v>-8.4440000000000008</v>
      </c>
      <c r="D31" s="43">
        <f>-C31*6%</f>
        <v>0.50663999999999998</v>
      </c>
      <c r="E31" s="43">
        <f>(C31+D31)</f>
        <v>-7.9373600000000009</v>
      </c>
      <c r="F31" s="12" t="s">
        <v>50</v>
      </c>
    </row>
    <row r="33" spans="2:22">
      <c r="B33" s="5" t="s">
        <v>56</v>
      </c>
      <c r="C33" s="6"/>
      <c r="D33" s="6"/>
      <c r="E33" s="6"/>
      <c r="F33" s="6"/>
      <c r="G33" s="6"/>
      <c r="H33" s="6"/>
      <c r="I33" s="6"/>
      <c r="J33" s="6"/>
      <c r="K33" s="7"/>
      <c r="L33" t="s">
        <v>57</v>
      </c>
      <c r="M33" t="s">
        <v>58</v>
      </c>
      <c r="N33" t="s">
        <v>38</v>
      </c>
    </row>
    <row r="34" spans="2:22">
      <c r="B34" s="8"/>
      <c r="C34" t="s">
        <v>59</v>
      </c>
      <c r="D34" t="s">
        <v>60</v>
      </c>
      <c r="E34" t="s">
        <v>61</v>
      </c>
      <c r="F34" t="s">
        <v>62</v>
      </c>
      <c r="G34" t="s">
        <v>63</v>
      </c>
      <c r="H34" s="13" t="s">
        <v>64</v>
      </c>
      <c r="I34" t="s">
        <v>65</v>
      </c>
      <c r="J34" t="s">
        <v>5</v>
      </c>
      <c r="K34" s="9" t="s">
        <v>66</v>
      </c>
    </row>
    <row r="35" spans="2:22">
      <c r="B35" s="8" t="s">
        <v>42</v>
      </c>
      <c r="C35">
        <v>6.2539999999999996</v>
      </c>
      <c r="D35">
        <f>$H$2</f>
        <v>729</v>
      </c>
      <c r="E35">
        <f t="shared" ref="E35:E41" si="1">C35*D35</f>
        <v>4559.1659999999993</v>
      </c>
      <c r="F35" s="29">
        <f t="shared" ref="F35:F41" si="2">E35*$N$5</f>
        <v>3658.7307149999992</v>
      </c>
      <c r="G35" s="38">
        <v>3.5</v>
      </c>
      <c r="H35" s="30">
        <f>G51</f>
        <v>1.5615590400000001</v>
      </c>
      <c r="I35" s="39">
        <f t="shared" ref="I35:I42" si="3">((F35-H35*D35)*$J$3-G35)</f>
        <v>11.937158453644045</v>
      </c>
      <c r="J35">
        <v>1</v>
      </c>
      <c r="K35" s="44">
        <f t="shared" ref="K35:K41" si="4">I35*J35</f>
        <v>11.937158453644045</v>
      </c>
      <c r="L35" s="31">
        <v>33.5</v>
      </c>
      <c r="M35" s="31">
        <f t="shared" ref="M35:M41" si="5">L35*J35</f>
        <v>33.5</v>
      </c>
    </row>
    <row r="36" spans="2:22">
      <c r="B36" s="8" t="s">
        <v>45</v>
      </c>
      <c r="C36">
        <v>0.96599999999999997</v>
      </c>
      <c r="D36">
        <f>$H$2</f>
        <v>729</v>
      </c>
      <c r="E36">
        <f t="shared" si="1"/>
        <v>704.21399999999994</v>
      </c>
      <c r="F36" s="29">
        <f t="shared" si="2"/>
        <v>565.13173499999994</v>
      </c>
      <c r="G36" s="38">
        <v>3.5</v>
      </c>
      <c r="H36" s="30">
        <f>G52</f>
        <v>0.21337130135885166</v>
      </c>
      <c r="I36" s="39">
        <f t="shared" si="3"/>
        <v>-0.99129942114749747</v>
      </c>
      <c r="J36">
        <v>1</v>
      </c>
      <c r="K36" s="44">
        <f t="shared" si="4"/>
        <v>-0.99129942114749747</v>
      </c>
      <c r="L36" s="31">
        <v>9</v>
      </c>
      <c r="M36" s="31">
        <f t="shared" si="5"/>
        <v>9</v>
      </c>
    </row>
    <row r="37" spans="2:22">
      <c r="B37" s="8" t="s">
        <v>47</v>
      </c>
      <c r="C37">
        <v>0.85099999999999998</v>
      </c>
      <c r="D37">
        <f>$H$2</f>
        <v>729</v>
      </c>
      <c r="E37">
        <f t="shared" si="1"/>
        <v>620.37900000000002</v>
      </c>
      <c r="F37" s="29">
        <f t="shared" si="2"/>
        <v>497.85414750000001</v>
      </c>
      <c r="G37" s="38">
        <v>3.5</v>
      </c>
      <c r="H37" s="30">
        <f>G53</f>
        <v>0.18479602162162162</v>
      </c>
      <c r="I37" s="39">
        <f t="shared" si="3"/>
        <v>-1.27578224838176</v>
      </c>
      <c r="J37">
        <v>1</v>
      </c>
      <c r="K37" s="44">
        <f t="shared" si="4"/>
        <v>-1.27578224838176</v>
      </c>
      <c r="L37" s="31">
        <v>6.5</v>
      </c>
      <c r="M37" s="31">
        <f t="shared" si="5"/>
        <v>6.5</v>
      </c>
    </row>
    <row r="38" spans="2:22">
      <c r="B38" s="8" t="s">
        <v>47</v>
      </c>
      <c r="C38">
        <v>0.85099999999999998</v>
      </c>
      <c r="D38">
        <f>$H$2-34</f>
        <v>695</v>
      </c>
      <c r="E38">
        <f t="shared" si="1"/>
        <v>591.44499999999994</v>
      </c>
      <c r="F38" s="29">
        <f t="shared" si="2"/>
        <v>474.63461249999995</v>
      </c>
      <c r="G38" s="38">
        <v>0</v>
      </c>
      <c r="H38" s="30">
        <f>G53</f>
        <v>0.18479602162162162</v>
      </c>
      <c r="I38" s="39">
        <f t="shared" si="3"/>
        <v>2.1204819442725329</v>
      </c>
      <c r="J38">
        <v>3</v>
      </c>
      <c r="K38" s="44">
        <f t="shared" si="4"/>
        <v>6.3614458328175987</v>
      </c>
      <c r="L38" s="31">
        <f>L37</f>
        <v>6.5</v>
      </c>
      <c r="M38" s="31">
        <f t="shared" si="5"/>
        <v>19.5</v>
      </c>
    </row>
    <row r="39" spans="2:22">
      <c r="B39" s="8" t="s">
        <v>47</v>
      </c>
      <c r="C39">
        <v>0.85099999999999998</v>
      </c>
      <c r="D39">
        <f>$H$2-34-58</f>
        <v>637</v>
      </c>
      <c r="E39">
        <f t="shared" si="1"/>
        <v>542.08699999999999</v>
      </c>
      <c r="F39" s="29">
        <f t="shared" si="2"/>
        <v>435.02481749999998</v>
      </c>
      <c r="G39" s="38">
        <v>0</v>
      </c>
      <c r="H39" s="30">
        <f>H38</f>
        <v>0.18479602162162162</v>
      </c>
      <c r="I39" s="39">
        <f t="shared" si="3"/>
        <v>1.9435208611533863</v>
      </c>
      <c r="J39">
        <v>1</v>
      </c>
      <c r="K39" s="44">
        <f t="shared" si="4"/>
        <v>1.9435208611533863</v>
      </c>
      <c r="L39" s="31">
        <f>L38</f>
        <v>6.5</v>
      </c>
      <c r="M39" s="31">
        <f t="shared" si="5"/>
        <v>6.5</v>
      </c>
    </row>
    <row r="40" spans="2:22">
      <c r="B40" s="8" t="s">
        <v>47</v>
      </c>
      <c r="C40">
        <v>0.85099999999999998</v>
      </c>
      <c r="D40">
        <f>$H$2-140</f>
        <v>589</v>
      </c>
      <c r="E40">
        <f t="shared" si="1"/>
        <v>501.23899999999998</v>
      </c>
      <c r="F40" s="29">
        <f t="shared" si="2"/>
        <v>402.24429749999996</v>
      </c>
      <c r="G40" s="38">
        <v>0</v>
      </c>
      <c r="H40" s="30">
        <f>H39</f>
        <v>0.18479602162162162</v>
      </c>
      <c r="I40" s="39">
        <f t="shared" si="3"/>
        <v>1.7970703096065064</v>
      </c>
      <c r="J40">
        <v>1</v>
      </c>
      <c r="K40" s="44">
        <f t="shared" si="4"/>
        <v>1.7970703096065064</v>
      </c>
      <c r="L40" s="31">
        <f>L39</f>
        <v>6.5</v>
      </c>
      <c r="M40" s="31">
        <f t="shared" si="5"/>
        <v>6.5</v>
      </c>
    </row>
    <row r="41" spans="2:22">
      <c r="B41" s="15" t="s">
        <v>45</v>
      </c>
      <c r="C41" s="16">
        <v>0.96599999999999997</v>
      </c>
      <c r="D41" s="16">
        <v>70</v>
      </c>
      <c r="E41" s="16">
        <f t="shared" si="1"/>
        <v>67.62</v>
      </c>
      <c r="F41" s="17">
        <f t="shared" si="2"/>
        <v>54.265050000000002</v>
      </c>
      <c r="G41" s="45">
        <v>0</v>
      </c>
      <c r="H41" s="32">
        <f>H36</f>
        <v>0.21337130135885166</v>
      </c>
      <c r="I41" s="45">
        <f t="shared" si="3"/>
        <v>0.24089031621354623</v>
      </c>
      <c r="J41" s="16">
        <v>1</v>
      </c>
      <c r="K41" s="46">
        <f t="shared" si="4"/>
        <v>0.24089031621354623</v>
      </c>
      <c r="L41" s="33">
        <v>0</v>
      </c>
      <c r="M41" s="33">
        <f t="shared" si="5"/>
        <v>0</v>
      </c>
      <c r="N41" t="s">
        <v>67</v>
      </c>
    </row>
    <row r="42" spans="2:22">
      <c r="B42" s="15" t="s">
        <v>47</v>
      </c>
      <c r="C42" s="16">
        <v>0.85099999999999998</v>
      </c>
      <c r="D42" s="16">
        <f>440</f>
        <v>440</v>
      </c>
      <c r="E42" s="16">
        <f>(C42*D42)</f>
        <v>374.44</v>
      </c>
      <c r="F42" s="17">
        <f>(E42*$N$5)</f>
        <v>300.48809999999997</v>
      </c>
      <c r="G42" s="45">
        <v>0</v>
      </c>
      <c r="H42" s="32">
        <f>(H38)</f>
        <v>0.18479602162162162</v>
      </c>
      <c r="I42" s="45">
        <f t="shared" si="3"/>
        <v>1.3424633891797333</v>
      </c>
      <c r="J42" s="16">
        <v>1</v>
      </c>
      <c r="K42" s="46">
        <f>(I42*J42)</f>
        <v>1.3424633891797333</v>
      </c>
      <c r="L42" s="33">
        <v>0</v>
      </c>
      <c r="M42" s="33">
        <f>(L42*J42)</f>
        <v>0</v>
      </c>
      <c r="N42" t="s">
        <v>67</v>
      </c>
    </row>
    <row r="43" spans="2:22">
      <c r="B43" s="8" t="s">
        <v>49</v>
      </c>
      <c r="H43" s="21"/>
      <c r="J43">
        <v>2</v>
      </c>
      <c r="K43" s="44"/>
      <c r="L43" s="31">
        <v>17</v>
      </c>
      <c r="M43" s="31">
        <f>L43*J43</f>
        <v>34</v>
      </c>
    </row>
    <row r="44" spans="2:22">
      <c r="B44" s="8" t="s">
        <v>68</v>
      </c>
      <c r="J44">
        <v>1</v>
      </c>
      <c r="K44" s="9"/>
      <c r="L44" s="31">
        <v>0.4</v>
      </c>
      <c r="M44" s="31">
        <f>(L44*J44)</f>
        <v>0.4</v>
      </c>
    </row>
    <row r="45" spans="2:22">
      <c r="B45" s="8" t="s">
        <v>69</v>
      </c>
      <c r="J45">
        <v>1</v>
      </c>
      <c r="K45" s="9"/>
      <c r="L45" s="31">
        <v>0.35</v>
      </c>
      <c r="M45" s="31">
        <f>(L45*J45)</f>
        <v>0.35</v>
      </c>
    </row>
    <row r="46" spans="2:22">
      <c r="B46" s="10" t="s">
        <v>70</v>
      </c>
      <c r="C46" s="11"/>
      <c r="D46" s="11"/>
      <c r="E46" s="11"/>
      <c r="F46" s="11"/>
      <c r="G46" s="11"/>
      <c r="H46" s="11"/>
      <c r="I46" s="11"/>
      <c r="J46" s="11">
        <v>1</v>
      </c>
      <c r="K46" s="12"/>
      <c r="L46" s="31">
        <v>1.5</v>
      </c>
      <c r="M46" s="31">
        <f>(L46*J46)</f>
        <v>1.5</v>
      </c>
      <c r="V46" s="39"/>
    </row>
    <row r="47" spans="2:22">
      <c r="L47" t="s">
        <v>37</v>
      </c>
      <c r="M47" s="31">
        <f>(SUM(M34:M46))</f>
        <v>117.75</v>
      </c>
      <c r="O47" s="31">
        <f>(J13+SUM(G35:G41)-D77)</f>
        <v>1.7319088928370938</v>
      </c>
      <c r="P47">
        <f>(O47/J3)</f>
        <v>282.76083461941124</v>
      </c>
    </row>
    <row r="49" spans="2:7">
      <c r="B49" s="18" t="s">
        <v>64</v>
      </c>
      <c r="C49" s="6"/>
      <c r="D49" s="6"/>
      <c r="E49" s="6"/>
      <c r="F49" s="6"/>
      <c r="G49" s="7"/>
    </row>
    <row r="50" spans="2:7">
      <c r="B50" s="8"/>
      <c r="C50" t="s">
        <v>71</v>
      </c>
      <c r="D50" t="s">
        <v>72</v>
      </c>
      <c r="E50" t="s">
        <v>73</v>
      </c>
      <c r="F50" t="s">
        <v>74</v>
      </c>
      <c r="G50" s="9" t="s">
        <v>75</v>
      </c>
    </row>
    <row r="51" spans="2:7">
      <c r="B51" s="8" t="s">
        <v>42</v>
      </c>
      <c r="C51">
        <f>0.12*60*24</f>
        <v>172.79999999999998</v>
      </c>
      <c r="D51">
        <f>0.2*60*24</f>
        <v>288</v>
      </c>
      <c r="E51">
        <f>0.15*60*24</f>
        <v>216</v>
      </c>
      <c r="F51">
        <f>0.21*60*24</f>
        <v>302.39999999999998</v>
      </c>
      <c r="G51" s="34">
        <f>(C51*$J$4+D51*$J$5+E51*$J$6+F51*$J$7)</f>
        <v>1.5615590400000001</v>
      </c>
    </row>
    <row r="52" spans="2:7">
      <c r="B52" s="8" t="s">
        <v>45</v>
      </c>
      <c r="C52">
        <f>24/(1+1/24)</f>
        <v>23.04</v>
      </c>
      <c r="D52" s="19">
        <f>126/(3+5/24)</f>
        <v>39.272727272727273</v>
      </c>
      <c r="E52" s="19">
        <f>46/(38/24)</f>
        <v>29.05263157894737</v>
      </c>
      <c r="F52">
        <v>42</v>
      </c>
      <c r="G52" s="34">
        <f>(C52*$J$4+D52*$J$5+E52*$J$6+F52*$J$7)</f>
        <v>0.21337130135885166</v>
      </c>
    </row>
    <row r="53" spans="2:7">
      <c r="B53" s="8" t="s">
        <v>47</v>
      </c>
      <c r="C53">
        <f>21</f>
        <v>21</v>
      </c>
      <c r="D53" s="19">
        <f>87/3.33</f>
        <v>26.126126126126124</v>
      </c>
      <c r="E53">
        <f>74/2</f>
        <v>37</v>
      </c>
      <c r="F53">
        <v>36</v>
      </c>
      <c r="G53" s="34">
        <f>(C53*$J$4+D53*$J$5+E53*$J$6+F53*$J$7)</f>
        <v>0.18479602162162162</v>
      </c>
    </row>
    <row r="54" spans="2:7">
      <c r="B54" s="10" t="s">
        <v>49</v>
      </c>
      <c r="C54" s="11"/>
      <c r="D54" s="11"/>
      <c r="E54" s="11"/>
      <c r="F54" s="11"/>
      <c r="G54" s="12"/>
    </row>
    <row r="56" spans="2:7">
      <c r="B56" s="5" t="s">
        <v>76</v>
      </c>
      <c r="C56" s="6" t="s">
        <v>77</v>
      </c>
      <c r="D56" s="7" t="s">
        <v>78</v>
      </c>
    </row>
    <row r="57" spans="2:7">
      <c r="B57" s="8"/>
      <c r="C57" s="19">
        <v>138</v>
      </c>
      <c r="D57" s="9"/>
    </row>
    <row r="58" spans="2:7">
      <c r="B58" s="8"/>
      <c r="C58" s="19">
        <v>330</v>
      </c>
      <c r="D58" s="9"/>
    </row>
    <row r="59" spans="2:7">
      <c r="B59" s="8"/>
      <c r="C59" s="19">
        <v>327.51919355000001</v>
      </c>
      <c r="D59" s="9"/>
    </row>
    <row r="60" spans="2:7">
      <c r="B60" s="8"/>
      <c r="C60" s="19">
        <v>113.54742468000001</v>
      </c>
      <c r="D60" s="47">
        <v>1.1399999999999999</v>
      </c>
      <c r="E60" s="42">
        <f t="shared" ref="E60:E67" si="6">D60/C60</f>
        <v>1.0039857823396298E-2</v>
      </c>
    </row>
    <row r="61" spans="2:7">
      <c r="B61" s="8"/>
      <c r="C61" s="19">
        <v>130.53974622000001</v>
      </c>
      <c r="D61" s="47">
        <v>1.1793119999999999</v>
      </c>
      <c r="E61" s="42">
        <f t="shared" si="6"/>
        <v>9.0341220520874389E-3</v>
      </c>
    </row>
    <row r="62" spans="2:7">
      <c r="B62" s="8"/>
      <c r="C62" s="19">
        <v>167.40487411999999</v>
      </c>
      <c r="D62" s="47">
        <v>1.05481</v>
      </c>
      <c r="E62" s="42">
        <f t="shared" si="6"/>
        <v>6.3009515436443378E-3</v>
      </c>
    </row>
    <row r="63" spans="2:7">
      <c r="B63" s="8"/>
      <c r="C63" s="19">
        <v>167.96827999999999</v>
      </c>
      <c r="D63" s="47">
        <f>1.0512-0.00017</f>
        <v>1.0510299999999999</v>
      </c>
      <c r="E63" s="42">
        <f t="shared" si="6"/>
        <v>6.2573123925541178E-3</v>
      </c>
    </row>
    <row r="64" spans="2:7">
      <c r="B64" s="8"/>
      <c r="C64" s="19">
        <v>123.66</v>
      </c>
      <c r="D64" s="47">
        <v>1.0489999999999999</v>
      </c>
      <c r="E64" s="42">
        <f t="shared" si="6"/>
        <v>8.4829370855571719E-3</v>
      </c>
    </row>
    <row r="65" spans="2:5">
      <c r="B65" s="8"/>
      <c r="C65" s="19">
        <v>149.5</v>
      </c>
      <c r="D65" s="47">
        <v>1.17</v>
      </c>
      <c r="E65" s="42">
        <f t="shared" si="6"/>
        <v>7.826086956521738E-3</v>
      </c>
    </row>
    <row r="66" spans="2:5">
      <c r="B66" s="8"/>
      <c r="C66" s="19">
        <v>170.62</v>
      </c>
      <c r="D66" s="47">
        <v>1.1579999999999999</v>
      </c>
      <c r="E66" s="42">
        <f t="shared" si="6"/>
        <v>6.7870120736138783E-3</v>
      </c>
    </row>
    <row r="67" spans="2:5">
      <c r="B67" s="8"/>
      <c r="C67" s="19">
        <v>192.66</v>
      </c>
      <c r="D67" s="47">
        <v>1.0900000000000001</v>
      </c>
      <c r="E67" s="42">
        <f t="shared" si="6"/>
        <v>5.6576352122910834E-3</v>
      </c>
    </row>
    <row r="68" spans="2:5">
      <c r="B68" s="8"/>
      <c r="C68" s="19">
        <v>257.33999999999997</v>
      </c>
      <c r="D68" s="47">
        <v>1.1299999999999999</v>
      </c>
      <c r="E68" s="42">
        <f t="shared" ref="E68:E74" si="7">(D68/C68)</f>
        <v>4.3910779513484108E-3</v>
      </c>
    </row>
    <row r="69" spans="2:5">
      <c r="B69" s="8"/>
      <c r="C69" s="19">
        <v>312.13</v>
      </c>
      <c r="D69" s="47">
        <v>0.82</v>
      </c>
      <c r="E69" s="42">
        <f t="shared" si="7"/>
        <v>2.6271104988306155E-3</v>
      </c>
    </row>
    <row r="70" spans="2:5">
      <c r="B70" s="8"/>
      <c r="C70" s="19">
        <v>352.46100000000001</v>
      </c>
      <c r="D70" s="47">
        <v>1.2074</v>
      </c>
      <c r="E70" s="42">
        <f t="shared" si="7"/>
        <v>3.4256272325165053E-3</v>
      </c>
    </row>
    <row r="71" spans="2:5">
      <c r="B71" s="8"/>
      <c r="C71" s="19">
        <v>263.04000000000002</v>
      </c>
      <c r="D71" s="47">
        <v>1.0588</v>
      </c>
      <c r="E71" s="42">
        <f t="shared" si="7"/>
        <v>4.0252433090024325E-3</v>
      </c>
    </row>
    <row r="72" spans="2:5">
      <c r="B72" s="8"/>
      <c r="C72" s="19">
        <v>359.00495999999998</v>
      </c>
      <c r="D72" s="47">
        <v>1.1194999999999999</v>
      </c>
      <c r="E72" s="42">
        <f t="shared" si="7"/>
        <v>3.1183413176241355E-3</v>
      </c>
    </row>
    <row r="73" spans="2:5">
      <c r="B73" s="8"/>
      <c r="C73" s="19">
        <v>327.91</v>
      </c>
      <c r="D73" s="47">
        <v>1.0785</v>
      </c>
      <c r="E73" s="42">
        <f t="shared" si="7"/>
        <v>3.2890122289652647E-3</v>
      </c>
    </row>
    <row r="74" spans="2:5">
      <c r="B74" s="8"/>
      <c r="C74" s="19">
        <v>925.39</v>
      </c>
      <c r="D74" s="47">
        <v>3.1734</v>
      </c>
      <c r="E74" s="42">
        <f t="shared" si="7"/>
        <v>3.4292568538670182E-3</v>
      </c>
    </row>
    <row r="75" spans="2:5">
      <c r="B75" s="8"/>
      <c r="C75" s="19">
        <v>109.44</v>
      </c>
      <c r="D75" s="47"/>
      <c r="E75" s="42"/>
    </row>
    <row r="76" spans="2:5">
      <c r="B76" s="10"/>
      <c r="C76" s="11"/>
      <c r="D76" s="12"/>
    </row>
    <row r="77" spans="2:5">
      <c r="B77" t="s">
        <v>37</v>
      </c>
      <c r="C77" s="19">
        <f>(SUM(C57:C76))</f>
        <v>4918.1354785700005</v>
      </c>
      <c r="D77" s="38">
        <f>(SUM(D57:D76))</f>
        <v>18.479751999999998</v>
      </c>
    </row>
  </sheetData>
  <conditionalFormatting sqref="L35">
    <cfRule type="cellIs" dxfId="241" priority="17" operator="lessThan">
      <formula>$C$5</formula>
    </cfRule>
    <cfRule type="cellIs" dxfId="240" priority="18" operator="greaterThan">
      <formula>$C$5</formula>
    </cfRule>
  </conditionalFormatting>
  <conditionalFormatting sqref="L36">
    <cfRule type="cellIs" dxfId="239" priority="15" operator="lessThan">
      <formula>$C$6</formula>
    </cfRule>
    <cfRule type="cellIs" dxfId="238" priority="16" operator="greaterThan">
      <formula>$C$6</formula>
    </cfRule>
  </conditionalFormatting>
  <conditionalFormatting sqref="L40">
    <cfRule type="cellIs" dxfId="237" priority="13" operator="lessThan">
      <formula>$C$20</formula>
    </cfRule>
    <cfRule type="cellIs" dxfId="236" priority="14" operator="greaterThan">
      <formula>$C$20</formula>
    </cfRule>
  </conditionalFormatting>
  <conditionalFormatting sqref="L39">
    <cfRule type="cellIs" dxfId="235" priority="11" operator="lessThan">
      <formula>$C$19</formula>
    </cfRule>
    <cfRule type="cellIs" dxfId="234" priority="12" operator="greaterThan">
      <formula>$C$19</formula>
    </cfRule>
  </conditionalFormatting>
  <conditionalFormatting sqref="L38">
    <cfRule type="cellIs" dxfId="233" priority="9" operator="lessThan">
      <formula>$C$17</formula>
    </cfRule>
    <cfRule type="cellIs" dxfId="232" priority="10" operator="greaterThan">
      <formula>$C$17</formula>
    </cfRule>
  </conditionalFormatting>
  <conditionalFormatting sqref="L37">
    <cfRule type="cellIs" dxfId="231" priority="7" operator="lessThan">
      <formula>$C$7</formula>
    </cfRule>
    <cfRule type="cellIs" dxfId="230" priority="8" operator="greaterThan">
      <formula>$C$7</formula>
    </cfRule>
  </conditionalFormatting>
  <conditionalFormatting sqref="L43">
    <cfRule type="cellIs" dxfId="229" priority="3" operator="lessThan">
      <formula>$C$27</formula>
    </cfRule>
    <cfRule type="cellIs" dxfId="228" priority="4" operator="greaterThan">
      <formula>$C$27</formula>
    </cfRule>
  </conditionalFormatting>
  <conditionalFormatting sqref="L44:L46">
    <cfRule type="cellIs" dxfId="227" priority="1" operator="lessThan">
      <formula>$C$7</formula>
    </cfRule>
    <cfRule type="cellIs" dxfId="226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cols>
    <col min="3" max="3" width="9.7109375" style="14" bestFit="1" customWidth="1"/>
  </cols>
  <sheetData>
    <row r="3" spans="2:4">
      <c r="C3" t="s">
        <v>6</v>
      </c>
      <c r="D3" t="s">
        <v>36</v>
      </c>
    </row>
    <row r="4" spans="2:4">
      <c r="B4" t="s">
        <v>79</v>
      </c>
      <c r="C4" s="38">
        <f>(-420/3)</f>
        <v>-140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80</v>
      </c>
      <c r="D4" t="s">
        <v>6</v>
      </c>
      <c r="E4" t="s">
        <v>37</v>
      </c>
    </row>
    <row r="5" spans="2:7">
      <c r="B5" t="s">
        <v>81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82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2:U13"/>
  <sheetViews>
    <sheetView tabSelected="1" workbookViewId="0">
      <selection activeCell="J4" sqref="J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0.61268054655838289</v>
      </c>
      <c r="M3" t="s">
        <v>4</v>
      </c>
      <c r="N3" s="24">
        <f>(INDEX(N5:N21,MATCH(MAX(O6:O7),O5:O21,0))/0.9)</f>
        <v>25</v>
      </c>
      <c r="O3" s="39">
        <f>(MAX(O6:O7)*0.85)</f>
        <v>0.47307655337143245</v>
      </c>
      <c r="P3" s="35">
        <f>(O3*N3)</f>
        <v>11.826913834285811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43.671784637215545</v>
      </c>
      <c r="K4" s="4">
        <f>(J4/D13-1)</f>
        <v>1.538819952295571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32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0.71860329999999994</v>
      </c>
      <c r="C6" s="40">
        <v>0</v>
      </c>
      <c r="D6" s="40">
        <f>(B6*C6)</f>
        <v>0</v>
      </c>
      <c r="E6" s="38">
        <f>(B6*J3)</f>
        <v>0.44027426260265756</v>
      </c>
      <c r="M6" t="s">
        <v>11</v>
      </c>
      <c r="N6" s="1">
        <f>-B10</f>
        <v>22.57</v>
      </c>
      <c r="O6" s="38">
        <f>P6/N6</f>
        <v>0.44671816437749229</v>
      </c>
      <c r="P6" s="38">
        <f>-D10</f>
        <v>10.08242897</v>
      </c>
      <c r="Q6" t="s">
        <v>12</v>
      </c>
      <c r="R6" s="2">
        <f>(B6)</f>
        <v>0.71860329999999994</v>
      </c>
      <c r="S6" s="40">
        <v>0</v>
      </c>
      <c r="T6" s="40">
        <f>(D6)</f>
        <v>0</v>
      </c>
      <c r="U6" s="38">
        <f>(R6*J3)</f>
        <v>0.44027426260265756</v>
      </c>
    </row>
    <row r="7" spans="2:21">
      <c r="B7" s="1">
        <v>112.99186922</v>
      </c>
      <c r="C7" s="38">
        <f>(D7/B7)</f>
        <v>0.34604259819678379</v>
      </c>
      <c r="D7" s="38">
        <v>39.1</v>
      </c>
      <c r="E7" t="s">
        <v>15</v>
      </c>
      <c r="N7" s="1">
        <f>-B11</f>
        <v>22.5</v>
      </c>
      <c r="O7" s="38">
        <f>($S$7*Params!K9)</f>
        <v>0.55656065102521468</v>
      </c>
      <c r="P7" s="38">
        <f>-D11</f>
        <v>12.305999999999999</v>
      </c>
      <c r="Q7" t="s">
        <v>12</v>
      </c>
      <c r="R7" s="29">
        <f>B7+B10</f>
        <v>90.421869219999991</v>
      </c>
      <c r="S7" s="38">
        <f>(T7/R7)</f>
        <v>0.34785040689075913</v>
      </c>
      <c r="T7" s="38">
        <f>D7+B10*0.3388</f>
        <v>31.453284000000004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3*($B$13-B11-B10)/5-N7-N6</f>
        <v>24.739917031999987</v>
      </c>
      <c r="O8" s="38">
        <f>($C$7*Params!K10)</f>
        <v>0.76129371603292439</v>
      </c>
      <c r="P8" s="38">
        <f>(O8*N8)</f>
        <v>18.834343371637509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14.255972343999996</v>
      </c>
      <c r="O9" s="38">
        <f>($C$7*Params!K11)</f>
        <v>1.730212990983919</v>
      </c>
      <c r="P9" s="38">
        <f>(O9*N9)</f>
        <v>24.665868548696263</v>
      </c>
      <c r="R9" s="1">
        <f>B10-B10</f>
        <v>0</v>
      </c>
      <c r="S9" s="39">
        <v>0</v>
      </c>
      <c r="T9" s="39">
        <f>D10-B10*0.3388</f>
        <v>-2.4357129700000009</v>
      </c>
    </row>
    <row r="10" spans="2:21">
      <c r="B10" s="1">
        <v>-22.57</v>
      </c>
      <c r="C10" s="39">
        <f>D10/B10</f>
        <v>0.44671816437749229</v>
      </c>
      <c r="D10" s="38">
        <v>-10.08242897</v>
      </c>
      <c r="N10" s="1"/>
      <c r="P10" s="38"/>
    </row>
    <row r="11" spans="2:21">
      <c r="B11" s="1">
        <v>-22.5</v>
      </c>
      <c r="C11" s="39">
        <f>D11/B11</f>
        <v>0.54693333333333327</v>
      </c>
      <c r="D11" s="38">
        <v>-12.305999999999999</v>
      </c>
      <c r="P11" s="38">
        <f>(SUM(P6:P9))</f>
        <v>65.888640890333775</v>
      </c>
    </row>
    <row r="12" spans="2:21">
      <c r="F12" t="s">
        <v>9</v>
      </c>
      <c r="G12" s="35">
        <f>(D13/B13)</f>
        <v>0.24132492971957475</v>
      </c>
    </row>
    <row r="13" spans="2:21">
      <c r="B13" s="1">
        <f>(SUM(B5:B12))</f>
        <v>71.279861719999985</v>
      </c>
      <c r="D13" s="38">
        <f>(SUM(D5:D12))</f>
        <v>17.201607620000004</v>
      </c>
      <c r="R13" s="1">
        <f>(SUM(R5:R12))</f>
        <v>93.779861719999985</v>
      </c>
      <c r="T13" s="38">
        <f>(SUM(T5:T12))</f>
        <v>29.507607620000002</v>
      </c>
    </row>
  </sheetData>
  <conditionalFormatting sqref="C5 C7 G12 S5 S7">
    <cfRule type="cellIs" dxfId="225" priority="19" operator="lessThan">
      <formula>$J$3</formula>
    </cfRule>
    <cfRule type="cellIs" dxfId="224" priority="20" operator="greaterThan">
      <formula>$J$3</formula>
    </cfRule>
  </conditionalFormatting>
  <conditionalFormatting sqref="O8:O9">
    <cfRule type="cellIs" dxfId="223" priority="15" operator="lessThan">
      <formula>$J$3</formula>
    </cfRule>
    <cfRule type="cellIs" dxfId="222" priority="16" operator="greaterThan">
      <formula>$J$3</formula>
    </cfRule>
  </conditionalFormatting>
  <conditionalFormatting sqref="C9">
    <cfRule type="cellIs" dxfId="221" priority="3" operator="lessThan">
      <formula>$J$3</formula>
    </cfRule>
    <cfRule type="cellIs" dxfId="220" priority="4" operator="greaterThan">
      <formula>$J$3</formula>
    </cfRule>
  </conditionalFormatting>
  <conditionalFormatting sqref="O3">
    <cfRule type="cellIs" dxfId="219" priority="1" operator="greaterThan">
      <formula>$J$3</formula>
    </cfRule>
    <cfRule type="cellIs" dxfId="218" priority="2" operator="less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N13" sqref="N1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0.19876572082055571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12.582877214218858</v>
      </c>
      <c r="K4" s="4">
        <f>(J4/D14-1)</f>
        <v>0.28058735742921526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32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">
        <v>0.56225714999999998</v>
      </c>
      <c r="C6" s="40">
        <v>0</v>
      </c>
      <c r="D6" s="40">
        <f>(B6*C6)</f>
        <v>0</v>
      </c>
      <c r="E6" s="38">
        <f>(B6*J3)</f>
        <v>0.11175744770626131</v>
      </c>
      <c r="M6" t="s">
        <v>11</v>
      </c>
      <c r="N6" s="29">
        <f>($B$14/5)</f>
        <v>12.66101334</v>
      </c>
      <c r="O6" s="38">
        <f>($C$5*Params!K8)</f>
        <v>0.21940472231459929</v>
      </c>
      <c r="P6" s="38">
        <f>(O6*N6)</f>
        <v>2.7778861160841375</v>
      </c>
      <c r="R6" s="36">
        <f>(B6)</f>
        <v>0.56225714999999998</v>
      </c>
      <c r="S6" s="40">
        <v>0</v>
      </c>
      <c r="T6" s="40">
        <f>(D6)</f>
        <v>0</v>
      </c>
      <c r="U6" s="38">
        <f>(E6)</f>
        <v>0.11175744770626131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12.66101334</v>
      </c>
      <c r="O7" s="38">
        <f>($C$5*Params!K9)</f>
        <v>0.27003658131027602</v>
      </c>
      <c r="P7" s="38">
        <f>(O7*N7)</f>
        <v>3.4189367582573995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12.66101334</v>
      </c>
      <c r="O8" s="38">
        <f>($C$5*Params!K10)</f>
        <v>0.37130029930162955</v>
      </c>
      <c r="P8" s="38">
        <f>(O8*N8)</f>
        <v>4.7010380426039244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12.66101334</v>
      </c>
      <c r="O9" s="38">
        <f>($C$5*Params!K11)</f>
        <v>0.84386431659461258</v>
      </c>
      <c r="P9" s="38">
        <f>(O9*N9)</f>
        <v>10.684177369554373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21.582038286499834</v>
      </c>
    </row>
    <row r="13" spans="2:21">
      <c r="F13" t="s">
        <v>9</v>
      </c>
      <c r="G13" s="38">
        <f>(D14/B14)</f>
        <v>0.15521449565110401</v>
      </c>
    </row>
    <row r="14" spans="2:21">
      <c r="B14" s="29">
        <f>(SUM(B5:B13))</f>
        <v>63.305066699999998</v>
      </c>
      <c r="D14" s="38">
        <f>(SUM(D5:D13))</f>
        <v>9.8258639999999993</v>
      </c>
    </row>
    <row r="17" spans="11:20">
      <c r="N17" s="29"/>
      <c r="R17" s="29">
        <f>(SUM(R5:R16))</f>
        <v>63.305066700000005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17" priority="13" operator="lessThan">
      <formula>$J$3</formula>
    </cfRule>
    <cfRule type="cellIs" dxfId="216" priority="14" operator="greaterThan">
      <formula>$J$3</formula>
    </cfRule>
  </conditionalFormatting>
  <conditionalFormatting sqref="C9:C10">
    <cfRule type="cellIs" dxfId="215" priority="11" operator="lessThan">
      <formula>$J$3</formula>
    </cfRule>
    <cfRule type="cellIs" dxfId="214" priority="12" operator="greaterThan">
      <formula>$J$3</formula>
    </cfRule>
  </conditionalFormatting>
  <conditionalFormatting sqref="O6:O9">
    <cfRule type="cellIs" dxfId="213" priority="9" operator="lessThan">
      <formula>$J$3</formula>
    </cfRule>
    <cfRule type="cellIs" dxfId="212" priority="10" operator="greaterThan">
      <formula>$J$3</formula>
    </cfRule>
  </conditionalFormatting>
  <conditionalFormatting sqref="S5 S7:S8">
    <cfRule type="cellIs" dxfId="211" priority="5" operator="lessThan">
      <formula>$J$3</formula>
    </cfRule>
    <cfRule type="cellIs" dxfId="210" priority="6" operator="greaterThan">
      <formula>$J$3</formula>
    </cfRule>
  </conditionalFormatting>
  <conditionalFormatting sqref="O6">
    <cfRule type="cellIs" dxfId="209" priority="3" operator="lessThan">
      <formula>$J$3</formula>
    </cfRule>
    <cfRule type="cellIs" dxfId="208" priority="4" operator="greaterThan">
      <formula>$J$3</formula>
    </cfRule>
  </conditionalFormatting>
  <conditionalFormatting sqref="G13">
    <cfRule type="cellIs" dxfId="207" priority="1" operator="lessThan">
      <formula>$J$3</formula>
    </cfRule>
    <cfRule type="cellIs" dxfId="206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36</vt:i4>
      </vt:variant>
    </vt:vector>
  </HeadingPairs>
  <TitlesOfParts>
    <vt:vector size="36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SEI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2023-12-16T21:14:55Z</dcterms:modified>
</cp:coreProperties>
</file>