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K4" s="1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P8" s="1"/>
  <c r="J4"/>
  <c r="K4" s="1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T18" s="1"/>
  <c r="R5"/>
  <c r="R18" s="1"/>
  <c r="C5"/>
  <c r="O7" s="1"/>
  <c r="P7" s="1"/>
  <c r="P11" s="1"/>
  <c r="N3"/>
  <c r="B13" i="35"/>
  <c r="J4" s="1"/>
  <c r="N9"/>
  <c r="N8"/>
  <c r="N7"/>
  <c r="N6"/>
  <c r="Q6" s="1"/>
  <c r="E6"/>
  <c r="D6"/>
  <c r="D13" s="1"/>
  <c r="G12" s="1"/>
  <c r="C5"/>
  <c r="O9" s="1"/>
  <c r="P9" s="1"/>
  <c r="C43" i="34"/>
  <c r="C42"/>
  <c r="D41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R30"/>
  <c r="C30"/>
  <c r="T29"/>
  <c r="R29"/>
  <c r="D29"/>
  <c r="C29" s="1"/>
  <c r="T28"/>
  <c r="R28"/>
  <c r="C28"/>
  <c r="B28"/>
  <c r="C27"/>
  <c r="P26"/>
  <c r="T30" s="1"/>
  <c r="O26"/>
  <c r="N26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C19"/>
  <c r="T18"/>
  <c r="R18"/>
  <c r="E18"/>
  <c r="T17"/>
  <c r="R17"/>
  <c r="P17"/>
  <c r="O17"/>
  <c r="N17"/>
  <c r="C17"/>
  <c r="T16"/>
  <c r="S16"/>
  <c r="R16"/>
  <c r="N16"/>
  <c r="R26" s="1"/>
  <c r="C16"/>
  <c r="T15"/>
  <c r="S15" s="1"/>
  <c r="O24" s="1"/>
  <c r="P24" s="1"/>
  <c r="R15"/>
  <c r="O15"/>
  <c r="P15" s="1"/>
  <c r="N15"/>
  <c r="E15"/>
  <c r="B15"/>
  <c r="T14"/>
  <c r="S14"/>
  <c r="R14"/>
  <c r="O14"/>
  <c r="P14" s="1"/>
  <c r="N14"/>
  <c r="E14"/>
  <c r="B14"/>
  <c r="T13"/>
  <c r="S13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O8" s="1"/>
  <c r="N8"/>
  <c r="C8"/>
  <c r="T7"/>
  <c r="R7"/>
  <c r="N7"/>
  <c r="E7"/>
  <c r="U6"/>
  <c r="T6"/>
  <c r="S6"/>
  <c r="O17" s="1"/>
  <c r="P17" s="1"/>
  <c r="R6"/>
  <c r="P6"/>
  <c r="N6"/>
  <c r="C6"/>
  <c r="T5"/>
  <c r="T28" s="1"/>
  <c r="R5"/>
  <c r="R28" s="1"/>
  <c r="C5"/>
  <c r="O9" s="1"/>
  <c r="P9" s="1"/>
  <c r="K4"/>
  <c r="J4"/>
  <c r="B11" i="29"/>
  <c r="T9"/>
  <c r="S9"/>
  <c r="R9"/>
  <c r="N9"/>
  <c r="C9"/>
  <c r="R8"/>
  <c r="O8"/>
  <c r="P8" s="1"/>
  <c r="N8"/>
  <c r="D8"/>
  <c r="T8" s="1"/>
  <c r="S8" s="1"/>
  <c r="R7"/>
  <c r="P7"/>
  <c r="O7" s="1"/>
  <c r="N3" s="1"/>
  <c r="N7"/>
  <c r="E7"/>
  <c r="D7"/>
  <c r="D11" s="1"/>
  <c r="T6"/>
  <c r="O6"/>
  <c r="N6"/>
  <c r="E6"/>
  <c r="U6" s="1"/>
  <c r="D6"/>
  <c r="T5"/>
  <c r="R5"/>
  <c r="R28" s="1"/>
  <c r="C5"/>
  <c r="O9" s="1"/>
  <c r="P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7" i="26"/>
  <c r="C37"/>
  <c r="N12" s="1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B39" s="1"/>
  <c r="R8"/>
  <c r="S8" s="1"/>
  <c r="C8"/>
  <c r="T7"/>
  <c r="R7"/>
  <c r="D7"/>
  <c r="R6"/>
  <c r="T6" s="1"/>
  <c r="D6"/>
  <c r="R5"/>
  <c r="D5"/>
  <c r="D39" s="1"/>
  <c r="G39" s="1"/>
  <c r="D20" i="25"/>
  <c r="D19"/>
  <c r="D18"/>
  <c r="D17"/>
  <c r="D16"/>
  <c r="D15"/>
  <c r="D14"/>
  <c r="D13"/>
  <c r="D12"/>
  <c r="D11"/>
  <c r="D10"/>
  <c r="D9"/>
  <c r="D8"/>
  <c r="B7"/>
  <c r="B22" s="1"/>
  <c r="J4" s="1"/>
  <c r="O6"/>
  <c r="E6"/>
  <c r="D6"/>
  <c r="D5"/>
  <c r="D22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P9" s="1"/>
  <c r="T6"/>
  <c r="S6" s="1"/>
  <c r="R6"/>
  <c r="O6"/>
  <c r="E6"/>
  <c r="D6"/>
  <c r="T5"/>
  <c r="T21" s="1"/>
  <c r="R5"/>
  <c r="N9" s="1"/>
  <c r="C5"/>
  <c r="K4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7" s="1"/>
  <c r="T6"/>
  <c r="S6" s="1"/>
  <c r="R6"/>
  <c r="N6"/>
  <c r="E6"/>
  <c r="D6"/>
  <c r="D11" s="1"/>
  <c r="G10" s="1"/>
  <c r="T5"/>
  <c r="T22" s="1"/>
  <c r="R5"/>
  <c r="R22" s="1"/>
  <c r="C5"/>
  <c r="O9" s="1"/>
  <c r="P9" s="1"/>
  <c r="B10" i="22"/>
  <c r="N9"/>
  <c r="N8"/>
  <c r="O7"/>
  <c r="P7" s="1"/>
  <c r="N7"/>
  <c r="N6"/>
  <c r="E6"/>
  <c r="D6"/>
  <c r="D10" s="1"/>
  <c r="C5"/>
  <c r="O9" s="1"/>
  <c r="P9" s="1"/>
  <c r="J4"/>
  <c r="D10" i="21"/>
  <c r="B10"/>
  <c r="N9"/>
  <c r="G9"/>
  <c r="N8"/>
  <c r="N7"/>
  <c r="N6"/>
  <c r="C5"/>
  <c r="O9" s="1"/>
  <c r="P9" s="1"/>
  <c r="J4"/>
  <c r="K4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P8" s="1"/>
  <c r="K4"/>
  <c r="J4"/>
  <c r="B13" i="18"/>
  <c r="N9" s="1"/>
  <c r="O9"/>
  <c r="P9" s="1"/>
  <c r="T8"/>
  <c r="O8"/>
  <c r="N8"/>
  <c r="B8"/>
  <c r="R7"/>
  <c r="P7"/>
  <c r="O7"/>
  <c r="N7"/>
  <c r="D7"/>
  <c r="T7" s="1"/>
  <c r="T6"/>
  <c r="S6" s="1"/>
  <c r="R6"/>
  <c r="N6"/>
  <c r="E6"/>
  <c r="D6"/>
  <c r="T5"/>
  <c r="T22" s="1"/>
  <c r="R5"/>
  <c r="J4"/>
  <c r="C12" i="17"/>
  <c r="D11"/>
  <c r="C11"/>
  <c r="O6" s="1"/>
  <c r="T10"/>
  <c r="R10"/>
  <c r="C10"/>
  <c r="T9"/>
  <c r="R9"/>
  <c r="B9"/>
  <c r="D9" s="1"/>
  <c r="D8" s="1"/>
  <c r="B8"/>
  <c r="B14" s="1"/>
  <c r="T7"/>
  <c r="S7" s="1"/>
  <c r="R7"/>
  <c r="P7"/>
  <c r="O7"/>
  <c r="N7"/>
  <c r="C7"/>
  <c r="T6"/>
  <c r="S6"/>
  <c r="R6"/>
  <c r="P6"/>
  <c r="N6"/>
  <c r="E6"/>
  <c r="D6"/>
  <c r="D14" s="1"/>
  <c r="T5"/>
  <c r="R5"/>
  <c r="C5"/>
  <c r="O9" s="1"/>
  <c r="D13" i="16"/>
  <c r="B13"/>
  <c r="G12"/>
  <c r="N9"/>
  <c r="N8"/>
  <c r="N7"/>
  <c r="N6"/>
  <c r="E6"/>
  <c r="D6"/>
  <c r="C5"/>
  <c r="O9" s="1"/>
  <c r="P9" s="1"/>
  <c r="J4"/>
  <c r="K4" s="1"/>
  <c r="N17" i="15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U5" s="1"/>
  <c r="C5"/>
  <c r="O6" s="1"/>
  <c r="P6" s="1"/>
  <c r="J4"/>
  <c r="K4" s="1"/>
  <c r="B14" i="12"/>
  <c r="N9"/>
  <c r="N8"/>
  <c r="N7"/>
  <c r="D7"/>
  <c r="N6"/>
  <c r="E6"/>
  <c r="D6"/>
  <c r="D14" s="1"/>
  <c r="G13" s="1"/>
  <c r="C5"/>
  <c r="O9" s="1"/>
  <c r="P9" s="1"/>
  <c r="J4"/>
  <c r="E7" s="1"/>
  <c r="B14" i="11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10"/>
  <c r="C11"/>
  <c r="C10"/>
  <c r="N9"/>
  <c r="C9"/>
  <c r="T8"/>
  <c r="S8" s="1"/>
  <c r="R8"/>
  <c r="N8"/>
  <c r="C8"/>
  <c r="T7"/>
  <c r="R7"/>
  <c r="C7"/>
  <c r="R6"/>
  <c r="P6"/>
  <c r="O6"/>
  <c r="N6"/>
  <c r="N7" s="1"/>
  <c r="E6"/>
  <c r="U6" s="1"/>
  <c r="D6"/>
  <c r="D14" s="1"/>
  <c r="G13" s="1"/>
  <c r="T5"/>
  <c r="S5"/>
  <c r="R5"/>
  <c r="R17" s="1"/>
  <c r="C5"/>
  <c r="O9" s="1"/>
  <c r="P9" s="1"/>
  <c r="J4"/>
  <c r="O3"/>
  <c r="N3"/>
  <c r="B13" i="9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N22"/>
  <c r="O21"/>
  <c r="P21" s="1"/>
  <c r="N21"/>
  <c r="O20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D31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38" s="1"/>
  <c r="G37" s="1"/>
  <c r="D41" i="1"/>
  <c r="C40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3" i="10" l="1"/>
  <c r="O3" i="29"/>
  <c r="P3" s="1"/>
  <c r="P28" i="34"/>
  <c r="P3" i="36"/>
  <c r="P20" i="4"/>
  <c r="P22"/>
  <c r="P8" i="18"/>
  <c r="P3" i="31"/>
  <c r="J7" i="2"/>
  <c r="J8" s="1"/>
  <c r="J4"/>
  <c r="K4" s="1"/>
  <c r="O34" i="1"/>
  <c r="O37"/>
  <c r="P37" s="1"/>
  <c r="O36"/>
  <c r="O35"/>
  <c r="O29"/>
  <c r="P29" s="1"/>
  <c r="O28"/>
  <c r="O27"/>
  <c r="O26"/>
  <c r="N52" i="2"/>
  <c r="O52" s="1"/>
  <c r="N50"/>
  <c r="O50" s="1"/>
  <c r="N51"/>
  <c r="O51" s="1"/>
  <c r="N75"/>
  <c r="N73"/>
  <c r="N76"/>
  <c r="O76" s="1"/>
  <c r="N74"/>
  <c r="O9"/>
  <c r="O14" s="1"/>
  <c r="N4"/>
  <c r="O22"/>
  <c r="O54"/>
  <c r="O38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L40" i="5"/>
  <c r="M40" s="1"/>
  <c r="M39"/>
  <c r="J4" i="8"/>
  <c r="N9"/>
  <c r="G13" i="11"/>
  <c r="K4"/>
  <c r="R32" i="13"/>
  <c r="G18"/>
  <c r="N3"/>
  <c r="O3"/>
  <c r="T8" i="17"/>
  <c r="C8"/>
  <c r="N3"/>
  <c r="O3"/>
  <c r="B39" i="1"/>
  <c r="N26" i="2"/>
  <c r="O26" s="1"/>
  <c r="N27"/>
  <c r="O27" s="1"/>
  <c r="N42"/>
  <c r="O42" s="1"/>
  <c r="N44"/>
  <c r="O44" s="1"/>
  <c r="M57"/>
  <c r="O5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M47" i="5"/>
  <c r="I37"/>
  <c r="K37" s="1"/>
  <c r="P25" i="13"/>
  <c r="G13" i="17"/>
  <c r="H37" i="5"/>
  <c r="H38"/>
  <c r="N9" i="17"/>
  <c r="N8"/>
  <c r="J4"/>
  <c r="K4" s="1"/>
  <c r="N26" i="1"/>
  <c r="N27"/>
  <c r="N28"/>
  <c r="O3"/>
  <c r="T5"/>
  <c r="N6"/>
  <c r="R19"/>
  <c r="N19" s="1"/>
  <c r="T19"/>
  <c r="R21"/>
  <c r="N34"/>
  <c r="N35"/>
  <c r="N36"/>
  <c r="T5" i="2"/>
  <c r="R20"/>
  <c r="M58" s="1"/>
  <c r="T20"/>
  <c r="S20" s="1"/>
  <c r="T2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K4" i="4"/>
  <c r="P26"/>
  <c r="J14" i="5"/>
  <c r="K14" s="1"/>
  <c r="I35"/>
  <c r="K35" s="1"/>
  <c r="I38"/>
  <c r="K38" s="1"/>
  <c r="I41"/>
  <c r="K41" s="1"/>
  <c r="P9" i="8"/>
  <c r="K4" i="10"/>
  <c r="P11" i="13"/>
  <c r="P9" i="14"/>
  <c r="P9" i="17"/>
  <c r="T13"/>
  <c r="T24" i="20"/>
  <c r="S5"/>
  <c r="G10" i="29"/>
  <c r="K4"/>
  <c r="Q9" i="35"/>
  <c r="Q8"/>
  <c r="Q7"/>
  <c r="K4" i="39"/>
  <c r="G13"/>
  <c r="P6" i="4"/>
  <c r="G8"/>
  <c r="O6" i="8"/>
  <c r="O8"/>
  <c r="T6" i="9"/>
  <c r="T13" s="1"/>
  <c r="T6" i="10"/>
  <c r="T17" s="1"/>
  <c r="O7"/>
  <c r="P7" s="1"/>
  <c r="O8"/>
  <c r="P8" s="1"/>
  <c r="U5" i="11"/>
  <c r="N7"/>
  <c r="P7" s="1"/>
  <c r="O8"/>
  <c r="O9"/>
  <c r="P9" s="1"/>
  <c r="R14"/>
  <c r="O6" i="12"/>
  <c r="P6" s="1"/>
  <c r="O8"/>
  <c r="P8" s="1"/>
  <c r="V7" i="13"/>
  <c r="R19"/>
  <c r="O6" i="14"/>
  <c r="O7"/>
  <c r="O8"/>
  <c r="R15"/>
  <c r="O14" i="15"/>
  <c r="O15"/>
  <c r="P15" s="1"/>
  <c r="D17"/>
  <c r="K4" s="1"/>
  <c r="O6" i="16"/>
  <c r="P6" s="1"/>
  <c r="O8"/>
  <c r="P8" s="1"/>
  <c r="K4" i="35"/>
  <c r="K4" i="36"/>
  <c r="R8" i="18"/>
  <c r="R22" s="1"/>
  <c r="C8"/>
  <c r="R33" i="19"/>
  <c r="N9"/>
  <c r="P9" s="1"/>
  <c r="K4" i="22"/>
  <c r="G9"/>
  <c r="O9" i="26"/>
  <c r="P9" s="1"/>
  <c r="J4"/>
  <c r="K4" i="28"/>
  <c r="G9"/>
  <c r="T5" i="34"/>
  <c r="D5" i="8"/>
  <c r="N6"/>
  <c r="O7"/>
  <c r="P7" s="1"/>
  <c r="N8"/>
  <c r="O6" i="9"/>
  <c r="O8"/>
  <c r="P8" s="1"/>
  <c r="P11" s="1"/>
  <c r="N6" i="11"/>
  <c r="P6" s="1"/>
  <c r="N8"/>
  <c r="K4" i="12"/>
  <c r="O7"/>
  <c r="P7" s="1"/>
  <c r="N6" i="14"/>
  <c r="N7"/>
  <c r="N8"/>
  <c r="T5" i="15"/>
  <c r="O7"/>
  <c r="P7" s="1"/>
  <c r="O8"/>
  <c r="P8" s="1"/>
  <c r="T9"/>
  <c r="N14"/>
  <c r="O16"/>
  <c r="P16" s="1"/>
  <c r="O7" i="16"/>
  <c r="P7" s="1"/>
  <c r="U5" i="17"/>
  <c r="O8"/>
  <c r="P8" s="1"/>
  <c r="P12" s="1"/>
  <c r="R8"/>
  <c r="R13" s="1"/>
  <c r="S5" i="18"/>
  <c r="D13"/>
  <c r="G12" s="1"/>
  <c r="P6"/>
  <c r="C7"/>
  <c r="O3" i="19"/>
  <c r="P3" s="1"/>
  <c r="P6"/>
  <c r="N3" i="20"/>
  <c r="P3" s="1"/>
  <c r="R24"/>
  <c r="S6"/>
  <c r="K4" i="23"/>
  <c r="P19" i="30"/>
  <c r="K4" i="32"/>
  <c r="S5" i="19"/>
  <c r="T5" s="1"/>
  <c r="T33" s="1"/>
  <c r="W33" s="1"/>
  <c r="O8" i="20"/>
  <c r="P8" s="1"/>
  <c r="P11" s="1"/>
  <c r="O7" i="21"/>
  <c r="P7" s="1"/>
  <c r="O6" i="22"/>
  <c r="P6" s="1"/>
  <c r="O8"/>
  <c r="P8" s="1"/>
  <c r="S5" i="23"/>
  <c r="P6"/>
  <c r="C7"/>
  <c r="S5" i="24"/>
  <c r="N6"/>
  <c r="P6" s="1"/>
  <c r="O7"/>
  <c r="N8"/>
  <c r="P8" s="1"/>
  <c r="R21"/>
  <c r="C7" i="25"/>
  <c r="T5" i="26"/>
  <c r="T39" s="1"/>
  <c r="C9"/>
  <c r="O6" s="1"/>
  <c r="P6" s="1"/>
  <c r="R24"/>
  <c r="R25"/>
  <c r="S5" i="27"/>
  <c r="T6"/>
  <c r="O7"/>
  <c r="N14"/>
  <c r="P14" s="1"/>
  <c r="D15"/>
  <c r="T10" s="1"/>
  <c r="B16"/>
  <c r="N16"/>
  <c r="P16" s="1"/>
  <c r="N17"/>
  <c r="P17" s="1"/>
  <c r="O6" i="28"/>
  <c r="P6" s="1"/>
  <c r="P11" s="1"/>
  <c r="O8"/>
  <c r="P8" s="1"/>
  <c r="S5" i="29"/>
  <c r="P6"/>
  <c r="P11" s="1"/>
  <c r="C8"/>
  <c r="S5" i="30"/>
  <c r="O6"/>
  <c r="O7"/>
  <c r="P7" s="1"/>
  <c r="P11" s="1"/>
  <c r="O14"/>
  <c r="T6" i="31"/>
  <c r="T17" s="1"/>
  <c r="O9"/>
  <c r="P9" s="1"/>
  <c r="P12" s="1"/>
  <c r="O6" i="32"/>
  <c r="P6" s="1"/>
  <c r="P11" s="1"/>
  <c r="O7" i="33"/>
  <c r="P7" s="1"/>
  <c r="D5" i="34"/>
  <c r="D45" s="1"/>
  <c r="G45" s="1"/>
  <c r="O16"/>
  <c r="R20"/>
  <c r="R45" s="1"/>
  <c r="T26"/>
  <c r="N39"/>
  <c r="B45"/>
  <c r="J4" s="1"/>
  <c r="O6" i="35"/>
  <c r="P6" s="1"/>
  <c r="O7"/>
  <c r="P7" s="1"/>
  <c r="O8"/>
  <c r="P8" s="1"/>
  <c r="S5" i="36"/>
  <c r="T5" i="37"/>
  <c r="O6"/>
  <c r="O9"/>
  <c r="P9" s="1"/>
  <c r="P11" s="1"/>
  <c r="O6" i="38"/>
  <c r="P6" s="1"/>
  <c r="T6"/>
  <c r="T18" s="1"/>
  <c r="O7"/>
  <c r="P7" s="1"/>
  <c r="O9"/>
  <c r="P9" s="1"/>
  <c r="S5" i="39"/>
  <c r="N7"/>
  <c r="O8"/>
  <c r="P8" s="1"/>
  <c r="O6" i="21"/>
  <c r="P6" s="1"/>
  <c r="O8"/>
  <c r="P8" s="1"/>
  <c r="N7" i="24"/>
  <c r="O12" i="25"/>
  <c r="R9" i="26"/>
  <c r="S9" s="1"/>
  <c r="T7" i="29"/>
  <c r="T28" s="1"/>
  <c r="O6" i="33"/>
  <c r="P6" s="1"/>
  <c r="O8"/>
  <c r="P8" s="1"/>
  <c r="O7" i="39"/>
  <c r="P7" s="1"/>
  <c r="P11" s="1"/>
  <c r="P11" i="33" l="1"/>
  <c r="P11" i="21"/>
  <c r="P11" i="15"/>
  <c r="O46" i="2"/>
  <c r="O30"/>
  <c r="P12" i="10"/>
  <c r="P20" i="27"/>
  <c r="O3" i="37"/>
  <c r="N3"/>
  <c r="P16" i="34"/>
  <c r="P19" s="1"/>
  <c r="O3"/>
  <c r="D16" i="27"/>
  <c r="T9" s="1"/>
  <c r="T17" s="1"/>
  <c r="R9"/>
  <c r="N12" i="25"/>
  <c r="N6"/>
  <c r="P6" s="1"/>
  <c r="N3" i="9"/>
  <c r="O3"/>
  <c r="P3" s="1"/>
  <c r="D13" i="8"/>
  <c r="G12" s="1"/>
  <c r="T5"/>
  <c r="P6"/>
  <c r="O3"/>
  <c r="P3" s="1"/>
  <c r="N3"/>
  <c r="N59" i="2"/>
  <c r="O59" s="1"/>
  <c r="N60"/>
  <c r="O60" s="1"/>
  <c r="N58"/>
  <c r="O58" s="1"/>
  <c r="H42" i="5"/>
  <c r="I42" s="1"/>
  <c r="K42" s="1"/>
  <c r="H39"/>
  <c r="D39" i="1"/>
  <c r="D43" s="1"/>
  <c r="T22"/>
  <c r="T18"/>
  <c r="R18"/>
  <c r="N10"/>
  <c r="P10" s="1"/>
  <c r="R22"/>
  <c r="P12" i="25"/>
  <c r="P11" i="38"/>
  <c r="K4" i="34"/>
  <c r="N3"/>
  <c r="P11" i="22"/>
  <c r="P13" i="19"/>
  <c r="P11" i="16"/>
  <c r="P7" i="14"/>
  <c r="P8" i="11"/>
  <c r="P11" s="1"/>
  <c r="K4" i="18"/>
  <c r="T37" i="2"/>
  <c r="T32" i="1"/>
  <c r="S8" i="17"/>
  <c r="K4" i="8"/>
  <c r="O75" i="2"/>
  <c r="P26" i="1"/>
  <c r="P28"/>
  <c r="P35"/>
  <c r="R37" i="2"/>
  <c r="S5" i="37"/>
  <c r="T18"/>
  <c r="N8" i="34"/>
  <c r="N9"/>
  <c r="P9" s="1"/>
  <c r="P11" s="1"/>
  <c r="N3" i="30"/>
  <c r="O3"/>
  <c r="P11" i="23"/>
  <c r="O6"/>
  <c r="P11" i="18"/>
  <c r="O6"/>
  <c r="T37" i="15"/>
  <c r="S5"/>
  <c r="P6" i="1"/>
  <c r="O6"/>
  <c r="N3" s="1"/>
  <c r="M4" i="2"/>
  <c r="O4" s="1"/>
  <c r="P11" i="35"/>
  <c r="P7" i="24"/>
  <c r="P11" s="1"/>
  <c r="D18" i="27"/>
  <c r="R39" i="26"/>
  <c r="N18" i="8"/>
  <c r="O18" s="1"/>
  <c r="T45" i="34"/>
  <c r="W45" s="1"/>
  <c r="V20"/>
  <c r="B18" i="27"/>
  <c r="J4" s="1"/>
  <c r="K4" s="1"/>
  <c r="P14" i="15"/>
  <c r="P19" s="1"/>
  <c r="P8" i="14"/>
  <c r="P6"/>
  <c r="P12" i="12"/>
  <c r="P8" i="8"/>
  <c r="S19" i="1"/>
  <c r="P3"/>
  <c r="O62" i="2"/>
  <c r="P3" i="17"/>
  <c r="P3" i="13"/>
  <c r="O74" i="2"/>
  <c r="O73"/>
  <c r="O78" s="1"/>
  <c r="P27" i="1"/>
  <c r="P36"/>
  <c r="P34"/>
  <c r="B43"/>
  <c r="J12" l="1"/>
  <c r="J13" s="1"/>
  <c r="J4"/>
  <c r="K4" s="1"/>
  <c r="O21"/>
  <c r="P21" s="1"/>
  <c r="O19"/>
  <c r="P19" s="1"/>
  <c r="O20"/>
  <c r="P20" s="1"/>
  <c r="N11"/>
  <c r="R32"/>
  <c r="H40" i="5"/>
  <c r="I40" s="1"/>
  <c r="K40" s="1"/>
  <c r="I39"/>
  <c r="K39" s="1"/>
  <c r="S5" i="8"/>
  <c r="T13"/>
  <c r="N9" i="27"/>
  <c r="P9" s="1"/>
  <c r="N7"/>
  <c r="P7" s="1"/>
  <c r="N8"/>
  <c r="P8" s="1"/>
  <c r="N6"/>
  <c r="P6" s="1"/>
  <c r="P11" s="1"/>
  <c r="R17"/>
  <c r="P31" i="1"/>
  <c r="P3" i="34"/>
  <c r="N3" i="18"/>
  <c r="O3"/>
  <c r="N3" i="23"/>
  <c r="O3"/>
  <c r="G42" i="1"/>
  <c r="G7"/>
  <c r="P39"/>
  <c r="P12" i="14"/>
  <c r="G17" i="27"/>
  <c r="P3" i="30"/>
  <c r="S18" i="1"/>
  <c r="P11" i="8"/>
  <c r="P3" i="37"/>
  <c r="P23" i="1" l="1"/>
  <c r="J13" i="5"/>
  <c r="O12" i="1"/>
  <c r="P12" s="1"/>
  <c r="O11"/>
  <c r="P11" s="1"/>
  <c r="O13"/>
  <c r="P13" s="1"/>
  <c r="P3" i="23"/>
  <c r="P3" i="18"/>
  <c r="P15" i="1" l="1"/>
  <c r="O47" i="5"/>
  <c r="P47" s="1"/>
  <c r="J15"/>
  <c r="J16" s="1"/>
</calcChain>
</file>

<file path=xl/sharedStrings.xml><?xml version="1.0" encoding="utf-8"?>
<sst xmlns="http://schemas.openxmlformats.org/spreadsheetml/2006/main" count="889" uniqueCount="103">
  <si>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</si>
  <si>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</si>
  <si>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</si>
  <si>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</si>
  <si>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</si>
  <si>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</si>
  <si>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</si>
  <si>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</si>
  <si>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</si>
  <si>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</si>
  <si>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</si>
  <si>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</si>
  <si>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</si>
  <si>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</si>
  <si>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</si>
  <si>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</si>
  <si>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</si>
  <si>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</si>
  <si>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</si>
  <si>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</si>
  <si>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</si>
  <si>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</si>
  <si>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</si>
  <si>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</si>
  <si>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</si>
  <si>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</si>
  <si>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</si>
  <si>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</si>
  <si>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</si>
  <si>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</si>
  <si>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</si>
  <si>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</si>
  <si>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</si>
  <si>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</si>
  <si>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</si>
  <si>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</si>
  <si>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</si>
  <si>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</si>
  <si>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</si>
  <si>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</si>
  <si>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</si>
  <si>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</si>
  <si>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</si>
  <si>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</si>
  <si>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</si>
  <si>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</si>
  <si>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</si>
  <si>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</si>
  <si>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</si>
  <si>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</si>
  <si>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</si>
  <si>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</si>
  <si>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</si>
  <si>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</si>
  <si>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</si>
  <si>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</si>
  <si>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</si>
  <si>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</si>
  <si>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</si>
  <si>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</si>
  <si>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</si>
  <si>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</si>
  <si>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</si>
  <si>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</si>
  <si>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</si>
  <si>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</si>
  <si>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</si>
  <si>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</si>
  <si>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</si>
  <si>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</si>
  <si>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</si>
  <si>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</si>
  <si>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</si>
  <si>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</si>
  <si>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</si>
  <si>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</si>
  <si>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</si>
  <si>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</si>
  <si>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</si>
  <si>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</si>
  <si>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</si>
  <si>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</si>
  <si>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</si>
  <si>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</si>
  <si>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</si>
  <si>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</si>
  <si>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</si>
  <si>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</si>
  <si>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</si>
  <si>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</si>
  <si>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</si>
  <si>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</si>
  <si>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</si>
  <si>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</si>
  <si>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</si>
  <si>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</si>
  <si>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</si>
  <si>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</si>
  <si>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</si>
  <si>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</si>
  <si>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DCA2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</si>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</sst>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297728"/>
        <c:axId val="74299648"/>
      </c:lineChart>
      <c:dateAx>
        <c:axId val="74297728"/>
        <c:scaling>
          <c:orientation val="minMax"/>
        </c:scaling>
        <c:axPos val="b"/>
        <c:numFmt formatCode="dd/mm/yy;@" sourceLinked="1"/>
        <c:majorTickMark val="none"/>
        <c:tickLblPos val="nextTo"/>
        <c:crossAx val="74299648"/>
        <c:crosses val="autoZero"/>
        <c:lblOffset val="100"/>
      </c:dateAx>
      <c:valAx>
        <c:axId val="742996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29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2289.5564563465041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1296.1499637281449</v>
      </c>
      <c r="K4" s="4">
        <f>(J4/D43-1)</f>
        <v>-0.15143027324461567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2698.1359152428386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6.6008100000000004E-3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4.1392635999999997E-2</v>
      </c>
      <c r="O11" s="24">
        <f>($S$18*[1]Params!K16)</f>
        <v>3380.1510976686181</v>
      </c>
      <c r="P11" s="25">
        <f>(O11*N11)</f>
        <v>139.91336401079755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6.6008100000000004E-3</v>
      </c>
      <c r="C12" s="28">
        <v>0</v>
      </c>
      <c r="D12" s="29">
        <f t="shared" si="0"/>
        <v>0</v>
      </c>
      <c r="E12" s="23">
        <f>(B12*J3)</f>
        <v>15.112927152616569</v>
      </c>
      <c r="I12" t="s">
        <v>13</v>
      </c>
      <c r="J12">
        <f>(J11-B43)</f>
        <v>3.3885999999999972E-2</v>
      </c>
      <c r="N12">
        <f>($B$35/5)</f>
        <v>2.3018818E-2</v>
      </c>
      <c r="O12" s="24">
        <f>($S$18*[1]Params!K17)</f>
        <v>6760.3021953372363</v>
      </c>
      <c r="P12" s="25">
        <f>(O12*N12)</f>
        <v>155.6141658594683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77.583910079757572</v>
      </c>
      <c r="N13">
        <f>($B$35/5)</f>
        <v>2.3018818E-2</v>
      </c>
      <c r="O13" s="24">
        <f>($S$18*[1]Params!K18)</f>
        <v>13520.604390674473</v>
      </c>
      <c r="P13" s="25">
        <f>(O13*N13)</f>
        <v>311.2283317189366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614.21108658920252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0.11044909</v>
      </c>
      <c r="S18" s="24">
        <f>(T18/R18)</f>
        <v>1690.0755488343091</v>
      </c>
      <c r="T18" s="25">
        <f>(D35+1283.68*B39)</f>
        <v>186.6673064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8.6643479999999988E-3</v>
      </c>
      <c r="O19" s="24">
        <f>($S$19*[1]Params!K16)</f>
        <v>3451.3766832743727</v>
      </c>
      <c r="P19" s="25">
        <f>(O19*N19)</f>
        <v>29.903928662974941</v>
      </c>
      <c r="R19" s="26">
        <f>(B36+B38)</f>
        <v>2.2718369999999998E-2</v>
      </c>
      <c r="S19" s="24">
        <f>(T19/R19)</f>
        <v>1725.6883416371863</v>
      </c>
      <c r="T19" s="25">
        <f>(D36+1269.75*B38)</f>
        <v>39.204826250000004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4.6846739999999998E-3</v>
      </c>
      <c r="O20" s="24">
        <f>($S$19*[1]Params!K17)</f>
        <v>6902.7533665487454</v>
      </c>
      <c r="P20" s="25">
        <f>(O20*N20)</f>
        <v>32.337149224683372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4.6846739999999998E-3</v>
      </c>
      <c r="O21" s="24">
        <f>($S$19*[1]Params!K18)</f>
        <v>13805.506733097491</v>
      </c>
      <c r="P21" s="25">
        <f>(O21*N21)</f>
        <v>64.674298449366745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128.04690133702508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0.54573439999999995</v>
      </c>
      <c r="T32" s="25">
        <f>(SUM(T5:T31))</f>
        <v>1481.0889255217842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0.11509409</v>
      </c>
      <c r="C35" s="24">
        <f>(D35/B35)</f>
        <v>1673.6741217555132</v>
      </c>
      <c r="D35" s="25">
        <v>192.63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2.3423369999999999E-2</v>
      </c>
      <c r="C36" s="24">
        <f>(D36/B36)</f>
        <v>1711.9654430596452</v>
      </c>
      <c r="D36" s="25">
        <v>40.1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2698.1359152428386</v>
      </c>
    </row>
    <row r="43" spans="2:16">
      <c r="B43">
        <f>(SUM(B5:B42))</f>
        <v>0.56611400000000001</v>
      </c>
      <c r="D43" s="25">
        <f>(SUM(D5:D42))</f>
        <v>1527.4525155217843</v>
      </c>
    </row>
  </sheetData>
  <conditionalFormatting sqref="C5:C7 C11 C18:C25 C27 C29 C31 C33 C35:C37 C40:C41 N6 O11:O13 O19:O21 O26:O29 O34:O37 S5:S7 S10:S15 S18:S20 S23">
    <cfRule type="cellIs" dxfId="301" priority="37" operator="lessThan">
      <formula>$J$3</formula>
    </cfRule>
    <cfRule type="cellIs" dxfId="300" priority="38" operator="greaterThan">
      <formula>$J$3</formula>
    </cfRule>
  </conditionalFormatting>
  <conditionalFormatting sqref="G42">
    <cfRule type="cellIs" dxfId="299" priority="21" operator="lessThan">
      <formula>$J$3</formula>
    </cfRule>
    <cfRule type="cellIs" dxfId="298" priority="22" operator="greaterThan">
      <formula>$J$3</formula>
    </cfRule>
  </conditionalFormatting>
  <conditionalFormatting sqref="O3">
    <cfRule type="cellIs" dxfId="297" priority="9" operator="greaterThan">
      <formula>$J$3</formula>
    </cfRule>
    <cfRule type="cellIs" dxfId="296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0.23066835325287449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11.682849555877013</v>
      </c>
      <c r="K4" s="4">
        <f>(J4/D14-1)</f>
        <v>0.66692510866863897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0.56501184000000004</v>
      </c>
      <c r="C6" s="28">
        <v>0</v>
      </c>
      <c r="D6" s="28">
        <f>(B6*C6)</f>
        <v>0</v>
      </c>
      <c r="E6" s="23">
        <f>(B6*J3)</f>
        <v>0.1303303507011766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0.56501184000000004</v>
      </c>
      <c r="S6" s="28">
        <v>0</v>
      </c>
      <c r="T6" s="28">
        <f>(D6)</f>
        <v>0</v>
      </c>
      <c r="U6" s="23">
        <f>(E6)</f>
        <v>0.1303303507011766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12.663128556</v>
      </c>
      <c r="O7" s="23">
        <f>($C$5*[1]Params!K9)</f>
        <v>0.27003658131027602</v>
      </c>
      <c r="P7" s="23">
        <f>(O7*N7)</f>
        <v>3.4195079439547724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12.661564278</v>
      </c>
      <c r="O8" s="23">
        <f>($C$5*[1]Params!K10)</f>
        <v>0.37130029930162955</v>
      </c>
      <c r="P8" s="23">
        <f>(O8*N8)</f>
        <v>4.7012426060482211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12.661564278</v>
      </c>
      <c r="O9" s="23">
        <f>($C$5*[1]Params!K11)</f>
        <v>0.84386431659461258</v>
      </c>
      <c r="P9" s="23">
        <f>(O9*N9)</f>
        <v>10.684642286473229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21.622633896476223</v>
      </c>
    </row>
    <row r="13" spans="2:21">
      <c r="F13" t="s">
        <v>9</v>
      </c>
      <c r="G13" s="23">
        <f>(D14/B14)</f>
        <v>0.13837955409832878</v>
      </c>
    </row>
    <row r="14" spans="2:21">
      <c r="B14" s="35">
        <f>(SUM(B5:B13))</f>
        <v>50.647821390000004</v>
      </c>
      <c r="D14" s="23">
        <f>(SUM(D5:D13))</f>
        <v>7.0086229399999986</v>
      </c>
    </row>
    <row r="17" spans="11:20">
      <c r="N17" s="35"/>
      <c r="R17" s="35">
        <f>(SUM(R5:R16))</f>
        <v>50.647821390000004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9" priority="15" operator="lessThan">
      <formula>$J$3</formula>
    </cfRule>
    <cfRule type="cellIs" dxfId="238" priority="16" operator="greaterThan">
      <formula>$J$3</formula>
    </cfRule>
  </conditionalFormatting>
  <conditionalFormatting sqref="C9:C10">
    <cfRule type="cellIs" dxfId="237" priority="13" operator="lessThan">
      <formula>$J$3</formula>
    </cfRule>
    <cfRule type="cellIs" dxfId="236" priority="14" operator="greaterThan">
      <formula>$J$3</formula>
    </cfRule>
  </conditionalFormatting>
  <conditionalFormatting sqref="O7:O9">
    <cfRule type="cellIs" dxfId="235" priority="11" operator="lessThan">
      <formula>$J$3</formula>
    </cfRule>
    <cfRule type="cellIs" dxfId="234" priority="12" operator="greaterThan">
      <formula>$J$3</formula>
    </cfRule>
  </conditionalFormatting>
  <conditionalFormatting sqref="S5 S7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G13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1.7583010154126379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24.566990350271325</v>
      </c>
      <c r="K4" s="4">
        <f>(J4/D14-1)</f>
        <v>-0.38444668512631308</v>
      </c>
      <c r="R4" t="s">
        <v>5</v>
      </c>
      <c r="S4" t="s">
        <v>6</v>
      </c>
      <c r="T4" t="s">
        <v>7</v>
      </c>
    </row>
    <row r="5" spans="2:21">
      <c r="B5" s="35">
        <v>13.32584443</v>
      </c>
      <c r="C5" s="23">
        <f>(D5/B5)</f>
        <v>3.0091901650693367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0.58021869999999998</v>
      </c>
      <c r="S5" s="28">
        <v>0</v>
      </c>
      <c r="T5" s="29">
        <f>(D6)</f>
        <v>0</v>
      </c>
      <c r="U5" s="23">
        <f>(R5*J3)</f>
        <v>1.0201991293714008</v>
      </c>
    </row>
    <row r="6" spans="2:21">
      <c r="B6" s="47">
        <v>0.58021869999999998</v>
      </c>
      <c r="C6" s="28">
        <v>0</v>
      </c>
      <c r="D6" s="29">
        <f>(B6*C6)</f>
        <v>0</v>
      </c>
      <c r="E6" s="23">
        <f>(B6*J3)</f>
        <v>1.0201991293714008</v>
      </c>
      <c r="M6" t="s">
        <v>11</v>
      </c>
      <c r="N6" s="35">
        <f>(SUM(R5:R7)/5)</f>
        <v>2.7944009739999998</v>
      </c>
      <c r="O6" s="23">
        <f>($C$5*[1]Params!K8)</f>
        <v>3.9119472145901377</v>
      </c>
      <c r="P6" s="23">
        <f>(O6*N6)</f>
        <v>10.931549106687267</v>
      </c>
      <c r="R6" s="35">
        <f>(B5)</f>
        <v>13.32584443</v>
      </c>
      <c r="S6" s="23">
        <f>(T6/R6)</f>
        <v>3.0091901650693367</v>
      </c>
      <c r="T6" s="23">
        <f>(D5)</f>
        <v>40.1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2.7944009739999998</v>
      </c>
      <c r="O7" s="23">
        <f>($C$5*[1]Params!K9)</f>
        <v>4.8147042641109392</v>
      </c>
      <c r="P7" s="23">
        <f>(O7*N7)</f>
        <v>13.45421428515356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0.30552701840007607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2.7944009739999998</v>
      </c>
      <c r="O8" s="23">
        <f>($C$5*[1]Params!K10)</f>
        <v>6.6202183631525413</v>
      </c>
      <c r="P8" s="23">
        <f>(O8*N8)</f>
        <v>18.499544642086146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2.7944009739999998</v>
      </c>
      <c r="O9" s="23">
        <f>($C$5*[1]Params!K11)</f>
        <v>15.045950825346683</v>
      </c>
      <c r="P9" s="23">
        <f>(O9*N9)</f>
        <v>42.044419641104874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84.929727675031842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2.8564560906855743</v>
      </c>
    </row>
    <row r="14" spans="2:21">
      <c r="B14" s="35">
        <f>(SUM(B5:B13))</f>
        <v>13.972004870000001</v>
      </c>
      <c r="D14" s="23">
        <f>(SUM(D5:D13))</f>
        <v>39.910418410000005</v>
      </c>
      <c r="R14" s="35">
        <f>(SUM(R5:R13))</f>
        <v>13.972004869999999</v>
      </c>
      <c r="T14" s="23">
        <f>(SUM(T5:T13))</f>
        <v>39.910418409999998</v>
      </c>
    </row>
    <row r="22" spans="4:4">
      <c r="D22" s="35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11.69381599515852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14.319331558816863</v>
      </c>
      <c r="K4" s="4">
        <f>(J4/D14-1)</f>
        <v>0.31009437866576972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1.0283082219173794</v>
      </c>
      <c r="M6" t="s">
        <v>11</v>
      </c>
      <c r="N6" s="1">
        <f>(SUM($B$5:$B$7)/5)</f>
        <v>0.24490434200000002</v>
      </c>
      <c r="O6" s="23">
        <f>($C$5*[1]Params!K8)</f>
        <v>12.800900900900901</v>
      </c>
      <c r="P6" s="23">
        <f>(O6*N6)</f>
        <v>3.1349962121423425</v>
      </c>
    </row>
    <row r="7" spans="2:16">
      <c r="B7" s="47">
        <v>2.6585640000000001E-2</v>
      </c>
      <c r="C7" s="28">
        <v>0</v>
      </c>
      <c r="D7" s="29">
        <f>(C7*B7)</f>
        <v>0</v>
      </c>
      <c r="E7" s="23">
        <f>(B7*J4)</f>
        <v>0.38068859386334397</v>
      </c>
      <c r="N7" s="1">
        <f>(SUM($B$5:$B$7)/5)</f>
        <v>0.24490434200000002</v>
      </c>
      <c r="O7" s="23">
        <f>($C$5*[1]Params!K9)</f>
        <v>15.754954954954954</v>
      </c>
      <c r="P7" s="23">
        <f>(O7*N7)</f>
        <v>3.858456876482883</v>
      </c>
    </row>
    <row r="8" spans="2:16">
      <c r="N8" s="1">
        <f>(SUM($B$5:$B$7)/5)</f>
        <v>0.24490434200000002</v>
      </c>
      <c r="O8" s="23">
        <f>($C$5*[1]Params!K10)</f>
        <v>21.663063063063063</v>
      </c>
      <c r="P8" s="23">
        <f>(O8*N8)</f>
        <v>5.3053782051639642</v>
      </c>
    </row>
    <row r="9" spans="2:16">
      <c r="N9" s="1">
        <f>(SUM($B$5:$B$7)/5)</f>
        <v>0.24490434200000002</v>
      </c>
      <c r="O9" s="23">
        <f>($C$5*[1]Params!K11)</f>
        <v>49.234234234234229</v>
      </c>
      <c r="P9" s="23">
        <f>(O9*N9)</f>
        <v>12.057677739009009</v>
      </c>
    </row>
    <row r="12" spans="2:16">
      <c r="P12" s="23">
        <f>(SUM(P6:P9))</f>
        <v>24.356509032798197</v>
      </c>
    </row>
    <row r="13" spans="2:16">
      <c r="F13" t="s">
        <v>9</v>
      </c>
      <c r="G13" s="23">
        <f>(D14/B14)</f>
        <v>8.9259340285604232</v>
      </c>
    </row>
    <row r="14" spans="2:16">
      <c r="B14" s="19">
        <f>(SUM(B5:B13))</f>
        <v>1.2245217100000001</v>
      </c>
      <c r="D14" s="23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44.629513924125433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61.598285733109641</v>
      </c>
      <c r="K4" s="4">
        <f>(J4/D19-1)</f>
        <v>-86.307479609435632</v>
      </c>
      <c r="R4" t="s">
        <v>5</v>
      </c>
      <c r="S4" t="s">
        <v>6</v>
      </c>
      <c r="T4" t="s">
        <v>7</v>
      </c>
    </row>
    <row r="5" spans="2:22">
      <c r="B5" s="26">
        <v>2.5325669999999998</v>
      </c>
      <c r="C5" s="23">
        <f>(D5/B5)</f>
        <v>15.833737073885905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1.6041449999999999E-2</v>
      </c>
      <c r="S5" s="28">
        <v>0</v>
      </c>
      <c r="T5" s="29">
        <f>(D6)</f>
        <v>0</v>
      </c>
      <c r="U5" s="23">
        <f>(R5*J3)</f>
        <v>0.71592211613816192</v>
      </c>
    </row>
    <row r="6" spans="2:22">
      <c r="B6" s="27">
        <v>1.6041449999999999E-2</v>
      </c>
      <c r="C6" s="28">
        <v>0</v>
      </c>
      <c r="D6" s="29">
        <f>(B6*C6)</f>
        <v>0</v>
      </c>
      <c r="E6" s="23">
        <f>(B6*J3)</f>
        <v>0.71592211613816192</v>
      </c>
      <c r="M6" t="s">
        <v>11</v>
      </c>
      <c r="N6" s="26">
        <f>($B$5+$R$7)/5</f>
        <v>0.512972816</v>
      </c>
      <c r="O6" s="23">
        <f>($C$5*[1]Params!K8)</f>
        <v>20.583858196051676</v>
      </c>
      <c r="P6" s="23">
        <f>(O6*N6)</f>
        <v>10.558959702973308</v>
      </c>
      <c r="Q6" t="s">
        <v>12</v>
      </c>
      <c r="R6" s="26">
        <f>B5+B13+B15+B17</f>
        <v>1.0342669999999998</v>
      </c>
      <c r="S6" s="23">
        <f>(T6/R6)</f>
        <v>16.794631366948771</v>
      </c>
      <c r="T6" s="23">
        <f>D5-(-B13-B15)*15.13+B17*15.25</f>
        <v>17.370133000000003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1.6450578715685924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0.55015160800000007</v>
      </c>
      <c r="O9" s="23">
        <f>($S$6*[1]Params!K11)</f>
        <v>83.973156834743861</v>
      </c>
      <c r="P9" s="23">
        <f>(O9*N9)</f>
        <v>46.197967261470531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87.146385654443833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-0.52316062001190677</v>
      </c>
    </row>
    <row r="19" spans="2:20">
      <c r="B19" s="26">
        <f>(SUM(B5:B18))</f>
        <v>1.3802141299999993</v>
      </c>
      <c r="D19" s="23">
        <f>(SUM(D5:D18))</f>
        <v>-0.72207367999999406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1.3802141299999997</v>
      </c>
      <c r="T19" s="23">
        <f>(SUM(T5:T18))</f>
        <v>-0.72207367999999583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-0.52316062001190677</v>
      </c>
    </row>
  </sheetData>
  <conditionalFormatting sqref="C5 C9:C11 G18 O9 O23 S6">
    <cfRule type="cellIs" dxfId="213" priority="19" operator="lessThan">
      <formula>$J$3</formula>
    </cfRule>
    <cfRule type="cellIs" dxfId="212" priority="20" operator="greaterThan">
      <formula>$J$3</formula>
    </cfRule>
  </conditionalFormatting>
  <conditionalFormatting sqref="S8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3">
    <cfRule type="cellIs" dxfId="209" priority="1" operator="greaterThan">
      <formula>$J$3</formula>
    </cfRule>
    <cfRule type="cellIs" dxfId="20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3.850747492794035E-3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3.6785660885746689</v>
      </c>
      <c r="K4" s="4">
        <f>(J4/D13-1)</f>
        <v>0.29885486332686195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7" priority="17" operator="lessThan">
      <formula>$J$3</formula>
    </cfRule>
    <cfRule type="cellIs" dxfId="206" priority="18" operator="greaterThan">
      <formula>$J$3</formula>
    </cfRule>
  </conditionalFormatting>
  <conditionalFormatting sqref="C9:C11">
    <cfRule type="cellIs" dxfId="205" priority="15" operator="lessThan">
      <formula>$J$3</formula>
    </cfRule>
    <cfRule type="cellIs" dxfId="204" priority="16" operator="greaterThan">
      <formula>$J$3</formula>
    </cfRule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O6:O9">
    <cfRule type="cellIs" dxfId="201" priority="11" operator="lessThan">
      <formula>$J$3</formula>
    </cfRule>
    <cfRule type="cellIs" dxfId="200" priority="12" operator="greaterThan">
      <formula>$J$3</formula>
    </cfRule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">
    <cfRule type="cellIs" dxfId="197" priority="7" operator="lessThan">
      <formula>$J$3</formula>
    </cfRule>
    <cfRule type="cellIs" dxfId="196" priority="8" operator="greaterThan">
      <formula>$J$3</formula>
    </cfRule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G12">
    <cfRule type="cellIs" dxfId="193" priority="3" operator="lessThan">
      <formula>$J$3</formula>
    </cfRule>
    <cfRule type="cellIs" dxfId="192" priority="4" operator="greaterThan">
      <formula>$J$3</formula>
    </cfRule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305.08732859805468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218.28923004620646</v>
      </c>
      <c r="K4" s="4">
        <f>(J4/D17-1)</f>
        <v>9.3349822936370064E-2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0.11241841599999999</v>
      </c>
      <c r="O6" s="23">
        <f>($S$8*[1]Params!K8)</f>
        <v>369.05163296376634</v>
      </c>
      <c r="P6" s="23">
        <f>(O6*N6)</f>
        <v>41.488199999999992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7.1695522220542846E-2</v>
      </c>
      <c r="I7" t="s">
        <v>11</v>
      </c>
      <c r="J7">
        <v>1</v>
      </c>
      <c r="N7" s="26">
        <f>($R$8/5)</f>
        <v>0.11241841599999999</v>
      </c>
      <c r="O7" s="23">
        <f>($S$8*[1]Params!K9)</f>
        <v>454.21739441694319</v>
      </c>
      <c r="P7" s="23">
        <f>(O7*N7)</f>
        <v>51.062399999999997</v>
      </c>
      <c r="R7" s="49">
        <f>(B7+B8+B10)</f>
        <v>2.6588900000000001E-3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2.8977194470243234E-2</v>
      </c>
      <c r="I8" t="s">
        <v>13</v>
      </c>
      <c r="J8" s="49">
        <f>(J7-B17)</f>
        <v>0.28450247000000006</v>
      </c>
      <c r="N8" s="26">
        <f>($R$8/5)</f>
        <v>0.11241841599999999</v>
      </c>
      <c r="O8" s="23">
        <f>($S$8*[1]Params!K10)</f>
        <v>624.54891732329691</v>
      </c>
      <c r="P8" s="23">
        <f>(O8*N8)</f>
        <v>70.210799999999992</v>
      </c>
      <c r="R8" s="49">
        <f>(B11)</f>
        <v>0.56209207999999999</v>
      </c>
      <c r="S8" s="23">
        <f>(C11)</f>
        <v>283.88587151058948</v>
      </c>
      <c r="T8" s="23">
        <f>(R8*S8)</f>
        <v>159.57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86.798098551848213</v>
      </c>
      <c r="N9" s="26">
        <f>($R$8/5)</f>
        <v>0.11241841599999999</v>
      </c>
      <c r="O9" s="23">
        <f>($S$8*[1]Params!K11)</f>
        <v>1419.4293575529473</v>
      </c>
      <c r="P9" s="23">
        <f>(O9*N9)</f>
        <v>159.56999999999996</v>
      </c>
      <c r="R9" s="49">
        <f>(B12)</f>
        <v>0.14100219999999999</v>
      </c>
      <c r="S9" s="23">
        <f>(C12)</f>
        <v>284.39272578725723</v>
      </c>
      <c r="T9" s="23">
        <f>(R9*S9)</f>
        <v>40.1</v>
      </c>
      <c r="U9" t="s">
        <v>15</v>
      </c>
    </row>
    <row r="10" spans="2:21">
      <c r="B10" s="50">
        <v>2.32891E-3</v>
      </c>
      <c r="C10" s="28">
        <v>0</v>
      </c>
      <c r="D10" s="29">
        <v>0</v>
      </c>
      <c r="E10" s="23">
        <f>(B10*J3)</f>
        <v>0.71052093044529552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0.56209207999999999</v>
      </c>
      <c r="C11" s="23">
        <f>(D11/B11)</f>
        <v>283.88587151058948</v>
      </c>
      <c r="D11" s="23">
        <v>159.57</v>
      </c>
      <c r="E11" t="s">
        <v>10</v>
      </c>
      <c r="P11" s="23">
        <f>(SUM(P6:P9))</f>
        <v>322.33139999999992</v>
      </c>
    </row>
    <row r="12" spans="2:21">
      <c r="B12" s="49">
        <v>0.14100219999999999</v>
      </c>
      <c r="C12" s="23">
        <f>(D12/B12)</f>
        <v>284.39272578725723</v>
      </c>
      <c r="D12" s="23">
        <v>40.1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2.820044E-2</v>
      </c>
      <c r="O14" s="23">
        <f>($S$9*[1]Params!K8)</f>
        <v>369.71054352343441</v>
      </c>
      <c r="P14" s="23">
        <f>(O14*N14)</f>
        <v>10.426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2.820044E-2</v>
      </c>
      <c r="O15" s="23">
        <f>($S$9*[1]Params!K9)</f>
        <v>455.02836125961159</v>
      </c>
      <c r="P15" s="23">
        <f>(O15*N15)</f>
        <v>12.832000000000001</v>
      </c>
    </row>
    <row r="16" spans="2:21">
      <c r="N16" s="26">
        <f>($R$9/5)</f>
        <v>2.820044E-2</v>
      </c>
      <c r="O16" s="23">
        <f>($S$9*[1]Params!K10)</f>
        <v>625.66399673196599</v>
      </c>
      <c r="P16" s="23">
        <f>(O16*N16)</f>
        <v>17.644000000000002</v>
      </c>
    </row>
    <row r="17" spans="2:16">
      <c r="B17" s="49">
        <f>(SUM(B5:B16))</f>
        <v>0.71549752999999994</v>
      </c>
      <c r="D17" s="23">
        <f>(SUM(D5:D16))</f>
        <v>199.65177244</v>
      </c>
      <c r="F17" t="s">
        <v>9</v>
      </c>
      <c r="G17" s="23">
        <f>(SUM(D5:D16)/SUM(B5:B16))</f>
        <v>279.03907989731289</v>
      </c>
      <c r="N17" s="26">
        <f>($R$9/5)</f>
        <v>2.820044E-2</v>
      </c>
      <c r="O17" s="23">
        <f>($S$9*[1]Params!K11)</f>
        <v>1421.9636289362861</v>
      </c>
      <c r="P17" s="23">
        <f>(O17*N17)</f>
        <v>40.1</v>
      </c>
    </row>
    <row r="18" spans="2:16">
      <c r="P18" s="23"/>
    </row>
    <row r="19" spans="2:16">
      <c r="P19" s="23">
        <f>(SUM(P14:P17))</f>
        <v>81.00200000000001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0.71549752999999994</v>
      </c>
      <c r="T37" s="23">
        <f>(SUM(T5:T27))</f>
        <v>199.65177244</v>
      </c>
    </row>
  </sheetData>
  <conditionalFormatting sqref="C5:C6 C9 C11:C14 O6:O9 O14 S5:S6 S8:S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15:O17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G17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9.2366224875455677E-2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5.6709988652640133</v>
      </c>
      <c r="K4" s="4">
        <f>(J4/D13-1)</f>
        <v>0.13419977305280262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0.27777070999999998</v>
      </c>
      <c r="C6" s="28">
        <v>0</v>
      </c>
      <c r="D6" s="29">
        <f>(B6*C6)</f>
        <v>0</v>
      </c>
      <c r="E6" s="23">
        <f>(B6*J3)</f>
        <v>2.5656631863674981E-2</v>
      </c>
      <c r="M6" t="s">
        <v>11</v>
      </c>
      <c r="N6" s="35">
        <f>($B$13/5)</f>
        <v>12.279377819999999</v>
      </c>
      <c r="O6" s="23">
        <f>($C$5*[1]Params!K8)</f>
        <v>0.10634970155367125</v>
      </c>
      <c r="P6" s="23">
        <f>(O6*N6)</f>
        <v>1.3059081664217702</v>
      </c>
    </row>
    <row r="7" spans="2:16">
      <c r="N7" s="35">
        <f>($B$13/5)</f>
        <v>12.279377819999999</v>
      </c>
      <c r="O7" s="23">
        <f>($C$5*[1]Params!K9)</f>
        <v>0.13089194037374924</v>
      </c>
      <c r="P7" s="23">
        <f>(O7*N7)</f>
        <v>1.6072715894421787</v>
      </c>
    </row>
    <row r="8" spans="2:16">
      <c r="N8" s="35">
        <f>($B$13/5)</f>
        <v>12.279377819999999</v>
      </c>
      <c r="O8" s="23">
        <f>($C$5*[1]Params!K10)</f>
        <v>0.17997641801390521</v>
      </c>
      <c r="P8" s="23">
        <f>(O8*N8)</f>
        <v>2.209998435482996</v>
      </c>
    </row>
    <row r="9" spans="2:16">
      <c r="N9" s="35">
        <f>($B$13/5)</f>
        <v>12.279377819999999</v>
      </c>
      <c r="O9" s="23">
        <f>($C$5*[1]Params!K11)</f>
        <v>0.40903731366796636</v>
      </c>
      <c r="P9" s="23">
        <f>(O9*N9)</f>
        <v>5.0227237170068086</v>
      </c>
    </row>
    <row r="11" spans="2:16">
      <c r="P11" s="23">
        <f>(SUM(P6:P9))</f>
        <v>10.145901908353753</v>
      </c>
    </row>
    <row r="12" spans="2:16">
      <c r="F12" t="s">
        <v>9</v>
      </c>
      <c r="G12" s="23">
        <f>(D13/B13)</f>
        <v>8.1437350870599737E-2</v>
      </c>
    </row>
    <row r="13" spans="2:16">
      <c r="B13" s="35">
        <f>(SUM(B5:B12))</f>
        <v>61.396889099999996</v>
      </c>
      <c r="D13" s="23">
        <f>(SUM(D5:D12))</f>
        <v>5</v>
      </c>
    </row>
  </sheetData>
  <conditionalFormatting sqref="O6:O9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C5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2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8.8482328185216552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38.858076210476078</v>
      </c>
      <c r="K4" s="4">
        <f>(J4/D14-1)</f>
        <v>1.3248300395688837</v>
      </c>
      <c r="R4" t="s">
        <v>5</v>
      </c>
      <c r="S4" t="s">
        <v>6</v>
      </c>
      <c r="T4" t="s">
        <v>7</v>
      </c>
    </row>
    <row r="5" spans="2:21">
      <c r="B5" s="26">
        <v>7.1337836399999999</v>
      </c>
      <c r="C5" s="23">
        <f>(D5/B5)</f>
        <v>5.6211404807897987</v>
      </c>
      <c r="D5" s="23">
        <v>40.1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7.3154910000000004E-2</v>
      </c>
      <c r="S5" s="28">
        <v>0</v>
      </c>
      <c r="T5" s="29">
        <f>(D6)</f>
        <v>0</v>
      </c>
      <c r="U5">
        <f>(R5*J3)</f>
        <v>0.64729167549799804</v>
      </c>
    </row>
    <row r="6" spans="2:21">
      <c r="B6" s="27">
        <v>7.3154910000000004E-2</v>
      </c>
      <c r="C6" s="28">
        <v>0</v>
      </c>
      <c r="D6" s="29">
        <f>(B6*C6)</f>
        <v>0</v>
      </c>
      <c r="E6" s="23">
        <f>(B6*J3)</f>
        <v>0.64729167549799804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4.2306836399999996</v>
      </c>
      <c r="S6" s="23">
        <f>(T6/R6)</f>
        <v>5.6512256491955526</v>
      </c>
      <c r="T6" s="23">
        <f>D5+B11*5.54+B12*5.61077</f>
        <v>23.908547900000002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1.473732</v>
      </c>
      <c r="O8" s="23">
        <f>($C$5*[1]Params!K10)</f>
        <v>12.366509057737558</v>
      </c>
      <c r="P8" s="23">
        <f>(O8*N8)</f>
        <v>18.224920126677688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1.1529440000000002</v>
      </c>
      <c r="O9" s="23">
        <f>($C$5*[1]Params!K11)</f>
        <v>28.105702403948992</v>
      </c>
      <c r="P9" s="23">
        <f>(O9*N9)</f>
        <v>32.404300952418573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74.309191589096258</v>
      </c>
    </row>
    <row r="13" spans="2:21">
      <c r="F13" t="s">
        <v>9</v>
      </c>
      <c r="G13" s="23">
        <f>(D14/B14)</f>
        <v>3.805969756035358</v>
      </c>
      <c r="N13" s="26"/>
      <c r="P13" s="23"/>
      <c r="R13" s="26">
        <f>(SUM(R5:R12))</f>
        <v>4.3916199999999996</v>
      </c>
      <c r="T13" s="23">
        <f>(SUM(T5:T12))</f>
        <v>16.714372900000001</v>
      </c>
    </row>
    <row r="14" spans="2:21">
      <c r="B14">
        <f>(SUM(B5:B13))</f>
        <v>4.3916200000000005</v>
      </c>
      <c r="D14" s="23">
        <f>(SUM(D5:D13))</f>
        <v>16.714372900000001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O3">
    <cfRule type="cellIs" dxfId="175" priority="1" operator="greaterThan">
      <formula>$J$3</formula>
    </cfRule>
    <cfRule type="cellIs" dxfId="174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71.698804500131388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5.3303278835587538</v>
      </c>
      <c r="K4" s="4">
        <f>(J4/D13-1)</f>
        <v>1.56528001849138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2.9456600000000001E-3</v>
      </c>
      <c r="C6" s="28">
        <v>0</v>
      </c>
      <c r="D6" s="29">
        <f>(B6*C6)</f>
        <v>0</v>
      </c>
      <c r="E6" s="23">
        <f>(B6*J3)</f>
        <v>0.21120030046385704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2.9456600000000001E-3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1.9818666000000002E-2</v>
      </c>
      <c r="O8" s="23">
        <f>($C$5*[1]Params!K10)</f>
        <v>94.666000000000011</v>
      </c>
      <c r="P8" s="23">
        <f>(O8*N8)</f>
        <v>1.8761538355560003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1.9818666000000002E-2</v>
      </c>
      <c r="O9" s="23">
        <f>($C$5*[1]Params!K11)</f>
        <v>215.15</v>
      </c>
      <c r="P9" s="23">
        <f>(O9*N9)</f>
        <v>4.263985989900001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9.2622661254560015</v>
      </c>
      <c r="R11" s="1"/>
      <c r="S11" s="23"/>
      <c r="T11" s="24"/>
    </row>
    <row r="12" spans="2:20">
      <c r="F12" t="s">
        <v>9</v>
      </c>
      <c r="G12" s="23">
        <f>(D13/B13)</f>
        <v>27.949699051683588</v>
      </c>
    </row>
    <row r="13" spans="2:20">
      <c r="B13">
        <f>(SUM(B5:B12))</f>
        <v>7.4343330000000013E-2</v>
      </c>
      <c r="D13" s="23">
        <f>(SUM(D5:D12))</f>
        <v>2.0778737000000005</v>
      </c>
    </row>
    <row r="22" spans="18:20">
      <c r="R22">
        <f>(SUM(R5:R21))</f>
        <v>7.4343330000000013E-2</v>
      </c>
      <c r="T22" s="23">
        <f>(SUM(T5:T21))</f>
        <v>2.0778737000000005</v>
      </c>
    </row>
  </sheetData>
  <conditionalFormatting sqref="C5">
    <cfRule type="cellIs" dxfId="173" priority="11" operator="lessThan">
      <formula>$J$3</formula>
    </cfRule>
    <cfRule type="cellIs" dxfId="172" priority="12" operator="greaterThan">
      <formula>$J$3</formula>
    </cfRule>
  </conditionalFormatting>
  <conditionalFormatting sqref="O8:O9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G12">
    <cfRule type="cellIs" dxfId="169" priority="7" operator="lessThan">
      <formula>$J$3</formula>
    </cfRule>
    <cfRule type="cellIs" dxfId="168" priority="8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conditionalFormatting sqref="S5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0.1923049262260775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5.1801807430003031</v>
      </c>
      <c r="K4" s="4">
        <f>(J4/D14-1)</f>
        <v>-8.9289734832545378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63" priority="23" operator="lessThan">
      <formula>$J$3</formula>
    </cfRule>
    <cfRule type="cellIs" dxfId="162" priority="24" operator="greaterThan">
      <formula>$J$3</formula>
    </cfRule>
  </conditionalFormatting>
  <conditionalFormatting sqref="O3">
    <cfRule type="cellIs" dxfId="161" priority="17" operator="greaterThan">
      <formula>$J$3</formula>
    </cfRule>
    <cfRule type="cellIs" dxfId="160" priority="18" operator="lessThan">
      <formula>$J$3</formula>
    </cfRule>
  </conditionalFormatting>
  <conditionalFormatting sqref="W33">
    <cfRule type="cellIs" dxfId="159" priority="1" operator="lessThan">
      <formula>$J$3</formula>
    </cfRule>
    <cfRule type="cellIs" dxfId="158" priority="2" operator="greaterThan">
      <formula>$J$3</formula>
    </cfRule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5" operator="lessThan">
      <formula>$J$3</formula>
    </cfRule>
    <cfRule type="cellIs" dxfId="154" priority="6" operator="greaterThan">
      <formula>$J$3</formula>
    </cfRule>
    <cfRule type="cellIs" dxfId="153" priority="7" operator="lessThan">
      <formula>$J$3</formula>
    </cfRule>
    <cfRule type="cellIs" dxfId="152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43052.438733619041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1256.633955354303</v>
      </c>
      <c r="K4" s="4">
        <f>(J4/D38-1)</f>
        <v>0.82991846639747902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3.5060000000000001E-4</v>
      </c>
      <c r="C6" s="28">
        <v>0</v>
      </c>
      <c r="D6" s="29">
        <f>(B6*C6)</f>
        <v>0</v>
      </c>
      <c r="E6" s="23">
        <f>(B6*J3)</f>
        <v>15.094185020006837</v>
      </c>
      <c r="I6" t="s">
        <v>11</v>
      </c>
      <c r="J6">
        <v>0.03</v>
      </c>
      <c r="R6" s="26">
        <f t="shared" si="0"/>
        <v>3.5060000000000001E-4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8.1154999999999075E-4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34.939206654268133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6.6003899999999994E-3</v>
      </c>
      <c r="S19" s="23">
        <f t="shared" si="2"/>
        <v>24740.356069868598</v>
      </c>
      <c r="T19" s="23">
        <f>(D23+17438.6*B32)</f>
        <v>163.29599879999998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1.5028399999999999E-3</v>
      </c>
      <c r="S20" s="23">
        <f t="shared" si="2"/>
        <v>26086.582003406889</v>
      </c>
      <c r="T20" s="23">
        <f>(D24+17211.7*B31)</f>
        <v>39.203958898000003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6.9423899999999997E-3</v>
      </c>
      <c r="C23" s="23">
        <f t="shared" si="3"/>
        <v>24380.652772316163</v>
      </c>
      <c r="D23" s="23">
        <v>169.26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1.5548999999999999E-3</v>
      </c>
      <c r="C24" s="23">
        <f t="shared" si="3"/>
        <v>25789.43983535919</v>
      </c>
      <c r="D24" s="23">
        <v>40.1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23526.971023127302</v>
      </c>
      <c r="R37">
        <f>(SUM(R5:R25))</f>
        <v>2.9544249999999994E-2</v>
      </c>
      <c r="T37" s="23">
        <f>(SUM(T5:T25))</f>
        <v>549.05980017000002</v>
      </c>
    </row>
    <row r="38" spans="2:20">
      <c r="B38">
        <f>(SUM(B5:B37))</f>
        <v>2.9188450000000008E-2</v>
      </c>
      <c r="D38" s="23">
        <f>(SUM(D5:D37))</f>
        <v>686.7158173600003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2.4349559999999998E-3</v>
      </c>
      <c r="N50" s="23">
        <f>($S$19*[1]Params!K16)</f>
        <v>49480.712139737196</v>
      </c>
      <c r="O50" s="30">
        <f>(N50*M50)</f>
        <v>120.48335690892591</v>
      </c>
    </row>
    <row r="51" spans="12:16">
      <c r="M51">
        <f>($B$23/5)</f>
        <v>1.3884779999999998E-3</v>
      </c>
      <c r="N51" s="23">
        <f>($S$19*[1]Params!K17)</f>
        <v>98961.424279474391</v>
      </c>
      <c r="O51" s="30">
        <f>(N51*M51)</f>
        <v>137.40576046071604</v>
      </c>
    </row>
    <row r="52" spans="12:16">
      <c r="M52">
        <f>($B$23/5)</f>
        <v>1.3884779999999998E-3</v>
      </c>
      <c r="N52" s="23">
        <f>($S$19*[1]Params!K18)</f>
        <v>197922.84855894878</v>
      </c>
      <c r="O52" s="30">
        <f>(N52*M52)</f>
        <v>274.81152092143208</v>
      </c>
    </row>
    <row r="54" spans="12:16">
      <c r="O54" s="30">
        <f>(SUM(O49:O52))</f>
        <v>540.15623829107403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5.6989999999999992E-4</v>
      </c>
      <c r="N58" s="23">
        <f>($S$20*[1]Params!K16)</f>
        <v>52173.164006813779</v>
      </c>
      <c r="O58" s="30">
        <f>(N58*M58)</f>
        <v>29.733486167483168</v>
      </c>
    </row>
    <row r="59" spans="12:16">
      <c r="M59">
        <f>($B$24/5)</f>
        <v>3.1097999999999998E-4</v>
      </c>
      <c r="N59" s="23">
        <f>($S$20*[1]Params!K17)</f>
        <v>104346.32801362756</v>
      </c>
      <c r="O59" s="30">
        <f>(N59*M59)</f>
        <v>32.449621085677897</v>
      </c>
    </row>
    <row r="60" spans="12:16">
      <c r="M60">
        <f>($B$24/5)</f>
        <v>3.1097999999999998E-4</v>
      </c>
      <c r="N60" s="23">
        <f>($S$20*[1]Params!K18)</f>
        <v>208692.65602725511</v>
      </c>
      <c r="O60" s="30">
        <f>(N60*M60)</f>
        <v>64.899242171355795</v>
      </c>
    </row>
    <row r="62" spans="12:16">
      <c r="O62" s="30">
        <f>(SUM(O57:O60))</f>
        <v>128.20476302451686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N36">
    <cfRule type="cellIs" dxfId="293" priority="19" operator="lessThan">
      <formula>$J$3</formula>
    </cfRule>
    <cfRule type="cellIs" dxfId="292" priority="20" operator="greaterThan">
      <formula>$J$3</formula>
    </cfRule>
  </conditionalFormatting>
  <conditionalFormatting sqref="N42:N44">
    <cfRule type="cellIs" dxfId="291" priority="17" operator="lessThan">
      <formula>$J$3</formula>
    </cfRule>
    <cfRule type="cellIs" dxfId="290" priority="18" operator="greaterThan">
      <formula>$J$3</formula>
    </cfRule>
  </conditionalFormatting>
  <conditionalFormatting sqref="N50:N52">
    <cfRule type="cellIs" dxfId="289" priority="15" operator="lessThan">
      <formula>$J$3</formula>
    </cfRule>
    <cfRule type="cellIs" dxfId="288" priority="16" operator="greaterThan">
      <formula>$J$3</formula>
    </cfRule>
  </conditionalFormatting>
  <conditionalFormatting sqref="N58:N60">
    <cfRule type="cellIs" dxfId="287" priority="13" operator="lessThan">
      <formula>$J$3</formula>
    </cfRule>
    <cfRule type="cellIs" dxfId="286" priority="14" operator="greaterThan">
      <formula>$J$3</formula>
    </cfRule>
  </conditionalFormatting>
  <conditionalFormatting sqref="N66:N68">
    <cfRule type="cellIs" dxfId="285" priority="11" operator="lessThan">
      <formula>$J$3</formula>
    </cfRule>
    <cfRule type="cellIs" dxfId="284" priority="12" operator="greaterThan">
      <formula>$J$3</formula>
    </cfRule>
  </conditionalFormatting>
  <conditionalFormatting sqref="N73:N76">
    <cfRule type="cellIs" dxfId="283" priority="9" operator="lessThan">
      <formula>$J$3</formula>
    </cfRule>
    <cfRule type="cellIs" dxfId="282" priority="10" operator="greaterThan">
      <formula>$J$3</formula>
    </cfRule>
  </conditionalFormatting>
  <conditionalFormatting sqref="N4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9.009423733128834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13.62356415045007</v>
      </c>
      <c r="K4" s="4">
        <f>(J4/D12-1)</f>
        <v>2.3460577037294295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2.27466E-3</v>
      </c>
      <c r="C6" s="28">
        <v>0</v>
      </c>
      <c r="D6" s="29">
        <f>(B6*C6)</f>
        <v>0</v>
      </c>
      <c r="E6" s="23">
        <f>(B6*J3)</f>
        <v>2.0493375788798833E-2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2.27466E-3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0.53308760599999983</v>
      </c>
      <c r="O8" s="23">
        <f>($C$5*[1]Params!K10)</f>
        <v>10.492489598943161</v>
      </c>
      <c r="P8" s="23">
        <f>(O8*N8)</f>
        <v>5.5934161612805076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2.6925488233771828</v>
      </c>
      <c r="P11" s="23">
        <f>(SUM(P6:P9))</f>
        <v>24.032108631280508</v>
      </c>
      <c r="R11" s="1"/>
      <c r="S11" s="23"/>
      <c r="T11" s="23"/>
    </row>
    <row r="12" spans="2:21">
      <c r="B12">
        <f>(SUM(B5:B11))</f>
        <v>1.5121460099999999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1.5121460099999999</v>
      </c>
      <c r="T24" s="23">
        <f>(SUM(T5:T23))</f>
        <v>4.0715269600000017</v>
      </c>
    </row>
  </sheetData>
  <conditionalFormatting sqref="C5 G11 O8:O9 S5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conditionalFormatting sqref="C10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0.91311971702655625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2.6702533377753821</v>
      </c>
      <c r="K4" s="4">
        <f>(J4/D10-1)</f>
        <v>-0.10991555407487263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G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2.553900906928841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15.233423416756068</v>
      </c>
      <c r="K4" s="4">
        <f>(J4/D10-1)</f>
        <v>0.17541847351512874</v>
      </c>
    </row>
    <row r="5" spans="2:16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1.7736149999999999E-2</v>
      </c>
      <c r="C6" s="28">
        <v>0</v>
      </c>
      <c r="D6" s="29">
        <f>(B6*C6)</f>
        <v>0</v>
      </c>
      <c r="E6" s="23">
        <f>(B6*J3)</f>
        <v>4.5296369570425959E-2</v>
      </c>
      <c r="M6" t="s">
        <v>11</v>
      </c>
      <c r="N6" s="1">
        <f>($B$10/5)</f>
        <v>1.192953366</v>
      </c>
      <c r="O6" s="23">
        <f>($C$5*[1]Params!K8)</f>
        <v>2.8330104394215101</v>
      </c>
      <c r="P6" s="23">
        <f>(O6*N6)</f>
        <v>3.3796493396210296</v>
      </c>
    </row>
    <row r="7" spans="2:16">
      <c r="N7" s="1">
        <f>($B$10/5)</f>
        <v>1.192953366</v>
      </c>
      <c r="O7" s="23">
        <f>($C$5*[1]Params!K9)</f>
        <v>3.4867820792880124</v>
      </c>
      <c r="P7" s="23">
        <f>(O7*N7)</f>
        <v>4.1595684179951133</v>
      </c>
    </row>
    <row r="8" spans="2:16">
      <c r="N8" s="1">
        <f>($B$10/5)</f>
        <v>1.192953366</v>
      </c>
      <c r="O8" s="23">
        <f>($C$5*[1]Params!K10)</f>
        <v>4.7943253590210171</v>
      </c>
      <c r="P8" s="23">
        <f>(O8*N8)</f>
        <v>5.7194065747432807</v>
      </c>
    </row>
    <row r="9" spans="2:16">
      <c r="F9" t="s">
        <v>9</v>
      </c>
      <c r="G9" s="23">
        <f>(D10/B10)</f>
        <v>2.1727588637358353</v>
      </c>
      <c r="N9" s="1">
        <f>($B$10/5)</f>
        <v>1.192953366</v>
      </c>
      <c r="O9" s="23">
        <f>($C$5*[1]Params!K11)</f>
        <v>10.89619399777504</v>
      </c>
      <c r="P9" s="23">
        <f>(O9*N9)</f>
        <v>12.998651306234731</v>
      </c>
    </row>
    <row r="10" spans="2:16">
      <c r="B10" s="1">
        <f>(SUM(B5:B9))</f>
        <v>5.9647668300000003</v>
      </c>
      <c r="D10" s="23">
        <f>(SUM(D5:D9))</f>
        <v>12.96</v>
      </c>
    </row>
    <row r="11" spans="2:16">
      <c r="P11" s="23">
        <f>(SUM(P6:P9))</f>
        <v>26.257275638594155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P34" sqref="P34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15.38274905144619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9.0803710807302327</v>
      </c>
      <c r="K4" s="4">
        <f>(J4/D11-1)</f>
        <v>31.61090470815148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2.3685500000000001E-3</v>
      </c>
      <c r="C6" s="28">
        <v>0</v>
      </c>
      <c r="D6" s="29">
        <f>(B6*C6)</f>
        <v>0</v>
      </c>
      <c r="E6" s="23">
        <f>(B6*J3)</f>
        <v>3.6434810265802878E-2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2.3685500000000001E-3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0.31591658399999978</v>
      </c>
      <c r="O9" s="23">
        <f>($C$5*[1]Params!K11)</f>
        <v>36.253387829805618</v>
      </c>
      <c r="P9" s="23">
        <f>(O9*N9)</f>
        <v>11.453046441619357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0.47170568216713998</v>
      </c>
      <c r="O10" s="23"/>
      <c r="P10" s="23"/>
      <c r="R10" s="1"/>
      <c r="S10" s="23"/>
      <c r="T10" s="23"/>
      <c r="U10" s="24"/>
    </row>
    <row r="11" spans="2:21">
      <c r="B11">
        <f>(SUM(B5:B10))</f>
        <v>0.5902957299999998</v>
      </c>
      <c r="C11" s="23"/>
      <c r="D11" s="23">
        <f>(SUM(D5:D10))</f>
        <v>0.27844584999999977</v>
      </c>
      <c r="O11" s="23"/>
      <c r="P11" s="23">
        <f>(SUM(P6:P9))</f>
        <v>21.104600591619356</v>
      </c>
      <c r="R11" s="1"/>
      <c r="S11" s="23"/>
      <c r="T11" s="24"/>
    </row>
    <row r="22" spans="18:20">
      <c r="R22">
        <f>(SUM(R5:R21))</f>
        <v>0.59029572999999991</v>
      </c>
      <c r="T22" s="23">
        <f>(SUM(T5:T21))</f>
        <v>0.27844584999999977</v>
      </c>
    </row>
  </sheetData>
  <conditionalFormatting sqref="C5 G10 O9 S5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75.187603522174058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12.33990076771242</v>
      </c>
      <c r="K4" s="4">
        <f>(J4/D15-1)</f>
        <v>0.24157881882185928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1.1638900000000001E-3</v>
      </c>
      <c r="C6" s="28">
        <v>0</v>
      </c>
      <c r="D6" s="29">
        <f>(B6*C6)</f>
        <v>0</v>
      </c>
      <c r="E6" s="23">
        <f>(B6*J3)</f>
        <v>8.7510099863423174E-2</v>
      </c>
      <c r="M6" t="s">
        <v>11</v>
      </c>
      <c r="N6" s="49">
        <f>(SUM(R$5:R$8)/5)</f>
        <v>3.282429600000001E-2</v>
      </c>
      <c r="O6" s="23">
        <f>($C$7*[1]Params!K8)</f>
        <v>89.451451451451447</v>
      </c>
      <c r="P6" s="23">
        <f>(O6*N6)</f>
        <v>2.936180920072073</v>
      </c>
      <c r="R6" s="2">
        <f>(B6)</f>
        <v>1.1638900000000001E-3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3.282429600000001E-2</v>
      </c>
      <c r="O7" s="23">
        <f>($C$7*[1]Params!K9)</f>
        <v>110.09409409409409</v>
      </c>
      <c r="P7" s="23">
        <f>(O7*N7)</f>
        <v>3.6137611323963972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3.282429600000001E-2</v>
      </c>
      <c r="O8" s="23">
        <f>($C$7*[1]Params!K10)</f>
        <v>151.37937937937937</v>
      </c>
      <c r="P8" s="23">
        <f>(O8*N8)</f>
        <v>4.9689215570450465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1.317584781560458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3.282429600000001E-2</v>
      </c>
      <c r="O9" s="23">
        <f>($C$7*[1]Params!K11)</f>
        <v>344.04404404404403</v>
      </c>
      <c r="P9" s="23">
        <f>(O9*N9)</f>
        <v>11.293003538738741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22.811867148252258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60.558059127909395</v>
      </c>
    </row>
    <row r="15" spans="2:21">
      <c r="B15" s="1">
        <f>(SUM(B5:B14))</f>
        <v>0.16412148000000001</v>
      </c>
      <c r="D15" s="23">
        <f>(SUM(D5:D14))</f>
        <v>9.9388782899999999</v>
      </c>
    </row>
    <row r="21" spans="18:20">
      <c r="R21">
        <f>(SUM(R5:R20))</f>
        <v>0.16412148000000004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9" priority="21" operator="lessThan">
      <formula>$J$3</formula>
    </cfRule>
    <cfRule type="cellIs" dxfId="128" priority="22" operator="greaterThan">
      <formula>$J$3</formula>
    </cfRule>
  </conditionalFormatting>
  <conditionalFormatting sqref="C9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C12:C13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4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0.91059974903629137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3.7907032050641329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5.6082199999999999E-2</v>
      </c>
      <c r="C6" s="28">
        <v>0</v>
      </c>
      <c r="D6" s="29">
        <f>(B6*C6)</f>
        <v>0</v>
      </c>
      <c r="E6" s="23">
        <f>(B6*J3)</f>
        <v>5.1068437245403102E-2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4.1628643200000015</v>
      </c>
      <c r="D22" s="23">
        <f>(SUM(D5:D21))</f>
        <v>-5.3974319099999999</v>
      </c>
    </row>
  </sheetData>
  <conditionalFormatting sqref="N6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2" sqref="N12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1.467072326041131E-4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18.781691135302278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32005.394011460128</v>
      </c>
      <c r="P9" s="23">
        <f>(O9*N9)</f>
        <v>16.002697005730063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4866.8333119099998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4866.8333119099998</v>
      </c>
      <c r="C18" s="28">
        <v>0</v>
      </c>
      <c r="D18" s="29">
        <f>(B18*C18)</f>
        <v>0</v>
      </c>
      <c r="E18" s="23">
        <f>(B18*J3)</f>
        <v>0.7139996467358265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-9.0958484214550115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-22.006084890616965</v>
      </c>
    </row>
    <row r="39" spans="2:20">
      <c r="B39">
        <f>(SUM(B5:B38))</f>
        <v>128021.57604584051</v>
      </c>
      <c r="D39" s="23">
        <f>(SUM(D5:D38))</f>
        <v>-76.307382291799911</v>
      </c>
      <c r="F39" t="s">
        <v>9</v>
      </c>
      <c r="G39" s="33">
        <f>(D39/B39)</f>
        <v>-5.9605095210260985E-4</v>
      </c>
      <c r="R39">
        <f>(SUM(R5:R38))</f>
        <v>128021.57604584051</v>
      </c>
      <c r="T39" s="23">
        <f>(SUM(T5:T38))</f>
        <v>-76.307382291799911</v>
      </c>
    </row>
  </sheetData>
  <conditionalFormatting sqref="C5:C9 C14:C16 C25:C26 C28 C30 C32 C35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N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N9">
    <cfRule type="cellIs" dxfId="111" priority="7" operator="lessThan">
      <formula>$J$3</formula>
    </cfRule>
    <cfRule type="cellIs" dxfId="110" priority="8" operator="greaterThan">
      <formula>$J$3</formula>
    </cfRule>
  </conditionalFormatting>
  <conditionalFormatting sqref="S5:S9 S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G3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N12">
    <cfRule type="cellIs" dxfId="105" priority="1" operator="greaterThan">
      <formula>$J$3</formula>
    </cfRule>
    <cfRule type="cellIs" dxfId="10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H28" sqref="H2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1.0513176700520981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60.851969162344915</v>
      </c>
      <c r="K4" s="4">
        <f>(J4/D18-1)</f>
        <v>0.2081873611534899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0.31986904999999999</v>
      </c>
      <c r="C6" s="28">
        <v>0</v>
      </c>
      <c r="D6" s="29">
        <f>(B6*C6)</f>
        <v>0</v>
      </c>
      <c r="E6" s="23">
        <f>(B6*J3)</f>
        <v>0.33628398436777807</v>
      </c>
      <c r="M6" t="s">
        <v>11</v>
      </c>
      <c r="N6" s="19">
        <f>($B$7+$R$9+$R$6)/5</f>
        <v>8.9016280797777778</v>
      </c>
      <c r="O6" s="23">
        <f>($S$7*[1]Params!K8)</f>
        <v>1.1968124881820363</v>
      </c>
      <c r="P6" s="23">
        <f>(O6*N6)</f>
        <v>10.653579651029924</v>
      </c>
      <c r="R6" s="47">
        <f>(B6)</f>
        <v>0.31986904999999999</v>
      </c>
      <c r="S6" s="28">
        <v>0</v>
      </c>
      <c r="T6" s="29">
        <f>(D6)</f>
        <v>0</v>
      </c>
      <c r="U6" s="23">
        <f>(R6*J3)</f>
        <v>0.33628398436777807</v>
      </c>
    </row>
    <row r="7" spans="2:21">
      <c r="B7" s="19">
        <v>43.557366350000002</v>
      </c>
      <c r="C7" s="23">
        <f t="shared" ref="C7:C14" si="0">(D7/B7)</f>
        <v>0.92062499090925864</v>
      </c>
      <c r="D7" s="23">
        <v>40.1</v>
      </c>
      <c r="E7" t="s">
        <v>15</v>
      </c>
      <c r="N7" s="19">
        <f>($B$7+$R$9+$R$6)/5</f>
        <v>8.9016280797777778</v>
      </c>
      <c r="O7" s="23">
        <f>($S$7*[1]Params!K9)</f>
        <v>1.4729999854548139</v>
      </c>
      <c r="P7" s="23">
        <f>(O7*N7)</f>
        <v>13.11209803203683</v>
      </c>
      <c r="R7" s="19">
        <f>B7</f>
        <v>43.557366350000002</v>
      </c>
      <c r="S7" s="23">
        <f>(T7/R7)</f>
        <v>0.92062499090925864</v>
      </c>
      <c r="T7" s="23">
        <f>D7</f>
        <v>40.1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8.9016280797777778</v>
      </c>
      <c r="O8" s="23">
        <f>($S$7*[1]Params!K10)</f>
        <v>2.0253749800003691</v>
      </c>
      <c r="P8" s="23">
        <f>(O8*N8)</f>
        <v>18.029134794050641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8.9016280797777778</v>
      </c>
      <c r="O9" s="23">
        <f>($C$7*[1]Params!K11)</f>
        <v>4.6031249545462929</v>
      </c>
      <c r="P9" s="23">
        <f>(O9*N9)</f>
        <v>40.97530635011509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82.770118827232494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0.87016112223552489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57.881619319999999</v>
      </c>
      <c r="S17" s="23"/>
      <c r="T17" s="23">
        <f>(SUM(T5:T12))</f>
        <v>50.366334824300644</v>
      </c>
    </row>
    <row r="18" spans="2:20">
      <c r="B18" s="19">
        <f>(SUM(B5:B17))</f>
        <v>57.881619320000006</v>
      </c>
      <c r="D18" s="23">
        <f>(SUM(D5:D17))</f>
        <v>50.366334824300644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03" priority="25" operator="lessThan">
      <formula>$J$3</formula>
    </cfRule>
    <cfRule type="cellIs" dxfId="102" priority="26" operator="greaterThan">
      <formula>$J$3</formula>
    </cfRule>
  </conditionalFormatting>
  <conditionalFormatting sqref="S8">
    <cfRule type="cellIs" dxfId="101" priority="3" operator="lessThan">
      <formula>$J$3</formula>
    </cfRule>
    <cfRule type="cellIs" dxfId="100" priority="4" operator="greaterThan">
      <formula>$J$3</formula>
    </cfRule>
  </conditionalFormatting>
  <conditionalFormatting sqref="G17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23" width="9.140625" style="14" customWidth="1"/>
    <col min="124" max="16384" width="9.140625" style="14"/>
  </cols>
  <sheetData>
    <row r="3" spans="2:16">
      <c r="I3" t="s">
        <v>3</v>
      </c>
      <c r="J3" s="45">
        <v>2.9303668250165549E-2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1.8988230782288156</v>
      </c>
      <c r="K4" s="4">
        <f>(J4/D10-1)</f>
        <v>-5.0588460885592212E-2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4.9402509999999997E-2</v>
      </c>
      <c r="C6" s="28">
        <v>0</v>
      </c>
      <c r="D6" s="29">
        <f>(B6*C6)</f>
        <v>0</v>
      </c>
      <c r="E6" s="23">
        <f>(B6*J3)</f>
        <v>1.4476747637654859E-3</v>
      </c>
      <c r="M6" t="s">
        <v>11</v>
      </c>
      <c r="N6" s="35">
        <f>($B$10/5)</f>
        <v>12.959627183999999</v>
      </c>
      <c r="O6" s="45">
        <f>($C$5*[1]Params!K8)</f>
        <v>4.0155225640266315E-2</v>
      </c>
      <c r="P6" s="23">
        <f>(O6*N6)</f>
        <v>0.52039675378724903</v>
      </c>
    </row>
    <row r="7" spans="2:16">
      <c r="B7" s="35"/>
      <c r="C7" s="23"/>
      <c r="D7" s="25"/>
      <c r="E7" s="23"/>
      <c r="N7" s="35">
        <f>($B$10/5)</f>
        <v>12.959627183999999</v>
      </c>
      <c r="O7" s="45">
        <f>($C$5*[1]Params!K9)</f>
        <v>4.9421816172635469E-2</v>
      </c>
      <c r="P7" s="23">
        <f>(O7*N7)</f>
        <v>0.64048831235353743</v>
      </c>
    </row>
    <row r="8" spans="2:16">
      <c r="N8" s="35">
        <f>($B$10/5)</f>
        <v>12.959627183999999</v>
      </c>
      <c r="O8" s="45">
        <f>($C$5*[1]Params!K10)</f>
        <v>6.7954997237373763E-2</v>
      </c>
      <c r="P8" s="23">
        <f>(O8*N8)</f>
        <v>0.88067142948611377</v>
      </c>
    </row>
    <row r="9" spans="2:16">
      <c r="F9" t="s">
        <v>9</v>
      </c>
      <c r="G9" s="23">
        <f>(D10/B10)</f>
        <v>3.0865085416488015E-2</v>
      </c>
      <c r="N9" s="35">
        <f>($B$10/5)</f>
        <v>12.959627183999999</v>
      </c>
      <c r="O9" s="45">
        <f>($C$5*[1]Params!K11)</f>
        <v>0.15444317553948583</v>
      </c>
      <c r="P9" s="23">
        <f>(O9*N9)</f>
        <v>2.0015259761048041</v>
      </c>
    </row>
    <row r="10" spans="2:16">
      <c r="B10" s="35">
        <f>(SUM(B5:B9))</f>
        <v>64.798135919999993</v>
      </c>
      <c r="D10" s="23">
        <f>(SUM(D5:D9))</f>
        <v>2</v>
      </c>
    </row>
    <row r="11" spans="2:16">
      <c r="P11" s="23">
        <f>(SUM(P6:P9))</f>
        <v>4.0430824717317044</v>
      </c>
    </row>
    <row r="22" spans="10:10">
      <c r="J22" s="26"/>
    </row>
  </sheetData>
  <conditionalFormatting sqref="C5">
    <cfRule type="cellIs" dxfId="97" priority="11" operator="lessThan">
      <formula>$J$3</formula>
    </cfRule>
    <cfRule type="cellIs" dxfId="96" priority="12" operator="greaterThan">
      <formula>$J$3</formula>
    </cfRule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9" operator="lessThan">
      <formula>$J$3</formula>
    </cfRule>
    <cfRule type="cellIs" dxfId="92" priority="10" operator="greaterThan">
      <formula>$J$3</formula>
    </cfRule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G9">
    <cfRule type="cellIs" dxfId="89" priority="7" operator="lessThan">
      <formula>$J$3</formula>
    </cfRule>
    <cfRule type="cellIs" dxfId="88" priority="8" operator="greaterThan">
      <formula>$J$3</formula>
    </cfRule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1.402706721962089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46.269608787642369</v>
      </c>
      <c r="K4" s="4">
        <f>(J4/D11-1)</f>
        <v>2.3977173928080466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0.33724642999999999</v>
      </c>
      <c r="C6" s="28">
        <v>0</v>
      </c>
      <c r="D6" s="29">
        <f>(B6*C6)</f>
        <v>0</v>
      </c>
      <c r="E6" s="23">
        <f>(B6*J3)</f>
        <v>0.47305783431871712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0.47305783431871712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3.3398447049917337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10.999567858000001</v>
      </c>
      <c r="O8" s="23">
        <f>($C$5*[1]Params!K10)</f>
        <v>1.6670207492387226</v>
      </c>
      <c r="P8" s="23">
        <f>(O8*N8)</f>
        <v>18.336507851945331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10.999567858000001</v>
      </c>
      <c r="O9" s="23">
        <f>($C$5*[1]Params!K11)</f>
        <v>3.7886835209970964</v>
      </c>
      <c r="P9" s="23">
        <f>(O9*N9)</f>
        <v>41.673881481693932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0.41283796142998841</v>
      </c>
      <c r="R10" s="1"/>
      <c r="S10" s="23"/>
      <c r="T10" s="23"/>
      <c r="V10" s="24"/>
    </row>
    <row r="11" spans="2:22">
      <c r="B11" s="35">
        <f>(SUM(B5:B10))</f>
        <v>32.985946429999998</v>
      </c>
      <c r="D11" s="23">
        <f>(SUM(D5:D10))</f>
        <v>13.617850880000002</v>
      </c>
      <c r="P11" s="23">
        <f>(SUM(P6:P9))</f>
        <v>85.982538453639265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O9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3">
    <cfRule type="cellIs" dxfId="81" priority="3" operator="greaterThan">
      <formula>$J$3</formula>
    </cfRule>
    <cfRule type="cellIs" dxfId="80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4.2187666662643624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41.888867580330135</v>
      </c>
      <c r="K4" s="4">
        <f>(J4/D25-1)</f>
        <v>-17.666737985441834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22.56527011</v>
      </c>
      <c r="C6" s="23">
        <f>(D6/B6)</f>
        <v>1.777067139215379</v>
      </c>
      <c r="D6" s="23">
        <v>40.1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8.915270109999998</v>
      </c>
      <c r="S6" s="23">
        <f>(T6/R6)</f>
        <v>1.8004692849401513</v>
      </c>
      <c r="T6" s="23">
        <f>D6+B19*1.74+B21*1.7718+B23*1.7718</f>
        <v>16.051670000000001</v>
      </c>
      <c r="U6" s="23" t="str">
        <f>(E6)</f>
        <v>DCA2</v>
      </c>
    </row>
    <row r="7" spans="2:22">
      <c r="B7" s="2">
        <v>0.10069379000000001</v>
      </c>
      <c r="C7" s="28">
        <v>0</v>
      </c>
      <c r="D7" s="29">
        <v>0</v>
      </c>
      <c r="E7" s="24">
        <f>B7*J3</f>
        <v>0.42480360475182383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0.10069379000000001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0.70779380384569446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0.6778663395947746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4.5914233359999983</v>
      </c>
      <c r="O17" s="23">
        <f>($S$6*[1]Params!K11)</f>
        <v>9.0023464247007574</v>
      </c>
      <c r="P17" s="23">
        <f>(O17*N17)</f>
        <v>41.333583453127211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83.43417188312722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-0.25312491682231975</v>
      </c>
      <c r="S24" s="23"/>
      <c r="T24" s="23"/>
    </row>
    <row r="25" spans="2:20">
      <c r="B25" s="1">
        <f>(SUM(B5:B24))</f>
        <v>9.9291738306593604</v>
      </c>
      <c r="C25" s="23"/>
      <c r="D25" s="23">
        <f>(SUM(D5:D24))</f>
        <v>-2.5133213000000048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9.9291738306593622</v>
      </c>
      <c r="S28" s="23"/>
      <c r="T28" s="23">
        <f>(SUM(T5:T27))</f>
        <v>-2.5133212999999985</v>
      </c>
    </row>
  </sheetData>
  <conditionalFormatting sqref="C5:C6 C12:C14 C16:C17 O9 O17 S5:S6">
    <cfRule type="cellIs" dxfId="79" priority="19" operator="lessThan">
      <formula>$J$3</formula>
    </cfRule>
    <cfRule type="cellIs" dxfId="78" priority="20" operator="greaterThan">
      <formula>$J$3</formula>
    </cfRule>
  </conditionalFormatting>
  <conditionalFormatting sqref="O3">
    <cfRule type="cellIs" dxfId="77" priority="1" operator="greaterThan">
      <formula>$J$3</formula>
    </cfRule>
    <cfRule type="cellIs" dxfId="7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4" width="9.140625" style="14" customWidth="1"/>
    <col min="14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0.49136028011006411</v>
      </c>
      <c r="M3" t="s">
        <v>4</v>
      </c>
      <c r="N3" s="35">
        <f>(INDEX(N5:N22,MATCH(MAX(O6:O7),O5:O22,0))/0.85)</f>
        <v>2.2311764705882355</v>
      </c>
      <c r="O3" s="24">
        <f>(MAX(O6:O7)*0.75)</f>
        <v>0.27749999999999997</v>
      </c>
      <c r="P3" s="23">
        <f>(O3*N3)</f>
        <v>0.61915147058823528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2.7966808341056031</v>
      </c>
      <c r="K4" s="4">
        <f>(J4/D14-1)</f>
        <v>2.0889549054177134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7.505655E-2</v>
      </c>
      <c r="C6" s="28">
        <v>0</v>
      </c>
      <c r="D6" s="28">
        <f>(B6*C6)</f>
        <v>0</v>
      </c>
      <c r="E6" s="23">
        <f>(B6*J3)</f>
        <v>3.6879807432095034E-2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7.505655E-2</v>
      </c>
      <c r="S6" s="28">
        <v>0</v>
      </c>
      <c r="T6" s="28">
        <f>(D6)</f>
        <v>0</v>
      </c>
      <c r="U6" s="23">
        <f>(E6)</f>
        <v>3.6879807432095034E-2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1.8969422499999999</v>
      </c>
      <c r="O8" s="23">
        <f>($C$5*[1]Params!K10)</f>
        <v>0.51436531459544421</v>
      </c>
      <c r="P8" s="23">
        <f>(O8*N8)</f>
        <v>0.97572129719063971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1.8969422499999999</v>
      </c>
      <c r="O9" s="23">
        <f>($C$5*[1]Params!K11)</f>
        <v>1.1690120786260096</v>
      </c>
      <c r="P9" s="23">
        <f>(O9*N9)</f>
        <v>2.2175484027059995</v>
      </c>
      <c r="Q9" s="24"/>
    </row>
    <row r="10" spans="2:21">
      <c r="B10" s="35"/>
      <c r="C10" s="23"/>
      <c r="D10" s="23"/>
    </row>
    <row r="12" spans="2:21">
      <c r="P12" s="23">
        <f>(SUM(P6:P9))</f>
        <v>4.4639246998966389</v>
      </c>
    </row>
    <row r="13" spans="2:21">
      <c r="F13" t="s">
        <v>9</v>
      </c>
      <c r="G13" s="23">
        <f>(D14/B14)</f>
        <v>0.15907007229152748</v>
      </c>
    </row>
    <row r="14" spans="2:21">
      <c r="B14" s="35">
        <f>(SUM(B5:B13))</f>
        <v>5.69171125</v>
      </c>
      <c r="D14" s="23">
        <f>(SUM(D5:D13))</f>
        <v>0.90538092000000026</v>
      </c>
    </row>
    <row r="17" spans="11:20">
      <c r="N17" s="35"/>
      <c r="R17" s="35">
        <f>(SUM(R5:R16))</f>
        <v>9.4847112500000001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5" priority="13" operator="lessThan">
      <formula>$J$3</formula>
    </cfRule>
    <cfRule type="cellIs" dxfId="74" priority="14" operator="greaterThan">
      <formula>$J$3</formula>
    </cfRule>
  </conditionalFormatting>
  <conditionalFormatting sqref="O8:O9">
    <cfRule type="cellIs" dxfId="73" priority="9" operator="lessThan">
      <formula>$J$3</formula>
    </cfRule>
    <cfRule type="cellIs" dxfId="72" priority="10" operator="greaterThan">
      <formula>$J$3</formula>
    </cfRule>
  </conditionalFormatting>
  <conditionalFormatting sqref="S5">
    <cfRule type="cellIs" dxfId="71" priority="7" operator="lessThan">
      <formula>$J$3</formula>
    </cfRule>
    <cfRule type="cellIs" dxfId="70" priority="8" operator="greaterThan">
      <formula>$J$3</formula>
    </cfRule>
  </conditionalFormatting>
  <conditionalFormatting sqref="G13">
    <cfRule type="cellIs" dxfId="69" priority="3" operator="lessThan">
      <formula>$J$3</formula>
    </cfRule>
    <cfRule type="cellIs" dxfId="68" priority="4" operator="greaterThan">
      <formula>$J$3</formula>
    </cfRule>
  </conditionalFormatting>
  <conditionalFormatting sqref="O3">
    <cfRule type="cellIs" dxfId="67" priority="1" operator="greaterThan">
      <formula>$J$3</formula>
    </cfRule>
    <cfRule type="cellIs" dxfId="6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1.0741958921171241E-5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4.7242111626625922</v>
      </c>
      <c r="K4" s="4">
        <f>(J4/D13-1)</f>
        <v>-6.0793009411015508E-2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258.79000000000002</v>
      </c>
      <c r="C6" s="28">
        <v>0</v>
      </c>
      <c r="D6" s="29">
        <f>(B6*C6)</f>
        <v>0</v>
      </c>
      <c r="E6" s="23">
        <f>(B6*J3)</f>
        <v>2.7799115492099058E-3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1.1437264659236478E-5</v>
      </c>
    </row>
    <row r="13" spans="2:16">
      <c r="B13">
        <f>(SUM(B5:B12))</f>
        <v>439790.47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J3">
    <cfRule type="cellIs" dxfId="63" priority="3" operator="lessThan">
      <formula>$J$3</formula>
    </cfRule>
    <cfRule type="cellIs" dxfId="62" priority="4" operator="greaterThan">
      <formula>$J$3</formula>
    </cfRule>
  </conditionalFormatting>
  <conditionalFormatting sqref="O6:O9"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4.7683284895812406E-3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2.8581360966549956</v>
      </c>
      <c r="K4" s="4">
        <f>(J4/D10-1)</f>
        <v>-4.7287967781668105E-2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9" priority="5" operator="lessThan">
      <formula>$J$3</formula>
    </cfRule>
    <cfRule type="cellIs" dxfId="58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9"/>
  <sheetViews>
    <sheetView workbookViewId="0">
      <selection activeCell="P3" sqref="P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113.314462394687</v>
      </c>
      <c r="M3" t="s">
        <v>4</v>
      </c>
      <c r="N3" s="26">
        <f>(INDEX(N5:N26,MATCH(MAX(O6:O9,O23:O26,O14:O17),O5:O26,0))/0.9)</f>
        <v>0.41666666666666663</v>
      </c>
      <c r="O3" s="24">
        <f>(MAX(O14:O17,O23:O26,O6:O9)*0.85)</f>
        <v>104.56033881066666</v>
      </c>
      <c r="P3" s="23">
        <f>(O3*N3)</f>
        <v>43.566807837777773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(B45*J3)</f>
        <v>250.55285210726518</v>
      </c>
      <c r="K4" s="4">
        <f>(J4/D45-1)</f>
        <v>-2.819893736113479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0.23796037102884268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1.2240144100000001</v>
      </c>
      <c r="S13" s="23">
        <f>(T13/R13)</f>
        <v>24.743458711405186</v>
      </c>
      <c r="T13" s="23">
        <f>(D17+11.97*B21+B37*19.42078-N16*19.42078-N17*20.2879)</f>
        <v>30.286350015999982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0.69813187590168324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6.2921459999999999E-2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5.9804880333743857E-2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B19+B22+B39-N25-N26</f>
        <v>0.39514382000000003</v>
      </c>
      <c r="S15" s="23">
        <f>(T15/R15)</f>
        <v>26.115550535498699</v>
      </c>
      <c r="T15" s="23">
        <f>(D19+12.6*B22+20.2393*B39-20.2393*N25-21.316*N26)</f>
        <v>10.319398400000003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6.0477144100000002</v>
      </c>
      <c r="C17" s="23">
        <f>(D17/B17)</f>
        <v>20.328340868199163</v>
      </c>
      <c r="D17" s="23">
        <v>122.94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6.2921459999999999E-2</v>
      </c>
      <c r="C18" s="28">
        <v>0</v>
      </c>
      <c r="D18" s="29">
        <v>0</v>
      </c>
      <c r="E18" s="24">
        <f>B18*J3</f>
        <v>7.1299114129888022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1.8735838199999999</v>
      </c>
      <c r="C19" s="23">
        <f t="shared" ref="C19:C32" si="1">(D19/B19)</f>
        <v>21.402832140170812</v>
      </c>
      <c r="D19" s="23">
        <v>40.1</v>
      </c>
      <c r="E19" t="s">
        <v>15</v>
      </c>
      <c r="O19" s="23"/>
      <c r="P19" s="23">
        <f>(SUM(P14:P17))</f>
        <v>264.01526285023039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0.7933289831465119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4.884558550171338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5.562531624020016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41.784880856797919</v>
      </c>
      <c r="P24" s="23">
        <f>(O24*N24)</f>
        <v>27.160172556918649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-B43</f>
        <v>0.375</v>
      </c>
      <c r="O26" s="23">
        <f>P26/N26</f>
        <v>123.01216330666666</v>
      </c>
      <c r="P26" s="23">
        <f>-D43</f>
        <v>46.129561240000001</v>
      </c>
      <c r="Q26" t="s">
        <v>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92.353776156688284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>
        <f>B43-B43</f>
        <v>0</v>
      </c>
      <c r="S30" s="23">
        <v>0</v>
      </c>
      <c r="T30" s="23">
        <f>-P26+N26*21.316</f>
        <v>-38.136061240000004</v>
      </c>
      <c r="U30" t="s">
        <v>100</v>
      </c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3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C44" s="23"/>
      <c r="D44" s="23"/>
      <c r="E44" s="23"/>
      <c r="S44" s="23"/>
      <c r="T44" s="23"/>
    </row>
    <row r="45" spans="2:23">
      <c r="B45" s="26">
        <f>(SUM(B5:B44))</f>
        <v>2.2111286309999993</v>
      </c>
      <c r="C45" s="23"/>
      <c r="D45" s="23">
        <f>(SUM(D5:D44))</f>
        <v>-137.67444062000004</v>
      </c>
      <c r="E45" s="23"/>
      <c r="F45" t="s">
        <v>9</v>
      </c>
      <c r="G45" s="23">
        <f>(D45/B45)</f>
        <v>-62.26432903531974</v>
      </c>
      <c r="R45" s="26">
        <f>(SUM(R5:R36))</f>
        <v>2.2111286310000002</v>
      </c>
      <c r="S45" s="23"/>
      <c r="T45" s="23">
        <f>(SUM(T5:T36))</f>
        <v>-137.67644048976967</v>
      </c>
      <c r="V45" t="s">
        <v>9</v>
      </c>
      <c r="W45" s="23">
        <f>(T45/R45)</f>
        <v>-62.265233491868102</v>
      </c>
    </row>
    <row r="46" spans="2:23">
      <c r="M46" s="26"/>
      <c r="S46" s="23"/>
      <c r="T46" s="23"/>
    </row>
    <row r="49" spans="14:14">
      <c r="N49" s="26"/>
    </row>
  </sheetData>
  <conditionalFormatting sqref="C5 C8:C10 S5">
    <cfRule type="cellIs" dxfId="57" priority="95" operator="lessThan">
      <formula>$J$3</formula>
    </cfRule>
    <cfRule type="cellIs" dxfId="56" priority="96" operator="greaterThan">
      <formula>$J$3</formula>
    </cfRule>
  </conditionalFormatting>
  <conditionalFormatting sqref="C16:C17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9" operator="lessThan">
      <formula>$J$3</formula>
    </cfRule>
    <cfRule type="cellIs" dxfId="50" priority="90" operator="greaterThan">
      <formula>$J$3</formula>
    </cfRule>
  </conditionalFormatting>
  <conditionalFormatting sqref="C19:C20 G45 W45">
    <cfRule type="cellIs" dxfId="49" priority="73" operator="lessThan">
      <formula>$J$3</formula>
    </cfRule>
    <cfRule type="cellIs" dxfId="48" priority="74" operator="greaterThan">
      <formula>$J$3</formula>
    </cfRule>
    <cfRule type="cellIs" dxfId="47" priority="75" operator="lessThan">
      <formula>$J$3</formula>
    </cfRule>
    <cfRule type="cellIs" dxfId="46" priority="76" operator="greaterThan">
      <formula>$J$3</formula>
    </cfRule>
    <cfRule type="cellIs" dxfId="45" priority="77" operator="lessThan">
      <formula>$J$3</formula>
    </cfRule>
    <cfRule type="cellIs" dxfId="44" priority="78" operator="greaterThan">
      <formula>$J$3</formula>
    </cfRule>
    <cfRule type="cellIs" dxfId="43" priority="87" operator="lessThan">
      <formula>$J$3</formula>
    </cfRule>
    <cfRule type="cellIs" dxfId="42" priority="88" operator="greaterThan">
      <formula>$J$3</formula>
    </cfRule>
  </conditionalFormatting>
  <conditionalFormatting sqref="C27:C28 C30:C31 C34:C35">
    <cfRule type="cellIs" dxfId="41" priority="65" operator="lessThan">
      <formula>$J$3</formula>
    </cfRule>
    <cfRule type="cellIs" dxfId="40" priority="66" operator="greaterThan">
      <formula>$J$3</formula>
    </cfRule>
    <cfRule type="cellIs" dxfId="39" priority="67" operator="lessThan">
      <formula>$J$3</formula>
    </cfRule>
    <cfRule type="cellIs" dxfId="38" priority="68" operator="greaterThan">
      <formula>$J$3</formula>
    </cfRule>
    <cfRule type="cellIs" dxfId="37" priority="69" operator="lessThan">
      <formula>$J$3</formula>
    </cfRule>
    <cfRule type="cellIs" dxfId="36" priority="70" operator="greaterThan">
      <formula>$J$3</formula>
    </cfRule>
    <cfRule type="cellIs" dxfId="35" priority="71" operator="lessThan">
      <formula>$J$3</formula>
    </cfRule>
    <cfRule type="cellIs" dxfId="34" priority="72" operator="greaterThan">
      <formula>$J$3</formula>
    </cfRule>
    <cfRule type="cellIs" dxfId="33" priority="85" operator="lessThan">
      <formula>$J$3</formula>
    </cfRule>
    <cfRule type="cellIs" dxfId="32" priority="86" operator="greaterThan">
      <formula>$J$3</formula>
    </cfRule>
  </conditionalFormatting>
  <conditionalFormatting sqref="S12:S13 S15:S16">
    <cfRule type="cellIs" dxfId="31" priority="59" operator="lessThan">
      <formula>$J$3</formula>
    </cfRule>
    <cfRule type="cellIs" dxfId="30" priority="60" operator="greaterThan">
      <formula>$J$3</formula>
    </cfRule>
    <cfRule type="cellIs" dxfId="29" priority="61" operator="lessThan">
      <formula>$J$3</formula>
    </cfRule>
    <cfRule type="cellIs" dxfId="28" priority="62" operator="greaterThan">
      <formula>$J$3</formula>
    </cfRule>
  </conditionalFormatting>
  <conditionalFormatting sqref="O3">
    <cfRule type="cellIs" dxfId="27" priority="41" operator="greaterThan">
      <formula>$J$3</formula>
    </cfRule>
    <cfRule type="cellIs" dxfId="26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0.1043080148094733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0.97526487534815676</v>
      </c>
      <c r="K4" s="4">
        <f>(J4/D13-1)</f>
        <v>0.95052975069631351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0.24859722000000001</v>
      </c>
      <c r="C6" s="28">
        <v>0</v>
      </c>
      <c r="D6" s="29">
        <f>(B6*C6)</f>
        <v>0</v>
      </c>
      <c r="E6" s="23">
        <f>(B6*J3)</f>
        <v>2.5930682505353891E-2</v>
      </c>
      <c r="G6" s="23"/>
      <c r="M6" t="s">
        <v>11</v>
      </c>
      <c r="N6" s="19">
        <f>($B$13/5)</f>
        <v>1.869971118</v>
      </c>
      <c r="O6" s="45">
        <f>($C$5*[1]Params!K8)</f>
        <v>7.1418695478700056E-2</v>
      </c>
      <c r="P6" s="23">
        <f>(O6*N6)</f>
        <v>0.1335508978304063</v>
      </c>
      <c r="Q6" s="23">
        <f>N6*$J$3</f>
        <v>0.19505297506963135</v>
      </c>
    </row>
    <row r="7" spans="2:17">
      <c r="C7" s="23"/>
      <c r="D7" s="23"/>
      <c r="E7" s="23"/>
      <c r="G7" s="23"/>
      <c r="N7" s="19">
        <f>($B$13/5)</f>
        <v>1.869971118</v>
      </c>
      <c r="O7" s="45">
        <f>($C$5*[1]Params!K9)</f>
        <v>8.7899932896861599E-2</v>
      </c>
      <c r="P7" s="23">
        <f>(O7*N7)</f>
        <v>0.16437033579126928</v>
      </c>
      <c r="Q7" s="23">
        <f>Q6*2</f>
        <v>0.39010595013926269</v>
      </c>
    </row>
    <row r="8" spans="2:17">
      <c r="C8" s="23"/>
      <c r="D8" s="23"/>
      <c r="E8" s="23"/>
      <c r="G8" s="23"/>
      <c r="N8" s="19">
        <f>($B$13/5)</f>
        <v>1.869971118</v>
      </c>
      <c r="O8" s="45">
        <f>($C$5*[1]Params!K10)</f>
        <v>0.12086240773318471</v>
      </c>
      <c r="P8" s="23">
        <f>(O8*N8)</f>
        <v>0.22600921171299526</v>
      </c>
      <c r="Q8" s="23">
        <f>Q6*3</f>
        <v>0.58515892520889401</v>
      </c>
    </row>
    <row r="9" spans="2:17">
      <c r="C9" s="23"/>
      <c r="D9" s="23"/>
      <c r="E9" s="23"/>
      <c r="G9" s="23"/>
      <c r="N9" s="19">
        <f>($B$13/5)</f>
        <v>1.869971118</v>
      </c>
      <c r="O9" s="45">
        <f>($C$5*[1]Params!K11)</f>
        <v>0.27468729030269251</v>
      </c>
      <c r="P9" s="23">
        <f>(O9*N9)</f>
        <v>0.51365729934771653</v>
      </c>
      <c r="Q9" s="23">
        <f>Q6*4</f>
        <v>0.78021190027852538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1.0375877446823873</v>
      </c>
    </row>
    <row r="12" spans="2:17">
      <c r="C12" s="23"/>
      <c r="D12" s="23"/>
      <c r="E12" s="23"/>
      <c r="F12" t="s">
        <v>9</v>
      </c>
      <c r="G12" s="23">
        <f>(D13/B13)</f>
        <v>5.3476761773173009E-2</v>
      </c>
    </row>
    <row r="13" spans="2:17">
      <c r="B13">
        <f>(SUM(B5:B12))</f>
        <v>9.3498555900000007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7.2360772077469839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12.637692414847836</v>
      </c>
      <c r="K4" s="4">
        <f>(J4/D10-1)</f>
        <v>0.41934996826014914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2.6007600000000001E-3</v>
      </c>
      <c r="C6" s="28">
        <v>0</v>
      </c>
      <c r="D6" s="28">
        <f>(B6*C6)</f>
        <v>0</v>
      </c>
      <c r="E6" s="23">
        <f>(B6*J3)</f>
        <v>1.8819300158820048E-2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2.6007600000000001E-3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0.45319356400000005</v>
      </c>
      <c r="O7" s="45">
        <f>($C$5*[1]Params!K9)</f>
        <v>8.9182731538402358</v>
      </c>
      <c r="P7" s="23">
        <f>(O7*N7)</f>
        <v>4.0417039953143767</v>
      </c>
      <c r="R7" s="26">
        <f>B7-B7</f>
        <v>0</v>
      </c>
      <c r="S7" s="23">
        <v>0</v>
      </c>
      <c r="T7" s="23">
        <f>D7-B7*5.49217</f>
        <v>-0.8498431700000002</v>
      </c>
      <c r="U7" t="s">
        <v>101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5.098162799564526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1.74648391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24.417844695314379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2.1554839100000001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W29" sqref="W2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0.62789464917274385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19.447807924344687</v>
      </c>
      <c r="K4" s="4">
        <f>(J4/D14-1)</f>
        <v>7.317489441925197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54.380317329999997</v>
      </c>
      <c r="S5" s="23">
        <f>(T5/R5)</f>
        <v>0.35123002104040874</v>
      </c>
      <c r="T5" s="23">
        <f>(SUM(D5:D7))</f>
        <v>19.100000000000001</v>
      </c>
    </row>
    <row r="6" spans="2:21">
      <c r="B6" s="20">
        <v>0.80530586000000004</v>
      </c>
      <c r="C6" s="28">
        <v>0</v>
      </c>
      <c r="D6" s="28">
        <f>(B6*C6)</f>
        <v>0</v>
      </c>
      <c r="E6" s="23">
        <f>(B6*J3)</f>
        <v>0.50564724044145481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10.324347643333335</v>
      </c>
      <c r="O8" s="23">
        <f>($C$5*[1]Params!K10)</f>
        <v>0.78521945271816052</v>
      </c>
      <c r="P8" s="23">
        <f>(O8*N8)</f>
        <v>8.1068786061702305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10.324347643333335</v>
      </c>
      <c r="O9" s="23">
        <f>($C$5*[1]Params!K11)</f>
        <v>1.7845896652685465</v>
      </c>
      <c r="P9" s="23">
        <f>(O9*N9)</f>
        <v>18.424724104932341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40.369898481102567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7.5490886229175547E-2</v>
      </c>
    </row>
    <row r="14" spans="2:21">
      <c r="B14" s="19">
        <f>(SUM(B5:B13))</f>
        <v>30.973042930000005</v>
      </c>
      <c r="D14" s="23">
        <f>(SUM(D5:D13))</f>
        <v>2.3381824600000005</v>
      </c>
    </row>
    <row r="18" spans="12:20">
      <c r="R18">
        <f>(SUM(R5:R17))</f>
        <v>30.973042930000005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M30" sqref="M3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07" width="9.140625" style="14" customWidth="1"/>
    <col min="108" max="16384" width="9.140625" style="14"/>
  </cols>
  <sheetData>
    <row r="3" spans="2:21">
      <c r="I3" t="s">
        <v>3</v>
      </c>
      <c r="J3" s="45">
        <v>12.642535857530619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10.815568310623929</v>
      </c>
      <c r="K4" s="4">
        <f>(J4/D14-1)</f>
        <v>-1.6578773163610339E-2</v>
      </c>
      <c r="R4" t="s">
        <v>5</v>
      </c>
      <c r="S4" t="s">
        <v>6</v>
      </c>
      <c r="T4" t="s">
        <v>7</v>
      </c>
    </row>
    <row r="5" spans="2:21">
      <c r="B5" s="1">
        <v>0.85528448999999995</v>
      </c>
      <c r="C5" s="23">
        <f>(D5/B5)</f>
        <v>12.85876235169423</v>
      </c>
      <c r="D5" s="23">
        <v>10.9979</v>
      </c>
      <c r="E5" t="s">
        <v>102</v>
      </c>
      <c r="N5" t="s">
        <v>32</v>
      </c>
      <c r="O5" t="s">
        <v>1</v>
      </c>
      <c r="P5" t="s">
        <v>2</v>
      </c>
      <c r="R5" s="19">
        <f>B5</f>
        <v>0.85528448999999995</v>
      </c>
      <c r="S5" s="23">
        <f>(T5/R5)</f>
        <v>12.85876235169423</v>
      </c>
      <c r="T5" s="23">
        <f>D5</f>
        <v>10.9979</v>
      </c>
    </row>
    <row r="6" spans="2:21">
      <c r="B6" s="2">
        <v>2.0593E-4</v>
      </c>
      <c r="C6" s="28">
        <v>0</v>
      </c>
      <c r="D6" s="28">
        <f>(B6*C6)</f>
        <v>0</v>
      </c>
      <c r="E6" s="23">
        <f>(B6*J3)</f>
        <v>2.6034774091412806E-3</v>
      </c>
      <c r="M6" t="s">
        <v>11</v>
      </c>
      <c r="N6" s="19">
        <f>(B$14/5)</f>
        <v>0.17109808399999998</v>
      </c>
      <c r="O6" s="23">
        <f>($C$5*[1]Params!K8)</f>
        <v>16.7163910572025</v>
      </c>
      <c r="P6" s="23">
        <f>(O6*N6)</f>
        <v>2.8601424812820819</v>
      </c>
      <c r="R6" s="19">
        <f>(B6)</f>
        <v>2.0593E-4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0.17109808399999998</v>
      </c>
      <c r="O7" s="23">
        <f>($C$5*[1]Params!K9)</f>
        <v>20.574019762710769</v>
      </c>
      <c r="P7" s="23">
        <f>(O7*N7)</f>
        <v>3.5201753615779467</v>
      </c>
      <c r="R7" s="19"/>
      <c r="S7" s="23"/>
      <c r="T7" s="24"/>
      <c r="U7" s="24"/>
    </row>
    <row r="8" spans="2:21">
      <c r="C8" s="23"/>
      <c r="D8" s="23"/>
      <c r="N8" s="19">
        <f>(B$14/5)</f>
        <v>0.17109808399999998</v>
      </c>
      <c r="O8" s="23">
        <f>($C$5*[1]Params!K10)</f>
        <v>28.289277173727307</v>
      </c>
      <c r="P8" s="23">
        <f>(O8*N8)</f>
        <v>4.8402411221696768</v>
      </c>
      <c r="R8" s="19"/>
      <c r="S8" s="24"/>
      <c r="T8" s="24"/>
    </row>
    <row r="9" spans="2:21">
      <c r="C9" s="24"/>
      <c r="D9" s="23"/>
      <c r="N9" s="19">
        <f>(B$14/5)</f>
        <v>0.17109808399999998</v>
      </c>
      <c r="O9" s="23">
        <f>($C$5*[1]Params!K11)</f>
        <v>64.293811758471151</v>
      </c>
      <c r="P9" s="23">
        <f>(O9*N9)</f>
        <v>11.000548004931083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22.22110696996079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12.855667045342249</v>
      </c>
    </row>
    <row r="14" spans="2:21">
      <c r="B14" s="19">
        <f>(SUM(B5:B13))</f>
        <v>0.85549041999999997</v>
      </c>
      <c r="D14" s="23">
        <f>(SUM(D5:D13))</f>
        <v>10.9979</v>
      </c>
    </row>
    <row r="18" spans="12:20">
      <c r="R18">
        <f>(SUM(R5:R17))</f>
        <v>0.85549041999999997</v>
      </c>
      <c r="T18" s="23">
        <f>(SUM(T5:T17))</f>
        <v>10.9979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07" width="9.140625" style="14" customWidth="1"/>
    <col min="108" max="16384" width="9.140625" style="14"/>
  </cols>
  <sheetData>
    <row r="3" spans="2:21">
      <c r="I3" t="s">
        <v>3</v>
      </c>
      <c r="J3" s="45">
        <v>3.3334514766453598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9.8222963525817857</v>
      </c>
      <c r="K4" s="4">
        <f>(J4/D14-1)</f>
        <v>9.1669502926566837E-2</v>
      </c>
      <c r="R4" t="s">
        <v>5</v>
      </c>
      <c r="S4" t="s">
        <v>6</v>
      </c>
      <c r="T4" t="s">
        <v>7</v>
      </c>
    </row>
    <row r="5" spans="2:21">
      <c r="B5" s="35">
        <v>2.9465473000000002</v>
      </c>
      <c r="C5" s="23">
        <f>(D5/B5)</f>
        <v>3.0535739236224035</v>
      </c>
      <c r="D5" s="23">
        <v>8.9975000000000005</v>
      </c>
      <c r="E5" t="s">
        <v>102</v>
      </c>
      <c r="N5" t="s">
        <v>32</v>
      </c>
      <c r="O5" t="s">
        <v>1</v>
      </c>
      <c r="P5" t="s">
        <v>2</v>
      </c>
      <c r="R5" s="19">
        <f>B5</f>
        <v>2.9465473000000002</v>
      </c>
      <c r="S5" s="23">
        <f>(T5/R5)</f>
        <v>3.0535739236224035</v>
      </c>
      <c r="T5" s="23">
        <f>D5</f>
        <v>8.9975000000000005</v>
      </c>
    </row>
    <row r="6" spans="2:21">
      <c r="B6" s="47">
        <v>3.7169999999999998E-5</v>
      </c>
      <c r="C6" s="28">
        <v>0</v>
      </c>
      <c r="D6" s="28">
        <f>(B6*C6)</f>
        <v>0</v>
      </c>
      <c r="E6" s="23">
        <f>(B6*J3)</f>
        <v>1.2390439138690803E-4</v>
      </c>
      <c r="M6" t="s">
        <v>11</v>
      </c>
      <c r="N6" s="19">
        <f>(B$14/5)</f>
        <v>0.58931689400000009</v>
      </c>
      <c r="O6" s="23">
        <f>($C$5*[1]Params!K8)</f>
        <v>3.9696461007091246</v>
      </c>
      <c r="P6" s="23">
        <f>(O6*N6)</f>
        <v>2.3393795103491128</v>
      </c>
      <c r="R6" s="19">
        <f>(B6)</f>
        <v>3.7169999999999998E-5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0.58931689400000009</v>
      </c>
      <c r="O7" s="23">
        <f>($C$5*[1]Params!K9)</f>
        <v>4.8857182777958457</v>
      </c>
      <c r="P7" s="23">
        <f>(O7*N7)</f>
        <v>2.8792363204296776</v>
      </c>
      <c r="R7" s="19"/>
      <c r="S7" s="23"/>
      <c r="T7" s="24"/>
      <c r="U7" s="24"/>
    </row>
    <row r="8" spans="2:21">
      <c r="C8" s="23"/>
      <c r="D8" s="23"/>
      <c r="N8" s="19">
        <f>(B$14/5)</f>
        <v>0.58931689400000009</v>
      </c>
      <c r="O8" s="23">
        <f>($C$5*[1]Params!K10)</f>
        <v>6.7178626319692887</v>
      </c>
      <c r="P8" s="23">
        <f>(O8*N8)</f>
        <v>3.9589499405908071</v>
      </c>
      <c r="R8" s="19"/>
      <c r="S8" s="24"/>
      <c r="T8" s="24"/>
    </row>
    <row r="9" spans="2:21">
      <c r="C9" s="24"/>
      <c r="D9" s="23"/>
      <c r="N9" s="19">
        <f>(B$14/5)</f>
        <v>0.58931689400000009</v>
      </c>
      <c r="O9" s="23">
        <f>($C$5*[1]Params!K11)</f>
        <v>15.267869618112018</v>
      </c>
      <c r="P9" s="23">
        <f>(O9*N9)</f>
        <v>8.997613501342741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18.175179272712338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3.0535354039926776</v>
      </c>
    </row>
    <row r="14" spans="2:21">
      <c r="B14" s="19">
        <f>(SUM(B5:B13))</f>
        <v>2.9465844700000003</v>
      </c>
      <c r="D14" s="23">
        <f>(SUM(D5:D13))</f>
        <v>8.9975000000000005</v>
      </c>
    </row>
    <row r="18" spans="12:20">
      <c r="R18">
        <f>(SUM(R5:R17))</f>
        <v>2.9465844700000003</v>
      </c>
      <c r="T18" s="23">
        <f>(SUM(T5:T17))</f>
        <v>8.9975000000000005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0.51479018268354515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3.1318805134101519</v>
      </c>
      <c r="K4" s="4">
        <f>(J4/D9-1)</f>
        <v>-0.89150853420434961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O11:O14">
    <cfRule type="cellIs" dxfId="277" priority="7" operator="lessThan">
      <formula>$J$3</formula>
    </cfRule>
    <cfRule type="cellIs" dxfId="276" priority="8" operator="greaterThan">
      <formula>$J$3</formula>
    </cfRule>
  </conditionalFormatting>
  <conditionalFormatting sqref="O20:O23">
    <cfRule type="cellIs" dxfId="275" priority="5" operator="lessThan">
      <formula>$J$3</formula>
    </cfRule>
    <cfRule type="cellIs" dxfId="274" priority="6" operator="greaterThan">
      <formula>$J$3</formula>
    </cfRule>
  </conditionalFormatting>
  <conditionalFormatting sqref="O29:O32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N6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740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6.4862594182400748E-3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10.163352293248142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-57.016639999999931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-250.85328770675179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-138.4032877067518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740</v>
      </c>
      <c r="E35">
        <f t="shared" ref="E35:E41" si="1">C35*D35</f>
        <v>4627.96</v>
      </c>
      <c r="F35" s="35">
        <f t="shared" ref="F35:F41" si="2">E35*$N$5</f>
        <v>3702.3680000000004</v>
      </c>
      <c r="G35" s="23">
        <v>3.5</v>
      </c>
      <c r="H35" s="36">
        <f>G51</f>
        <v>1.5615590400000001</v>
      </c>
      <c r="I35" s="24">
        <f t="shared" ref="I35:I42" si="3">((F35-H35*D35)*$J$3-G35)</f>
        <v>13.019298307340602</v>
      </c>
      <c r="J35">
        <v>1</v>
      </c>
      <c r="K35" s="37">
        <f t="shared" ref="K35:K41" si="4">I35*J35</f>
        <v>13.019298307340602</v>
      </c>
      <c r="L35" s="38">
        <v>31.2</v>
      </c>
      <c r="M35" s="38">
        <f t="shared" ref="M35:M41" si="5">L35*J35</f>
        <v>31.2</v>
      </c>
    </row>
    <row r="36" spans="2:22">
      <c r="B36" s="8" t="s">
        <v>45</v>
      </c>
      <c r="C36">
        <v>0.96599999999999997</v>
      </c>
      <c r="D36">
        <f>$H$2</f>
        <v>740</v>
      </c>
      <c r="E36">
        <f t="shared" si="1"/>
        <v>714.84</v>
      </c>
      <c r="F36" s="35">
        <f t="shared" si="2"/>
        <v>571.87200000000007</v>
      </c>
      <c r="G36" s="23">
        <v>3.5</v>
      </c>
      <c r="H36" s="36">
        <f>G52</f>
        <v>0.21337130135885166</v>
      </c>
      <c r="I36" s="24">
        <f t="shared" si="3"/>
        <v>-0.81483624760774598</v>
      </c>
      <c r="J36">
        <v>1</v>
      </c>
      <c r="K36" s="37">
        <f t="shared" si="4"/>
        <v>-0.81483624760774598</v>
      </c>
      <c r="L36" s="38">
        <v>8.1999999999999993</v>
      </c>
      <c r="M36" s="38">
        <f t="shared" si="5"/>
        <v>8.1999999999999993</v>
      </c>
    </row>
    <row r="37" spans="2:22">
      <c r="B37" s="8" t="s">
        <v>47</v>
      </c>
      <c r="C37">
        <v>0.85099999999999998</v>
      </c>
      <c r="D37">
        <f>$H$2</f>
        <v>740</v>
      </c>
      <c r="E37">
        <f t="shared" si="1"/>
        <v>629.74</v>
      </c>
      <c r="F37" s="35">
        <f t="shared" si="2"/>
        <v>503.79200000000003</v>
      </c>
      <c r="G37" s="23">
        <v>3.5</v>
      </c>
      <c r="H37" s="36">
        <f>G53</f>
        <v>0.18479602162162162</v>
      </c>
      <c r="I37" s="24">
        <f t="shared" si="3"/>
        <v>-1.1192642475814356</v>
      </c>
      <c r="J37">
        <v>1</v>
      </c>
      <c r="K37" s="37">
        <f t="shared" si="4"/>
        <v>-1.1192642475814356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706</v>
      </c>
      <c r="E38">
        <f t="shared" si="1"/>
        <v>600.80600000000004</v>
      </c>
      <c r="F38" s="35">
        <f t="shared" si="2"/>
        <v>480.64480000000003</v>
      </c>
      <c r="G38" s="23">
        <v>0</v>
      </c>
      <c r="H38" s="36">
        <f>G53</f>
        <v>0.18479602162162162</v>
      </c>
      <c r="I38" s="24">
        <f t="shared" si="3"/>
        <v>2.2713505962263603</v>
      </c>
      <c r="J38">
        <v>3</v>
      </c>
      <c r="K38" s="37">
        <f t="shared" si="4"/>
        <v>6.8140517886790803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648</v>
      </c>
      <c r="E39">
        <f t="shared" si="1"/>
        <v>551.44799999999998</v>
      </c>
      <c r="F39" s="35">
        <f t="shared" si="2"/>
        <v>441.15840000000003</v>
      </c>
      <c r="G39" s="23">
        <v>0</v>
      </c>
      <c r="H39" s="36">
        <f>H38</f>
        <v>0.18479602162162162</v>
      </c>
      <c r="I39" s="24">
        <f t="shared" si="3"/>
        <v>2.0847523886043646</v>
      </c>
      <c r="J39">
        <v>1</v>
      </c>
      <c r="K39" s="37">
        <f t="shared" si="4"/>
        <v>2.0847523886043646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600</v>
      </c>
      <c r="E40">
        <f t="shared" si="1"/>
        <v>510.59999999999997</v>
      </c>
      <c r="F40" s="35">
        <f t="shared" si="2"/>
        <v>408.48</v>
      </c>
      <c r="G40" s="23">
        <v>0</v>
      </c>
      <c r="H40" s="36">
        <f>H39</f>
        <v>0.18479602162162162</v>
      </c>
      <c r="I40" s="24">
        <f t="shared" si="3"/>
        <v>1.9303262857447818</v>
      </c>
      <c r="J40">
        <v>1</v>
      </c>
      <c r="K40" s="37">
        <f t="shared" si="4"/>
        <v>1.9303262857447818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0.25400197657764562</v>
      </c>
      <c r="J41" s="16">
        <v>1</v>
      </c>
      <c r="K41" s="41">
        <f t="shared" si="4"/>
        <v>0.25400197657764562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1.4155726095461736</v>
      </c>
      <c r="J42" s="16">
        <v>1</v>
      </c>
      <c r="K42" s="41">
        <f>(I42*J42)</f>
        <v>1.4155726095461736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13.5</v>
      </c>
      <c r="M43" s="38">
        <f>L43*J43</f>
        <v>27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112.44999999999999</v>
      </c>
      <c r="O47" s="38">
        <f>(J13+SUM(G35:G41)-D77)</f>
        <v>2.1836002932481442</v>
      </c>
      <c r="P47">
        <f>(O47/J3)</f>
        <v>336.65016343743821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(-318/3)</f>
        <v>-106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3" sqref="O3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14" width="9.140625" style="14" customWidth="1"/>
    <col min="115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11.60990286356796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3.643765807849261</v>
      </c>
      <c r="K4" s="4">
        <f>(J4/D13-1)</f>
        <v>-3.2458757165964371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1.0020000000000001E-5</v>
      </c>
      <c r="C6" s="28">
        <v>0</v>
      </c>
      <c r="D6" s="28">
        <f>(B6*C6)</f>
        <v>0</v>
      </c>
      <c r="E6" s="23">
        <f>(B6*J3)</f>
        <v>1.1633122669295097E-4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1.0020000000000001E-5</v>
      </c>
      <c r="S6" s="28">
        <v>0</v>
      </c>
      <c r="T6" s="28">
        <f>(D6)</f>
        <v>0</v>
      </c>
      <c r="U6" s="23">
        <f>(R6*J3)</f>
        <v>1.1633122669295097E-4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0.11888073400000002</v>
      </c>
      <c r="O9" s="23">
        <f>($C$5*[1]Params!K11)</f>
        <v>20</v>
      </c>
      <c r="P9" s="23">
        <f>(O9*N9)</f>
        <v>2.3776146800000002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4.8027407719999999</v>
      </c>
    </row>
    <row r="12" spans="2:21">
      <c r="F12" t="s">
        <v>9</v>
      </c>
      <c r="G12" s="45">
        <f>(D13/B13)</f>
        <v>-5.1694324747241351</v>
      </c>
    </row>
    <row r="13" spans="2:21">
      <c r="B13" s="1">
        <f>(SUM(B5:B12))</f>
        <v>0.31384981000000006</v>
      </c>
      <c r="D13" s="23">
        <f>(SUM(D5:D12))</f>
        <v>-1.6224254</v>
      </c>
      <c r="R13" s="1">
        <f>(SUM(R5:R12))</f>
        <v>0.59440367000000005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0.8833084609339229</v>
      </c>
    </row>
    <row r="21" spans="5:15">
      <c r="E21" s="46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B10" sqref="B10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0.61304212751298026</v>
      </c>
      <c r="M3" t="s">
        <v>4</v>
      </c>
      <c r="N3" s="26">
        <f>(INDEX(N5:N21,MATCH(MAX(O6:O7),O5:O21,0))/0.9)</f>
        <v>25</v>
      </c>
      <c r="O3" s="24">
        <f>(MAX(O6:O7)*0.85)</f>
        <v>0.47918280903668825</v>
      </c>
      <c r="P3" s="45">
        <f>(O3*N3)</f>
        <v>11.979570225917206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44.737530890102732</v>
      </c>
      <c r="K4" s="4">
        <f>(J4/D13-1)</f>
        <v>1.4578889856380015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0.72910271000000004</v>
      </c>
      <c r="C6" s="28">
        <v>0</v>
      </c>
      <c r="D6" s="28">
        <f>(B6*C6)</f>
        <v>0</v>
      </c>
      <c r="E6" s="23">
        <f>(B6*J3)</f>
        <v>0.44697067651387951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0.72910271000000004</v>
      </c>
      <c r="S6" s="28">
        <v>0</v>
      </c>
      <c r="T6" s="28">
        <f>(D6)</f>
        <v>0</v>
      </c>
      <c r="U6" s="23">
        <f>(R6*J3)</f>
        <v>0.44697067651387951</v>
      </c>
    </row>
    <row r="7" spans="2:21">
      <c r="B7" s="1">
        <v>114.6777831</v>
      </c>
      <c r="C7" s="23">
        <f>(D7/B7)</f>
        <v>0.3496754028200254</v>
      </c>
      <c r="D7" s="23">
        <v>40.1</v>
      </c>
      <c r="E7" t="s">
        <v>15</v>
      </c>
      <c r="N7" s="1">
        <f>-B11</f>
        <v>22.5</v>
      </c>
      <c r="O7" s="23">
        <f>($S$7*[1]Params!K9)</f>
        <v>0.56374448121963328</v>
      </c>
      <c r="P7" s="23">
        <f>-D11</f>
        <v>12.305999999999999</v>
      </c>
      <c r="Q7" t="s">
        <v>12</v>
      </c>
      <c r="R7" s="35">
        <f>B7+B10</f>
        <v>92.107783100000006</v>
      </c>
      <c r="S7" s="23">
        <f>(T7/R7)</f>
        <v>0.3523403007622708</v>
      </c>
      <c r="T7" s="23">
        <f>D7+B10*0.3388</f>
        <v>32.453284000000004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25.757765005999993</v>
      </c>
      <c r="O8" s="23">
        <f>($C$7*[1]Params!K10)</f>
        <v>0.76928588620405591</v>
      </c>
      <c r="P8" s="23">
        <f>(O8*N8)</f>
        <v>19.815085079276525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14.595255001999998</v>
      </c>
      <c r="O9" s="23">
        <f>($C$7*[1]Params!K11)</f>
        <v>1.7483770141001269</v>
      </c>
      <c r="P9" s="23">
        <f>(O9*N9)</f>
        <v>25.518008360426698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67.721522409703226</v>
      </c>
    </row>
    <row r="12" spans="2:21">
      <c r="F12" t="s">
        <v>9</v>
      </c>
      <c r="G12" s="45">
        <f>(D13/B13)</f>
        <v>0.24941815155001848</v>
      </c>
    </row>
    <row r="13" spans="2:21">
      <c r="B13" s="1">
        <f>(SUM(B5:B12))</f>
        <v>72.976275009999995</v>
      </c>
      <c r="D13" s="23">
        <f>(SUM(D5:D12))</f>
        <v>18.201607620000004</v>
      </c>
      <c r="R13" s="1">
        <f>(SUM(R5:R12))</f>
        <v>95.476275010000009</v>
      </c>
      <c r="T13" s="23">
        <f>(SUM(T5:T12))</f>
        <v>30.507607620000005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2023-12-27T11:42:14Z</dcterms:modified>
</cp:coreProperties>
</file>